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EMP\GOVERNANÇA E GESTÃO\TRANSPARENCIA\2026-W772CJ\1ª DR VITORIA\"/>
    </mc:Choice>
  </mc:AlternateContent>
  <xr:revisionPtr revIDLastSave="0" documentId="13_ncr:1_{DF77A611-67C1-4BFC-B92B-E7BA1FF0E24C}" xr6:coauthVersionLast="47" xr6:coauthVersionMax="47" xr10:uidLastSave="{00000000-0000-0000-0000-000000000000}"/>
  <bookViews>
    <workbookView xWindow="-28920" yWindow="-2025" windowWidth="29040" windowHeight="15720" tabRatio="568" xr2:uid="{00000000-000D-0000-FFFF-FFFF00000000}"/>
  </bookViews>
  <sheets>
    <sheet name="27ª MEDIÇÃO " sheetId="1" r:id="rId1"/>
    <sheet name="MEMÓRIA 27ª medição" sheetId="7" r:id="rId2"/>
    <sheet name="Planilha1" sheetId="9" r:id="rId3"/>
    <sheet name="Planilha2" sheetId="2" state="hidden" r:id="rId4"/>
    <sheet name="Planilha3" sheetId="3" state="hidden" r:id="rId5"/>
    <sheet name="Planilha1 (2)" sheetId="4" state="hidden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\s" localSheetId="1">#REF!</definedName>
    <definedName name="\s">#REF!</definedName>
    <definedName name="\t" localSheetId="1">#REF!</definedName>
    <definedName name="\t">#REF!</definedName>
    <definedName name="__6Excel_BuiltIn_Print_Area_3_1_1_1_1_1" localSheetId="1">#REF!</definedName>
    <definedName name="__6Excel_BuiltIn_Print_Area_3_1_1_1_1_1">#REF!</definedName>
    <definedName name="_10Excel_BuiltIn_Print_Area_5_1">#REF!</definedName>
    <definedName name="_10Excel_BuiltIn_Print_Area_7_1">#REF!</definedName>
    <definedName name="_11Excel_BuiltIn_Print_Area_8_1">([1]EMERGÊNCIA!$A$1:$N$213,[1]EMERGÊNCIA!$A$214:$N$290)</definedName>
    <definedName name="_12Excel_BuiltIn_Print_Area_6_1">#REF!</definedName>
    <definedName name="_12Excel_BuiltIn_Print_Area_9_1">#REF!</definedName>
    <definedName name="_13Excel_BuiltIn_Print_Titles_3_1">#REF!</definedName>
    <definedName name="_14Excel_BuiltIn_Print_Area_7_1">#REF!</definedName>
    <definedName name="_14Excel_BuiltIn_Print_Titles_4_1">#REF!</definedName>
    <definedName name="_15Excel_BuiltIn_Print_Area_8_1">([1]EMERGÊNCIA!$A$1:$N$213,[1]EMERGÊNCIA!$A$214:$N$290)</definedName>
    <definedName name="_15Excel_BuiltIn_Print_Titles_5_1">#REF!</definedName>
    <definedName name="_16Excel_BuiltIn_Print_Titles_6_1">#REF!</definedName>
    <definedName name="_17Excel_BuiltIn_Print_Area_9_1">#REF!</definedName>
    <definedName name="_17Excel_BuiltIn_Print_Titles_7_1">#REF!</definedName>
    <definedName name="_18Excel_BuiltIn_Print_Titles_9_1">#REF!</definedName>
    <definedName name="_1Excel_BuiltIn__FilterDatabase_12_1">#REF!</definedName>
    <definedName name="_1Excel_BuiltIn_Print_Area_2_1">#REF!</definedName>
    <definedName name="_28Excel_BuiltIn_Print_Titles_3_1">#REF!</definedName>
    <definedName name="_2Excel_BuiltIn__FilterDatabase_12_1">#REF!</definedName>
    <definedName name="_2Excel_BuiltIn_Print_Area_1_1_1_1_1_1_1">#REF!</definedName>
    <definedName name="_2Excel_BuiltIn_Print_Area_3_1_1">#REF!</definedName>
    <definedName name="_39Excel_BuiltIn_Print_Titles_4_1">#REF!</definedName>
    <definedName name="_3Excel_BuiltIn_Print_Area_2_1">#REF!</definedName>
    <definedName name="_3Excel_BuiltIn_Print_Area_3_1_1_1_1_1">#REF!</definedName>
    <definedName name="_4Excel_BuiltIn_Print_Area_3_1">#REF!</definedName>
    <definedName name="_4Excel_BuiltIn_Print_Area_3_1_1_1_1_1">#REF!</definedName>
    <definedName name="_50Excel_BuiltIn_Print_Titles_5_1">#REF!</definedName>
    <definedName name="_5Excel_BuiltIn_Print_Area_3_1">#REF!</definedName>
    <definedName name="_61Excel_BuiltIn_Print_Titles_6_1">#REF!</definedName>
    <definedName name="_6Excel_BuiltIn_Print_Area_3_1_1_1_1_1">#REF!</definedName>
    <definedName name="_72Excel_BuiltIn_Print_Titles_7_1">#REF!</definedName>
    <definedName name="_7Excel_BuiltIn_Print_Area_4_1">#REF!</definedName>
    <definedName name="_83Excel_BuiltIn_Print_Titles_9_1">#REF!</definedName>
    <definedName name="_8Excel_BuiltIn_Print_Area_4_1">#REF!</definedName>
    <definedName name="_8Excel_BuiltIn_Print_Area_5_1">#REF!</definedName>
    <definedName name="_9Excel_BuiltIn_Print_Area_6_1">#REF!</definedName>
    <definedName name="_aaa1">#REF!</definedName>
    <definedName name="_aaa2">#REF!</definedName>
    <definedName name="_xlnm._FilterDatabase" localSheetId="0" hidden="1">'27ª MEDIÇÃO '!$A$1:$O$680</definedName>
    <definedName name="_For01" localSheetId="1">#REF!</definedName>
    <definedName name="_For01">#REF!</definedName>
    <definedName name="_int01" localSheetId="1">#REF!</definedName>
    <definedName name="_int01">#REF!</definedName>
    <definedName name="_int02" localSheetId="1">#REF!</definedName>
    <definedName name="_int02">#REF!</definedName>
    <definedName name="_int03">#REF!</definedName>
    <definedName name="_int04">#REF!</definedName>
    <definedName name="_int05">#REF!</definedName>
    <definedName name="_lim01">#REF!</definedName>
    <definedName name="_POS21">#REF!</definedName>
    <definedName name="_s">#REF!</definedName>
    <definedName name="_tot1">[2]PLANILHA!#REF!</definedName>
    <definedName name="_z" localSheetId="1">#REF!</definedName>
    <definedName name="_z">#REF!</definedName>
    <definedName name="AA" localSheetId="1">#REF!</definedName>
    <definedName name="AA">#REF!</definedName>
    <definedName name="AAA" localSheetId="1">#REF!</definedName>
    <definedName name="AAA">#REF!</definedName>
    <definedName name="aaaa">#REF!</definedName>
    <definedName name="ancora2">#REF!</definedName>
    <definedName name="_xlnm.Extract">[3]Anexos!#REF!</definedName>
    <definedName name="_xlnm.Print_Area" localSheetId="0">'27ª MEDIÇÃO '!$A$1:$M$680</definedName>
    <definedName name="_xlnm.Print_Area" localSheetId="1">'MEMÓRIA 27ª medição'!$A$1:$N$88</definedName>
    <definedName name="_xlnm.Print_Area" localSheetId="5">'Planilha1 (2)'!$A$1:$AU$669</definedName>
    <definedName name="Área_de_impressão2" localSheetId="1">#REF!</definedName>
    <definedName name="Área_de_impressão2">#REF!</definedName>
    <definedName name="ASD" localSheetId="1">#REF!</definedName>
    <definedName name="ASD">#REF!</definedName>
    <definedName name="asSDas" localSheetId="1">#REF!</definedName>
    <definedName name="asSDas">#REF!</definedName>
    <definedName name="ATUAL">#REF!</definedName>
    <definedName name="_xlnm.Database">#REF!</definedName>
    <definedName name="bdi">[2]PLANILHA!$H$123</definedName>
    <definedName name="bitmin" localSheetId="1">#REF!</definedName>
    <definedName name="bitmin">#REF!</definedName>
    <definedName name="BLO" localSheetId="1">#REF!</definedName>
    <definedName name="BLO">#REF!</definedName>
    <definedName name="BLOCO_B" localSheetId="1">'[4]CAPA -1'!#REF!</definedName>
    <definedName name="BLOCO_B">'[4]CAPA -1'!#REF!</definedName>
    <definedName name="BLOCO_BB" localSheetId="1">#REF!</definedName>
    <definedName name="BLOCO_BB">#REF!</definedName>
    <definedName name="BLOCO_BBB" localSheetId="1">#REF!</definedName>
    <definedName name="BLOCO_BBB">#REF!</definedName>
    <definedName name="BLOCO_C" localSheetId="1">#REF!</definedName>
    <definedName name="BLOCO_C">#REF!</definedName>
    <definedName name="BLOCO_CC">#REF!</definedName>
    <definedName name="BLOCO_CCC">#REF!</definedName>
    <definedName name="BLOCO_CCCC">#REF!</definedName>
    <definedName name="BuiltIn_AutoFilter___7">#REF!</definedName>
    <definedName name="BuiltIn_AutoFilter___7_1">#REF!</definedName>
    <definedName name="BuiltIn_AutoFilter___7_10">#REF!</definedName>
    <definedName name="BuiltIn_AutoFilter___7_11">#REF!</definedName>
    <definedName name="BuiltIn_AutoFilter___7_12">#REF!</definedName>
    <definedName name="BuiltIn_AutoFilter___7_2">#REF!</definedName>
    <definedName name="BuiltIn_AutoFilter___7_3">#REF!</definedName>
    <definedName name="BuiltIn_AutoFilter___7_4">#REF!</definedName>
    <definedName name="BuiltIn_AutoFilter___7_5">#REF!</definedName>
    <definedName name="BuiltIn_AutoFilter___7_6">#REF!</definedName>
    <definedName name="BuiltIn_AutoFilter___7_7">#REF!</definedName>
    <definedName name="BuiltIn_AutoFilter___7_8">#REF!</definedName>
    <definedName name="BuiltIn_AutoFilter___7_9">#REF!</definedName>
    <definedName name="BuiltIn_AutoFilter___8">#REF!</definedName>
    <definedName name="BuiltIn_AutoFilter___8_1">#REF!</definedName>
    <definedName name="BuiltIn_AutoFilter___8_10">#REF!</definedName>
    <definedName name="BuiltIn_AutoFilter___8_11">#REF!</definedName>
    <definedName name="BuiltIn_AutoFilter___8_12">#REF!</definedName>
    <definedName name="BuiltIn_AutoFilter___8_13">#REF!</definedName>
    <definedName name="BuiltIn_AutoFilter___8_14">#REF!</definedName>
    <definedName name="BuiltIn_AutoFilter___8_15">#REF!</definedName>
    <definedName name="BuiltIn_AutoFilter___8_16">#REF!</definedName>
    <definedName name="BuiltIn_AutoFilter___8_17">#REF!</definedName>
    <definedName name="BuiltIn_AutoFilter___8_18">#REF!</definedName>
    <definedName name="BuiltIn_AutoFilter___8_19">#REF!</definedName>
    <definedName name="BuiltIn_AutoFilter___8_2">#REF!</definedName>
    <definedName name="BuiltIn_AutoFilter___8_20">#REF!</definedName>
    <definedName name="BuiltIn_AutoFilter___8_21">#REF!</definedName>
    <definedName name="BuiltIn_AutoFilter___8_22">#REF!</definedName>
    <definedName name="BuiltIn_AutoFilter___8_23">#REF!</definedName>
    <definedName name="BuiltIn_AutoFilter___8_24">#REF!</definedName>
    <definedName name="BuiltIn_AutoFilter___8_25">#REF!</definedName>
    <definedName name="BuiltIn_AutoFilter___8_26">#REF!</definedName>
    <definedName name="BuiltIn_AutoFilter___8_27">#REF!</definedName>
    <definedName name="BuiltIn_AutoFilter___8_28">#REF!</definedName>
    <definedName name="BuiltIn_AutoFilter___8_29">#REF!</definedName>
    <definedName name="BuiltIn_AutoFilter___8_3">#REF!</definedName>
    <definedName name="BuiltIn_AutoFilter___8_30">#REF!</definedName>
    <definedName name="BuiltIn_AutoFilter___8_31">#REF!</definedName>
    <definedName name="BuiltIn_AutoFilter___8_32">#REF!</definedName>
    <definedName name="BuiltIn_AutoFilter___8_4">#REF!</definedName>
    <definedName name="BuiltIn_AutoFilter___8_5">#REF!</definedName>
    <definedName name="BuiltIn_AutoFilter___8_6">#REF!</definedName>
    <definedName name="BuiltIn_AutoFilter___8_7">#REF!</definedName>
    <definedName name="BuiltIn_AutoFilter___8_8">#REF!</definedName>
    <definedName name="BuiltIn_AutoFilter___8_9">#REF!</definedName>
    <definedName name="BuiltIn_Print_Area">#REF!</definedName>
    <definedName name="BuiltIn_Print_Area___0">#REF!</definedName>
    <definedName name="BuiltIn_Print_Area___0___0">#REF!</definedName>
    <definedName name="BuiltIn_Print_Area___0___0___0">#REF!</definedName>
    <definedName name="BuiltIn_Print_Area___0___0___0___0">#REF!</definedName>
    <definedName name="BuiltIn_Print_Area___0___0___0___0___0">#REF!</definedName>
    <definedName name="BuiltIn_Print_Area___0___0___0___0___0___0">#REF!</definedName>
    <definedName name="BuiltIn_Print_Area___0___0___0___0___0___0___0">#REF!</definedName>
    <definedName name="BuiltIn_Print_Area___0___0___0___0___0___0___0___0___0">#REF!</definedName>
    <definedName name="BuiltIn_Print_Area___0___0___10">#REF!</definedName>
    <definedName name="BuiltIn_Print_Area___0___1">#REF!</definedName>
    <definedName name="BuiltIn_Print_Area___0___1___0">#REF!</definedName>
    <definedName name="BuiltIn_Print_Area___0___1___0___0">#REF!</definedName>
    <definedName name="BuiltIn_Print_Area___0___1___0___0___0">#REF!</definedName>
    <definedName name="BuiltIn_Print_Area___0___1___0___0___0___0">#REF!</definedName>
    <definedName name="BuiltIn_Print_Area___0___1___0___0___0___0___0">#REF!</definedName>
    <definedName name="BuiltIn_Print_Area___0___1___0___0___0___0___0___0">#REF!</definedName>
    <definedName name="BuiltIn_Print_Area___0___1___0___0___0___0___0___0___0">#REF!</definedName>
    <definedName name="BuiltIn_Print_Area___0___1___0___0___0___0___0___0___0___0">#REF!</definedName>
    <definedName name="BuiltIn_Print_Area___0___1___0___0___0___0___0___0___0___0_1">#REF!</definedName>
    <definedName name="BuiltIn_Print_Area___0___1___0___0___0___0___0___0___0___0_1_1">#REF!</definedName>
    <definedName name="BuiltIn_Print_Area___0___1___0___0___0___0___0___0___0_1">#REF!</definedName>
    <definedName name="BuiltIn_Print_Area___0___1___0___0___0___0___0___0___0_1_1">#REF!</definedName>
    <definedName name="BuiltIn_Print_Area___0___1___0___0___0___0___0___0_1">#REF!</definedName>
    <definedName name="BuiltIn_Print_Area___0___1___0___0___0___0___0___0_1_1">#REF!</definedName>
    <definedName name="BuiltIn_Print_Area___0___1___0___0___0___0___0_1">#REF!</definedName>
    <definedName name="BuiltIn_Print_Area___0___1___0___0___0___0___0_1_1">#REF!</definedName>
    <definedName name="BuiltIn_Print_Area___0___1___0___0___0___0_1">#REF!</definedName>
    <definedName name="BuiltIn_Print_Area___0___1___0___0___0___0_1_1">#REF!</definedName>
    <definedName name="BuiltIn_Print_Area___0___1___0___0___0_1">#REF!</definedName>
    <definedName name="BuiltIn_Print_Area___0___1___0___0___0_1_1">#REF!</definedName>
    <definedName name="BuiltIn_Print_Area___0___1___0___0_1">#REF!</definedName>
    <definedName name="BuiltIn_Print_Area___0___1___0___0_1_1">#REF!</definedName>
    <definedName name="BuiltIn_Print_Area___0___1___0_1">#REF!</definedName>
    <definedName name="BuiltIn_Print_Area___0___1___0_1_1">#REF!</definedName>
    <definedName name="BuiltIn_Print_Area___0___1_1">#REF!</definedName>
    <definedName name="BuiltIn_Print_Area___0___1_1_1">#REF!</definedName>
    <definedName name="BuiltIn_Print_Area___0___16">#REF!</definedName>
    <definedName name="BuiltIn_Print_Area___0___16___0">#REF!</definedName>
    <definedName name="BuiltIn_Print_Area___0___16___0___0">#REF!</definedName>
    <definedName name="BuiltIn_Print_Area___0___16___0___0___0">#REF!</definedName>
    <definedName name="BuiltIn_Print_Area___0___16___0___0___0___0">#REF!</definedName>
    <definedName name="BuiltIn_Print_Area___0___16___0___0___0___0___0">#REF!</definedName>
    <definedName name="BuiltIn_Print_Area___0___16___0___0___0___0___0___0">#REF!</definedName>
    <definedName name="BuiltIn_Print_Area___0___16___0___0___0___0___0___0___0">#REF!</definedName>
    <definedName name="BuiltIn_Print_Area___0___4">#REF!</definedName>
    <definedName name="BuiltIn_Print_Area___0___5">#REF!</definedName>
    <definedName name="BuiltIn_Print_Area___0___5___0">#REF!</definedName>
    <definedName name="BuiltIn_Print_Area___0___6">#REF!</definedName>
    <definedName name="BuiltIn_Print_Area___0___6___0">#REF!</definedName>
    <definedName name="BuiltIn_Print_Area___0___7">#REF!</definedName>
    <definedName name="BuiltIn_Print_Area___0___7___0">#REF!</definedName>
    <definedName name="BuiltIn_Print_Area___0___8">#REF!</definedName>
    <definedName name="BuiltIn_Print_Area___0_1">#REF!</definedName>
    <definedName name="BuiltIn_Print_Area___0_1_1">#REF!</definedName>
    <definedName name="BuiltIn_Print_Area_1">#REF!</definedName>
    <definedName name="BuiltIn_Print_Area_1_1">#REF!</definedName>
    <definedName name="BuiltIn_Print_Titles">#REF!</definedName>
    <definedName name="BuiltIn_Print_Titles___0">#REF!</definedName>
    <definedName name="BuiltIn_Print_Titles___0___0">#REF!</definedName>
    <definedName name="BuiltIn_Print_Titles___0___0___0">#REF!</definedName>
    <definedName name="BuiltIn_Print_Titles___0___0___0___0">#REF!</definedName>
    <definedName name="BuiltIn_Print_Titles___0___0___0___0___0">#REF!</definedName>
    <definedName name="BuiltIn_Print_Titles___0___0___0___0___0___0">#REF!</definedName>
    <definedName name="BuiltIn_Print_Titles___0___0___0___0___0___0___0">#REF!</definedName>
    <definedName name="BuiltIn_Print_Titles___0___0___0___0___0___0___0___0___0">#REF!</definedName>
    <definedName name="BuiltIn_Print_Titles___0___0___10">#REF!</definedName>
    <definedName name="BuiltIn_Print_Titles___0___1">#REF!</definedName>
    <definedName name="BuiltIn_Print_Titles___0___16">#REF!</definedName>
    <definedName name="BuiltIn_Print_Titles___0___16___0">#REF!</definedName>
    <definedName name="BuiltIn_Print_Titles___0___16___0___0">#REF!</definedName>
    <definedName name="BuiltIn_Print_Titles___0___16___0___0___0">#REF!</definedName>
    <definedName name="BuiltIn_Print_Titles___0___16___0___0___0___0">#REF!</definedName>
    <definedName name="BuiltIn_Print_Titles___0___16___0___0___0___0___0">#REF!</definedName>
    <definedName name="BuiltIn_Print_Titles___0___5">#REF!</definedName>
    <definedName name="BuiltIn_Print_Titles___0___6">#REF!</definedName>
    <definedName name="BuiltIn_Print_Titles___0___7">#REF!</definedName>
    <definedName name="BuiltIn_Print_Titles___0___8">#REF!</definedName>
    <definedName name="BuiltIn_Print_Titles___0_1">#REF!</definedName>
    <definedName name="BuiltIn_Print_Titles___0_1_1">#REF!</definedName>
    <definedName name="BuiltIn_Print_Titles___4___4">#REF!</definedName>
    <definedName name="BuiltIn_Print_Titles___5___5">#REF!</definedName>
    <definedName name="BuiltIn_Print_Titles___5___5___0">#REF!</definedName>
    <definedName name="BuiltIn_Print_Titles___6___6">#REF!</definedName>
    <definedName name="BuiltIn_Print_Titles___6___6___0">#REF!</definedName>
    <definedName name="BuiltIn_Print_Titles___7___7">#REF!</definedName>
    <definedName name="BuiltIn_Print_Titles_1">#REF!</definedName>
    <definedName name="BuiltIn_Print_Titles_1_1">#REF!</definedName>
    <definedName name="Capa" localSheetId="1" hidden="1">{#N/A,#N/A,FALSE,"ET-CAPA";#N/A,#N/A,FALSE,"ET-PAG1";#N/A,#N/A,FALSE,"ET-PAG2";#N/A,#N/A,FALSE,"ET-PAG3";#N/A,#N/A,FALSE,"ET-PAG4";#N/A,#N/A,FALSE,"ET-PAG5"}</definedName>
    <definedName name="Capa" hidden="1">{#N/A,#N/A,FALSE,"ET-CAPA";#N/A,#N/A,FALSE,"ET-PAG1";#N/A,#N/A,FALSE,"ET-PAG2";#N/A,#N/A,FALSE,"ET-PAG3";#N/A,#N/A,FALSE,"ET-PAG4";#N/A,#N/A,FALSE,"ET-PAG5"}</definedName>
    <definedName name="Capa_1" localSheetId="1" hidden="1">{#N/A,#N/A,FALSE,"ET-CAPA";#N/A,#N/A,FALSE,"ET-PAG1";#N/A,#N/A,FALSE,"ET-PAG2";#N/A,#N/A,FALSE,"ET-PAG3";#N/A,#N/A,FALSE,"ET-PAG4";#N/A,#N/A,FALSE,"ET-PAG5"}</definedName>
    <definedName name="Capa_1" hidden="1">{#N/A,#N/A,FALSE,"ET-CAPA";#N/A,#N/A,FALSE,"ET-PAG1";#N/A,#N/A,FALSE,"ET-PAG2";#N/A,#N/A,FALSE,"ET-PAG3";#N/A,#N/A,FALSE,"ET-PAG4";#N/A,#N/A,FALSE,"ET-PAG5"}</definedName>
    <definedName name="Capa_1_1" localSheetId="1" hidden="1">{#N/A,#N/A,FALSE,"ET-CAPA";#N/A,#N/A,FALSE,"ET-PAG1";#N/A,#N/A,FALSE,"ET-PAG2";#N/A,#N/A,FALSE,"ET-PAG3";#N/A,#N/A,FALSE,"ET-PAG4";#N/A,#N/A,FALSE,"ET-PAG5"}</definedName>
    <definedName name="Capa_1_1" hidden="1">{#N/A,#N/A,FALSE,"ET-CAPA";#N/A,#N/A,FALSE,"ET-PAG1";#N/A,#N/A,FALSE,"ET-PAG2";#N/A,#N/A,FALSE,"ET-PAG3";#N/A,#N/A,FALSE,"ET-PAG4";#N/A,#N/A,FALSE,"ET-PAG5"}</definedName>
    <definedName name="Capa_1_2" localSheetId="1" hidden="1">{#N/A,#N/A,FALSE,"ET-CAPA";#N/A,#N/A,FALSE,"ET-PAG1";#N/A,#N/A,FALSE,"ET-PAG2";#N/A,#N/A,FALSE,"ET-PAG3";#N/A,#N/A,FALSE,"ET-PAG4";#N/A,#N/A,FALSE,"ET-PAG5"}</definedName>
    <definedName name="Capa_1_2" hidden="1">{#N/A,#N/A,FALSE,"ET-CAPA";#N/A,#N/A,FALSE,"ET-PAG1";#N/A,#N/A,FALSE,"ET-PAG2";#N/A,#N/A,FALSE,"ET-PAG3";#N/A,#N/A,FALSE,"ET-PAG4";#N/A,#N/A,FALSE,"ET-PAG5"}</definedName>
    <definedName name="Capa_2" localSheetId="1" hidden="1">{#N/A,#N/A,FALSE,"ET-CAPA";#N/A,#N/A,FALSE,"ET-PAG1";#N/A,#N/A,FALSE,"ET-PAG2";#N/A,#N/A,FALSE,"ET-PAG3";#N/A,#N/A,FALSE,"ET-PAG4";#N/A,#N/A,FALSE,"ET-PAG5"}</definedName>
    <definedName name="Capa_2" hidden="1">{#N/A,#N/A,FALSE,"ET-CAPA";#N/A,#N/A,FALSE,"ET-PAG1";#N/A,#N/A,FALSE,"ET-PAG2";#N/A,#N/A,FALSE,"ET-PAG3";#N/A,#N/A,FALSE,"ET-PAG4";#N/A,#N/A,FALSE,"ET-PAG5"}</definedName>
    <definedName name="Capa_3" localSheetId="1" hidden="1">{#N/A,#N/A,FALSE,"ET-CAPA";#N/A,#N/A,FALSE,"ET-PAG1";#N/A,#N/A,FALSE,"ET-PAG2";#N/A,#N/A,FALSE,"ET-PAG3";#N/A,#N/A,FALSE,"ET-PAG4";#N/A,#N/A,FALSE,"ET-PAG5"}</definedName>
    <definedName name="Capa_3" hidden="1">{#N/A,#N/A,FALSE,"ET-CAPA";#N/A,#N/A,FALSE,"ET-PAG1";#N/A,#N/A,FALSE,"ET-PAG2";#N/A,#N/A,FALSE,"ET-PAG3";#N/A,#N/A,FALSE,"ET-PAG4";#N/A,#N/A,FALSE,"ET-PAG5"}</definedName>
    <definedName name="capa1">#REF!</definedName>
    <definedName name="CAPA12" hidden="1">{#N/A,#N/A,FALSE,"ET-CAPA";#N/A,#N/A,FALSE,"ET-PAG1";#N/A,#N/A,FALSE,"ET-PAG2";#N/A,#N/A,FALSE,"ET-PAG3";#N/A,#N/A,FALSE,"ET-PAG4";#N/A,#N/A,FALSE,"ET-PAG5"}</definedName>
    <definedName name="Carimbo">#REF!</definedName>
    <definedName name="cliente">#REF!</definedName>
    <definedName name="CODIGO">#REF!</definedName>
    <definedName name="COMEÇO">'[4]CAPA -1'!#REF!</definedName>
    <definedName name="ctdireto" localSheetId="1">#REF!</definedName>
    <definedName name="ctdireto">#REF!</definedName>
    <definedName name="ctindireto" localSheetId="1">#REF!</definedName>
    <definedName name="ctindireto">#REF!</definedName>
    <definedName name="DAF" localSheetId="1">#REF!</definedName>
    <definedName name="DAF">#REF!</definedName>
    <definedName name="daniel">#REF!</definedName>
    <definedName name="data">#REF!</definedName>
    <definedName name="DD">#REF!</definedName>
    <definedName name="DDD">#REF!</definedName>
    <definedName name="DF">#REF!</definedName>
    <definedName name="DFADFA">#REF!</definedName>
    <definedName name="DFAFAF">#REF!</definedName>
    <definedName name="Excel_BuiltIn__FilterDatabase">#REF!</definedName>
    <definedName name="Excel_BuiltIn__FilterDatabase_1">#REF!</definedName>
    <definedName name="Excel_BuiltIn__FilterDatabase_10">#REF!</definedName>
    <definedName name="Excel_BuiltIn__FilterDatabase_10_1">#REF!</definedName>
    <definedName name="Excel_BuiltIn__FilterDatabase_11">#REF!</definedName>
    <definedName name="Excel_BuiltIn__FilterDatabase_12">#REF!</definedName>
    <definedName name="Excel_BuiltIn__FilterDatabase_13">#REF!</definedName>
    <definedName name="Excel_BuiltIn__FilterDatabase_14">#REF!</definedName>
    <definedName name="Excel_BuiltIn__FilterDatabase_15">#REF!</definedName>
    <definedName name="Excel_BuiltIn__FilterDatabase_16">#REF!</definedName>
    <definedName name="Excel_BuiltIn__FilterDatabase_17">#REF!</definedName>
    <definedName name="Excel_BuiltIn__FilterDatabase_18">#REF!</definedName>
    <definedName name="Excel_BuiltIn__FilterDatabase_2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4">#REF!</definedName>
    <definedName name="Excel_BuiltIn__FilterDatabase_3_5">#REF!</definedName>
    <definedName name="Excel_BuiltIn__FilterDatabase_3_6">#REF!</definedName>
    <definedName name="Excel_BuiltIn__FilterDatabase_3_7">#REF!</definedName>
    <definedName name="Excel_BuiltIn__FilterDatabase_3_8">#REF!</definedName>
    <definedName name="Excel_BuiltIn__FilterDatabase_3_9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_FilterDatabase_6">#REF!</definedName>
    <definedName name="Excel_BuiltIn__FilterDatabase_6_1">#REF!</definedName>
    <definedName name="Excel_BuiltIn__FilterDatabase_7">#REF!</definedName>
    <definedName name="Excel_BuiltIn__FilterDatabase_7_1">#REF!</definedName>
    <definedName name="Excel_BuiltIn__FilterDatabase_8">#REF!</definedName>
    <definedName name="Excel_BuiltIn__FilterDatabase_8_1">#REF!</definedName>
    <definedName name="Excel_BuiltIn__FilterDatabase_9">#REF!</definedName>
    <definedName name="Excel_BuiltIn__FilterDatabase_9_1">#REF!</definedName>
    <definedName name="Excel_BuiltIn_Print_Area_1">#REF!</definedName>
    <definedName name="Excel_BuiltIn_Print_Area_1_1">#REF!</definedName>
    <definedName name="Excel_BuiltIn_Print_Area_1_1_1">#REF!</definedName>
    <definedName name="Excel_BuiltIn_Print_Area_1_1_1_1">#REF!</definedName>
    <definedName name="Excel_BuiltIn_Print_Area_1_1_1_1_1">#REF!</definedName>
    <definedName name="Excel_BuiltIn_Print_Area_1_1_1_1_1_1">#REF!</definedName>
    <definedName name="Excel_BuiltIn_Print_Area_1_1_1_1_1_1_1">#REF!</definedName>
    <definedName name="Excel_BuiltIn_Print_Area_1_1_1_1_1_1_1_1">#REF!</definedName>
    <definedName name="Excel_BuiltIn_Print_Area_1_1_1_1_1_1_1_1_1">#REF!</definedName>
    <definedName name="Excel_BuiltIn_Print_Area_10">#REF!</definedName>
    <definedName name="Excel_BuiltIn_Print_Area_10_1">#REF!</definedName>
    <definedName name="Excel_BuiltIn_Print_Area_11">#REF!</definedName>
    <definedName name="Excel_BuiltIn_Print_Area_11_1">#REF!</definedName>
    <definedName name="Excel_BuiltIn_Print_Area_13">#REF!</definedName>
    <definedName name="Excel_BuiltIn_Print_Area_14">#REF!</definedName>
    <definedName name="Excel_BuiltIn_Print_Area_15">#REF!</definedName>
    <definedName name="Excel_BuiltIn_Print_Area_16">#REF!</definedName>
    <definedName name="Excel_BuiltIn_Print_Area_17">#REF!</definedName>
    <definedName name="Excel_BuiltIn_Print_Area_18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1_1">#REF!</definedName>
    <definedName name="Excel_BuiltIn_Print_Area_3_1_1_1_1">#REF!</definedName>
    <definedName name="Excel_BuiltIn_Print_Area_4">#REF!</definedName>
    <definedName name="Excel_BuiltIn_Print_Area_4_1">#REF!</definedName>
    <definedName name="Excel_BuiltIn_Print_Area_4_1_1">#REF!</definedName>
    <definedName name="Excel_BuiltIn_Print_Area_5">#REF!</definedName>
    <definedName name="Excel_BuiltIn_Print_Area_5_1">#REF!</definedName>
    <definedName name="Excel_BuiltIn_Print_Area_5_1_1">#REF!</definedName>
    <definedName name="Excel_BuiltIn_Print_Area_5_1_1_1">#REF!</definedName>
    <definedName name="Excel_BuiltIn_Print_Area_5_6">#REF!</definedName>
    <definedName name="Excel_BuiltIn_Print_Area_5_7">#REF!</definedName>
    <definedName name="Excel_BuiltIn_Print_Area_6">#REF!</definedName>
    <definedName name="Excel_BuiltIn_Print_Area_6_1">#REF!</definedName>
    <definedName name="Excel_BuiltIn_Print_Area_6_1_1">#REF!</definedName>
    <definedName name="Excel_BuiltIn_Print_Area_6_1_1_1">#REF!</definedName>
    <definedName name="Excel_BuiltIn_Print_Area_7">#REF!</definedName>
    <definedName name="Excel_BuiltIn_Print_Area_7_1">#REF!</definedName>
    <definedName name="Excel_BuiltIn_Print_Area_7_1_1">#REF!</definedName>
    <definedName name="Excel_BuiltIn_Print_Area_8">#REF!</definedName>
    <definedName name="Excel_BuiltIn_Print_Area_8_1">#REF!</definedName>
    <definedName name="Excel_BuiltIn_Print_Area_8_1_1">([1]EMERGÊNCIA!$A$1:$N$213,[1]EMERGÊNCIA!$A$214:$N$290)</definedName>
    <definedName name="Excel_BuiltIn_Print_Area_8_1_1_1">([1]EMERGÊNCIA!$A$1:$N$213,[1]EMERGÊNCIA!$A$214:$N$290)</definedName>
    <definedName name="Excel_BuiltIn_Print_Area_9">#REF!</definedName>
    <definedName name="Excel_BuiltIn_Print_Area_9_1">#REF!</definedName>
    <definedName name="Excel_BuiltIn_Print_Area_9_1_1">#REF!</definedName>
    <definedName name="Excel_BuiltIn_Print_Area_9_1_1_1">#REF!</definedName>
    <definedName name="Excel_BuiltIn_Print_Titles_1">#REF!</definedName>
    <definedName name="Excel_BuiltIn_Print_Titles_1_1">(#REF!,#REF!)</definedName>
    <definedName name="Excel_BuiltIn_Print_Titles_1_1_1">#REF!</definedName>
    <definedName name="Excel_BuiltIn_Print_Titles_11">#REF!</definedName>
    <definedName name="Excel_BuiltIn_Print_Titles_13">#REF!</definedName>
    <definedName name="Excel_BuiltIn_Print_Titles_14">#REF!</definedName>
    <definedName name="Excel_BuiltIn_Print_Titles_15">#REF!</definedName>
    <definedName name="Excel_BuiltIn_Print_Titles_16">#REF!</definedName>
    <definedName name="Excel_BuiltIn_Print_Titles_17">#REF!</definedName>
    <definedName name="Excel_BuiltIn_Print_Titles_18">#REF!</definedName>
    <definedName name="Excel_BuiltIn_Print_Titles_2">#REF!</definedName>
    <definedName name="Excel_BuiltIn_Print_Titles_3">#REF!</definedName>
    <definedName name="Excel_BuiltIn_Print_Titles_3_1">#REF!</definedName>
    <definedName name="Excel_BuiltIn_Print_Titles_3_1_1">#REF!</definedName>
    <definedName name="Excel_BuiltIn_Print_Titles_3_1_1_1">#REF!</definedName>
    <definedName name="Excel_BuiltIn_Print_Titles_3_4">#REF!</definedName>
    <definedName name="Excel_BuiltIn_Print_Titles_3_5">#REF!</definedName>
    <definedName name="Excel_BuiltIn_Print_Titles_3_6">#REF!</definedName>
    <definedName name="Excel_BuiltIn_Print_Titles_3_7">#REF!</definedName>
    <definedName name="Excel_BuiltIn_Print_Titles_3_8">#REF!</definedName>
    <definedName name="Excel_BuiltIn_Print_Titles_3_9">#REF!</definedName>
    <definedName name="Excel_BuiltIn_Print_Titles_4">#REF!</definedName>
    <definedName name="Excel_BuiltIn_Print_Titles_4_1">#REF!</definedName>
    <definedName name="Excel_BuiltIn_Print_Titles_4_1_1">#REF!</definedName>
    <definedName name="Excel_BuiltIn_Print_Titles_5">#REF!</definedName>
    <definedName name="Excel_BuiltIn_Print_Titles_5_1">#REF!</definedName>
    <definedName name="Excel_BuiltIn_Print_Titles_5_1_1">#REF!</definedName>
    <definedName name="Excel_BuiltIn_Print_Titles_5_1_1_1">#REF!</definedName>
    <definedName name="Excel_BuiltIn_Print_Titles_6">#REF!</definedName>
    <definedName name="Excel_BuiltIn_Print_Titles_6_1">#REF!</definedName>
    <definedName name="Excel_BuiltIn_Print_Titles_6_1_1">#REF!</definedName>
    <definedName name="Excel_BuiltIn_Print_Titles_7">#REF!</definedName>
    <definedName name="Excel_BuiltIn_Print_Titles_7_1">#REF!</definedName>
    <definedName name="Excel_BuiltIn_Print_Titles_8">#REF!</definedName>
    <definedName name="Excel_BuiltIn_Print_Titles_9">#REF!</definedName>
    <definedName name="Excel_BuiltIn_Print_Titles_9_1">#REF!</definedName>
    <definedName name="FAF">#REF!</definedName>
    <definedName name="FAMILIAS">#REF!</definedName>
    <definedName name="FDDFASD">#REF!</definedName>
    <definedName name="folha">#REF!</definedName>
    <definedName name="folhas">#REF!</definedName>
    <definedName name="form01a">#REF!</definedName>
    <definedName name="form01b">#REF!</definedName>
    <definedName name="FT">"Imagem1"</definedName>
    <definedName name="gasdfsdfase">#REF!</definedName>
    <definedName name="gfhfgh">#REF!</definedName>
    <definedName name="gfhfgh___6">#REF!</definedName>
    <definedName name="gfhfgh___6_1">#REF!</definedName>
    <definedName name="gfhfgh___6_1_1">#REF!</definedName>
    <definedName name="gfhfgh_1">#REF!</definedName>
    <definedName name="gfhfgh_1_1">#REF!</definedName>
    <definedName name="GGGG">#REF!</definedName>
    <definedName name="hjjhj">#REF!</definedName>
    <definedName name="hjjhj_1">#REF!</definedName>
    <definedName name="hjjhj_1_1">#REF!</definedName>
    <definedName name="ITEM">[5]Plan1!$E$3:$E$5</definedName>
    <definedName name="JOBINFO" localSheetId="1">#REF!</definedName>
    <definedName name="JOBINFO">#REF!</definedName>
    <definedName name="JUR" localSheetId="1">#REF!</definedName>
    <definedName name="JUR">#REF!</definedName>
    <definedName name="LL" localSheetId="1">#REF!</definedName>
    <definedName name="LL">#REF!</definedName>
    <definedName name="LL_1">#REF!</definedName>
    <definedName name="LL_1_1">#REF!</definedName>
    <definedName name="local">#REF!</definedName>
    <definedName name="MALUCO">#REF!</definedName>
    <definedName name="mediçao">'[6]RESUMO - MO37588'!$M$2</definedName>
    <definedName name="MmExcelLinker_CBF3F7D5_5F0E_4EA5_B59F_34028F0F12D2">[7]ADMI_25.01!$G$48:$G$48</definedName>
    <definedName name="mmmmmm" localSheetId="1">#REF!</definedName>
    <definedName name="mmmmmm">#REF!</definedName>
    <definedName name="nomeobra" localSheetId="1">#REF!</definedName>
    <definedName name="nomeobra">#REF!</definedName>
    <definedName name="numcond1" localSheetId="1">#REF!</definedName>
    <definedName name="numcond1">#REF!</definedName>
    <definedName name="numcond3">#REF!</definedName>
    <definedName name="obra">#REF!</definedName>
    <definedName name="ORGAO">[2]PLANILHA!$C$2</definedName>
    <definedName name="Pfim0" localSheetId="1">#REF!</definedName>
    <definedName name="Pfim0">#REF!</definedName>
    <definedName name="Pfim0a" localSheetId="1">#REF!</definedName>
    <definedName name="Pfim0a">#REF!</definedName>
    <definedName name="Pfim1" localSheetId="1">#REF!</definedName>
    <definedName name="Pfim1">#REF!</definedName>
    <definedName name="Print_Area_MI">#REF!</definedName>
    <definedName name="Print_Titles_MI">#REF!</definedName>
    <definedName name="ref">#REF!</definedName>
    <definedName name="Rev">#REF!</definedName>
    <definedName name="RRRR">#REF!</definedName>
    <definedName name="S">#REF!</definedName>
    <definedName name="sd">#REF!</definedName>
    <definedName name="SDF">#REF!</definedName>
    <definedName name="SDFDSF">#REF!</definedName>
    <definedName name="Semnome">#REF!</definedName>
    <definedName name="Semnome___0">#REF!</definedName>
    <definedName name="Semnome___0___0">#REF!</definedName>
    <definedName name="Semnome___0___0___0">#REF!</definedName>
    <definedName name="Semnome___0___0___0___0">#REF!</definedName>
    <definedName name="Semnome___0___0___0___0___0">#REF!</definedName>
    <definedName name="Semnome___0___0___0___0___0___0">#REF!</definedName>
    <definedName name="Semnome___0___0___0___0___0___0___0">#REF!</definedName>
    <definedName name="Semnome_1">#REF!</definedName>
    <definedName name="Semnome_1_1">#REF!</definedName>
    <definedName name="SERV1">[2]PLANILHA!$C$9</definedName>
    <definedName name="SERV10">[2]PLANILHA!$C$54</definedName>
    <definedName name="SERV11">[2]PLANILHA!$C$59</definedName>
    <definedName name="SERV12">[2]PLANILHA!$C$64</definedName>
    <definedName name="SERV13">[2]PLANILHA!$C$69</definedName>
    <definedName name="SERV14">[2]PLANILHA!$C$74</definedName>
    <definedName name="SERV15">[2]PLANILHA!$C$79</definedName>
    <definedName name="SERV16">[2]PLANILHA!$C$84</definedName>
    <definedName name="SERV17">[2]PLANILHA!$C$89</definedName>
    <definedName name="SERV18">[2]PLANILHA!$C$94</definedName>
    <definedName name="SERV19">[2]PLANILHA!$C$99</definedName>
    <definedName name="SERV2">[2]PLANILHA!$C$14</definedName>
    <definedName name="SERV20">[2]PLANILHA!$C$104</definedName>
    <definedName name="SERV21">[2]PLANILHA!$C$109</definedName>
    <definedName name="SERV22">[2]PLANILHA!$C$114</definedName>
    <definedName name="SERV23">[2]PLANILHA!$C$120</definedName>
    <definedName name="SERV3">[2]PLANILHA!$C$19</definedName>
    <definedName name="SERV4">[2]PLANILHA!$C$24</definedName>
    <definedName name="SERV5">[2]PLANILHA!$C$29</definedName>
    <definedName name="SERV6">[2]PLANILHA!$C$34</definedName>
    <definedName name="SERV7">[2]PLANILHA!$C$39</definedName>
    <definedName name="SERV8">[2]PLANILHA!$C$44</definedName>
    <definedName name="SERV9">[2]PLANILHA!$C$49</definedName>
    <definedName name="SHARED_FORMULA_0">#N/A</definedName>
    <definedName name="SHARED_FORMULA_1">#N/A</definedName>
    <definedName name="SHARED_FORMULA_10">#N/A</definedName>
    <definedName name="SHARED_FORMULA_100">#N/A</definedName>
    <definedName name="SHARED_FORMULA_101">#N/A</definedName>
    <definedName name="SHARED_FORMULA_102">#N/A</definedName>
    <definedName name="SHARED_FORMULA_103">#N/A</definedName>
    <definedName name="SHARED_FORMULA_104">#N/A</definedName>
    <definedName name="SHARED_FORMULA_105">#N/A</definedName>
    <definedName name="SHARED_FORMULA_106">#N/A</definedName>
    <definedName name="SHARED_FORMULA_107">#N/A</definedName>
    <definedName name="SHARED_FORMULA_108">#N/A</definedName>
    <definedName name="SHARED_FORMULA_109">#N/A</definedName>
    <definedName name="SHARED_FORMULA_11">#N/A</definedName>
    <definedName name="SHARED_FORMULA_110">#N/A</definedName>
    <definedName name="SHARED_FORMULA_111">#N/A</definedName>
    <definedName name="SHARED_FORMULA_112">#N/A</definedName>
    <definedName name="SHARED_FORMULA_113">#N/A</definedName>
    <definedName name="SHARED_FORMULA_114">#N/A</definedName>
    <definedName name="SHARED_FORMULA_115">#N/A</definedName>
    <definedName name="SHARED_FORMULA_116">#N/A</definedName>
    <definedName name="SHARED_FORMULA_117">#N/A</definedName>
    <definedName name="SHARED_FORMULA_118">#N/A</definedName>
    <definedName name="SHARED_FORMULA_119">#N/A</definedName>
    <definedName name="SHARED_FORMULA_12">#N/A</definedName>
    <definedName name="SHARED_FORMULA_120">#N/A</definedName>
    <definedName name="SHARED_FORMULA_121">#N/A</definedName>
    <definedName name="SHARED_FORMULA_122">#N/A</definedName>
    <definedName name="SHARED_FORMULA_123">#N/A</definedName>
    <definedName name="SHARED_FORMULA_124">#N/A</definedName>
    <definedName name="SHARED_FORMULA_125">#N/A</definedName>
    <definedName name="SHARED_FORMULA_126">#N/A</definedName>
    <definedName name="SHARED_FORMULA_127">#N/A</definedName>
    <definedName name="SHARED_FORMULA_128">#N/A</definedName>
    <definedName name="SHARED_FORMULA_129">#N/A</definedName>
    <definedName name="SHARED_FORMULA_13">#N/A</definedName>
    <definedName name="SHARED_FORMULA_130">#N/A</definedName>
    <definedName name="SHARED_FORMULA_131">#N/A</definedName>
    <definedName name="SHARED_FORMULA_132">#N/A</definedName>
    <definedName name="SHARED_FORMULA_133">#N/A</definedName>
    <definedName name="SHARED_FORMULA_134">#N/A</definedName>
    <definedName name="SHARED_FORMULA_135">#N/A</definedName>
    <definedName name="SHARED_FORMULA_136">#N/A</definedName>
    <definedName name="SHARED_FORMULA_137">#N/A</definedName>
    <definedName name="SHARED_FORMULA_138">#N/A</definedName>
    <definedName name="SHARED_FORMULA_139">#N/A</definedName>
    <definedName name="SHARED_FORMULA_14">#N/A</definedName>
    <definedName name="SHARED_FORMULA_140">#N/A</definedName>
    <definedName name="SHARED_FORMULA_141">#N/A</definedName>
    <definedName name="SHARED_FORMULA_142">#N/A</definedName>
    <definedName name="SHARED_FORMULA_143">#N/A</definedName>
    <definedName name="SHARED_FORMULA_144">#N/A</definedName>
    <definedName name="SHARED_FORMULA_145">#N/A</definedName>
    <definedName name="SHARED_FORMULA_146">#N/A</definedName>
    <definedName name="SHARED_FORMULA_147">#N/A</definedName>
    <definedName name="SHARED_FORMULA_148">#N/A</definedName>
    <definedName name="SHARED_FORMULA_149">#N/A</definedName>
    <definedName name="SHARED_FORMULA_15">#N/A</definedName>
    <definedName name="SHARED_FORMULA_150">#N/A</definedName>
    <definedName name="SHARED_FORMULA_151">#N/A</definedName>
    <definedName name="SHARED_FORMULA_152">#N/A</definedName>
    <definedName name="SHARED_FORMULA_153">#N/A</definedName>
    <definedName name="SHARED_FORMULA_154">#N/A</definedName>
    <definedName name="SHARED_FORMULA_155">#N/A</definedName>
    <definedName name="SHARED_FORMULA_156">#N/A</definedName>
    <definedName name="SHARED_FORMULA_157">#N/A</definedName>
    <definedName name="SHARED_FORMULA_158">#N/A</definedName>
    <definedName name="SHARED_FORMULA_159">#N/A</definedName>
    <definedName name="SHARED_FORMULA_16">#N/A</definedName>
    <definedName name="SHARED_FORMULA_160">#N/A</definedName>
    <definedName name="SHARED_FORMULA_161">#N/A</definedName>
    <definedName name="SHARED_FORMULA_162">#N/A</definedName>
    <definedName name="SHARED_FORMULA_163">#N/A</definedName>
    <definedName name="SHARED_FORMULA_164">#N/A</definedName>
    <definedName name="SHARED_FORMULA_165">#N/A</definedName>
    <definedName name="SHARED_FORMULA_166">#N/A</definedName>
    <definedName name="SHARED_FORMULA_167">#N/A</definedName>
    <definedName name="SHARED_FORMULA_168">#N/A</definedName>
    <definedName name="SHARED_FORMULA_169">#N/A</definedName>
    <definedName name="SHARED_FORMULA_17">#N/A</definedName>
    <definedName name="SHARED_FORMULA_170">#N/A</definedName>
    <definedName name="SHARED_FORMULA_171">#N/A</definedName>
    <definedName name="SHARED_FORMULA_172">#N/A</definedName>
    <definedName name="SHARED_FORMULA_173">#N/A</definedName>
    <definedName name="SHARED_FORMULA_174">#N/A</definedName>
    <definedName name="SHARED_FORMULA_175">#N/A</definedName>
    <definedName name="SHARED_FORMULA_176">#N/A</definedName>
    <definedName name="SHARED_FORMULA_177">#N/A</definedName>
    <definedName name="SHARED_FORMULA_178">#N/A</definedName>
    <definedName name="SHARED_FORMULA_179">#N/A</definedName>
    <definedName name="SHARED_FORMULA_18">#N/A</definedName>
    <definedName name="SHARED_FORMULA_180">#N/A</definedName>
    <definedName name="SHARED_FORMULA_181">#N/A</definedName>
    <definedName name="SHARED_FORMULA_182">#N/A</definedName>
    <definedName name="SHARED_FORMULA_183">#N/A</definedName>
    <definedName name="SHARED_FORMULA_184">#N/A</definedName>
    <definedName name="SHARED_FORMULA_185">#N/A</definedName>
    <definedName name="SHARED_FORMULA_186">#N/A</definedName>
    <definedName name="SHARED_FORMULA_187">#N/A</definedName>
    <definedName name="SHARED_FORMULA_188">#N/A</definedName>
    <definedName name="SHARED_FORMULA_189">#N/A</definedName>
    <definedName name="SHARED_FORMULA_19">#N/A</definedName>
    <definedName name="SHARED_FORMULA_190">#N/A</definedName>
    <definedName name="SHARED_FORMULA_191">#N/A</definedName>
    <definedName name="SHARED_FORMULA_192">#N/A</definedName>
    <definedName name="SHARED_FORMULA_193">#N/A</definedName>
    <definedName name="SHARED_FORMULA_194">#N/A</definedName>
    <definedName name="SHARED_FORMULA_195">#N/A</definedName>
    <definedName name="SHARED_FORMULA_196">#N/A</definedName>
    <definedName name="SHARED_FORMULA_197">#N/A</definedName>
    <definedName name="SHARED_FORMULA_198">#N/A</definedName>
    <definedName name="SHARED_FORMULA_199">#N/A</definedName>
    <definedName name="SHARED_FORMULA_2">#N/A</definedName>
    <definedName name="SHARED_FORMULA_20">#N/A</definedName>
    <definedName name="SHARED_FORMULA_200">#N/A</definedName>
    <definedName name="SHARED_FORMULA_201">#N/A</definedName>
    <definedName name="SHARED_FORMULA_202">#N/A</definedName>
    <definedName name="SHARED_FORMULA_203">#N/A</definedName>
    <definedName name="SHARED_FORMULA_204">#N/A</definedName>
    <definedName name="SHARED_FORMULA_205">#N/A</definedName>
    <definedName name="SHARED_FORMULA_206">#N/A</definedName>
    <definedName name="SHARED_FORMULA_207">#N/A</definedName>
    <definedName name="SHARED_FORMULA_208">#N/A</definedName>
    <definedName name="SHARED_FORMULA_209">#N/A</definedName>
    <definedName name="SHARED_FORMULA_21">#N/A</definedName>
    <definedName name="SHARED_FORMULA_210">#N/A</definedName>
    <definedName name="SHARED_FORMULA_211">#N/A</definedName>
    <definedName name="SHARED_FORMULA_212">#N/A</definedName>
    <definedName name="SHARED_FORMULA_213">#N/A</definedName>
    <definedName name="SHARED_FORMULA_214">#N/A</definedName>
    <definedName name="SHARED_FORMULA_215">#N/A</definedName>
    <definedName name="SHARED_FORMULA_216">#N/A</definedName>
    <definedName name="SHARED_FORMULA_217">#N/A</definedName>
    <definedName name="SHARED_FORMULA_218">#N/A</definedName>
    <definedName name="SHARED_FORMULA_219">#N/A</definedName>
    <definedName name="SHARED_FORMULA_22">#N/A</definedName>
    <definedName name="SHARED_FORMULA_220">#N/A</definedName>
    <definedName name="SHARED_FORMULA_221">#N/A</definedName>
    <definedName name="SHARED_FORMULA_222">#N/A</definedName>
    <definedName name="SHARED_FORMULA_223">#N/A</definedName>
    <definedName name="SHARED_FORMULA_224">#N/A</definedName>
    <definedName name="SHARED_FORMULA_225">#N/A</definedName>
    <definedName name="SHARED_FORMULA_226">#N/A</definedName>
    <definedName name="SHARED_FORMULA_227">#N/A</definedName>
    <definedName name="SHARED_FORMULA_228">#N/A</definedName>
    <definedName name="SHARED_FORMULA_229">#N/A</definedName>
    <definedName name="SHARED_FORMULA_23">#N/A</definedName>
    <definedName name="SHARED_FORMULA_230">#N/A</definedName>
    <definedName name="SHARED_FORMULA_231">#N/A</definedName>
    <definedName name="SHARED_FORMULA_232">#N/A</definedName>
    <definedName name="SHARED_FORMULA_233">#N/A</definedName>
    <definedName name="SHARED_FORMULA_234">#N/A</definedName>
    <definedName name="SHARED_FORMULA_235">#N/A</definedName>
    <definedName name="SHARED_FORMULA_236">#N/A</definedName>
    <definedName name="SHARED_FORMULA_237">#N/A</definedName>
    <definedName name="SHARED_FORMULA_238">#N/A</definedName>
    <definedName name="SHARED_FORMULA_239">#N/A</definedName>
    <definedName name="SHARED_FORMULA_24">#N/A</definedName>
    <definedName name="SHARED_FORMULA_240">#N/A</definedName>
    <definedName name="SHARED_FORMULA_241">#N/A</definedName>
    <definedName name="SHARED_FORMULA_242">#N/A</definedName>
    <definedName name="SHARED_FORMULA_243">#N/A</definedName>
    <definedName name="SHARED_FORMULA_244">#N/A</definedName>
    <definedName name="SHARED_FORMULA_245">#N/A</definedName>
    <definedName name="SHARED_FORMULA_246">#N/A</definedName>
    <definedName name="SHARED_FORMULA_247">#N/A</definedName>
    <definedName name="SHARED_FORMULA_248">#N/A</definedName>
    <definedName name="SHARED_FORMULA_249">#N/A</definedName>
    <definedName name="SHARED_FORMULA_25">#N/A</definedName>
    <definedName name="SHARED_FORMULA_250">#N/A</definedName>
    <definedName name="SHARED_FORMULA_251">#N/A</definedName>
    <definedName name="SHARED_FORMULA_252">#N/A</definedName>
    <definedName name="SHARED_FORMULA_253">#N/A</definedName>
    <definedName name="SHARED_FORMULA_254">#N/A</definedName>
    <definedName name="SHARED_FORMULA_255">#N/A</definedName>
    <definedName name="SHARED_FORMULA_256">#N/A</definedName>
    <definedName name="SHARED_FORMULA_257">#N/A</definedName>
    <definedName name="SHARED_FORMULA_258">#N/A</definedName>
    <definedName name="SHARED_FORMULA_259">#N/A</definedName>
    <definedName name="SHARED_FORMULA_26">#N/A</definedName>
    <definedName name="SHARED_FORMULA_260">#N/A</definedName>
    <definedName name="SHARED_FORMULA_261">#N/A</definedName>
    <definedName name="SHARED_FORMULA_262">#N/A</definedName>
    <definedName name="SHARED_FORMULA_263">#N/A</definedName>
    <definedName name="SHARED_FORMULA_264">#N/A</definedName>
    <definedName name="SHARED_FORMULA_265">#N/A</definedName>
    <definedName name="SHARED_FORMULA_266">#N/A</definedName>
    <definedName name="SHARED_FORMULA_267">#N/A</definedName>
    <definedName name="SHARED_FORMULA_268">#N/A</definedName>
    <definedName name="SHARED_FORMULA_269">#N/A</definedName>
    <definedName name="SHARED_FORMULA_27">#N/A</definedName>
    <definedName name="SHARED_FORMULA_270">#N/A</definedName>
    <definedName name="SHARED_FORMULA_271">#N/A</definedName>
    <definedName name="SHARED_FORMULA_272">#N/A</definedName>
    <definedName name="SHARED_FORMULA_273">#N/A</definedName>
    <definedName name="SHARED_FORMULA_274">#N/A</definedName>
    <definedName name="SHARED_FORMULA_275">#N/A</definedName>
    <definedName name="SHARED_FORMULA_276">#N/A</definedName>
    <definedName name="SHARED_FORMULA_277">#N/A</definedName>
    <definedName name="SHARED_FORMULA_278">#N/A</definedName>
    <definedName name="SHARED_FORMULA_279">#N/A</definedName>
    <definedName name="SHARED_FORMULA_28">#N/A</definedName>
    <definedName name="SHARED_FORMULA_280">#N/A</definedName>
    <definedName name="SHARED_FORMULA_281">#N/A</definedName>
    <definedName name="SHARED_FORMULA_282">#N/A</definedName>
    <definedName name="SHARED_FORMULA_283">#N/A</definedName>
    <definedName name="SHARED_FORMULA_284">#N/A</definedName>
    <definedName name="SHARED_FORMULA_285">#N/A</definedName>
    <definedName name="SHARED_FORMULA_286">#N/A</definedName>
    <definedName name="SHARED_FORMULA_287">#N/A</definedName>
    <definedName name="SHARED_FORMULA_288">#N/A</definedName>
    <definedName name="SHARED_FORMULA_289">#N/A</definedName>
    <definedName name="SHARED_FORMULA_29">#N/A</definedName>
    <definedName name="SHARED_FORMULA_290">#N/A</definedName>
    <definedName name="SHARED_FORMULA_291">#N/A</definedName>
    <definedName name="SHARED_FORMULA_292">#N/A</definedName>
    <definedName name="SHARED_FORMULA_293">#N/A</definedName>
    <definedName name="SHARED_FORMULA_294">#N/A</definedName>
    <definedName name="SHARED_FORMULA_295">#N/A</definedName>
    <definedName name="SHARED_FORMULA_296">#N/A</definedName>
    <definedName name="SHARED_FORMULA_297">#N/A</definedName>
    <definedName name="SHARED_FORMULA_298">#N/A</definedName>
    <definedName name="SHARED_FORMULA_299">#N/A</definedName>
    <definedName name="SHARED_FORMULA_3">#N/A</definedName>
    <definedName name="SHARED_FORMULA_30">#N/A</definedName>
    <definedName name="SHARED_FORMULA_300">#N/A</definedName>
    <definedName name="SHARED_FORMULA_301">#N/A</definedName>
    <definedName name="SHARED_FORMULA_302">#N/A</definedName>
    <definedName name="SHARED_FORMULA_303">#N/A</definedName>
    <definedName name="SHARED_FORMULA_304">#N/A</definedName>
    <definedName name="SHARED_FORMULA_305">#N/A</definedName>
    <definedName name="SHARED_FORMULA_306">#N/A</definedName>
    <definedName name="SHARED_FORMULA_307">#N/A</definedName>
    <definedName name="SHARED_FORMULA_308">#N/A</definedName>
    <definedName name="SHARED_FORMULA_309">#N/A</definedName>
    <definedName name="SHARED_FORMULA_31">#N/A</definedName>
    <definedName name="SHARED_FORMULA_310">#N/A</definedName>
    <definedName name="SHARED_FORMULA_311">#N/A</definedName>
    <definedName name="SHARED_FORMULA_312">#N/A</definedName>
    <definedName name="SHARED_FORMULA_313">#N/A</definedName>
    <definedName name="SHARED_FORMULA_314">#N/A</definedName>
    <definedName name="SHARED_FORMULA_315">#N/A</definedName>
    <definedName name="SHARED_FORMULA_316">#N/A</definedName>
    <definedName name="SHARED_FORMULA_317">#N/A</definedName>
    <definedName name="SHARED_FORMULA_318">#N/A</definedName>
    <definedName name="SHARED_FORMULA_319">#N/A</definedName>
    <definedName name="SHARED_FORMULA_32">#N/A</definedName>
    <definedName name="SHARED_FORMULA_320">#N/A</definedName>
    <definedName name="SHARED_FORMULA_321">#N/A</definedName>
    <definedName name="SHARED_FORMULA_322">#N/A</definedName>
    <definedName name="SHARED_FORMULA_323">#N/A</definedName>
    <definedName name="SHARED_FORMULA_324">#N/A</definedName>
    <definedName name="SHARED_FORMULA_325">#N/A</definedName>
    <definedName name="SHARED_FORMULA_326">#N/A</definedName>
    <definedName name="SHARED_FORMULA_327">#N/A</definedName>
    <definedName name="SHARED_FORMULA_328">#N/A</definedName>
    <definedName name="SHARED_FORMULA_329">#N/A</definedName>
    <definedName name="SHARED_FORMULA_33">#N/A</definedName>
    <definedName name="SHARED_FORMULA_330">#N/A</definedName>
    <definedName name="SHARED_FORMULA_331">#N/A</definedName>
    <definedName name="SHARED_FORMULA_332">#N/A</definedName>
    <definedName name="SHARED_FORMULA_333">#N/A</definedName>
    <definedName name="SHARED_FORMULA_334">#N/A</definedName>
    <definedName name="SHARED_FORMULA_335">#N/A</definedName>
    <definedName name="SHARED_FORMULA_336">#N/A</definedName>
    <definedName name="SHARED_FORMULA_337">#N/A</definedName>
    <definedName name="SHARED_FORMULA_338">#N/A</definedName>
    <definedName name="SHARED_FORMULA_339">#N/A</definedName>
    <definedName name="SHARED_FORMULA_34">#N/A</definedName>
    <definedName name="SHARED_FORMULA_340">#N/A</definedName>
    <definedName name="SHARED_FORMULA_341">#N/A</definedName>
    <definedName name="SHARED_FORMULA_342">#N/A</definedName>
    <definedName name="SHARED_FORMULA_343">#N/A</definedName>
    <definedName name="SHARED_FORMULA_344">#N/A</definedName>
    <definedName name="SHARED_FORMULA_345">#N/A</definedName>
    <definedName name="SHARED_FORMULA_346">#N/A</definedName>
    <definedName name="SHARED_FORMULA_347">#N/A</definedName>
    <definedName name="SHARED_FORMULA_348">#N/A</definedName>
    <definedName name="SHARED_FORMULA_349">#N/A</definedName>
    <definedName name="SHARED_FORMULA_35">#N/A</definedName>
    <definedName name="SHARED_FORMULA_350">#N/A</definedName>
    <definedName name="SHARED_FORMULA_351">#N/A</definedName>
    <definedName name="SHARED_FORMULA_352">#N/A</definedName>
    <definedName name="SHARED_FORMULA_353">#N/A</definedName>
    <definedName name="SHARED_FORMULA_354">#N/A</definedName>
    <definedName name="SHARED_FORMULA_355">#N/A</definedName>
    <definedName name="SHARED_FORMULA_356">#N/A</definedName>
    <definedName name="SHARED_FORMULA_357">#N/A</definedName>
    <definedName name="SHARED_FORMULA_358">#N/A</definedName>
    <definedName name="SHARED_FORMULA_359">#N/A</definedName>
    <definedName name="SHARED_FORMULA_36">#N/A</definedName>
    <definedName name="SHARED_FORMULA_360">#N/A</definedName>
    <definedName name="SHARED_FORMULA_361">#N/A</definedName>
    <definedName name="SHARED_FORMULA_362">#N/A</definedName>
    <definedName name="SHARED_FORMULA_363">#N/A</definedName>
    <definedName name="SHARED_FORMULA_364">#N/A</definedName>
    <definedName name="SHARED_FORMULA_365">#N/A</definedName>
    <definedName name="SHARED_FORMULA_366">#N/A</definedName>
    <definedName name="SHARED_FORMULA_367">#N/A</definedName>
    <definedName name="SHARED_FORMULA_368">#N/A</definedName>
    <definedName name="SHARED_FORMULA_369">#N/A</definedName>
    <definedName name="SHARED_FORMULA_37">#N/A</definedName>
    <definedName name="SHARED_FORMULA_370">#N/A</definedName>
    <definedName name="SHARED_FORMULA_371">#N/A</definedName>
    <definedName name="SHARED_FORMULA_372">#N/A</definedName>
    <definedName name="SHARED_FORMULA_373">#N/A</definedName>
    <definedName name="SHARED_FORMULA_374">#N/A</definedName>
    <definedName name="SHARED_FORMULA_375">#N/A</definedName>
    <definedName name="SHARED_FORMULA_376">#N/A</definedName>
    <definedName name="SHARED_FORMULA_377">#N/A</definedName>
    <definedName name="SHARED_FORMULA_378">#N/A</definedName>
    <definedName name="SHARED_FORMULA_379">#N/A</definedName>
    <definedName name="SHARED_FORMULA_38">#N/A</definedName>
    <definedName name="SHARED_FORMULA_380">#N/A</definedName>
    <definedName name="SHARED_FORMULA_381">#N/A</definedName>
    <definedName name="SHARED_FORMULA_382">#N/A</definedName>
    <definedName name="SHARED_FORMULA_383">#N/A</definedName>
    <definedName name="SHARED_FORMULA_384">#N/A</definedName>
    <definedName name="SHARED_FORMULA_385">#N/A</definedName>
    <definedName name="SHARED_FORMULA_386">#N/A</definedName>
    <definedName name="SHARED_FORMULA_387">#N/A</definedName>
    <definedName name="SHARED_FORMULA_388">#N/A</definedName>
    <definedName name="SHARED_FORMULA_389">#N/A</definedName>
    <definedName name="SHARED_FORMULA_39">#N/A</definedName>
    <definedName name="SHARED_FORMULA_390">#N/A</definedName>
    <definedName name="SHARED_FORMULA_391">#N/A</definedName>
    <definedName name="SHARED_FORMULA_392">#N/A</definedName>
    <definedName name="SHARED_FORMULA_393">#N/A</definedName>
    <definedName name="SHARED_FORMULA_394">#N/A</definedName>
    <definedName name="SHARED_FORMULA_395">#N/A</definedName>
    <definedName name="SHARED_FORMULA_396">#N/A</definedName>
    <definedName name="SHARED_FORMULA_397">#N/A</definedName>
    <definedName name="SHARED_FORMULA_398">#N/A</definedName>
    <definedName name="SHARED_FORMULA_399">#N/A</definedName>
    <definedName name="SHARED_FORMULA_4">#N/A</definedName>
    <definedName name="SHARED_FORMULA_40">#N/A</definedName>
    <definedName name="SHARED_FORMULA_400">#N/A</definedName>
    <definedName name="SHARED_FORMULA_401">#N/A</definedName>
    <definedName name="SHARED_FORMULA_402">#N/A</definedName>
    <definedName name="SHARED_FORMULA_403">#N/A</definedName>
    <definedName name="SHARED_FORMULA_404">#N/A</definedName>
    <definedName name="SHARED_FORMULA_405">#N/A</definedName>
    <definedName name="SHARED_FORMULA_406">#N/A</definedName>
    <definedName name="SHARED_FORMULA_407">#N/A</definedName>
    <definedName name="SHARED_FORMULA_408">#N/A</definedName>
    <definedName name="SHARED_FORMULA_409">#N/A</definedName>
    <definedName name="SHARED_FORMULA_41">#N/A</definedName>
    <definedName name="SHARED_FORMULA_410">#N/A</definedName>
    <definedName name="SHARED_FORMULA_411">#N/A</definedName>
    <definedName name="SHARED_FORMULA_412">#N/A</definedName>
    <definedName name="SHARED_FORMULA_413">#N/A</definedName>
    <definedName name="SHARED_FORMULA_414">#N/A</definedName>
    <definedName name="SHARED_FORMULA_415">#N/A</definedName>
    <definedName name="SHARED_FORMULA_416">#N/A</definedName>
    <definedName name="SHARED_FORMULA_417">#N/A</definedName>
    <definedName name="SHARED_FORMULA_418">#N/A</definedName>
    <definedName name="SHARED_FORMULA_419">#N/A</definedName>
    <definedName name="SHARED_FORMULA_42">#N/A</definedName>
    <definedName name="SHARED_FORMULA_420">#N/A</definedName>
    <definedName name="SHARED_FORMULA_421">#N/A</definedName>
    <definedName name="SHARED_FORMULA_422">#N/A</definedName>
    <definedName name="SHARED_FORMULA_423">#N/A</definedName>
    <definedName name="SHARED_FORMULA_424">#N/A</definedName>
    <definedName name="SHARED_FORMULA_425">#N/A</definedName>
    <definedName name="SHARED_FORMULA_426">#N/A</definedName>
    <definedName name="SHARED_FORMULA_427">#N/A</definedName>
    <definedName name="SHARED_FORMULA_428">#N/A</definedName>
    <definedName name="SHARED_FORMULA_429">#N/A</definedName>
    <definedName name="SHARED_FORMULA_43">#N/A</definedName>
    <definedName name="SHARED_FORMULA_430">#N/A</definedName>
    <definedName name="SHARED_FORMULA_431">#N/A</definedName>
    <definedName name="SHARED_FORMULA_432">#N/A</definedName>
    <definedName name="SHARED_FORMULA_433">#N/A</definedName>
    <definedName name="SHARED_FORMULA_434">#N/A</definedName>
    <definedName name="SHARED_FORMULA_435">#N/A</definedName>
    <definedName name="SHARED_FORMULA_436">#N/A</definedName>
    <definedName name="SHARED_FORMULA_437">#N/A</definedName>
    <definedName name="SHARED_FORMULA_438">#N/A</definedName>
    <definedName name="SHARED_FORMULA_439">#N/A</definedName>
    <definedName name="SHARED_FORMULA_44">#N/A</definedName>
    <definedName name="SHARED_FORMULA_440">#N/A</definedName>
    <definedName name="SHARED_FORMULA_441">#N/A</definedName>
    <definedName name="SHARED_FORMULA_442">#N/A</definedName>
    <definedName name="SHARED_FORMULA_443">#N/A</definedName>
    <definedName name="SHARED_FORMULA_444">#N/A</definedName>
    <definedName name="SHARED_FORMULA_445">#N/A</definedName>
    <definedName name="SHARED_FORMULA_446">#N/A</definedName>
    <definedName name="SHARED_FORMULA_447">#N/A</definedName>
    <definedName name="SHARED_FORMULA_448">#N/A</definedName>
    <definedName name="SHARED_FORMULA_449">#N/A</definedName>
    <definedName name="SHARED_FORMULA_45">#N/A</definedName>
    <definedName name="SHARED_FORMULA_450">#N/A</definedName>
    <definedName name="SHARED_FORMULA_451">#N/A</definedName>
    <definedName name="SHARED_FORMULA_452">#N/A</definedName>
    <definedName name="SHARED_FORMULA_453">#N/A</definedName>
    <definedName name="SHARED_FORMULA_454">#N/A</definedName>
    <definedName name="SHARED_FORMULA_455">#N/A</definedName>
    <definedName name="SHARED_FORMULA_456">#N/A</definedName>
    <definedName name="SHARED_FORMULA_457">#N/A</definedName>
    <definedName name="SHARED_FORMULA_458">#N/A</definedName>
    <definedName name="SHARED_FORMULA_459">#N/A</definedName>
    <definedName name="SHARED_FORMULA_46">#N/A</definedName>
    <definedName name="SHARED_FORMULA_460">#N/A</definedName>
    <definedName name="SHARED_FORMULA_461">#N/A</definedName>
    <definedName name="SHARED_FORMULA_462">#N/A</definedName>
    <definedName name="SHARED_FORMULA_463">#N/A</definedName>
    <definedName name="SHARED_FORMULA_464">#N/A</definedName>
    <definedName name="SHARED_FORMULA_465">#N/A</definedName>
    <definedName name="SHARED_FORMULA_466">#N/A</definedName>
    <definedName name="SHARED_FORMULA_467">#N/A</definedName>
    <definedName name="SHARED_FORMULA_468">#N/A</definedName>
    <definedName name="SHARED_FORMULA_469">#N/A</definedName>
    <definedName name="SHARED_FORMULA_47">#N/A</definedName>
    <definedName name="SHARED_FORMULA_470">#N/A</definedName>
    <definedName name="SHARED_FORMULA_471">#N/A</definedName>
    <definedName name="SHARED_FORMULA_472">#N/A</definedName>
    <definedName name="SHARED_FORMULA_473">#N/A</definedName>
    <definedName name="SHARED_FORMULA_474">#N/A</definedName>
    <definedName name="SHARED_FORMULA_475">#N/A</definedName>
    <definedName name="SHARED_FORMULA_476">#N/A</definedName>
    <definedName name="SHARED_FORMULA_477">#N/A</definedName>
    <definedName name="SHARED_FORMULA_478">#N/A</definedName>
    <definedName name="SHARED_FORMULA_479">#N/A</definedName>
    <definedName name="SHARED_FORMULA_48">#N/A</definedName>
    <definedName name="SHARED_FORMULA_480">#N/A</definedName>
    <definedName name="SHARED_FORMULA_481">#N/A</definedName>
    <definedName name="SHARED_FORMULA_482">#N/A</definedName>
    <definedName name="SHARED_FORMULA_483">#N/A</definedName>
    <definedName name="SHARED_FORMULA_484">#N/A</definedName>
    <definedName name="SHARED_FORMULA_485">#N/A</definedName>
    <definedName name="SHARED_FORMULA_486">#N/A</definedName>
    <definedName name="SHARED_FORMULA_487">#N/A</definedName>
    <definedName name="SHARED_FORMULA_488">#N/A</definedName>
    <definedName name="SHARED_FORMULA_489">#N/A</definedName>
    <definedName name="SHARED_FORMULA_49">#N/A</definedName>
    <definedName name="SHARED_FORMULA_490">#N/A</definedName>
    <definedName name="SHARED_FORMULA_491">#N/A</definedName>
    <definedName name="SHARED_FORMULA_492">#N/A</definedName>
    <definedName name="SHARED_FORMULA_493">#N/A</definedName>
    <definedName name="SHARED_FORMULA_494">#N/A</definedName>
    <definedName name="SHARED_FORMULA_495">#N/A</definedName>
    <definedName name="SHARED_FORMULA_496">#N/A</definedName>
    <definedName name="SHARED_FORMULA_497">#N/A</definedName>
    <definedName name="SHARED_FORMULA_498">#N/A</definedName>
    <definedName name="SHARED_FORMULA_499">#N/A</definedName>
    <definedName name="SHARED_FORMULA_5">#N/A</definedName>
    <definedName name="SHARED_FORMULA_50">#N/A</definedName>
    <definedName name="SHARED_FORMULA_500">#N/A</definedName>
    <definedName name="SHARED_FORMULA_501">#N/A</definedName>
    <definedName name="SHARED_FORMULA_502">#N/A</definedName>
    <definedName name="SHARED_FORMULA_503">#N/A</definedName>
    <definedName name="SHARED_FORMULA_504">#N/A</definedName>
    <definedName name="SHARED_FORMULA_505">#N/A</definedName>
    <definedName name="SHARED_FORMULA_506">#N/A</definedName>
    <definedName name="SHARED_FORMULA_507">#N/A</definedName>
    <definedName name="SHARED_FORMULA_508">#N/A</definedName>
    <definedName name="SHARED_FORMULA_509">#N/A</definedName>
    <definedName name="SHARED_FORMULA_51">#N/A</definedName>
    <definedName name="SHARED_FORMULA_510">#N/A</definedName>
    <definedName name="SHARED_FORMULA_52">#N/A</definedName>
    <definedName name="SHARED_FORMULA_53">#N/A</definedName>
    <definedName name="SHARED_FORMULA_54">#N/A</definedName>
    <definedName name="SHARED_FORMULA_55">#N/A</definedName>
    <definedName name="SHARED_FORMULA_56">#N/A</definedName>
    <definedName name="SHARED_FORMULA_57">#N/A</definedName>
    <definedName name="SHARED_FORMULA_58">#N/A</definedName>
    <definedName name="SHARED_FORMULA_59">#N/A</definedName>
    <definedName name="SHARED_FORMULA_6">#N/A</definedName>
    <definedName name="SHARED_FORMULA_60">#N/A</definedName>
    <definedName name="SHARED_FORMULA_61">#N/A</definedName>
    <definedName name="SHARED_FORMULA_62">#N/A</definedName>
    <definedName name="SHARED_FORMULA_63">#N/A</definedName>
    <definedName name="SHARED_FORMULA_64">#N/A</definedName>
    <definedName name="SHARED_FORMULA_65">#N/A</definedName>
    <definedName name="SHARED_FORMULA_66">#N/A</definedName>
    <definedName name="SHARED_FORMULA_67">#N/A</definedName>
    <definedName name="SHARED_FORMULA_68">#N/A</definedName>
    <definedName name="SHARED_FORMULA_69">#N/A</definedName>
    <definedName name="SHARED_FORMULA_7">#N/A</definedName>
    <definedName name="SHARED_FORMULA_70">#N/A</definedName>
    <definedName name="SHARED_FORMULA_71">#N/A</definedName>
    <definedName name="SHARED_FORMULA_72">#N/A</definedName>
    <definedName name="SHARED_FORMULA_73">#N/A</definedName>
    <definedName name="SHARED_FORMULA_74">#N/A</definedName>
    <definedName name="SHARED_FORMULA_75">#N/A</definedName>
    <definedName name="SHARED_FORMULA_76">#N/A</definedName>
    <definedName name="SHARED_FORMULA_77">#N/A</definedName>
    <definedName name="SHARED_FORMULA_78">#N/A</definedName>
    <definedName name="SHARED_FORMULA_79">#N/A</definedName>
    <definedName name="SHARED_FORMULA_8">#N/A</definedName>
    <definedName name="SHARED_FORMULA_80">#N/A</definedName>
    <definedName name="SHARED_FORMULA_81">#N/A</definedName>
    <definedName name="SHARED_FORMULA_82">#N/A</definedName>
    <definedName name="SHARED_FORMULA_83">#N/A</definedName>
    <definedName name="SHARED_FORMULA_84">#N/A</definedName>
    <definedName name="SHARED_FORMULA_85">#N/A</definedName>
    <definedName name="SHARED_FORMULA_86">#N/A</definedName>
    <definedName name="SHARED_FORMULA_87">#N/A</definedName>
    <definedName name="SHARED_FORMULA_88">#N/A</definedName>
    <definedName name="SHARED_FORMULA_89">#N/A</definedName>
    <definedName name="SHARED_FORMULA_9">#N/A</definedName>
    <definedName name="SHARED_FORMULA_90">#N/A</definedName>
    <definedName name="SHARED_FORMULA_91">#N/A</definedName>
    <definedName name="SHARED_FORMULA_92">#N/A</definedName>
    <definedName name="SHARED_FORMULA_93">#N/A</definedName>
    <definedName name="SHARED_FORMULA_94">#N/A</definedName>
    <definedName name="SHARED_FORMULA_95">#N/A</definedName>
    <definedName name="SHARED_FORMULA_96">#N/A</definedName>
    <definedName name="SHARED_FORMULA_97">#N/A</definedName>
    <definedName name="SHARED_FORMULA_98">#N/A</definedName>
    <definedName name="SHARED_FORMULA_99">#N/A</definedName>
    <definedName name="spda_COMP">#REF!</definedName>
    <definedName name="SS">#REF!</definedName>
    <definedName name="SSS">#REF!</definedName>
    <definedName name="SSSSS">#REF!</definedName>
    <definedName name="SSSSSSS">#REF!</definedName>
    <definedName name="START">#REF!</definedName>
    <definedName name="STATUS">#REF!</definedName>
    <definedName name="TECH">#REF!</definedName>
    <definedName name="teste">#REF!</definedName>
    <definedName name="teste1">#REF!</definedName>
    <definedName name="teste2">'[4]CAPA -1'!#REF!</definedName>
    <definedName name="teste3" localSheetId="1">#REF!</definedName>
    <definedName name="teste3">#REF!</definedName>
    <definedName name="TESTE4" localSheetId="1">#REF!</definedName>
    <definedName name="TESTE4">#REF!</definedName>
    <definedName name="TESTE5" localSheetId="1">#REF!</definedName>
    <definedName name="TESTE5">#REF!</definedName>
    <definedName name="_xlnm.Print_Titles" localSheetId="0">'27ª MEDIÇÃO '!$7:$8</definedName>
    <definedName name="_xlnm.Print_Titles" localSheetId="1">'MEMÓRIA 27ª medição'!$1:$10</definedName>
    <definedName name="_xlnm.Print_Titles" localSheetId="5">'Planilha1 (2)'!$7:$8</definedName>
    <definedName name="TOTAL10">[2]PLANILHA!$H$57</definedName>
    <definedName name="TOTAL11">[2]PLANILHA!$H$62</definedName>
    <definedName name="TOTAL12">[2]PLANILHA!$H$67</definedName>
    <definedName name="TOTAL13">[2]PLANILHA!$H$72</definedName>
    <definedName name="TOTAL14">[2]PLANILHA!$H$77</definedName>
    <definedName name="TOTAL15">[2]PLANILHA!$H$82</definedName>
    <definedName name="TOTAL16">[2]PLANILHA!$H$87</definedName>
    <definedName name="TOTAL17">[2]PLANILHA!$H$92</definedName>
    <definedName name="TOTAL18">[2]PLANILHA!$H$97</definedName>
    <definedName name="TOTAL19">[2]PLANILHA!$H$102</definedName>
    <definedName name="TOTAL2">[2]PLANILHA!$H$17</definedName>
    <definedName name="TOTAL20">[2]PLANILHA!$H$107</definedName>
    <definedName name="TOTAL21">[2]PLANILHA!$H$112</definedName>
    <definedName name="TOTAL22">[2]PLANILHA!$H$118</definedName>
    <definedName name="TOTAL3">[2]PLANILHA!$H$22</definedName>
    <definedName name="TOTAL4">[2]PLANILHA!$H$27</definedName>
    <definedName name="TOTAL5">[2]PLANILHA!$H$32</definedName>
    <definedName name="TOTAL6">[2]PLANILHA!$H$37</definedName>
    <definedName name="TOTAL7">[2]PLANILHA!$H$42</definedName>
    <definedName name="TOTAL8">[2]PLANILHA!$H$47</definedName>
    <definedName name="TOTAL9">[2]PLANILHA!$H$52</definedName>
    <definedName name="totger" localSheetId="1">#REF!</definedName>
    <definedName name="totger">#REF!</definedName>
    <definedName name="ttmax" localSheetId="1">[2]PLANILHA!#REF!</definedName>
    <definedName name="ttmax">[2]PLANILHA!#REF!</definedName>
    <definedName name="UUUUU" localSheetId="1" hidden="1">{#N/A,#N/A,FALSE,"ET-CAPA";#N/A,#N/A,FALSE,"ET-PAG1";#N/A,#N/A,FALSE,"ET-PAG2";#N/A,#N/A,FALSE,"ET-PAG3";#N/A,#N/A,FALSE,"ET-PAG4";#N/A,#N/A,FALSE,"ET-PAG5"}</definedName>
    <definedName name="UUUUU" hidden="1">{#N/A,#N/A,FALSE,"ET-CAPA";#N/A,#N/A,FALSE,"ET-PAG1";#N/A,#N/A,FALSE,"ET-PAG2";#N/A,#N/A,FALSE,"ET-PAG3";#N/A,#N/A,FALSE,"ET-PAG4";#N/A,#N/A,FALSE,"ET-PAG5"}</definedName>
    <definedName name="wrn.GERAL." localSheetId="1" hidden="1">{#N/A,#N/A,FALSE,"ET-CAPA";#N/A,#N/A,FALSE,"ET-PAG1";#N/A,#N/A,FALSE,"ET-PAG2";#N/A,#N/A,FALSE,"ET-PAG3";#N/A,#N/A,FALSE,"ET-PAG4";#N/A,#N/A,FALSE,"ET-PAG5"}</definedName>
    <definedName name="wrn.GERAL." hidden="1">{#N/A,#N/A,FALSE,"ET-CAPA";#N/A,#N/A,FALSE,"ET-PAG1";#N/A,#N/A,FALSE,"ET-PAG2";#N/A,#N/A,FALSE,"ET-PAG3";#N/A,#N/A,FALSE,"ET-PAG4";#N/A,#N/A,FALSE,"ET-PAG5"}</definedName>
    <definedName name="wrn.GERAL._1" localSheetId="1" hidden="1">{#N/A,#N/A,FALSE,"ET-CAPA";#N/A,#N/A,FALSE,"ET-PAG1";#N/A,#N/A,FALSE,"ET-PAG2";#N/A,#N/A,FALSE,"ET-PAG3";#N/A,#N/A,FALSE,"ET-PAG4";#N/A,#N/A,FALSE,"ET-PAG5"}</definedName>
    <definedName name="wrn.GERAL._1" hidden="1">{#N/A,#N/A,FALSE,"ET-CAPA";#N/A,#N/A,FALSE,"ET-PAG1";#N/A,#N/A,FALSE,"ET-PAG2";#N/A,#N/A,FALSE,"ET-PAG3";#N/A,#N/A,FALSE,"ET-PAG4";#N/A,#N/A,FALSE,"ET-PAG5"}</definedName>
    <definedName name="wrn.GERAL._1_1" localSheetId="1" hidden="1">{#N/A,#N/A,FALSE,"ET-CAPA";#N/A,#N/A,FALSE,"ET-PAG1";#N/A,#N/A,FALSE,"ET-PAG2";#N/A,#N/A,FALSE,"ET-PAG3";#N/A,#N/A,FALSE,"ET-PAG4";#N/A,#N/A,FALSE,"ET-PAG5"}</definedName>
    <definedName name="wrn.GERAL._1_1" hidden="1">{#N/A,#N/A,FALSE,"ET-CAPA";#N/A,#N/A,FALSE,"ET-PAG1";#N/A,#N/A,FALSE,"ET-PAG2";#N/A,#N/A,FALSE,"ET-PAG3";#N/A,#N/A,FALSE,"ET-PAG4";#N/A,#N/A,FALSE,"ET-PAG5"}</definedName>
    <definedName name="wrn.GERAL._1_2" localSheetId="1" hidden="1">{#N/A,#N/A,FALSE,"ET-CAPA";#N/A,#N/A,FALSE,"ET-PAG1";#N/A,#N/A,FALSE,"ET-PAG2";#N/A,#N/A,FALSE,"ET-PAG3";#N/A,#N/A,FALSE,"ET-PAG4";#N/A,#N/A,FALSE,"ET-PAG5"}</definedName>
    <definedName name="wrn.GERAL._1_2" hidden="1">{#N/A,#N/A,FALSE,"ET-CAPA";#N/A,#N/A,FALSE,"ET-PAG1";#N/A,#N/A,FALSE,"ET-PAG2";#N/A,#N/A,FALSE,"ET-PAG3";#N/A,#N/A,FALSE,"ET-PAG4";#N/A,#N/A,FALSE,"ET-PAG5"}</definedName>
    <definedName name="wrn.GERAL._2" localSheetId="1" hidden="1">{#N/A,#N/A,FALSE,"ET-CAPA";#N/A,#N/A,FALSE,"ET-PAG1";#N/A,#N/A,FALSE,"ET-PAG2";#N/A,#N/A,FALSE,"ET-PAG3";#N/A,#N/A,FALSE,"ET-PAG4";#N/A,#N/A,FALSE,"ET-PAG5"}</definedName>
    <definedName name="wrn.GERAL._2" hidden="1">{#N/A,#N/A,FALSE,"ET-CAPA";#N/A,#N/A,FALSE,"ET-PAG1";#N/A,#N/A,FALSE,"ET-PAG2";#N/A,#N/A,FALSE,"ET-PAG3";#N/A,#N/A,FALSE,"ET-PAG4";#N/A,#N/A,FALSE,"ET-PAG5"}</definedName>
    <definedName name="wrn.GERAL._3" localSheetId="1" hidden="1">{#N/A,#N/A,FALSE,"ET-CAPA";#N/A,#N/A,FALSE,"ET-PAG1";#N/A,#N/A,FALSE,"ET-PAG2";#N/A,#N/A,FALSE,"ET-PAG3";#N/A,#N/A,FALSE,"ET-PAG4";#N/A,#N/A,FALSE,"ET-PAG5"}</definedName>
    <definedName name="wrn.GERAL._3" hidden="1">{#N/A,#N/A,FALSE,"ET-CAPA";#N/A,#N/A,FALSE,"ET-PAG1";#N/A,#N/A,FALSE,"ET-PAG2";#N/A,#N/A,FALSE,"ET-PAG3";#N/A,#N/A,FALSE,"ET-PAG4";#N/A,#N/A,FALSE,"ET-PAG5"}</definedName>
    <definedName name="wrn.GERAL2" localSheetId="1" hidden="1">{#N/A,#N/A,FALSE,"ET-CAPA";#N/A,#N/A,FALSE,"ET-PAG1";#N/A,#N/A,FALSE,"ET-PAG2";#N/A,#N/A,FALSE,"ET-PAG3";#N/A,#N/A,FALSE,"ET-PAG4";#N/A,#N/A,FALSE,"ET-PAG5"}</definedName>
    <definedName name="wrn.GERAL2" hidden="1">{#N/A,#N/A,FALSE,"ET-CAPA";#N/A,#N/A,FALSE,"ET-PAG1";#N/A,#N/A,FALSE,"ET-PAG2";#N/A,#N/A,FALSE,"ET-PAG3";#N/A,#N/A,FALSE,"ET-PAG4";#N/A,#N/A,FALSE,"ET-PAG5"}</definedName>
    <definedName name="wrn.GERAL2_1" localSheetId="1" hidden="1">{#N/A,#N/A,FALSE,"ET-CAPA";#N/A,#N/A,FALSE,"ET-PAG1";#N/A,#N/A,FALSE,"ET-PAG2";#N/A,#N/A,FALSE,"ET-PAG3";#N/A,#N/A,FALSE,"ET-PAG4";#N/A,#N/A,FALSE,"ET-PAG5"}</definedName>
    <definedName name="wrn.GERAL2_1" hidden="1">{#N/A,#N/A,FALSE,"ET-CAPA";#N/A,#N/A,FALSE,"ET-PAG1";#N/A,#N/A,FALSE,"ET-PAG2";#N/A,#N/A,FALSE,"ET-PAG3";#N/A,#N/A,FALSE,"ET-PAG4";#N/A,#N/A,FALSE,"ET-PAG5"}</definedName>
    <definedName name="wrn.GERAL2_1_1" localSheetId="1" hidden="1">{#N/A,#N/A,FALSE,"ET-CAPA";#N/A,#N/A,FALSE,"ET-PAG1";#N/A,#N/A,FALSE,"ET-PAG2";#N/A,#N/A,FALSE,"ET-PAG3";#N/A,#N/A,FALSE,"ET-PAG4";#N/A,#N/A,FALSE,"ET-PAG5"}</definedName>
    <definedName name="wrn.GERAL2_1_1" hidden="1">{#N/A,#N/A,FALSE,"ET-CAPA";#N/A,#N/A,FALSE,"ET-PAG1";#N/A,#N/A,FALSE,"ET-PAG2";#N/A,#N/A,FALSE,"ET-PAG3";#N/A,#N/A,FALSE,"ET-PAG4";#N/A,#N/A,FALSE,"ET-PAG5"}</definedName>
    <definedName name="wrn.GERAL2_1_2" localSheetId="1" hidden="1">{#N/A,#N/A,FALSE,"ET-CAPA";#N/A,#N/A,FALSE,"ET-PAG1";#N/A,#N/A,FALSE,"ET-PAG2";#N/A,#N/A,FALSE,"ET-PAG3";#N/A,#N/A,FALSE,"ET-PAG4";#N/A,#N/A,FALSE,"ET-PAG5"}</definedName>
    <definedName name="wrn.GERAL2_1_2" hidden="1">{#N/A,#N/A,FALSE,"ET-CAPA";#N/A,#N/A,FALSE,"ET-PAG1";#N/A,#N/A,FALSE,"ET-PAG2";#N/A,#N/A,FALSE,"ET-PAG3";#N/A,#N/A,FALSE,"ET-PAG4";#N/A,#N/A,FALSE,"ET-PAG5"}</definedName>
    <definedName name="wrn.GERAL2_2" localSheetId="1" hidden="1">{#N/A,#N/A,FALSE,"ET-CAPA";#N/A,#N/A,FALSE,"ET-PAG1";#N/A,#N/A,FALSE,"ET-PAG2";#N/A,#N/A,FALSE,"ET-PAG3";#N/A,#N/A,FALSE,"ET-PAG4";#N/A,#N/A,FALSE,"ET-PAG5"}</definedName>
    <definedName name="wrn.GERAL2_2" hidden="1">{#N/A,#N/A,FALSE,"ET-CAPA";#N/A,#N/A,FALSE,"ET-PAG1";#N/A,#N/A,FALSE,"ET-PAG2";#N/A,#N/A,FALSE,"ET-PAG3";#N/A,#N/A,FALSE,"ET-PAG4";#N/A,#N/A,FALSE,"ET-PAG5"}</definedName>
    <definedName name="wrn.GERAL2_3" localSheetId="1" hidden="1">{#N/A,#N/A,FALSE,"ET-CAPA";#N/A,#N/A,FALSE,"ET-PAG1";#N/A,#N/A,FALSE,"ET-PAG2";#N/A,#N/A,FALSE,"ET-PAG3";#N/A,#N/A,FALSE,"ET-PAG4";#N/A,#N/A,FALSE,"ET-PAG5"}</definedName>
    <definedName name="wrn.GERAL2_3" hidden="1">{#N/A,#N/A,FALSE,"ET-CAPA";#N/A,#N/A,FALSE,"ET-PAG1";#N/A,#N/A,FALSE,"ET-PAG2";#N/A,#N/A,FALSE,"ET-PAG3";#N/A,#N/A,FALSE,"ET-PAG4";#N/A,#N/A,FALSE,"ET-PAG5"}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80" i="1" l="1"/>
  <c r="L681" i="1" l="1"/>
  <c r="N27" i="1" l="1"/>
  <c r="N49" i="1"/>
  <c r="N65" i="1"/>
  <c r="N79" i="1"/>
  <c r="N89" i="1"/>
  <c r="N99" i="1"/>
  <c r="N100" i="1"/>
  <c r="N105" i="1"/>
  <c r="N116" i="1"/>
  <c r="N122" i="1"/>
  <c r="N133" i="1"/>
  <c r="N160" i="1"/>
  <c r="N219" i="1"/>
  <c r="N220" i="1"/>
  <c r="N255" i="1"/>
  <c r="N256" i="1"/>
  <c r="N297" i="1"/>
  <c r="N298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3" i="1"/>
  <c r="N594" i="1"/>
  <c r="N595" i="1"/>
  <c r="N597" i="1"/>
  <c r="N598" i="1"/>
  <c r="N599" i="1"/>
  <c r="N600" i="1"/>
  <c r="N601" i="1"/>
  <c r="N602" i="1"/>
  <c r="N603" i="1"/>
  <c r="N604" i="1"/>
  <c r="N605" i="1"/>
  <c r="N606" i="1"/>
  <c r="N607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8" i="1"/>
  <c r="N629" i="1"/>
  <c r="N631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5" i="1"/>
  <c r="N676" i="1"/>
  <c r="N677" i="1"/>
  <c r="N678" i="1"/>
  <c r="C16" i="9"/>
  <c r="D15" i="9"/>
  <c r="D14" i="9"/>
  <c r="D13" i="9"/>
  <c r="D12" i="9"/>
  <c r="D11" i="9"/>
  <c r="D10" i="9"/>
  <c r="D9" i="9"/>
  <c r="D8" i="9"/>
  <c r="D7" i="9"/>
  <c r="D6" i="9"/>
  <c r="D5" i="9"/>
  <c r="D4" i="9"/>
  <c r="D3" i="9"/>
  <c r="D2" i="9"/>
  <c r="N117" i="1"/>
  <c r="N114" i="1"/>
  <c r="N115" i="1"/>
  <c r="D16" i="9" l="1"/>
  <c r="D17" i="9" s="1"/>
  <c r="O664" i="1" l="1"/>
  <c r="O663" i="1"/>
  <c r="O660" i="1"/>
  <c r="O658" i="1"/>
  <c r="O656" i="1"/>
  <c r="O654" i="1"/>
  <c r="O649" i="1"/>
  <c r="O651" i="1"/>
  <c r="O652" i="1"/>
  <c r="O648" i="1"/>
  <c r="O646" i="1"/>
  <c r="O643" i="1"/>
  <c r="O642" i="1"/>
  <c r="O640" i="1"/>
  <c r="O638" i="1"/>
  <c r="O636" i="1"/>
  <c r="O631" i="1"/>
  <c r="O633" i="1"/>
  <c r="O634" i="1"/>
  <c r="O615" i="1"/>
  <c r="O616" i="1"/>
  <c r="O617" i="1"/>
  <c r="O618" i="1"/>
  <c r="O619" i="1"/>
  <c r="O620" i="1"/>
  <c r="O621" i="1"/>
  <c r="O622" i="1"/>
  <c r="O623" i="1"/>
  <c r="O624" i="1"/>
  <c r="O614" i="1"/>
  <c r="O609" i="1"/>
  <c r="O610" i="1"/>
  <c r="O611" i="1"/>
  <c r="O612" i="1"/>
  <c r="O603" i="1"/>
  <c r="O604" i="1"/>
  <c r="O605" i="1"/>
  <c r="O606" i="1"/>
  <c r="O602" i="1"/>
  <c r="O597" i="1"/>
  <c r="O598" i="1"/>
  <c r="O599" i="1"/>
  <c r="O600" i="1"/>
  <c r="O593" i="1"/>
  <c r="O594" i="1"/>
  <c r="O580" i="1"/>
  <c r="O581" i="1"/>
  <c r="O582" i="1"/>
  <c r="O583" i="1"/>
  <c r="O584" i="1"/>
  <c r="O585" i="1"/>
  <c r="O586" i="1"/>
  <c r="O587" i="1"/>
  <c r="O588" i="1"/>
  <c r="O589" i="1"/>
  <c r="O579" i="1"/>
  <c r="O575" i="1"/>
  <c r="O576" i="1"/>
  <c r="O577" i="1"/>
  <c r="O574" i="1"/>
  <c r="O572" i="1"/>
  <c r="O562" i="1"/>
  <c r="O563" i="1"/>
  <c r="O564" i="1"/>
  <c r="O565" i="1"/>
  <c r="O566" i="1"/>
  <c r="O567" i="1"/>
  <c r="O561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7" i="1"/>
  <c r="O523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472" i="1"/>
  <c r="O470" i="1"/>
  <c r="O469" i="1"/>
  <c r="O466" i="1"/>
  <c r="O467" i="1"/>
  <c r="O465" i="1"/>
  <c r="O459" i="1"/>
  <c r="O460" i="1"/>
  <c r="O461" i="1"/>
  <c r="O462" i="1"/>
  <c r="O458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44" i="1"/>
  <c r="O432" i="1"/>
  <c r="O433" i="1"/>
  <c r="O434" i="1"/>
  <c r="O435" i="1"/>
  <c r="O436" i="1"/>
  <c r="O437" i="1"/>
  <c r="O438" i="1"/>
  <c r="O439" i="1"/>
  <c r="O440" i="1"/>
  <c r="O441" i="1"/>
  <c r="O442" i="1"/>
  <c r="O431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1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396" i="1"/>
  <c r="O387" i="1"/>
  <c r="O388" i="1"/>
  <c r="O389" i="1"/>
  <c r="O390" i="1"/>
  <c r="O391" i="1"/>
  <c r="O392" i="1"/>
  <c r="O393" i="1"/>
  <c r="O394" i="1"/>
  <c r="N313" i="1"/>
  <c r="N312" i="1"/>
  <c r="N306" i="1"/>
  <c r="N307" i="1"/>
  <c r="N308" i="1"/>
  <c r="N309" i="1"/>
  <c r="N310" i="1"/>
  <c r="N305" i="1"/>
  <c r="N299" i="1"/>
  <c r="N300" i="1"/>
  <c r="N301" i="1"/>
  <c r="N302" i="1"/>
  <c r="N303" i="1"/>
  <c r="N286" i="1"/>
  <c r="N287" i="1"/>
  <c r="N288" i="1"/>
  <c r="N289" i="1"/>
  <c r="N290" i="1"/>
  <c r="N291" i="1"/>
  <c r="N292" i="1"/>
  <c r="N293" i="1"/>
  <c r="N294" i="1"/>
  <c r="N295" i="1"/>
  <c r="N285" i="1"/>
  <c r="N281" i="1"/>
  <c r="N282" i="1"/>
  <c r="N283" i="1"/>
  <c r="N280" i="1"/>
  <c r="N276" i="1"/>
  <c r="N277" i="1"/>
  <c r="N278" i="1"/>
  <c r="N275" i="1"/>
  <c r="N267" i="1"/>
  <c r="N268" i="1"/>
  <c r="N269" i="1"/>
  <c r="N270" i="1"/>
  <c r="N271" i="1"/>
  <c r="N272" i="1"/>
  <c r="N273" i="1"/>
  <c r="N266" i="1"/>
  <c r="N263" i="1"/>
  <c r="N264" i="1"/>
  <c r="N262" i="1"/>
  <c r="N260" i="1"/>
  <c r="N257" i="1"/>
  <c r="N254" i="1"/>
  <c r="N251" i="1"/>
  <c r="N252" i="1"/>
  <c r="N250" i="1"/>
  <c r="N248" i="1"/>
  <c r="N247" i="1"/>
  <c r="N243" i="1"/>
  <c r="N244" i="1"/>
  <c r="N245" i="1"/>
  <c r="N242" i="1"/>
  <c r="N235" i="1"/>
  <c r="N237" i="1"/>
  <c r="N238" i="1"/>
  <c r="N239" i="1"/>
  <c r="N240" i="1"/>
  <c r="N234" i="1"/>
  <c r="N231" i="1"/>
  <c r="N232" i="1"/>
  <c r="N230" i="1"/>
  <c r="N229" i="1"/>
  <c r="N227" i="1"/>
  <c r="N224" i="1"/>
  <c r="N221" i="1"/>
  <c r="N215" i="1"/>
  <c r="N216" i="1"/>
  <c r="N214" i="1"/>
  <c r="N212" i="1"/>
  <c r="N211" i="1"/>
  <c r="N208" i="1"/>
  <c r="N206" i="1"/>
  <c r="N205" i="1"/>
  <c r="N197" i="1"/>
  <c r="N190" i="1"/>
  <c r="N188" i="1"/>
  <c r="N185" i="1"/>
  <c r="N181" i="1"/>
  <c r="N182" i="1"/>
  <c r="N180" i="1"/>
  <c r="N177" i="1"/>
  <c r="N178" i="1"/>
  <c r="N176" i="1"/>
  <c r="N170" i="1"/>
  <c r="N171" i="1"/>
  <c r="N172" i="1"/>
  <c r="N173" i="1"/>
  <c r="N174" i="1"/>
  <c r="N169" i="1"/>
  <c r="N166" i="1"/>
  <c r="N167" i="1"/>
  <c r="N165" i="1"/>
  <c r="N161" i="1"/>
  <c r="N163" i="1"/>
  <c r="N156" i="1"/>
  <c r="N148" i="1"/>
  <c r="N149" i="1"/>
  <c r="N150" i="1"/>
  <c r="N151" i="1"/>
  <c r="N146" i="1"/>
  <c r="N137" i="1"/>
  <c r="N138" i="1"/>
  <c r="N139" i="1"/>
  <c r="N140" i="1"/>
  <c r="N141" i="1"/>
  <c r="N143" i="1"/>
  <c r="N144" i="1"/>
  <c r="N136" i="1"/>
  <c r="N132" i="1"/>
  <c r="N129" i="1"/>
  <c r="N130" i="1"/>
  <c r="N112" i="1"/>
  <c r="N111" i="1"/>
  <c r="N108" i="1"/>
  <c r="N109" i="1"/>
  <c r="N107" i="1"/>
  <c r="N102" i="1"/>
  <c r="N97" i="1"/>
  <c r="N92" i="1"/>
  <c r="N84" i="1"/>
  <c r="N82" i="1"/>
  <c r="N76" i="1"/>
  <c r="N75" i="1"/>
  <c r="N72" i="1"/>
  <c r="N73" i="1"/>
  <c r="N62" i="1"/>
  <c r="N63" i="1"/>
  <c r="N64" i="1"/>
  <c r="K65" i="1"/>
  <c r="N66" i="1"/>
  <c r="N67" i="1"/>
  <c r="N68" i="1"/>
  <c r="N69" i="1"/>
  <c r="N55" i="1"/>
  <c r="N56" i="1"/>
  <c r="N53" i="1"/>
  <c r="N47" i="1"/>
  <c r="N46" i="1"/>
  <c r="N48" i="1"/>
  <c r="N45" i="1"/>
  <c r="N43" i="1"/>
  <c r="N12" i="1"/>
  <c r="N13" i="1"/>
  <c r="N14" i="1"/>
  <c r="N16" i="1"/>
  <c r="N17" i="1"/>
  <c r="N18" i="1"/>
  <c r="N19" i="1"/>
  <c r="N20" i="1"/>
  <c r="N21" i="1"/>
  <c r="N22" i="1"/>
  <c r="N23" i="1"/>
  <c r="N24" i="1"/>
  <c r="N25" i="1"/>
  <c r="N26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51" i="1"/>
  <c r="N52" i="1"/>
  <c r="H8614" i="7" l="1"/>
  <c r="L8609" i="7"/>
  <c r="B8609" i="7"/>
  <c r="H8612" i="7"/>
  <c r="H8603" i="7"/>
  <c r="L8493" i="7"/>
  <c r="L8475" i="7"/>
  <c r="H8438" i="7"/>
  <c r="H8434" i="7"/>
  <c r="H8433" i="7"/>
  <c r="H8432" i="7"/>
  <c r="H8431" i="7"/>
  <c r="H8430" i="7"/>
  <c r="H8429" i="7"/>
  <c r="H8428" i="7"/>
  <c r="H8427" i="7"/>
  <c r="H8426" i="7"/>
  <c r="H8425" i="7"/>
  <c r="H8424" i="7"/>
  <c r="H8423" i="7"/>
  <c r="H8419" i="7"/>
  <c r="H8415" i="7"/>
  <c r="H8414" i="7"/>
  <c r="H8413" i="7"/>
  <c r="H8409" i="7"/>
  <c r="H8408" i="7"/>
  <c r="H8407" i="7"/>
  <c r="H8406" i="7"/>
  <c r="H8405" i="7"/>
  <c r="H8404" i="7"/>
  <c r="H8400" i="7"/>
  <c r="H8399" i="7"/>
  <c r="L8366" i="7"/>
  <c r="B8366" i="7"/>
  <c r="L8348" i="7"/>
  <c r="B8348" i="7"/>
  <c r="H8374" i="7"/>
  <c r="H8373" i="7"/>
  <c r="H8372" i="7"/>
  <c r="H8371" i="7"/>
  <c r="H8370" i="7"/>
  <c r="H8361" i="7"/>
  <c r="H8360" i="7"/>
  <c r="H8359" i="7"/>
  <c r="H8358" i="7"/>
  <c r="H8357" i="7"/>
  <c r="H8356" i="7"/>
  <c r="H8355" i="7"/>
  <c r="H8354" i="7"/>
  <c r="H8353" i="7"/>
  <c r="H8352" i="7"/>
  <c r="H8616" i="7" l="1"/>
  <c r="N8609" i="7"/>
  <c r="H8375" i="7"/>
  <c r="H8377" i="7" s="1"/>
  <c r="H8362" i="7"/>
  <c r="H8364" i="7" s="1"/>
  <c r="H8304" i="7"/>
  <c r="H8303" i="7"/>
  <c r="H8300" i="7"/>
  <c r="H8299" i="7"/>
  <c r="H8298" i="7"/>
  <c r="H8297" i="7"/>
  <c r="H8296" i="7"/>
  <c r="H8295" i="7"/>
  <c r="H8294" i="7"/>
  <c r="H8293" i="7"/>
  <c r="H8292" i="7"/>
  <c r="H7698" i="7"/>
  <c r="L7637" i="7"/>
  <c r="B7637" i="7"/>
  <c r="H6741" i="7"/>
  <c r="H6743" i="7"/>
  <c r="H6740" i="7"/>
  <c r="H8344" i="7"/>
  <c r="H8343" i="7"/>
  <c r="H8342" i="7"/>
  <c r="H8341" i="7"/>
  <c r="H8340" i="7"/>
  <c r="H8339" i="7"/>
  <c r="H8338" i="7"/>
  <c r="H8337" i="7"/>
  <c r="H8335" i="7"/>
  <c r="H8332" i="7"/>
  <c r="H8329" i="7"/>
  <c r="H8328" i="7"/>
  <c r="H8324" i="7"/>
  <c r="H8322" i="7"/>
  <c r="H8321" i="7"/>
  <c r="L7685" i="7"/>
  <c r="B7685" i="7"/>
  <c r="H7696" i="7"/>
  <c r="H7695" i="7"/>
  <c r="H7692" i="7"/>
  <c r="H7691" i="7"/>
  <c r="H7690" i="7"/>
  <c r="H7649" i="7"/>
  <c r="H7648" i="7"/>
  <c r="H7645" i="7"/>
  <c r="H7644" i="7"/>
  <c r="H7641" i="7"/>
  <c r="N8366" i="7" l="1"/>
  <c r="N8348" i="7"/>
  <c r="H6742" i="7"/>
  <c r="H8346" i="7"/>
  <c r="H8345" i="7"/>
  <c r="H8347" i="7" s="1"/>
  <c r="H7651" i="7"/>
  <c r="H7697" i="7"/>
  <c r="H7699" i="7" s="1"/>
  <c r="H7652" i="7"/>
  <c r="N7685" i="7" l="1"/>
  <c r="N8318" i="7"/>
  <c r="H7653" i="7"/>
  <c r="N7637" i="7"/>
  <c r="H7191" i="7" l="1"/>
  <c r="H7141" i="7"/>
  <c r="H7143" i="7" s="1"/>
  <c r="H7145" i="7" s="1"/>
  <c r="L7137" i="7"/>
  <c r="B7137" i="7"/>
  <c r="H6764" i="7"/>
  <c r="L6760" i="7"/>
  <c r="B6760" i="7"/>
  <c r="H6767" i="7"/>
  <c r="H6765" i="7"/>
  <c r="N7137" i="7" l="1"/>
  <c r="H6766" i="7"/>
  <c r="H6768" i="7" s="1"/>
  <c r="H6944" i="7"/>
  <c r="H6943" i="7"/>
  <c r="H3076" i="7"/>
  <c r="N6760" i="7" l="1"/>
  <c r="H6946" i="7"/>
  <c r="H6948" i="7" s="1"/>
  <c r="N6939" i="7" l="1"/>
  <c r="H2858" i="7" l="1"/>
  <c r="H2859" i="7"/>
  <c r="H2857" i="7"/>
  <c r="J676" i="1"/>
  <c r="J656" i="1"/>
  <c r="J655" i="1"/>
  <c r="J652" i="1"/>
  <c r="J617" i="1"/>
  <c r="J577" i="1"/>
  <c r="J561" i="1"/>
  <c r="J553" i="1"/>
  <c r="J551" i="1"/>
  <c r="J543" i="1"/>
  <c r="J539" i="1"/>
  <c r="J537" i="1"/>
  <c r="J535" i="1"/>
  <c r="J529" i="1"/>
  <c r="J525" i="1"/>
  <c r="J524" i="1"/>
  <c r="J521" i="1"/>
  <c r="J496" i="1"/>
  <c r="J495" i="1"/>
  <c r="J493" i="1"/>
  <c r="J481" i="1"/>
  <c r="J480" i="1"/>
  <c r="J479" i="1"/>
  <c r="J477" i="1"/>
  <c r="J456" i="1"/>
  <c r="J451" i="1"/>
  <c r="J445" i="1"/>
  <c r="J437" i="1"/>
  <c r="J417" i="1"/>
  <c r="J404" i="1"/>
  <c r="J403" i="1"/>
  <c r="J349" i="1"/>
  <c r="J336" i="1"/>
  <c r="J291" i="1"/>
  <c r="J275" i="1"/>
  <c r="J251" i="1"/>
  <c r="J235" i="1"/>
  <c r="J177" i="1"/>
  <c r="J161" i="1"/>
  <c r="J150" i="1"/>
  <c r="J107" i="1"/>
  <c r="J102" i="1"/>
  <c r="J49" i="1"/>
  <c r="J35" i="1"/>
  <c r="J27" i="1"/>
  <c r="J19" i="1"/>
  <c r="J26" i="1"/>
  <c r="J29" i="1"/>
  <c r="J37" i="1"/>
  <c r="J46" i="1"/>
  <c r="N57" i="1"/>
  <c r="J66" i="1"/>
  <c r="J67" i="1"/>
  <c r="J69" i="1"/>
  <c r="N70" i="1"/>
  <c r="N74" i="1"/>
  <c r="J75" i="1"/>
  <c r="N77" i="1"/>
  <c r="N78" i="1"/>
  <c r="N80" i="1"/>
  <c r="N83" i="1"/>
  <c r="N85" i="1"/>
  <c r="N86" i="1"/>
  <c r="N94" i="1"/>
  <c r="J97" i="1"/>
  <c r="N101" i="1"/>
  <c r="N103" i="1"/>
  <c r="N106" i="1"/>
  <c r="N110" i="1"/>
  <c r="N113" i="1"/>
  <c r="N118" i="1"/>
  <c r="N119" i="1"/>
  <c r="N121" i="1"/>
  <c r="N123" i="1"/>
  <c r="N125" i="1"/>
  <c r="N127" i="1"/>
  <c r="J129" i="1"/>
  <c r="N131" i="1"/>
  <c r="N134" i="1"/>
  <c r="N135" i="1"/>
  <c r="J139" i="1"/>
  <c r="N145" i="1"/>
  <c r="J149" i="1"/>
  <c r="N152" i="1"/>
  <c r="N154" i="1"/>
  <c r="N155" i="1"/>
  <c r="N157" i="1"/>
  <c r="N159" i="1"/>
  <c r="J163" i="1"/>
  <c r="N164" i="1"/>
  <c r="J165" i="1"/>
  <c r="N168" i="1"/>
  <c r="J171" i="1"/>
  <c r="J173" i="1"/>
  <c r="J174" i="1"/>
  <c r="N175" i="1"/>
  <c r="N179" i="1"/>
  <c r="N183" i="1"/>
  <c r="N184" i="1"/>
  <c r="N187" i="1"/>
  <c r="N189" i="1"/>
  <c r="N191" i="1"/>
  <c r="N192" i="1"/>
  <c r="N194" i="1"/>
  <c r="N196" i="1"/>
  <c r="N199" i="1"/>
  <c r="N201" i="1"/>
  <c r="N202" i="1"/>
  <c r="N204" i="1"/>
  <c r="N207" i="1"/>
  <c r="N209" i="1"/>
  <c r="N210" i="1"/>
  <c r="J211" i="1"/>
  <c r="N213" i="1"/>
  <c r="N217" i="1"/>
  <c r="N218" i="1"/>
  <c r="J219" i="1"/>
  <c r="N222" i="1"/>
  <c r="N225" i="1"/>
  <c r="N226" i="1"/>
  <c r="N228" i="1"/>
  <c r="N233" i="1"/>
  <c r="J237" i="1"/>
  <c r="N241" i="1"/>
  <c r="J243" i="1"/>
  <c r="N246" i="1"/>
  <c r="N249" i="1"/>
  <c r="N253" i="1"/>
  <c r="N258" i="1"/>
  <c r="N259" i="1"/>
  <c r="N261" i="1"/>
  <c r="N265" i="1"/>
  <c r="J267" i="1"/>
  <c r="N274" i="1"/>
  <c r="N279" i="1"/>
  <c r="J281" i="1"/>
  <c r="J283" i="1"/>
  <c r="N284" i="1"/>
  <c r="J289" i="1"/>
  <c r="J290" i="1"/>
  <c r="N296" i="1"/>
  <c r="J299" i="1"/>
  <c r="J302" i="1"/>
  <c r="N304" i="1"/>
  <c r="J307" i="1"/>
  <c r="J309" i="1"/>
  <c r="N311" i="1"/>
  <c r="J313" i="1"/>
  <c r="N314" i="1"/>
  <c r="N319" i="1"/>
  <c r="J321" i="1"/>
  <c r="J323" i="1"/>
  <c r="J331" i="1"/>
  <c r="J333" i="1"/>
  <c r="J337" i="1"/>
  <c r="J341" i="1"/>
  <c r="J345" i="1"/>
  <c r="J355" i="1"/>
  <c r="J357" i="1"/>
  <c r="J359" i="1"/>
  <c r="J361" i="1"/>
  <c r="J362" i="1"/>
  <c r="J363" i="1"/>
  <c r="J365" i="1"/>
  <c r="J367" i="1"/>
  <c r="J371" i="1"/>
  <c r="J373" i="1"/>
  <c r="J375" i="1"/>
  <c r="J378" i="1"/>
  <c r="J379" i="1"/>
  <c r="J381" i="1"/>
  <c r="J383" i="1"/>
  <c r="J389" i="1"/>
  <c r="J393" i="1"/>
  <c r="O395" i="1"/>
  <c r="J397" i="1"/>
  <c r="J405" i="1"/>
  <c r="J409" i="1"/>
  <c r="J412" i="1"/>
  <c r="J413" i="1"/>
  <c r="O415" i="1"/>
  <c r="J421" i="1"/>
  <c r="J425" i="1"/>
  <c r="J428" i="1"/>
  <c r="J429" i="1"/>
  <c r="O430" i="1"/>
  <c r="J431" i="1"/>
  <c r="J433" i="1"/>
  <c r="J436" i="1"/>
  <c r="J441" i="1"/>
  <c r="J442" i="1"/>
  <c r="O443" i="1"/>
  <c r="J444" i="1"/>
  <c r="J449" i="1"/>
  <c r="O457" i="1"/>
  <c r="J458" i="1"/>
  <c r="J459" i="1"/>
  <c r="J460" i="1"/>
  <c r="J461" i="1"/>
  <c r="O463" i="1"/>
  <c r="O464" i="1"/>
  <c r="J465" i="1"/>
  <c r="O471" i="1"/>
  <c r="J472" i="1"/>
  <c r="J475" i="1"/>
  <c r="J476" i="1"/>
  <c r="J478" i="1"/>
  <c r="J485" i="1"/>
  <c r="J487" i="1"/>
  <c r="J488" i="1"/>
  <c r="J489" i="1"/>
  <c r="J497" i="1"/>
  <c r="J499" i="1"/>
  <c r="J500" i="1"/>
  <c r="J503" i="1"/>
  <c r="J507" i="1"/>
  <c r="J508" i="1"/>
  <c r="O522" i="1"/>
  <c r="J523" i="1"/>
  <c r="J531" i="1"/>
  <c r="J532" i="1"/>
  <c r="J533" i="1"/>
  <c r="J534" i="1"/>
  <c r="J536" i="1"/>
  <c r="J546" i="1"/>
  <c r="J548" i="1"/>
  <c r="J549" i="1"/>
  <c r="J550" i="1"/>
  <c r="J552" i="1"/>
  <c r="O559" i="1"/>
  <c r="O560" i="1"/>
  <c r="J564" i="1"/>
  <c r="J565" i="1"/>
  <c r="J566" i="1"/>
  <c r="J567" i="1"/>
  <c r="O568" i="1"/>
  <c r="O573" i="1"/>
  <c r="O578" i="1"/>
  <c r="J582" i="1"/>
  <c r="J584" i="1"/>
  <c r="J589" i="1"/>
  <c r="O590" i="1"/>
  <c r="O591" i="1"/>
  <c r="J593" i="1"/>
  <c r="O595" i="1"/>
  <c r="J597" i="1"/>
  <c r="J600" i="1"/>
  <c r="O601" i="1"/>
  <c r="O607" i="1"/>
  <c r="O613" i="1"/>
  <c r="J615" i="1"/>
  <c r="J616" i="1"/>
  <c r="J620" i="1"/>
  <c r="J622" i="1"/>
  <c r="J623" i="1"/>
  <c r="J624" i="1"/>
  <c r="O625" i="1"/>
  <c r="O628" i="1"/>
  <c r="O629" i="1"/>
  <c r="J633" i="1"/>
  <c r="O635" i="1"/>
  <c r="J636" i="1"/>
  <c r="O637" i="1"/>
  <c r="J638" i="1"/>
  <c r="O639" i="1"/>
  <c r="J640" i="1"/>
  <c r="O641" i="1"/>
  <c r="J642" i="1"/>
  <c r="O644" i="1"/>
  <c r="O645" i="1"/>
  <c r="O647" i="1"/>
  <c r="J648" i="1"/>
  <c r="J649" i="1"/>
  <c r="O653" i="1"/>
  <c r="J654" i="1"/>
  <c r="O657" i="1"/>
  <c r="O659" i="1"/>
  <c r="O661" i="1"/>
  <c r="O662" i="1"/>
  <c r="J663" i="1"/>
  <c r="J667" i="1"/>
  <c r="J668" i="1"/>
  <c r="J669" i="1"/>
  <c r="J677" i="1"/>
  <c r="J468" i="1" l="1"/>
  <c r="O468" i="1"/>
  <c r="J434" i="1"/>
  <c r="J400" i="1"/>
  <c r="J130" i="1"/>
  <c r="J599" i="1"/>
  <c r="J370" i="1"/>
  <c r="J354" i="1"/>
  <c r="J277" i="1"/>
  <c r="J138" i="1"/>
  <c r="J402" i="1"/>
  <c r="J353" i="1"/>
  <c r="J542" i="1"/>
  <c r="J385" i="1"/>
  <c r="J18" i="1"/>
  <c r="J293" i="1"/>
  <c r="J581" i="1"/>
  <c r="J369" i="1"/>
  <c r="J105" i="1"/>
  <c r="J558" i="1"/>
  <c r="J506" i="1"/>
  <c r="J62" i="1"/>
  <c r="J170" i="1"/>
  <c r="J556" i="1"/>
  <c r="J473" i="1"/>
  <c r="J427" i="1"/>
  <c r="J408" i="1"/>
  <c r="J185" i="1"/>
  <c r="J440" i="1"/>
  <c r="J286" i="1"/>
  <c r="J450" i="1"/>
  <c r="J305" i="1"/>
  <c r="J614" i="1"/>
  <c r="J604" i="1"/>
  <c r="J492" i="1"/>
  <c r="J484" i="1"/>
  <c r="J448" i="1"/>
  <c r="J141" i="1"/>
  <c r="J419" i="1"/>
  <c r="J453" i="1"/>
  <c r="J387" i="1"/>
  <c r="J329" i="1"/>
  <c r="J190" i="1"/>
  <c r="J660" i="1"/>
  <c r="J631" i="1"/>
  <c r="J598" i="1"/>
  <c r="J572" i="1"/>
  <c r="J494" i="1"/>
  <c r="J486" i="1"/>
  <c r="J435" i="1"/>
  <c r="J424" i="1"/>
  <c r="J411" i="1"/>
  <c r="J664" i="1"/>
  <c r="J621" i="1"/>
  <c r="J588" i="1"/>
  <c r="J583" i="1"/>
  <c r="J580" i="1"/>
  <c r="J575" i="1"/>
  <c r="J474" i="1"/>
  <c r="J416" i="1"/>
  <c r="J214" i="1"/>
  <c r="J146" i="1"/>
  <c r="J65" i="1"/>
  <c r="J21" i="1"/>
  <c r="J646" i="1"/>
  <c r="J557" i="1"/>
  <c r="J545" i="1"/>
  <c r="J528" i="1"/>
  <c r="J392" i="1"/>
  <c r="J426" i="1"/>
  <c r="J423" i="1"/>
  <c r="J418" i="1"/>
  <c r="J410" i="1"/>
  <c r="J407" i="1"/>
  <c r="J394" i="1"/>
  <c r="J391" i="1"/>
  <c r="J386" i="1"/>
  <c r="J322" i="1"/>
  <c r="J294" i="1"/>
  <c r="J285" i="1"/>
  <c r="J266" i="1"/>
  <c r="J242" i="1"/>
  <c r="J169" i="1"/>
  <c r="J73" i="1"/>
  <c r="J53" i="1"/>
  <c r="J42" i="1"/>
  <c r="J13" i="1"/>
  <c r="J399" i="1"/>
  <c r="J270" i="1"/>
  <c r="J230" i="1"/>
  <c r="J178" i="1"/>
  <c r="J377" i="1"/>
  <c r="J330" i="1"/>
  <c r="J325" i="1"/>
  <c r="J306" i="1"/>
  <c r="J297" i="1"/>
  <c r="J269" i="1"/>
  <c r="J257" i="1"/>
  <c r="J229" i="1"/>
  <c r="J122" i="1"/>
  <c r="J89" i="1"/>
  <c r="J401" i="1"/>
  <c r="J338" i="1"/>
  <c r="J334" i="1"/>
  <c r="J310" i="1"/>
  <c r="J301" i="1"/>
  <c r="J273" i="1"/>
  <c r="J197" i="1"/>
  <c r="J137" i="1"/>
  <c r="J109" i="1"/>
  <c r="J82" i="1"/>
  <c r="J34" i="1"/>
  <c r="J432" i="1"/>
  <c r="J376" i="1"/>
  <c r="J368" i="1"/>
  <c r="J360" i="1"/>
  <c r="J352" i="1"/>
  <c r="J346" i="1"/>
  <c r="J342" i="1"/>
  <c r="J282" i="1"/>
  <c r="J262" i="1"/>
  <c r="J250" i="1"/>
  <c r="J238" i="1"/>
  <c r="J166" i="1"/>
  <c r="J38" i="1"/>
  <c r="J678" i="1"/>
  <c r="J611" i="1"/>
  <c r="J670" i="1"/>
  <c r="J675" i="1"/>
  <c r="J651" i="1"/>
  <c r="J643" i="1"/>
  <c r="J619" i="1"/>
  <c r="J610" i="1"/>
  <c r="J618" i="1"/>
  <c r="J634" i="1"/>
  <c r="J312" i="1"/>
  <c r="J280" i="1"/>
  <c r="J216" i="1"/>
  <c r="J136" i="1"/>
  <c r="J232" i="1"/>
  <c r="J160" i="1"/>
  <c r="J320" i="1"/>
  <c r="J288" i="1"/>
  <c r="J264" i="1"/>
  <c r="J248" i="1"/>
  <c r="J144" i="1"/>
  <c r="J72" i="1"/>
  <c r="J24" i="1"/>
  <c r="J579" i="1"/>
  <c r="J563" i="1"/>
  <c r="J555" i="1"/>
  <c r="J547" i="1"/>
  <c r="J544" i="1"/>
  <c r="J541" i="1"/>
  <c r="J530" i="1"/>
  <c r="J527" i="1"/>
  <c r="J505" i="1"/>
  <c r="J502" i="1"/>
  <c r="J491" i="1"/>
  <c r="J483" i="1"/>
  <c r="J455" i="1"/>
  <c r="J447" i="1"/>
  <c r="J439" i="1"/>
  <c r="J324" i="1"/>
  <c r="J208" i="1"/>
  <c r="J112" i="1"/>
  <c r="J56" i="1"/>
  <c r="J40" i="1"/>
  <c r="J420" i="1"/>
  <c r="J396" i="1"/>
  <c r="J388" i="1"/>
  <c r="J380" i="1"/>
  <c r="J372" i="1"/>
  <c r="J364" i="1"/>
  <c r="J356" i="1"/>
  <c r="J348" i="1"/>
  <c r="J328" i="1"/>
  <c r="J332" i="1"/>
  <c r="J240" i="1"/>
  <c r="J224" i="1"/>
  <c r="J176" i="1"/>
  <c r="J16" i="1"/>
  <c r="J594" i="1"/>
  <c r="J586" i="1"/>
  <c r="J562" i="1"/>
  <c r="J554" i="1"/>
  <c r="J540" i="1"/>
  <c r="J526" i="1"/>
  <c r="J504" i="1"/>
  <c r="J501" i="1"/>
  <c r="J498" i="1"/>
  <c r="J490" i="1"/>
  <c r="J482" i="1"/>
  <c r="J462" i="1"/>
  <c r="J454" i="1"/>
  <c r="J446" i="1"/>
  <c r="J438" i="1"/>
  <c r="J422" i="1"/>
  <c r="J414" i="1"/>
  <c r="J406" i="1"/>
  <c r="J398" i="1"/>
  <c r="J390" i="1"/>
  <c r="J382" i="1"/>
  <c r="J374" i="1"/>
  <c r="J366" i="1"/>
  <c r="J358" i="1"/>
  <c r="J350" i="1"/>
  <c r="J340" i="1"/>
  <c r="J272" i="1"/>
  <c r="J347" i="1"/>
  <c r="J339" i="1"/>
  <c r="J64" i="1"/>
  <c r="J32" i="1"/>
  <c r="J343" i="1"/>
  <c r="J335" i="1"/>
  <c r="J303" i="1"/>
  <c r="J295" i="1"/>
  <c r="J287" i="1"/>
  <c r="J271" i="1"/>
  <c r="J263" i="1"/>
  <c r="J247" i="1"/>
  <c r="J239" i="1"/>
  <c r="J231" i="1"/>
  <c r="J215" i="1"/>
  <c r="J167" i="1"/>
  <c r="J151" i="1"/>
  <c r="J143" i="1"/>
  <c r="J111" i="1"/>
  <c r="J79" i="1"/>
  <c r="J63" i="1"/>
  <c r="J55" i="1"/>
  <c r="J47" i="1"/>
  <c r="J39" i="1"/>
  <c r="J31" i="1"/>
  <c r="J23" i="1"/>
  <c r="J308" i="1"/>
  <c r="J292" i="1"/>
  <c r="J276" i="1"/>
  <c r="J268" i="1"/>
  <c r="J252" i="1"/>
  <c r="J244" i="1"/>
  <c r="J212" i="1"/>
  <c r="J188" i="1"/>
  <c r="J172" i="1"/>
  <c r="J148" i="1"/>
  <c r="J140" i="1"/>
  <c r="J108" i="1"/>
  <c r="J100" i="1"/>
  <c r="J92" i="1"/>
  <c r="J84" i="1"/>
  <c r="J76" i="1"/>
  <c r="J68" i="1"/>
  <c r="J36" i="1"/>
  <c r="J28" i="1"/>
  <c r="J20" i="1"/>
  <c r="J12" i="1"/>
  <c r="J41" i="1"/>
  <c r="J33" i="1"/>
  <c r="J25" i="1"/>
  <c r="J17" i="1"/>
  <c r="J30" i="1"/>
  <c r="J22" i="1"/>
  <c r="J14" i="1"/>
  <c r="P661" i="1" l="1"/>
  <c r="P628" i="1"/>
  <c r="H8011" i="7" l="1"/>
  <c r="H8008" i="7"/>
  <c r="H8010" i="7" s="1"/>
  <c r="H8581" i="7"/>
  <c r="H8576" i="7"/>
  <c r="H8578" i="7"/>
  <c r="H8582" i="7"/>
  <c r="H8583" i="7"/>
  <c r="H8584" i="7"/>
  <c r="H8586" i="7"/>
  <c r="H8587" i="7"/>
  <c r="H8588" i="7"/>
  <c r="H8590" i="7"/>
  <c r="H8575" i="7"/>
  <c r="H8574" i="7"/>
  <c r="H8535" i="7"/>
  <c r="H8012" i="7" l="1"/>
  <c r="N8004" i="7"/>
  <c r="L7993" i="7"/>
  <c r="B7993" i="7"/>
  <c r="H8000" i="7"/>
  <c r="H7997" i="7"/>
  <c r="H7999" i="7" s="1"/>
  <c r="L7902" i="7"/>
  <c r="B7902" i="7"/>
  <c r="H7906" i="7"/>
  <c r="H7908" i="7" s="1"/>
  <c r="H7910" i="7" s="1"/>
  <c r="H8001" i="7" l="1"/>
  <c r="N7993" i="7"/>
  <c r="H7666" i="7"/>
  <c r="H7665" i="7"/>
  <c r="H7631" i="7"/>
  <c r="H7634" i="7" s="1"/>
  <c r="H7446" i="7"/>
  <c r="H7342" i="7"/>
  <c r="L7268" i="7"/>
  <c r="B7268" i="7"/>
  <c r="H7273" i="7"/>
  <c r="H7272" i="7"/>
  <c r="L7258" i="7"/>
  <c r="B7258" i="7"/>
  <c r="H7263" i="7"/>
  <c r="H7262" i="7"/>
  <c r="L7248" i="7"/>
  <c r="B7248" i="7"/>
  <c r="H7253" i="7"/>
  <c r="H7252" i="7"/>
  <c r="L7238" i="7"/>
  <c r="L7228" i="7"/>
  <c r="B7228" i="7"/>
  <c r="B7238" i="7"/>
  <c r="H7243" i="7"/>
  <c r="H7242" i="7"/>
  <c r="H7233" i="7"/>
  <c r="H7232" i="7"/>
  <c r="L7218" i="7"/>
  <c r="B7218" i="7"/>
  <c r="H7223" i="7"/>
  <c r="H7222" i="7"/>
  <c r="L7208" i="7"/>
  <c r="B7208" i="7"/>
  <c r="H7213" i="7"/>
  <c r="H7212" i="7"/>
  <c r="J606" i="1" l="1"/>
  <c r="J612" i="1"/>
  <c r="N7902" i="7"/>
  <c r="H7224" i="7"/>
  <c r="H7226" i="7" s="1"/>
  <c r="H7264" i="7"/>
  <c r="H7266" i="7" s="1"/>
  <c r="H7234" i="7"/>
  <c r="H7236" i="7" s="1"/>
  <c r="H7214" i="7"/>
  <c r="H7216" i="7" s="1"/>
  <c r="H7244" i="7"/>
  <c r="H7246" i="7" s="1"/>
  <c r="H7254" i="7"/>
  <c r="H7256" i="7" s="1"/>
  <c r="H7274" i="7"/>
  <c r="N7208" i="7" l="1"/>
  <c r="N7218" i="7"/>
  <c r="N7238" i="7"/>
  <c r="N7228" i="7"/>
  <c r="N7258" i="7"/>
  <c r="N7248" i="7"/>
  <c r="H7276" i="7"/>
  <c r="N7268" i="7"/>
  <c r="L7198" i="7"/>
  <c r="B7198" i="7"/>
  <c r="H7203" i="7"/>
  <c r="H7202" i="7"/>
  <c r="H7193" i="7"/>
  <c r="L7188" i="7"/>
  <c r="B7188" i="7"/>
  <c r="H7192" i="7"/>
  <c r="L7178" i="7"/>
  <c r="B7178" i="7"/>
  <c r="H7182" i="7"/>
  <c r="H7184" i="7" s="1"/>
  <c r="H7172" i="7"/>
  <c r="H7174" i="7" s="1"/>
  <c r="H7176" i="7" s="1"/>
  <c r="L7168" i="7"/>
  <c r="B7168" i="7"/>
  <c r="H7110" i="7"/>
  <c r="H7109" i="7"/>
  <c r="L6928" i="7"/>
  <c r="B6928" i="7"/>
  <c r="H6933" i="7"/>
  <c r="H6932" i="7"/>
  <c r="L6917" i="7"/>
  <c r="B6917" i="7"/>
  <c r="H6922" i="7"/>
  <c r="H6921" i="7"/>
  <c r="L6906" i="7"/>
  <c r="B6906" i="7"/>
  <c r="H6911" i="7"/>
  <c r="H6910" i="7"/>
  <c r="H6899" i="7"/>
  <c r="L6895" i="7"/>
  <c r="B6895" i="7"/>
  <c r="H6900" i="7"/>
  <c r="L6884" i="7"/>
  <c r="B6884" i="7"/>
  <c r="H6889" i="7"/>
  <c r="H6891" i="7" s="1"/>
  <c r="L6873" i="7"/>
  <c r="B6873" i="7"/>
  <c r="H6878" i="7"/>
  <c r="H6880" i="7" s="1"/>
  <c r="L6862" i="7"/>
  <c r="B6862" i="7"/>
  <c r="H6867" i="7"/>
  <c r="H6869" i="7" s="1"/>
  <c r="H6871" i="7" s="1"/>
  <c r="H6855" i="7"/>
  <c r="H6856" i="7"/>
  <c r="H6854" i="7"/>
  <c r="L6851" i="7"/>
  <c r="B6851" i="7"/>
  <c r="H6857" i="7"/>
  <c r="L6841" i="7"/>
  <c r="B6841" i="7"/>
  <c r="H6848" i="7"/>
  <c r="H6846" i="7"/>
  <c r="H6847" i="7" s="1"/>
  <c r="L6831" i="7"/>
  <c r="H6838" i="7"/>
  <c r="H6836" i="7"/>
  <c r="H6837" i="7" s="1"/>
  <c r="H6826" i="7"/>
  <c r="H6827" i="7" s="1"/>
  <c r="B6831" i="7"/>
  <c r="L6821" i="7"/>
  <c r="B6821" i="7"/>
  <c r="H6828" i="7"/>
  <c r="H6818" i="7"/>
  <c r="H6816" i="7"/>
  <c r="H6817" i="7" s="1"/>
  <c r="L6811" i="7"/>
  <c r="B6811" i="7"/>
  <c r="H5238" i="7"/>
  <c r="H5227" i="7"/>
  <c r="H6902" i="7" l="1"/>
  <c r="H6904" i="7" s="1"/>
  <c r="H7194" i="7"/>
  <c r="H7196" i="7" s="1"/>
  <c r="H6829" i="7"/>
  <c r="H6839" i="7"/>
  <c r="H6849" i="7"/>
  <c r="H7204" i="7"/>
  <c r="H7206" i="7" s="1"/>
  <c r="H7186" i="7"/>
  <c r="N7178" i="7"/>
  <c r="N7168" i="7"/>
  <c r="H6935" i="7"/>
  <c r="H6924" i="7"/>
  <c r="H6926" i="7" s="1"/>
  <c r="H6913" i="7"/>
  <c r="H6915" i="7" s="1"/>
  <c r="H6893" i="7"/>
  <c r="N6884" i="7"/>
  <c r="H6882" i="7"/>
  <c r="N6873" i="7"/>
  <c r="N6862" i="7"/>
  <c r="H6858" i="7"/>
  <c r="N6851" i="7" s="1"/>
  <c r="N6841" i="7"/>
  <c r="N6831" i="7"/>
  <c r="N6821" i="7"/>
  <c r="N6811" i="7"/>
  <c r="H6819" i="7"/>
  <c r="L5213" i="7"/>
  <c r="B5213" i="7"/>
  <c r="H5218" i="7"/>
  <c r="L5195" i="7"/>
  <c r="B5195" i="7"/>
  <c r="H5198" i="7"/>
  <c r="H5200" i="7" s="1"/>
  <c r="H4444" i="7"/>
  <c r="L4440" i="7"/>
  <c r="B4440" i="7"/>
  <c r="H4370" i="7"/>
  <c r="L4361" i="7"/>
  <c r="B4361" i="7"/>
  <c r="L4307" i="7"/>
  <c r="L3008" i="7"/>
  <c r="B3008" i="7"/>
  <c r="J514" i="1" l="1"/>
  <c r="J511" i="1"/>
  <c r="J519" i="1"/>
  <c r="J509" i="1"/>
  <c r="J515" i="1"/>
  <c r="N6895" i="7"/>
  <c r="N7188" i="7"/>
  <c r="N6906" i="7"/>
  <c r="N7198" i="7"/>
  <c r="H6937" i="7"/>
  <c r="N6928" i="7"/>
  <c r="N6917" i="7"/>
  <c r="H6860" i="7"/>
  <c r="H5220" i="7"/>
  <c r="N5213" i="7"/>
  <c r="H5202" i="7"/>
  <c r="N5195" i="7"/>
  <c r="H4448" i="7"/>
  <c r="H4447" i="7"/>
  <c r="H4369" i="7"/>
  <c r="J517" i="1" l="1"/>
  <c r="J516" i="1"/>
  <c r="J512" i="1"/>
  <c r="J518" i="1"/>
  <c r="J513" i="1"/>
  <c r="J510" i="1"/>
  <c r="J260" i="1"/>
  <c r="H4449" i="7"/>
  <c r="H4371" i="7"/>
  <c r="N4440" i="7"/>
  <c r="N4361" i="7"/>
  <c r="J520" i="1" l="1"/>
  <c r="J254" i="1"/>
  <c r="H3013" i="7"/>
  <c r="H3010" i="7"/>
  <c r="H3012" i="7" s="1"/>
  <c r="L3000" i="7"/>
  <c r="B3000" i="7"/>
  <c r="H3005" i="7"/>
  <c r="H3002" i="7"/>
  <c r="H3004" i="7" s="1"/>
  <c r="L2992" i="7"/>
  <c r="B2992" i="7"/>
  <c r="H2997" i="7"/>
  <c r="H2994" i="7"/>
  <c r="H2996" i="7" s="1"/>
  <c r="K254" i="1" l="1"/>
  <c r="N3000" i="7"/>
  <c r="N3008" i="7"/>
  <c r="H3006" i="7"/>
  <c r="H3014" i="7"/>
  <c r="H2998" i="7"/>
  <c r="N2992" i="7"/>
  <c r="H2771" i="7"/>
  <c r="H2767" i="7"/>
  <c r="H2768" i="7"/>
  <c r="H2765" i="7"/>
  <c r="H2764" i="7"/>
  <c r="K181" i="1" l="1"/>
  <c r="M181" i="1" s="1"/>
  <c r="J180" i="1"/>
  <c r="K180" i="1"/>
  <c r="M180" i="1" s="1"/>
  <c r="J182" i="1" l="1"/>
  <c r="J181" i="1"/>
  <c r="K182" i="1"/>
  <c r="M182" i="1" s="1"/>
  <c r="H8572" i="7"/>
  <c r="H8571" i="7"/>
  <c r="H8570" i="7"/>
  <c r="H8569" i="7"/>
  <c r="H7163" i="7"/>
  <c r="N7157" i="7" s="1"/>
  <c r="H7153" i="7"/>
  <c r="H7155" i="7" s="1"/>
  <c r="H6776" i="7"/>
  <c r="H6777" i="7" s="1"/>
  <c r="H6779" i="7" s="1"/>
  <c r="H6786" i="7"/>
  <c r="H6787" i="7" s="1"/>
  <c r="H6789" i="7" s="1"/>
  <c r="H5288" i="7"/>
  <c r="H5290" i="7" s="1"/>
  <c r="H5292" i="7" s="1"/>
  <c r="H5268" i="7"/>
  <c r="H5270" i="7" s="1"/>
  <c r="H5272" i="7" s="1"/>
  <c r="H5259" i="7"/>
  <c r="H5247" i="7"/>
  <c r="H5249" i="7" s="1"/>
  <c r="H5251" i="7" s="1"/>
  <c r="H5236" i="7"/>
  <c r="H5225" i="7"/>
  <c r="H5207" i="7"/>
  <c r="H5209" i="7" s="1"/>
  <c r="H5163" i="7"/>
  <c r="H5165" i="7" s="1"/>
  <c r="H5141" i="7"/>
  <c r="H3037" i="7"/>
  <c r="H3038" i="7"/>
  <c r="H5230" i="7" l="1"/>
  <c r="H5229" i="7"/>
  <c r="N5222" i="7" s="1"/>
  <c r="H5241" i="7"/>
  <c r="H5240" i="7"/>
  <c r="N5233" i="7" s="1"/>
  <c r="H7165" i="7"/>
  <c r="N7147" i="7"/>
  <c r="N6781" i="7"/>
  <c r="N6771" i="7"/>
  <c r="N5284" i="7"/>
  <c r="N5264" i="7"/>
  <c r="H5211" i="7"/>
  <c r="N5204" i="7"/>
  <c r="N5244" i="7"/>
  <c r="H5167" i="7"/>
  <c r="N5160" i="7"/>
  <c r="H5242" i="7" l="1"/>
  <c r="H5231" i="7"/>
  <c r="H8519" i="7"/>
  <c r="H8516" i="7"/>
  <c r="H8518" i="7" s="1"/>
  <c r="L8513" i="7"/>
  <c r="B8513" i="7"/>
  <c r="L8380" i="7"/>
  <c r="H8384" i="7"/>
  <c r="B8380" i="7"/>
  <c r="H8383" i="7"/>
  <c r="J344" i="1" l="1"/>
  <c r="H8520" i="7"/>
  <c r="N8513" i="7"/>
  <c r="H8388" i="7"/>
  <c r="H8390" i="7" s="1"/>
  <c r="L7980" i="7"/>
  <c r="B7980" i="7"/>
  <c r="L7971" i="7"/>
  <c r="B7971" i="7"/>
  <c r="L7944" i="7"/>
  <c r="B7944" i="7"/>
  <c r="B7913" i="7"/>
  <c r="A7912" i="7"/>
  <c r="H7987" i="7"/>
  <c r="H7984" i="7"/>
  <c r="H7990" i="7" s="1"/>
  <c r="H7977" i="7"/>
  <c r="H7975" i="7"/>
  <c r="H7976" i="7" s="1"/>
  <c r="H7959" i="7"/>
  <c r="H7958" i="7"/>
  <c r="H7957" i="7"/>
  <c r="H7956" i="7"/>
  <c r="H7953" i="7"/>
  <c r="H7952" i="7"/>
  <c r="H7951" i="7"/>
  <c r="H7950" i="7"/>
  <c r="H7949" i="7"/>
  <c r="H7948" i="7"/>
  <c r="H7934" i="7"/>
  <c r="H7933" i="7"/>
  <c r="H7932" i="7"/>
  <c r="H7931" i="7"/>
  <c r="H7930" i="7"/>
  <c r="H7929" i="7"/>
  <c r="H7928" i="7"/>
  <c r="H7927" i="7"/>
  <c r="H7926" i="7"/>
  <c r="H7925" i="7"/>
  <c r="H7922" i="7"/>
  <c r="H7921" i="7"/>
  <c r="H7920" i="7"/>
  <c r="H7919" i="7"/>
  <c r="H7918" i="7"/>
  <c r="H7917" i="7"/>
  <c r="H7896" i="7"/>
  <c r="L7880" i="7"/>
  <c r="L7853" i="7"/>
  <c r="B7880" i="7"/>
  <c r="B7853" i="7"/>
  <c r="H7886" i="7"/>
  <c r="H7884" i="7"/>
  <c r="H7885" i="7" s="1"/>
  <c r="H7868" i="7"/>
  <c r="H7867" i="7"/>
  <c r="H7866" i="7"/>
  <c r="H7865" i="7"/>
  <c r="H7862" i="7"/>
  <c r="H7861" i="7"/>
  <c r="H7860" i="7"/>
  <c r="H7859" i="7"/>
  <c r="H7858" i="7"/>
  <c r="H7857" i="7"/>
  <c r="H7968" i="7" l="1"/>
  <c r="H7967" i="7"/>
  <c r="H7941" i="7"/>
  <c r="H7940" i="7"/>
  <c r="H7877" i="7"/>
  <c r="H7876" i="7"/>
  <c r="H7878" i="7" s="1"/>
  <c r="N8380" i="7"/>
  <c r="H7989" i="7"/>
  <c r="N7980" i="7" s="1"/>
  <c r="N7971" i="7"/>
  <c r="H7978" i="7"/>
  <c r="H7887" i="7"/>
  <c r="N7880" i="7"/>
  <c r="H7833" i="7"/>
  <c r="H7834" i="7"/>
  <c r="H7835" i="7"/>
  <c r="H7836" i="7"/>
  <c r="H7837" i="7"/>
  <c r="H7838" i="7"/>
  <c r="H7839" i="7"/>
  <c r="H7840" i="7"/>
  <c r="H7841" i="7"/>
  <c r="H7848" i="7"/>
  <c r="H7832" i="7"/>
  <c r="H7825" i="7"/>
  <c r="H7826" i="7"/>
  <c r="H7827" i="7"/>
  <c r="H7828" i="7"/>
  <c r="H7829" i="7"/>
  <c r="H7824" i="7"/>
  <c r="H7969" i="7" l="1"/>
  <c r="J609" i="1" s="1"/>
  <c r="N7944" i="7"/>
  <c r="H7850" i="7"/>
  <c r="H7849" i="7"/>
  <c r="H7991" i="7"/>
  <c r="H7942" i="7"/>
  <c r="N7853" i="7"/>
  <c r="L7820" i="7"/>
  <c r="B7820" i="7"/>
  <c r="H7680" i="7"/>
  <c r="H7676" i="7"/>
  <c r="H7677" i="7"/>
  <c r="L7670" i="7"/>
  <c r="B7670" i="7"/>
  <c r="H7683" i="7"/>
  <c r="H7681" i="7"/>
  <c r="H7675" i="7"/>
  <c r="L7655" i="7"/>
  <c r="B7655" i="7"/>
  <c r="H7661" i="7"/>
  <c r="H7660" i="7"/>
  <c r="B7624" i="7"/>
  <c r="L7624" i="7"/>
  <c r="H7628" i="7"/>
  <c r="H7633" i="7" s="1"/>
  <c r="L7612" i="7"/>
  <c r="B7612" i="7"/>
  <c r="H7621" i="7"/>
  <c r="H7619" i="7"/>
  <c r="H7616" i="7"/>
  <c r="L7585" i="7"/>
  <c r="B7585" i="7"/>
  <c r="H7610" i="7"/>
  <c r="H7608" i="7"/>
  <c r="H7607" i="7"/>
  <c r="H7606" i="7"/>
  <c r="H7605" i="7"/>
  <c r="H7604" i="7"/>
  <c r="H7603" i="7"/>
  <c r="H7602" i="7"/>
  <c r="H7601" i="7"/>
  <c r="H7598" i="7"/>
  <c r="H7597" i="7"/>
  <c r="H7596" i="7"/>
  <c r="H7595" i="7"/>
  <c r="H7594" i="7"/>
  <c r="H7593" i="7"/>
  <c r="H7592" i="7"/>
  <c r="H7591" i="7"/>
  <c r="H7590" i="7"/>
  <c r="H7589" i="7"/>
  <c r="H7562" i="7"/>
  <c r="H7563" i="7"/>
  <c r="H7564" i="7"/>
  <c r="H7565" i="7"/>
  <c r="H7566" i="7"/>
  <c r="H7567" i="7"/>
  <c r="H7568" i="7"/>
  <c r="H7569" i="7"/>
  <c r="H7570" i="7"/>
  <c r="H7573" i="7"/>
  <c r="H7574" i="7"/>
  <c r="H7575" i="7"/>
  <c r="H7576" i="7"/>
  <c r="H7577" i="7"/>
  <c r="H7578" i="7"/>
  <c r="H7579" i="7"/>
  <c r="H7580" i="7"/>
  <c r="H7561" i="7"/>
  <c r="L7557" i="7"/>
  <c r="B7557" i="7"/>
  <c r="H7582" i="7"/>
  <c r="L7530" i="7"/>
  <c r="H7535" i="7"/>
  <c r="H7536" i="7"/>
  <c r="H7537" i="7"/>
  <c r="H7538" i="7"/>
  <c r="H7539" i="7"/>
  <c r="H7540" i="7"/>
  <c r="H7541" i="7"/>
  <c r="H7542" i="7"/>
  <c r="H7545" i="7"/>
  <c r="H7546" i="7"/>
  <c r="H7547" i="7"/>
  <c r="H7548" i="7"/>
  <c r="H7549" i="7"/>
  <c r="H7550" i="7"/>
  <c r="H7533" i="7"/>
  <c r="B7530" i="7"/>
  <c r="H7554" i="7"/>
  <c r="H7552" i="7"/>
  <c r="H7534" i="7"/>
  <c r="L7482" i="7"/>
  <c r="B7482" i="7"/>
  <c r="H7491" i="7"/>
  <c r="H7489" i="7"/>
  <c r="H7488" i="7"/>
  <c r="H7487" i="7"/>
  <c r="H7486" i="7"/>
  <c r="H7473" i="7"/>
  <c r="H7474" i="7"/>
  <c r="H7475" i="7"/>
  <c r="H7476" i="7"/>
  <c r="H7477" i="7"/>
  <c r="H7466" i="7"/>
  <c r="H7467" i="7"/>
  <c r="H7468" i="7"/>
  <c r="H7469" i="7"/>
  <c r="H7470" i="7"/>
  <c r="H7471" i="7"/>
  <c r="H7465" i="7"/>
  <c r="L7461" i="7"/>
  <c r="B7461" i="7"/>
  <c r="L6483" i="7"/>
  <c r="B6483" i="7"/>
  <c r="H6489" i="7"/>
  <c r="E6487" i="7"/>
  <c r="H6487" i="7" s="1"/>
  <c r="H6488" i="7" s="1"/>
  <c r="E6479" i="7"/>
  <c r="H6479" i="7" s="1"/>
  <c r="L6475" i="7"/>
  <c r="B6475" i="7"/>
  <c r="H6481" i="7"/>
  <c r="H6469" i="7"/>
  <c r="H6470" i="7"/>
  <c r="L6461" i="7"/>
  <c r="H6465" i="7"/>
  <c r="H6466" i="7"/>
  <c r="B6461" i="7"/>
  <c r="H6472" i="7"/>
  <c r="H6467" i="7"/>
  <c r="H6457" i="7"/>
  <c r="H6458" i="7" s="1"/>
  <c r="L6453" i="7"/>
  <c r="A6450" i="7"/>
  <c r="A6451" i="7"/>
  <c r="H6459" i="7"/>
  <c r="H7478" i="7" l="1"/>
  <c r="H7479" i="7"/>
  <c r="H7668" i="7"/>
  <c r="H7667" i="7"/>
  <c r="H7851" i="7"/>
  <c r="N7820" i="7"/>
  <c r="H7682" i="7"/>
  <c r="H7635" i="7"/>
  <c r="N7624" i="7"/>
  <c r="H7620" i="7"/>
  <c r="H7622" i="7" s="1"/>
  <c r="H7609" i="7"/>
  <c r="H7611" i="7" s="1"/>
  <c r="H7581" i="7"/>
  <c r="H7583" i="7" s="1"/>
  <c r="H7553" i="7"/>
  <c r="H7555" i="7" s="1"/>
  <c r="H6490" i="7"/>
  <c r="H7490" i="7"/>
  <c r="N6483" i="7"/>
  <c r="H6460" i="7"/>
  <c r="H6471" i="7"/>
  <c r="H6473" i="7" s="1"/>
  <c r="H6480" i="7"/>
  <c r="H6482" i="7" s="1"/>
  <c r="N6453" i="7"/>
  <c r="H7458" i="7"/>
  <c r="L7451" i="7"/>
  <c r="H7456" i="7"/>
  <c r="H7455" i="7"/>
  <c r="B7451" i="7"/>
  <c r="H7444" i="7"/>
  <c r="L7440" i="7"/>
  <c r="B7440" i="7"/>
  <c r="L7335" i="7"/>
  <c r="H7340" i="7"/>
  <c r="H7339" i="7"/>
  <c r="B7335" i="7"/>
  <c r="H4332" i="7"/>
  <c r="H4326" i="7"/>
  <c r="H4329" i="7"/>
  <c r="H4304" i="7"/>
  <c r="H4115" i="7"/>
  <c r="H4113" i="7"/>
  <c r="H4111" i="7"/>
  <c r="H4109" i="7"/>
  <c r="H3064" i="7"/>
  <c r="H3062" i="7"/>
  <c r="H2891" i="7"/>
  <c r="H2889" i="7"/>
  <c r="J603" i="1" l="1"/>
  <c r="J466" i="1"/>
  <c r="J469" i="1"/>
  <c r="J470" i="1"/>
  <c r="H7480" i="7"/>
  <c r="H7669" i="7"/>
  <c r="H7447" i="7"/>
  <c r="H7448" i="7"/>
  <c r="H7684" i="7"/>
  <c r="N7670" i="7"/>
  <c r="N7655" i="7"/>
  <c r="N7612" i="7"/>
  <c r="N7585" i="7"/>
  <c r="N7557" i="7"/>
  <c r="N7530" i="7"/>
  <c r="H7492" i="7"/>
  <c r="N7482" i="7"/>
  <c r="N7461" i="7"/>
  <c r="N6461" i="7"/>
  <c r="H7457" i="7"/>
  <c r="H7459" i="7" s="1"/>
  <c r="H7343" i="7"/>
  <c r="H7345" i="7" s="1"/>
  <c r="N6475" i="7"/>
  <c r="J585" i="1" l="1"/>
  <c r="J602" i="1"/>
  <c r="J467" i="1"/>
  <c r="J587" i="1"/>
  <c r="H7449" i="7"/>
  <c r="N7440" i="7"/>
  <c r="N7335" i="7"/>
  <c r="N7451" i="7"/>
  <c r="K566" i="1"/>
  <c r="K244" i="1"/>
  <c r="K235" i="1"/>
  <c r="K188" i="1"/>
  <c r="K167" i="1"/>
  <c r="J576" i="1" l="1"/>
  <c r="K576" i="1"/>
  <c r="J574" i="1" l="1"/>
  <c r="P559" i="1"/>
  <c r="K383" i="1"/>
  <c r="H3103" i="7"/>
  <c r="N8544" i="7"/>
  <c r="N8542" i="7"/>
  <c r="N8538" i="7"/>
  <c r="N8537" i="7"/>
  <c r="N8536" i="7"/>
  <c r="N8535" i="7"/>
  <c r="H8567" i="7"/>
  <c r="H8565" i="7"/>
  <c r="H8564" i="7"/>
  <c r="H8563" i="7"/>
  <c r="H8561" i="7"/>
  <c r="H8560" i="7"/>
  <c r="H8559" i="7"/>
  <c r="H8558" i="7"/>
  <c r="H8527" i="7" l="1"/>
  <c r="H8447" i="7"/>
  <c r="H8446" i="7"/>
  <c r="H8396" i="7"/>
  <c r="H8395" i="7"/>
  <c r="H8312" i="7"/>
  <c r="H8314" i="7" s="1"/>
  <c r="N8309" i="7" s="1"/>
  <c r="H8439" i="7" l="1"/>
  <c r="H8440" i="7"/>
  <c r="H8448" i="7"/>
  <c r="N8443" i="7" s="1"/>
  <c r="H8316" i="7"/>
  <c r="H7329" i="7"/>
  <c r="H8441" i="7" l="1"/>
  <c r="H8450" i="7"/>
  <c r="N8392" i="7"/>
  <c r="H7331" i="7"/>
  <c r="H7333" i="7" s="1"/>
  <c r="H6756" i="7"/>
  <c r="H6755" i="7"/>
  <c r="H5258" i="7"/>
  <c r="N7324" i="7" l="1"/>
  <c r="H4274" i="7"/>
  <c r="H4263" i="7"/>
  <c r="H3350" i="7"/>
  <c r="H3063" i="7"/>
  <c r="H3066" i="7" l="1"/>
  <c r="H3065" i="7"/>
  <c r="H2738" i="7"/>
  <c r="H2739" i="7"/>
  <c r="H2740" i="7"/>
  <c r="H2741" i="7"/>
  <c r="H2742" i="7"/>
  <c r="L2724" i="7"/>
  <c r="H2728" i="7"/>
  <c r="H2732" i="7" s="1"/>
  <c r="H2730" i="7"/>
  <c r="H2743" i="7"/>
  <c r="H2719" i="7"/>
  <c r="H2662" i="7"/>
  <c r="H2607" i="7"/>
  <c r="H3067" i="7" l="1"/>
  <c r="H2744" i="7"/>
  <c r="N2735" i="7" s="1"/>
  <c r="H2629" i="7"/>
  <c r="H2628" i="7"/>
  <c r="H2746" i="7" l="1"/>
  <c r="H2630" i="7"/>
  <c r="H2632" i="7" l="1"/>
  <c r="N2626" i="7"/>
  <c r="H8526" i="7" l="1"/>
  <c r="H8528" i="7" s="1"/>
  <c r="H7385" i="7"/>
  <c r="H7384" i="7"/>
  <c r="H7383" i="7"/>
  <c r="N8521" i="7" l="1"/>
  <c r="H7382" i="7"/>
  <c r="H7381" i="7"/>
  <c r="H7380" i="7"/>
  <c r="H7379" i="7"/>
  <c r="H7378" i="7" l="1"/>
  <c r="H7373" i="7"/>
  <c r="H7374" i="7"/>
  <c r="H7375" i="7"/>
  <c r="H7376" i="7"/>
  <c r="H7372" i="7"/>
  <c r="H6796" i="7"/>
  <c r="L6791" i="7"/>
  <c r="H6517" i="7"/>
  <c r="H6515" i="7"/>
  <c r="H6514" i="7"/>
  <c r="H7783" i="7"/>
  <c r="H7773" i="7"/>
  <c r="H7816" i="7"/>
  <c r="H7813" i="7"/>
  <c r="H7815" i="7" s="1"/>
  <c r="N7809" i="7" s="1"/>
  <c r="H7795" i="7"/>
  <c r="H7792" i="7"/>
  <c r="H7794" i="7" s="1"/>
  <c r="H7775" i="7"/>
  <c r="H7772" i="7"/>
  <c r="H7785" i="7"/>
  <c r="H7782" i="7"/>
  <c r="H7774" i="7" l="1"/>
  <c r="H7776" i="7" s="1"/>
  <c r="H7784" i="7"/>
  <c r="H7786" i="7" s="1"/>
  <c r="H7796" i="7"/>
  <c r="N7788" i="7"/>
  <c r="H7817" i="7"/>
  <c r="H6807" i="7"/>
  <c r="N6801" i="7" s="1"/>
  <c r="H6797" i="7"/>
  <c r="H6516" i="7"/>
  <c r="H6518" i="7" s="1"/>
  <c r="N7778" i="7" l="1"/>
  <c r="N7768" i="7"/>
  <c r="H6809" i="7"/>
  <c r="N6511" i="7"/>
  <c r="H6799" i="7"/>
  <c r="N6791" i="7"/>
  <c r="H7111" i="7" l="1"/>
  <c r="H6407" i="7"/>
  <c r="H6397" i="7"/>
  <c r="H5883" i="7"/>
  <c r="H5860" i="7"/>
  <c r="H5819" i="7"/>
  <c r="H5794" i="7"/>
  <c r="H5793" i="7"/>
  <c r="H5791" i="7"/>
  <c r="H4339" i="7"/>
  <c r="H4103" i="7"/>
  <c r="H4095" i="7"/>
  <c r="H4117" i="7"/>
  <c r="H4107" i="7"/>
  <c r="H4105" i="7"/>
  <c r="H4101" i="7"/>
  <c r="H3349" i="7"/>
  <c r="H3348" i="7"/>
  <c r="H3347" i="7"/>
  <c r="H3036" i="7"/>
  <c r="H3034" i="7"/>
  <c r="H3033" i="7"/>
  <c r="H2959" i="7" l="1"/>
  <c r="H2949" i="7"/>
  <c r="H2961" i="7"/>
  <c r="H2957" i="7"/>
  <c r="H2943" i="7"/>
  <c r="H2942" i="7"/>
  <c r="H2935" i="7"/>
  <c r="H2934" i="7"/>
  <c r="N2930" i="7" s="1"/>
  <c r="H2927" i="7"/>
  <c r="H2926" i="7"/>
  <c r="H2919" i="7"/>
  <c r="H2918" i="7"/>
  <c r="N2914" i="7" s="1"/>
  <c r="H2911" i="7"/>
  <c r="H2910" i="7"/>
  <c r="H2903" i="7"/>
  <c r="H2902" i="7"/>
  <c r="H2880" i="7"/>
  <c r="H2870" i="7"/>
  <c r="H2494" i="7"/>
  <c r="K623" i="1"/>
  <c r="K351" i="1"/>
  <c r="K384" i="1"/>
  <c r="K675" i="1" l="1"/>
  <c r="H2960" i="7"/>
  <c r="N2955" i="7" s="1"/>
  <c r="H2944" i="7"/>
  <c r="N2938" i="7"/>
  <c r="H2920" i="7"/>
  <c r="H2936" i="7"/>
  <c r="H2928" i="7"/>
  <c r="N2922" i="7"/>
  <c r="H2912" i="7"/>
  <c r="N2906" i="7"/>
  <c r="H2904" i="7"/>
  <c r="N2898" i="7"/>
  <c r="H8104" i="7"/>
  <c r="H8099" i="7"/>
  <c r="H8098" i="7"/>
  <c r="H8096" i="7"/>
  <c r="H8095" i="7"/>
  <c r="H8088" i="7"/>
  <c r="N8082" i="7" s="1"/>
  <c r="H8076" i="7"/>
  <c r="H8075" i="7"/>
  <c r="H8060" i="7"/>
  <c r="H8059" i="7"/>
  <c r="H8044" i="7"/>
  <c r="H8043" i="7"/>
  <c r="H7524" i="7"/>
  <c r="H7525" i="7"/>
  <c r="H7523" i="7"/>
  <c r="H7499" i="7"/>
  <c r="H7500" i="7"/>
  <c r="H7501" i="7"/>
  <c r="H7502" i="7"/>
  <c r="H7503" i="7"/>
  <c r="H7504" i="7"/>
  <c r="H7505" i="7"/>
  <c r="H7506" i="7"/>
  <c r="H7507" i="7"/>
  <c r="H7510" i="7"/>
  <c r="H7511" i="7"/>
  <c r="H7512" i="7"/>
  <c r="H7513" i="7"/>
  <c r="H7514" i="7"/>
  <c r="H7515" i="7"/>
  <c r="H7527" i="7"/>
  <c r="H7517" i="7"/>
  <c r="H7318" i="7"/>
  <c r="H7317" i="7"/>
  <c r="H7308" i="7"/>
  <c r="H7307" i="7"/>
  <c r="H7287" i="7"/>
  <c r="H7294" i="7"/>
  <c r="H7291" i="7"/>
  <c r="H7290" i="7"/>
  <c r="H7293" i="7"/>
  <c r="H7292" i="7"/>
  <c r="H7289" i="7"/>
  <c r="H7122" i="7"/>
  <c r="H7120" i="7"/>
  <c r="H6996" i="7"/>
  <c r="H6998" i="7" s="1"/>
  <c r="H6987" i="7"/>
  <c r="H6989" i="7" s="1"/>
  <c r="H6999" i="7"/>
  <c r="H6990" i="7"/>
  <c r="H6981" i="7"/>
  <c r="H6978" i="7"/>
  <c r="H6980" i="7" s="1"/>
  <c r="H6524" i="7"/>
  <c r="H6447" i="7"/>
  <c r="H6446" i="7"/>
  <c r="N6440" i="7" s="1"/>
  <c r="H6437" i="7"/>
  <c r="H6436" i="7"/>
  <c r="N6430" i="7" s="1"/>
  <c r="H6427" i="7"/>
  <c r="H6426" i="7"/>
  <c r="N6420" i="7" s="1"/>
  <c r="H6417" i="7"/>
  <c r="H6416" i="7"/>
  <c r="H6406" i="7"/>
  <c r="H6352" i="7"/>
  <c r="H6351" i="7"/>
  <c r="H6325" i="7"/>
  <c r="H6324" i="7"/>
  <c r="H6307" i="7"/>
  <c r="H6167" i="7"/>
  <c r="H6156" i="7"/>
  <c r="H6155" i="7"/>
  <c r="H6154" i="7"/>
  <c r="H6130" i="7"/>
  <c r="H6119" i="7"/>
  <c r="H6070" i="7"/>
  <c r="H6069" i="7"/>
  <c r="H6047" i="7"/>
  <c r="H2962" i="7" l="1"/>
  <c r="H7526" i="7"/>
  <c r="N7520" i="7" s="1"/>
  <c r="N8092" i="7"/>
  <c r="H8090" i="7"/>
  <c r="H7516" i="7"/>
  <c r="H7518" i="7" s="1"/>
  <c r="H6982" i="7"/>
  <c r="H6418" i="7"/>
  <c r="H7320" i="7"/>
  <c r="H6428" i="7"/>
  <c r="H7133" i="7"/>
  <c r="H7123" i="7"/>
  <c r="H6448" i="7"/>
  <c r="H6408" i="7"/>
  <c r="H6438" i="7"/>
  <c r="H6991" i="7"/>
  <c r="N6983" i="7"/>
  <c r="H7000" i="7"/>
  <c r="N6992" i="7"/>
  <c r="N6974" i="7"/>
  <c r="N6410" i="7"/>
  <c r="N6400" i="7"/>
  <c r="H5966" i="7"/>
  <c r="H5965" i="7"/>
  <c r="H5913" i="7"/>
  <c r="H5912" i="7"/>
  <c r="N5905" i="7" s="1"/>
  <c r="H5903" i="7"/>
  <c r="H5902" i="7"/>
  <c r="H5893" i="7"/>
  <c r="H5892" i="7"/>
  <c r="H5882" i="7"/>
  <c r="H5872" i="7"/>
  <c r="H5870" i="7"/>
  <c r="H5871" i="7" s="1"/>
  <c r="H7528" i="7" l="1"/>
  <c r="H8106" i="7"/>
  <c r="N7495" i="7"/>
  <c r="H7322" i="7"/>
  <c r="N7313" i="7"/>
  <c r="H5894" i="7"/>
  <c r="H7135" i="7"/>
  <c r="N7127" i="7"/>
  <c r="H5884" i="7"/>
  <c r="H7125" i="7"/>
  <c r="N7116" i="7"/>
  <c r="H5914" i="7"/>
  <c r="H5904" i="7"/>
  <c r="H5873" i="7"/>
  <c r="N5895" i="7"/>
  <c r="N5885" i="7"/>
  <c r="N5875" i="7"/>
  <c r="N5865" i="7"/>
  <c r="H5781" i="7"/>
  <c r="H5780" i="7"/>
  <c r="H5773" i="7"/>
  <c r="H5772" i="7"/>
  <c r="H5601" i="7"/>
  <c r="H5600" i="7"/>
  <c r="H5278" i="7"/>
  <c r="H5257" i="7"/>
  <c r="H5171" i="7"/>
  <c r="H5173" i="7" s="1"/>
  <c r="H5175" i="7" s="1"/>
  <c r="H5774" i="7" l="1"/>
  <c r="H5776" i="7" s="1"/>
  <c r="H5782" i="7"/>
  <c r="H5784" i="7" s="1"/>
  <c r="N5168" i="7"/>
  <c r="H5085" i="7"/>
  <c r="H5097" i="7"/>
  <c r="N5091" i="7" s="1"/>
  <c r="H5105" i="7"/>
  <c r="H5113" i="7"/>
  <c r="H5121" i="7"/>
  <c r="H4353" i="7"/>
  <c r="N5769" i="7" l="1"/>
  <c r="N5777" i="7"/>
  <c r="H5099" i="7"/>
  <c r="H5088" i="7"/>
  <c r="N5108" i="7"/>
  <c r="N5100" i="7"/>
  <c r="H5107" i="7"/>
  <c r="H5115" i="7"/>
  <c r="N5116" i="7"/>
  <c r="H5123" i="7"/>
  <c r="N5082" i="7" l="1"/>
  <c r="H5090" i="7"/>
  <c r="H3084" i="7" l="1"/>
  <c r="H3050" i="7"/>
  <c r="H3047" i="7"/>
  <c r="H3049" i="7"/>
  <c r="H2987" i="7"/>
  <c r="H2985" i="7"/>
  <c r="H2984" i="7"/>
  <c r="H2861" i="7" l="1"/>
  <c r="H2103" i="7"/>
  <c r="H2102" i="7"/>
  <c r="N2854" i="7" l="1"/>
  <c r="H2863" i="7"/>
  <c r="H1151" i="7" l="1"/>
  <c r="H1104" i="7"/>
  <c r="M297" i="1" l="1"/>
  <c r="H8735" i="7"/>
  <c r="H8726" i="7"/>
  <c r="L8732" i="7"/>
  <c r="L8723" i="7"/>
  <c r="H8556" i="7" l="1"/>
  <c r="H8554" i="7"/>
  <c r="H8553" i="7"/>
  <c r="H8552" i="7"/>
  <c r="H8550" i="7"/>
  <c r="H8549" i="7"/>
  <c r="H8548" i="7"/>
  <c r="H8547" i="7"/>
  <c r="H6375" i="7"/>
  <c r="H6374" i="7"/>
  <c r="H6373" i="7"/>
  <c r="H6372" i="7"/>
  <c r="H6364" i="7"/>
  <c r="H6343" i="7"/>
  <c r="H6342" i="7"/>
  <c r="H6334" i="7"/>
  <c r="H6315" i="7"/>
  <c r="H6306" i="7"/>
  <c r="H6297" i="7"/>
  <c r="H6187" i="7"/>
  <c r="H6197" i="7"/>
  <c r="H6206" i="7"/>
  <c r="H6260" i="7"/>
  <c r="H6278" i="7"/>
  <c r="L6274" i="7"/>
  <c r="L6265" i="7"/>
  <c r="L6256" i="7"/>
  <c r="L6247" i="7"/>
  <c r="L6238" i="7"/>
  <c r="L6229" i="7"/>
  <c r="L6220" i="7"/>
  <c r="L6211" i="7"/>
  <c r="L6202" i="7"/>
  <c r="L6193" i="7"/>
  <c r="L6183" i="7"/>
  <c r="L6174" i="7"/>
  <c r="B6274" i="7"/>
  <c r="B6265" i="7"/>
  <c r="B6256" i="7"/>
  <c r="B6247" i="7"/>
  <c r="B6238" i="7"/>
  <c r="B6229" i="7"/>
  <c r="B6220" i="7"/>
  <c r="B6211" i="7"/>
  <c r="B6202" i="7"/>
  <c r="B6193" i="7"/>
  <c r="B6174" i="7"/>
  <c r="B6183" i="7"/>
  <c r="H6280" i="7"/>
  <c r="H6277" i="7"/>
  <c r="H6271" i="7"/>
  <c r="H6268" i="7"/>
  <c r="H6270" i="7" s="1"/>
  <c r="H6262" i="7"/>
  <c r="H6259" i="7"/>
  <c r="H6253" i="7"/>
  <c r="H6250" i="7"/>
  <c r="H6252" i="7" s="1"/>
  <c r="H6244" i="7"/>
  <c r="H6241" i="7"/>
  <c r="H6243" i="7" s="1"/>
  <c r="H6235" i="7"/>
  <c r="H6232" i="7"/>
  <c r="H6234" i="7" s="1"/>
  <c r="H6226" i="7"/>
  <c r="H6223" i="7"/>
  <c r="H6225" i="7" s="1"/>
  <c r="H6217" i="7"/>
  <c r="H6214" i="7"/>
  <c r="H6216" i="7" s="1"/>
  <c r="H6208" i="7"/>
  <c r="H6205" i="7"/>
  <c r="H6199" i="7"/>
  <c r="H6196" i="7"/>
  <c r="H6190" i="7"/>
  <c r="H6186" i="7"/>
  <c r="H6180" i="7"/>
  <c r="H6177" i="7"/>
  <c r="H6179" i="7" s="1"/>
  <c r="H6152" i="7"/>
  <c r="H6151" i="7"/>
  <c r="H6150" i="7"/>
  <c r="H6129" i="7"/>
  <c r="H6118" i="7"/>
  <c r="H6107" i="7"/>
  <c r="H6108" i="7"/>
  <c r="H6106" i="7"/>
  <c r="H6096" i="7"/>
  <c r="H6097" i="7"/>
  <c r="H6095" i="7"/>
  <c r="H6035" i="7"/>
  <c r="H6034" i="7"/>
  <c r="H5989" i="7"/>
  <c r="H5988" i="7"/>
  <c r="H5256" i="7"/>
  <c r="H5189" i="7"/>
  <c r="H5191" i="7" s="1"/>
  <c r="H5193" i="7" s="1"/>
  <c r="H5146" i="7"/>
  <c r="H5148" i="7" s="1"/>
  <c r="H4338" i="7"/>
  <c r="L4335" i="7"/>
  <c r="L4321" i="7"/>
  <c r="H4325" i="7"/>
  <c r="H4314" i="7"/>
  <c r="H4311" i="7"/>
  <c r="H4298" i="7"/>
  <c r="H4303" i="7" s="1"/>
  <c r="L4281" i="7"/>
  <c r="L4270" i="7"/>
  <c r="H4273" i="7"/>
  <c r="L4259" i="7"/>
  <c r="H4262" i="7"/>
  <c r="H4253" i="7"/>
  <c r="L4250" i="7"/>
  <c r="H4288" i="7"/>
  <c r="H4285" i="7"/>
  <c r="H4254" i="7"/>
  <c r="H3022" i="7"/>
  <c r="H3023" i="7"/>
  <c r="H3024" i="7"/>
  <c r="H3025" i="7"/>
  <c r="H3026" i="7"/>
  <c r="H3028" i="7"/>
  <c r="H3029" i="7"/>
  <c r="H3030" i="7"/>
  <c r="H3031" i="7"/>
  <c r="H3021" i="7"/>
  <c r="H3077" i="7"/>
  <c r="H3056" i="7"/>
  <c r="H3055" i="7"/>
  <c r="H3083" i="7"/>
  <c r="H3091" i="7" s="1"/>
  <c r="H2718" i="7"/>
  <c r="H2717" i="7"/>
  <c r="H2716" i="7"/>
  <c r="H2715" i="7"/>
  <c r="H2714" i="7"/>
  <c r="H2713" i="7"/>
  <c r="H2712" i="7"/>
  <c r="H2711" i="7"/>
  <c r="H2710" i="7"/>
  <c r="H2709" i="7"/>
  <c r="H2708" i="7"/>
  <c r="H2707" i="7"/>
  <c r="H2680" i="7"/>
  <c r="H2679" i="7"/>
  <c r="H2678" i="7"/>
  <c r="F147" i="1"/>
  <c r="H2661" i="7"/>
  <c r="H2660" i="7"/>
  <c r="H2659" i="7"/>
  <c r="H2658" i="7"/>
  <c r="H2657" i="7"/>
  <c r="H2656" i="7"/>
  <c r="H2655" i="7"/>
  <c r="H2643" i="7"/>
  <c r="H2642" i="7"/>
  <c r="H2620" i="7"/>
  <c r="H2619" i="7"/>
  <c r="H2618" i="7"/>
  <c r="H2606" i="7"/>
  <c r="H2605" i="7"/>
  <c r="H2604" i="7"/>
  <c r="H2603" i="7"/>
  <c r="H2602" i="7"/>
  <c r="H2601" i="7"/>
  <c r="H2600" i="7"/>
  <c r="H2599" i="7"/>
  <c r="H2598" i="7"/>
  <c r="H2597" i="7"/>
  <c r="H2596" i="7"/>
  <c r="H2595" i="7"/>
  <c r="H2594" i="7"/>
  <c r="H2593" i="7"/>
  <c r="H2592" i="7"/>
  <c r="H2591" i="7"/>
  <c r="H2590" i="7"/>
  <c r="H2589" i="7"/>
  <c r="H2588" i="7"/>
  <c r="H2562" i="7"/>
  <c r="H2561" i="7"/>
  <c r="H2572" i="7"/>
  <c r="I2166" i="7"/>
  <c r="N147" i="1" l="1"/>
  <c r="J147" i="1"/>
  <c r="H5260" i="7"/>
  <c r="N5253" i="7" s="1"/>
  <c r="H5261" i="7"/>
  <c r="H4331" i="7"/>
  <c r="N4294" i="7"/>
  <c r="H4305" i="7"/>
  <c r="H3041" i="7"/>
  <c r="H3040" i="7"/>
  <c r="H6189" i="7"/>
  <c r="N6183" i="7" s="1"/>
  <c r="H6261" i="7"/>
  <c r="H6263" i="7" s="1"/>
  <c r="H6198" i="7"/>
  <c r="H6200" i="7" s="1"/>
  <c r="H6207" i="7"/>
  <c r="N6202" i="7" s="1"/>
  <c r="H6279" i="7"/>
  <c r="N6274" i="7" s="1"/>
  <c r="H6272" i="7"/>
  <c r="N6265" i="7"/>
  <c r="H6254" i="7"/>
  <c r="N6247" i="7"/>
  <c r="H6245" i="7"/>
  <c r="N6238" i="7"/>
  <c r="H6236" i="7"/>
  <c r="N6229" i="7"/>
  <c r="H6227" i="7"/>
  <c r="N6220" i="7"/>
  <c r="H6218" i="7"/>
  <c r="N6211" i="7"/>
  <c r="H6181" i="7"/>
  <c r="N6174" i="7"/>
  <c r="H4342" i="7"/>
  <c r="N5186" i="7"/>
  <c r="H5150" i="7"/>
  <c r="N5143" i="7"/>
  <c r="H4341" i="7"/>
  <c r="H4316" i="7"/>
  <c r="H4317" i="7"/>
  <c r="H4277" i="7"/>
  <c r="H4265" i="7"/>
  <c r="H4276" i="7"/>
  <c r="H4290" i="7"/>
  <c r="H4256" i="7"/>
  <c r="H4258" i="7" s="1"/>
  <c r="H3078" i="7"/>
  <c r="N3070" i="7"/>
  <c r="N3060" i="7"/>
  <c r="H3057" i="7"/>
  <c r="N3044" i="7"/>
  <c r="H5262" i="7" l="1"/>
  <c r="H4292" i="7"/>
  <c r="N4307" i="7"/>
  <c r="H4333" i="7"/>
  <c r="N4281" i="7"/>
  <c r="K247" i="1"/>
  <c r="H3042" i="7"/>
  <c r="H6191" i="7"/>
  <c r="N6256" i="7"/>
  <c r="N6193" i="7"/>
  <c r="H6209" i="7"/>
  <c r="H6281" i="7"/>
  <c r="H4343" i="7"/>
  <c r="N4321" i="7"/>
  <c r="N4335" i="7"/>
  <c r="H4318" i="7"/>
  <c r="H4267" i="7"/>
  <c r="N4259" i="7"/>
  <c r="H4278" i="7"/>
  <c r="N4270" i="7"/>
  <c r="N4250" i="7"/>
  <c r="N3018" i="7"/>
  <c r="J245" i="1" l="1"/>
  <c r="G73" i="1"/>
  <c r="H1149" i="7"/>
  <c r="H1103" i="7"/>
  <c r="H1000" i="7"/>
  <c r="K678" i="1"/>
  <c r="K662" i="1"/>
  <c r="K667" i="1"/>
  <c r="K668" i="1"/>
  <c r="K669" i="1"/>
  <c r="K670" i="1"/>
  <c r="M675" i="1"/>
  <c r="K676" i="1"/>
  <c r="K677" i="1"/>
  <c r="K9" i="1"/>
  <c r="K245" i="1" l="1"/>
  <c r="M245" i="1" s="1"/>
  <c r="K248" i="1"/>
  <c r="M670" i="1"/>
  <c r="M669" i="1"/>
  <c r="M677" i="1"/>
  <c r="M676" i="1"/>
  <c r="M668" i="1"/>
  <c r="M678" i="1"/>
  <c r="M667" i="1"/>
  <c r="H8681" i="7" l="1"/>
  <c r="H8683" i="7" s="1"/>
  <c r="H8685" i="7" s="1"/>
  <c r="L8663" i="7"/>
  <c r="H8671" i="7"/>
  <c r="H8667" i="7"/>
  <c r="H8668" i="7"/>
  <c r="H8669" i="7"/>
  <c r="H8670" i="7"/>
  <c r="H8672" i="7"/>
  <c r="H8666" i="7"/>
  <c r="L8654" i="7"/>
  <c r="H8658" i="7"/>
  <c r="H8657" i="7"/>
  <c r="H8649" i="7"/>
  <c r="H8648" i="7"/>
  <c r="L8645" i="7"/>
  <c r="H8746" i="7"/>
  <c r="H8748" i="7" s="1"/>
  <c r="H8737" i="7"/>
  <c r="H8739" i="7" s="1"/>
  <c r="H8728" i="7"/>
  <c r="H8730" i="7" s="1"/>
  <c r="H8719" i="7"/>
  <c r="N8714" i="7" s="1"/>
  <c r="H8710" i="7"/>
  <c r="H8712" i="7" s="1"/>
  <c r="H8701" i="7"/>
  <c r="H8703" i="7" s="1"/>
  <c r="H8692" i="7"/>
  <c r="N8687" i="7" s="1"/>
  <c r="H8641" i="7"/>
  <c r="H8643" i="7" s="1"/>
  <c r="H8632" i="7"/>
  <c r="N8627" i="7" s="1"/>
  <c r="H8623" i="7"/>
  <c r="N8618" i="7" s="1"/>
  <c r="H8507" i="7"/>
  <c r="H8509" i="7" s="1"/>
  <c r="H8498" i="7"/>
  <c r="N8493" i="7" s="1"/>
  <c r="H8489" i="7"/>
  <c r="H8491" i="7" s="1"/>
  <c r="H8480" i="7"/>
  <c r="N8475" i="7" s="1"/>
  <c r="H8471" i="7"/>
  <c r="N8466" i="7" s="1"/>
  <c r="N8732" i="7" l="1"/>
  <c r="H8674" i="7"/>
  <c r="N8663" i="7" s="1"/>
  <c r="H8634" i="7"/>
  <c r="H8650" i="7"/>
  <c r="H8652" i="7" s="1"/>
  <c r="H8659" i="7"/>
  <c r="N8654" i="7" s="1"/>
  <c r="N8741" i="7"/>
  <c r="N8723" i="7"/>
  <c r="H8721" i="7"/>
  <c r="N8705" i="7"/>
  <c r="N8696" i="7"/>
  <c r="H8694" i="7"/>
  <c r="N8636" i="7"/>
  <c r="H8625" i="7"/>
  <c r="N8502" i="7"/>
  <c r="H8500" i="7"/>
  <c r="N8484" i="7"/>
  <c r="H8482" i="7"/>
  <c r="H8473" i="7"/>
  <c r="H8676" i="7" l="1"/>
  <c r="N8645" i="7"/>
  <c r="H8661" i="7"/>
  <c r="H6333" i="7" l="1"/>
  <c r="H6335" i="7" s="1"/>
  <c r="H6305" i="7"/>
  <c r="H6296" i="7"/>
  <c r="H6287" i="7"/>
  <c r="H6289" i="7" s="1"/>
  <c r="H6354" i="7"/>
  <c r="H6353" i="7"/>
  <c r="H6345" i="7"/>
  <c r="H6344" i="7"/>
  <c r="H6336" i="7"/>
  <c r="H6327" i="7"/>
  <c r="H6326" i="7"/>
  <c r="H6318" i="7"/>
  <c r="H6317" i="7"/>
  <c r="H6290" i="7"/>
  <c r="H5140" i="7"/>
  <c r="H4555" i="7"/>
  <c r="H4557" i="7" s="1"/>
  <c r="H4559" i="7" s="1"/>
  <c r="H4151" i="7"/>
  <c r="H4152" i="7"/>
  <c r="H4153" i="7"/>
  <c r="H4154" i="7"/>
  <c r="H4155" i="7"/>
  <c r="H4156" i="7"/>
  <c r="H4157" i="7"/>
  <c r="H4159" i="7"/>
  <c r="H4160" i="7"/>
  <c r="H4161" i="7"/>
  <c r="H6309" i="7" l="1"/>
  <c r="H6308" i="7"/>
  <c r="H6346" i="7"/>
  <c r="H6328" i="7"/>
  <c r="H6298" i="7"/>
  <c r="H6299" i="7"/>
  <c r="H6319" i="7"/>
  <c r="N6321" i="7"/>
  <c r="N6312" i="7"/>
  <c r="H6337" i="7"/>
  <c r="H6355" i="7"/>
  <c r="N6348" i="7"/>
  <c r="N6330" i="7"/>
  <c r="N6339" i="7"/>
  <c r="H6291" i="7"/>
  <c r="N6284" i="7"/>
  <c r="N4552" i="7"/>
  <c r="H6310" i="7" l="1"/>
  <c r="N6302" i="7"/>
  <c r="H6300" i="7"/>
  <c r="N6293" i="7"/>
  <c r="C4127" i="7"/>
  <c r="H4127" i="7" s="1"/>
  <c r="H4099" i="7"/>
  <c r="H4097" i="7"/>
  <c r="H4093" i="7"/>
  <c r="H4091" i="7"/>
  <c r="H4089" i="7"/>
  <c r="H4087" i="7"/>
  <c r="H3959" i="7"/>
  <c r="H3960" i="7"/>
  <c r="H3961" i="7"/>
  <c r="H3962" i="7"/>
  <c r="H3963" i="7"/>
  <c r="H3958" i="7"/>
  <c r="L3955" i="7"/>
  <c r="H3949" i="7"/>
  <c r="H3948" i="7"/>
  <c r="H3947" i="7"/>
  <c r="H3946" i="7"/>
  <c r="H3944" i="7"/>
  <c r="H3943" i="7"/>
  <c r="H3942" i="7"/>
  <c r="H3941" i="7"/>
  <c r="H3940" i="7"/>
  <c r="C3938" i="7"/>
  <c r="H3938" i="7" s="1"/>
  <c r="C3937" i="7"/>
  <c r="H3937" i="7" s="1"/>
  <c r="C3936" i="7"/>
  <c r="H3936" i="7" s="1"/>
  <c r="H3935" i="7"/>
  <c r="H3934" i="7"/>
  <c r="H3933" i="7"/>
  <c r="H3932" i="7"/>
  <c r="H3931" i="7"/>
  <c r="H3930" i="7"/>
  <c r="C3929" i="7"/>
  <c r="H3929" i="7" s="1"/>
  <c r="C3928" i="7"/>
  <c r="H3928" i="7" s="1"/>
  <c r="H3926" i="7"/>
  <c r="H3925" i="7"/>
  <c r="H3924" i="7"/>
  <c r="H3923" i="7"/>
  <c r="H3922" i="7"/>
  <c r="H3921" i="7"/>
  <c r="H3920" i="7"/>
  <c r="H3919" i="7"/>
  <c r="H3918" i="7"/>
  <c r="H3917" i="7"/>
  <c r="H3916" i="7"/>
  <c r="H3915" i="7"/>
  <c r="H3914" i="7"/>
  <c r="H3913" i="7"/>
  <c r="H3912" i="7"/>
  <c r="H3911" i="7"/>
  <c r="H3910" i="7"/>
  <c r="H3908" i="7"/>
  <c r="H3907" i="7"/>
  <c r="H3906" i="7"/>
  <c r="H3905" i="7"/>
  <c r="H3904" i="7"/>
  <c r="H3903" i="7"/>
  <c r="H3902" i="7"/>
  <c r="H3901" i="7"/>
  <c r="H3900" i="7"/>
  <c r="H3899" i="7"/>
  <c r="H3898" i="7"/>
  <c r="L3894" i="7"/>
  <c r="H3966" i="7" l="1"/>
  <c r="H3965" i="7"/>
  <c r="H3952" i="7"/>
  <c r="H3951" i="7"/>
  <c r="H3953" i="7" l="1"/>
  <c r="N3894" i="7"/>
  <c r="H3386" i="7"/>
  <c r="H3387" i="7"/>
  <c r="H3388" i="7"/>
  <c r="H3389" i="7"/>
  <c r="H3390" i="7"/>
  <c r="H3391" i="7"/>
  <c r="H3392" i="7"/>
  <c r="H3393" i="7"/>
  <c r="H3394" i="7"/>
  <c r="H3395" i="7"/>
  <c r="H3396" i="7"/>
  <c r="H3397" i="7"/>
  <c r="H3398" i="7"/>
  <c r="H3399" i="7"/>
  <c r="H3400" i="7"/>
  <c r="H3401" i="7"/>
  <c r="H3402" i="7"/>
  <c r="H3403" i="7"/>
  <c r="H3404" i="7"/>
  <c r="H3405" i="7"/>
  <c r="H3406" i="7"/>
  <c r="H3346" i="7" l="1"/>
  <c r="H3345" i="7"/>
  <c r="H3344" i="7"/>
  <c r="H3343" i="7"/>
  <c r="H3342" i="7"/>
  <c r="H3341" i="7"/>
  <c r="H3340" i="7"/>
  <c r="H3339" i="7"/>
  <c r="H3338" i="7"/>
  <c r="H3337" i="7"/>
  <c r="H3336" i="7"/>
  <c r="H3335" i="7"/>
  <c r="H3334" i="7"/>
  <c r="H3333" i="7"/>
  <c r="H3332" i="7"/>
  <c r="H3331" i="7"/>
  <c r="H3330" i="7"/>
  <c r="H3328" i="7"/>
  <c r="H3327" i="7"/>
  <c r="H3326" i="7"/>
  <c r="H3325" i="7"/>
  <c r="H3324" i="7"/>
  <c r="H3323" i="7"/>
  <c r="H3322" i="7"/>
  <c r="H3321" i="7"/>
  <c r="H3320" i="7"/>
  <c r="H3319" i="7"/>
  <c r="H3318" i="7"/>
  <c r="H3317" i="7"/>
  <c r="H3316" i="7"/>
  <c r="H3315" i="7"/>
  <c r="H3314" i="7"/>
  <c r="H3313" i="7"/>
  <c r="H3312" i="7"/>
  <c r="H3311" i="7"/>
  <c r="H3310" i="7"/>
  <c r="H3309" i="7"/>
  <c r="H3308" i="7"/>
  <c r="H3307" i="7"/>
  <c r="H3306" i="7"/>
  <c r="H2849" i="7" l="1"/>
  <c r="H2808" i="7"/>
  <c r="H2806" i="7"/>
  <c r="H2805" i="7"/>
  <c r="H2101" i="7" l="1"/>
  <c r="H5019" i="7" l="1"/>
  <c r="H5018" i="7"/>
  <c r="H5003" i="7"/>
  <c r="H5002" i="7"/>
  <c r="H4990" i="7"/>
  <c r="H4989" i="7"/>
  <c r="H4973" i="7"/>
  <c r="H3696" i="7"/>
  <c r="H3700" i="7"/>
  <c r="H3702" i="7"/>
  <c r="H3689" i="7"/>
  <c r="G3706" i="7"/>
  <c r="H3706" i="7" s="1"/>
  <c r="G3705" i="7"/>
  <c r="H3705" i="7" s="1"/>
  <c r="G3704" i="7"/>
  <c r="H3704" i="7" s="1"/>
  <c r="G3703" i="7"/>
  <c r="H3703" i="7" s="1"/>
  <c r="G3701" i="7"/>
  <c r="H3701" i="7" s="1"/>
  <c r="G3699" i="7"/>
  <c r="H3699" i="7" s="1"/>
  <c r="G3698" i="7"/>
  <c r="H3698" i="7" s="1"/>
  <c r="G3697" i="7"/>
  <c r="H3697" i="7" s="1"/>
  <c r="G3695" i="7"/>
  <c r="H3695" i="7" s="1"/>
  <c r="G3694" i="7"/>
  <c r="H3694" i="7" s="1"/>
  <c r="G3693" i="7"/>
  <c r="E3693" i="7"/>
  <c r="H3177" i="7"/>
  <c r="H3135" i="7"/>
  <c r="H3137" i="7"/>
  <c r="H3136" i="7"/>
  <c r="H3124" i="7"/>
  <c r="H3121" i="7"/>
  <c r="H3120" i="7"/>
  <c r="H2338" i="7"/>
  <c r="H2337" i="7"/>
  <c r="H2267" i="7"/>
  <c r="H2268" i="7"/>
  <c r="H2269" i="7"/>
  <c r="H2270" i="7"/>
  <c r="H2271" i="7"/>
  <c r="H2272" i="7"/>
  <c r="H2273" i="7"/>
  <c r="F2201" i="7"/>
  <c r="H2201" i="7" s="1"/>
  <c r="F2200" i="7"/>
  <c r="H2200" i="7" s="1"/>
  <c r="F2199" i="7"/>
  <c r="H2199" i="7" s="1"/>
  <c r="F2198" i="7"/>
  <c r="H2198" i="7" s="1"/>
  <c r="F2197" i="7"/>
  <c r="H2197" i="7" s="1"/>
  <c r="F2196" i="7"/>
  <c r="H2196" i="7" s="1"/>
  <c r="H1965" i="7"/>
  <c r="H1964" i="7"/>
  <c r="H1828" i="7"/>
  <c r="H1827" i="7"/>
  <c r="H1826" i="7"/>
  <c r="H1733" i="7"/>
  <c r="H1734" i="7"/>
  <c r="H1735" i="7"/>
  <c r="H1731" i="7"/>
  <c r="H1709" i="7"/>
  <c r="H1707" i="7"/>
  <c r="H1706" i="7"/>
  <c r="E1708" i="7"/>
  <c r="C1705" i="7"/>
  <c r="H1705" i="7" s="1"/>
  <c r="C1704" i="7"/>
  <c r="H1704" i="7" s="1"/>
  <c r="C1703" i="7"/>
  <c r="H1703" i="7" s="1"/>
  <c r="C1702" i="7"/>
  <c r="H1702" i="7" s="1"/>
  <c r="C1701" i="7"/>
  <c r="H1701" i="7" s="1"/>
  <c r="C1700" i="7"/>
  <c r="H1700" i="7" s="1"/>
  <c r="D1708" i="7"/>
  <c r="H1584" i="7"/>
  <c r="D1508" i="7"/>
  <c r="H1451" i="7"/>
  <c r="H1400" i="7"/>
  <c r="H1401" i="7"/>
  <c r="H1402" i="7"/>
  <c r="H1403" i="7"/>
  <c r="H1404" i="7"/>
  <c r="C1399" i="7"/>
  <c r="H1399" i="7" s="1"/>
  <c r="H1366" i="7"/>
  <c r="H1365" i="7"/>
  <c r="H3693" i="7" l="1"/>
  <c r="H1708" i="7"/>
  <c r="H1147" i="7" l="1"/>
  <c r="H1096" i="7"/>
  <c r="H1094" i="7"/>
  <c r="H1099" i="7" l="1"/>
  <c r="H1100" i="7"/>
  <c r="H1101" i="7"/>
  <c r="H1102" i="7"/>
  <c r="H1098" i="7"/>
  <c r="H981" i="7"/>
  <c r="H980" i="7"/>
  <c r="H979" i="7"/>
  <c r="H978" i="7"/>
  <c r="H977" i="7"/>
  <c r="H976" i="7"/>
  <c r="H975" i="7"/>
  <c r="H974" i="7"/>
  <c r="H956" i="7"/>
  <c r="H955" i="7"/>
  <c r="H954" i="7"/>
  <c r="H953" i="7"/>
  <c r="H952" i="7"/>
  <c r="H951" i="7"/>
  <c r="H950" i="7"/>
  <c r="H949" i="7"/>
  <c r="H931" i="7"/>
  <c r="H930" i="7"/>
  <c r="H929" i="7"/>
  <c r="H928" i="7"/>
  <c r="H927" i="7"/>
  <c r="H926" i="7"/>
  <c r="H925" i="7"/>
  <c r="H924" i="7"/>
  <c r="H853" i="7"/>
  <c r="L12" i="7"/>
  <c r="H46" i="7"/>
  <c r="H47" i="7"/>
  <c r="H48" i="7"/>
  <c r="H49" i="7"/>
  <c r="H51" i="7"/>
  <c r="H52" i="7"/>
  <c r="H53" i="7"/>
  <c r="H54" i="7"/>
  <c r="H55" i="7"/>
  <c r="H56" i="7"/>
  <c r="H57" i="7"/>
  <c r="H58" i="7"/>
  <c r="H59" i="7"/>
  <c r="H968" i="7" l="1"/>
  <c r="H993" i="7"/>
  <c r="H943" i="7"/>
  <c r="F608" i="1"/>
  <c r="F186" i="1"/>
  <c r="F650" i="1"/>
  <c r="F632" i="1"/>
  <c r="F630" i="1"/>
  <c r="F627" i="1"/>
  <c r="F626" i="1"/>
  <c r="F596" i="1"/>
  <c r="F592" i="1"/>
  <c r="F571" i="1"/>
  <c r="F570" i="1"/>
  <c r="F569" i="1"/>
  <c r="F318" i="1"/>
  <c r="F317" i="1"/>
  <c r="F316" i="1"/>
  <c r="F315" i="1"/>
  <c r="F236" i="1"/>
  <c r="F223" i="1"/>
  <c r="F203" i="1"/>
  <c r="F200" i="1"/>
  <c r="F198" i="1"/>
  <c r="F195" i="1"/>
  <c r="F193" i="1"/>
  <c r="F162" i="1"/>
  <c r="F158" i="1"/>
  <c r="F153" i="1"/>
  <c r="F142" i="1"/>
  <c r="F128" i="1"/>
  <c r="F126" i="1"/>
  <c r="F124" i="1"/>
  <c r="F120" i="1"/>
  <c r="F104" i="1"/>
  <c r="F98" i="1"/>
  <c r="F96" i="1"/>
  <c r="F95" i="1"/>
  <c r="F93" i="1"/>
  <c r="F91" i="1"/>
  <c r="F90" i="1"/>
  <c r="F88" i="1"/>
  <c r="F87" i="1"/>
  <c r="F81" i="1"/>
  <c r="F71" i="1"/>
  <c r="F61" i="1"/>
  <c r="F60" i="1"/>
  <c r="F59" i="1"/>
  <c r="F58" i="1"/>
  <c r="F54" i="1"/>
  <c r="F50" i="1"/>
  <c r="F44" i="1"/>
  <c r="F15" i="1"/>
  <c r="F11" i="1"/>
  <c r="E678" i="1"/>
  <c r="E677" i="1"/>
  <c r="E676" i="1"/>
  <c r="E675" i="1"/>
  <c r="F674" i="1"/>
  <c r="E674" i="1"/>
  <c r="F673" i="1"/>
  <c r="E673" i="1"/>
  <c r="F672" i="1"/>
  <c r="E672" i="1"/>
  <c r="F671" i="1"/>
  <c r="E671" i="1"/>
  <c r="E670" i="1"/>
  <c r="E669" i="1"/>
  <c r="E668" i="1"/>
  <c r="A668" i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E667" i="1"/>
  <c r="O665" i="1"/>
  <c r="N571" i="1" l="1"/>
  <c r="N570" i="1"/>
  <c r="N672" i="1"/>
  <c r="N61" i="1"/>
  <c r="N627" i="1"/>
  <c r="N91" i="1"/>
  <c r="N630" i="1"/>
  <c r="N59" i="1"/>
  <c r="N126" i="1"/>
  <c r="N153" i="1"/>
  <c r="N11" i="1"/>
  <c r="N650" i="1"/>
  <c r="O650" i="1" s="1"/>
  <c r="N81" i="1"/>
  <c r="N674" i="1"/>
  <c r="O674" i="1" s="1"/>
  <c r="N88" i="1"/>
  <c r="N223" i="1"/>
  <c r="N318" i="1"/>
  <c r="N203" i="1"/>
  <c r="N15" i="1"/>
  <c r="N96" i="1"/>
  <c r="N44" i="1"/>
  <c r="N98" i="1"/>
  <c r="N236" i="1"/>
  <c r="N608" i="1"/>
  <c r="O608" i="1" s="1"/>
  <c r="N60" i="1"/>
  <c r="N592" i="1"/>
  <c r="O592" i="1" s="1"/>
  <c r="N104" i="1"/>
  <c r="N315" i="1"/>
  <c r="N128" i="1"/>
  <c r="N673" i="1"/>
  <c r="O673" i="1" s="1"/>
  <c r="N198" i="1"/>
  <c r="N93" i="1"/>
  <c r="N54" i="1"/>
  <c r="N120" i="1"/>
  <c r="N316" i="1"/>
  <c r="N569" i="1"/>
  <c r="O569" i="1" s="1"/>
  <c r="N71" i="1"/>
  <c r="N596" i="1"/>
  <c r="O596" i="1" s="1"/>
  <c r="N200" i="1"/>
  <c r="N50" i="1"/>
  <c r="N671" i="1"/>
  <c r="O671" i="1" s="1"/>
  <c r="N58" i="1"/>
  <c r="N124" i="1"/>
  <c r="N317" i="1"/>
  <c r="N142" i="1"/>
  <c r="K87" i="1"/>
  <c r="N87" i="1"/>
  <c r="Q87" i="1" s="1"/>
  <c r="L3081" i="7"/>
  <c r="N193" i="1"/>
  <c r="N626" i="1"/>
  <c r="O626" i="1" s="1"/>
  <c r="N90" i="1"/>
  <c r="J195" i="1"/>
  <c r="N195" i="1"/>
  <c r="N632" i="1"/>
  <c r="O632" i="1" s="1"/>
  <c r="J158" i="1"/>
  <c r="N158" i="1"/>
  <c r="J162" i="1"/>
  <c r="N162" i="1"/>
  <c r="N95" i="1"/>
  <c r="J186" i="1"/>
  <c r="N186" i="1"/>
  <c r="O571" i="1"/>
  <c r="O672" i="1"/>
  <c r="O570" i="1"/>
  <c r="O675" i="1"/>
  <c r="O676" i="1"/>
  <c r="O627" i="1"/>
  <c r="O677" i="1"/>
  <c r="J630" i="1"/>
  <c r="O630" i="1"/>
  <c r="O678" i="1"/>
  <c r="O667" i="1"/>
  <c r="O669" i="1"/>
  <c r="O670" i="1"/>
  <c r="O668" i="1"/>
  <c r="J87" i="1"/>
  <c r="J81" i="1"/>
  <c r="J153" i="1"/>
  <c r="J93" i="1"/>
  <c r="J200" i="1"/>
  <c r="J632" i="1"/>
  <c r="J128" i="1"/>
  <c r="J203" i="1"/>
  <c r="J672" i="1"/>
  <c r="J91" i="1"/>
  <c r="J15" i="1"/>
  <c r="J223" i="1"/>
  <c r="J88" i="1"/>
  <c r="J626" i="1"/>
  <c r="J96" i="1"/>
  <c r="J98" i="1"/>
  <c r="J236" i="1"/>
  <c r="J198" i="1"/>
  <c r="J11" i="1"/>
  <c r="J44" i="1"/>
  <c r="J50" i="1"/>
  <c r="J104" i="1"/>
  <c r="J315" i="1"/>
  <c r="J318" i="1"/>
  <c r="J120" i="1"/>
  <c r="J316" i="1"/>
  <c r="J54" i="1"/>
  <c r="J671" i="1"/>
  <c r="J317" i="1"/>
  <c r="J569" i="1"/>
  <c r="J142" i="1"/>
  <c r="J570" i="1"/>
  <c r="J650" i="1"/>
  <c r="J673" i="1"/>
  <c r="J571" i="1"/>
  <c r="J592" i="1"/>
  <c r="J608" i="1"/>
  <c r="J674" i="1"/>
  <c r="J596" i="1"/>
  <c r="J627" i="1"/>
  <c r="K674" i="1"/>
  <c r="L674" i="1" s="1"/>
  <c r="L3095" i="7"/>
  <c r="L7913" i="7"/>
  <c r="N7913" i="7" s="1"/>
  <c r="K673" i="1"/>
  <c r="L673" i="1" s="1"/>
  <c r="L667" i="1"/>
  <c r="L675" i="1"/>
  <c r="L668" i="1"/>
  <c r="L676" i="1"/>
  <c r="L669" i="1"/>
  <c r="L677" i="1"/>
  <c r="L670" i="1"/>
  <c r="L678" i="1"/>
  <c r="K671" i="1"/>
  <c r="K672" i="1"/>
  <c r="K665" i="1"/>
  <c r="G674" i="1"/>
  <c r="G676" i="1"/>
  <c r="G675" i="1"/>
  <c r="G670" i="1"/>
  <c r="L8678" i="7"/>
  <c r="N8678" i="7" s="1"/>
  <c r="G672" i="1"/>
  <c r="G678" i="1"/>
  <c r="G667" i="1"/>
  <c r="G668" i="1"/>
  <c r="G669" i="1"/>
  <c r="G677" i="1"/>
  <c r="G673" i="1"/>
  <c r="G671" i="1"/>
  <c r="K666" i="1" l="1"/>
  <c r="O666" i="1"/>
  <c r="M674" i="1"/>
  <c r="P666" i="1"/>
  <c r="M671" i="1"/>
  <c r="L671" i="1"/>
  <c r="G666" i="1"/>
  <c r="M673" i="1"/>
  <c r="M672" i="1"/>
  <c r="L672" i="1"/>
  <c r="H8536" i="7"/>
  <c r="H8537" i="7"/>
  <c r="H8538" i="7"/>
  <c r="H8540" i="7"/>
  <c r="H8541" i="7"/>
  <c r="H8542" i="7"/>
  <c r="H8544" i="7"/>
  <c r="L8531" i="7"/>
  <c r="H8270" i="7"/>
  <c r="H8271" i="7"/>
  <c r="H8272" i="7"/>
  <c r="H8273" i="7"/>
  <c r="H8274" i="7"/>
  <c r="H8275" i="7"/>
  <c r="H8276" i="7"/>
  <c r="H8277" i="7"/>
  <c r="H8279" i="7"/>
  <c r="H8280" i="7"/>
  <c r="H8282" i="7"/>
  <c r="H8283" i="7"/>
  <c r="H8284" i="7"/>
  <c r="H8285" i="7"/>
  <c r="H8286" i="7"/>
  <c r="H8287" i="7"/>
  <c r="H8288" i="7"/>
  <c r="H8289" i="7"/>
  <c r="H8269" i="7"/>
  <c r="H8134" i="7"/>
  <c r="H8133" i="7"/>
  <c r="H8118" i="7"/>
  <c r="H8117" i="7"/>
  <c r="L8024" i="7"/>
  <c r="H8031" i="7"/>
  <c r="H8028" i="7"/>
  <c r="H8027" i="7"/>
  <c r="H8018" i="7"/>
  <c r="H8017" i="7"/>
  <c r="L8014" i="7"/>
  <c r="H8021" i="7"/>
  <c r="L7889" i="7"/>
  <c r="H7893" i="7"/>
  <c r="H7802" i="7"/>
  <c r="H7806" i="7"/>
  <c r="L7798" i="7"/>
  <c r="H7761" i="7"/>
  <c r="H7759" i="7"/>
  <c r="H7758" i="7"/>
  <c r="H7736" i="7"/>
  <c r="H7722" i="7"/>
  <c r="H7720" i="7"/>
  <c r="H7719" i="7"/>
  <c r="L7299" i="7"/>
  <c r="H7304" i="7"/>
  <c r="H7303" i="7"/>
  <c r="H7285" i="7"/>
  <c r="H7286" i="7"/>
  <c r="H7284" i="7"/>
  <c r="H7296" i="7"/>
  <c r="L7280" i="7"/>
  <c r="L5274" i="7"/>
  <c r="H5277" i="7"/>
  <c r="H5280" i="7" s="1"/>
  <c r="H5282" i="7" s="1"/>
  <c r="L4935" i="7"/>
  <c r="H4941" i="7"/>
  <c r="H4943" i="7" s="1"/>
  <c r="H4897" i="7"/>
  <c r="H4896" i="7"/>
  <c r="H4884" i="7"/>
  <c r="H4883" i="7"/>
  <c r="H4601" i="7"/>
  <c r="H4084" i="7"/>
  <c r="H4082" i="7"/>
  <c r="H4080" i="7"/>
  <c r="H4078" i="7"/>
  <c r="H4076" i="7"/>
  <c r="H4074" i="7"/>
  <c r="H4072" i="7"/>
  <c r="H4070" i="7"/>
  <c r="H4068" i="7"/>
  <c r="H4066" i="7"/>
  <c r="H4064" i="7"/>
  <c r="H4062" i="7"/>
  <c r="H4060" i="7"/>
  <c r="H3774" i="7"/>
  <c r="E3773" i="7"/>
  <c r="H3772" i="7"/>
  <c r="H3358" i="7"/>
  <c r="H3359" i="7"/>
  <c r="H3360" i="7"/>
  <c r="H3361" i="7"/>
  <c r="H3362" i="7"/>
  <c r="H3363" i="7"/>
  <c r="H3364" i="7"/>
  <c r="H3365" i="7"/>
  <c r="H3366" i="7"/>
  <c r="H3367" i="7"/>
  <c r="H3369" i="7"/>
  <c r="H3370" i="7"/>
  <c r="H3371" i="7"/>
  <c r="H3372" i="7"/>
  <c r="H3373" i="7"/>
  <c r="H3374" i="7"/>
  <c r="H3375" i="7"/>
  <c r="H3376" i="7"/>
  <c r="H3377" i="7"/>
  <c r="H3378" i="7"/>
  <c r="H3379" i="7"/>
  <c r="H3380" i="7"/>
  <c r="H3381" i="7"/>
  <c r="H3382" i="7"/>
  <c r="H3383" i="7"/>
  <c r="H3384" i="7"/>
  <c r="H3385" i="7"/>
  <c r="H3357" i="7"/>
  <c r="L3355" i="7"/>
  <c r="H3289" i="7"/>
  <c r="H3290" i="7"/>
  <c r="H3291" i="7"/>
  <c r="H3292" i="7"/>
  <c r="H3293" i="7"/>
  <c r="H3294" i="7"/>
  <c r="H3295" i="7"/>
  <c r="H3296" i="7"/>
  <c r="H3297" i="7"/>
  <c r="H3298" i="7"/>
  <c r="H3299" i="7"/>
  <c r="H3300" i="7"/>
  <c r="H3301" i="7"/>
  <c r="H3302" i="7"/>
  <c r="H3303" i="7"/>
  <c r="H3304" i="7"/>
  <c r="H3288" i="7"/>
  <c r="H3276" i="7"/>
  <c r="H3277" i="7"/>
  <c r="H3278" i="7"/>
  <c r="H3279" i="7"/>
  <c r="H3280" i="7"/>
  <c r="H3281" i="7"/>
  <c r="H3282" i="7"/>
  <c r="H3283" i="7"/>
  <c r="H3284" i="7"/>
  <c r="H3285" i="7"/>
  <c r="H3286" i="7"/>
  <c r="L3274" i="7"/>
  <c r="H3251" i="7"/>
  <c r="H3252" i="7"/>
  <c r="H3253" i="7"/>
  <c r="H3254" i="7"/>
  <c r="H3255" i="7"/>
  <c r="H3256" i="7"/>
  <c r="H3257" i="7"/>
  <c r="H3258" i="7"/>
  <c r="H3259" i="7"/>
  <c r="H3260" i="7"/>
  <c r="H3262" i="7"/>
  <c r="H3263" i="7"/>
  <c r="H3264" i="7"/>
  <c r="H3265" i="7"/>
  <c r="L3249" i="7"/>
  <c r="H3268" i="7"/>
  <c r="H3267" i="7"/>
  <c r="H3266" i="7"/>
  <c r="H3175" i="7"/>
  <c r="H2951" i="7"/>
  <c r="H2952" i="7"/>
  <c r="H8605" i="7" l="1"/>
  <c r="H8606" i="7"/>
  <c r="J666" i="1"/>
  <c r="N8531" i="7"/>
  <c r="H7899" i="7"/>
  <c r="H7898" i="7"/>
  <c r="L666" i="1"/>
  <c r="L665" i="1" s="1"/>
  <c r="H3352" i="7"/>
  <c r="H3409" i="7"/>
  <c r="H3408" i="7"/>
  <c r="H7310" i="7"/>
  <c r="H7311" i="7"/>
  <c r="H7295" i="7"/>
  <c r="H7297" i="7" s="1"/>
  <c r="G665" i="1"/>
  <c r="H3351" i="7"/>
  <c r="H8030" i="7"/>
  <c r="N8024" i="7" s="1"/>
  <c r="H8020" i="7"/>
  <c r="H8022" i="7" s="1"/>
  <c r="H7805" i="7"/>
  <c r="H7807" i="7" s="1"/>
  <c r="N5274" i="7"/>
  <c r="N4935" i="7"/>
  <c r="H3270" i="7"/>
  <c r="H3272" i="7" s="1"/>
  <c r="H2953" i="7"/>
  <c r="N2947" i="7"/>
  <c r="H2760" i="7"/>
  <c r="H2758" i="7"/>
  <c r="H2692" i="7"/>
  <c r="H2693" i="7"/>
  <c r="H2694" i="7"/>
  <c r="H2695" i="7"/>
  <c r="H2696" i="7"/>
  <c r="H2697" i="7"/>
  <c r="H2698" i="7"/>
  <c r="H2699" i="7"/>
  <c r="H2700" i="7"/>
  <c r="H2701" i="7"/>
  <c r="H2702" i="7"/>
  <c r="H2703" i="7"/>
  <c r="H2704" i="7"/>
  <c r="H2705" i="7"/>
  <c r="H2691" i="7"/>
  <c r="L2687" i="7"/>
  <c r="H2676" i="7"/>
  <c r="L2671" i="7"/>
  <c r="H2675" i="7"/>
  <c r="L2649" i="7"/>
  <c r="H2653" i="7"/>
  <c r="H2640" i="7"/>
  <c r="H2639" i="7"/>
  <c r="L2635" i="7"/>
  <c r="L2613" i="7"/>
  <c r="H2616" i="7"/>
  <c r="H2615" i="7"/>
  <c r="H2586" i="7"/>
  <c r="H2585" i="7"/>
  <c r="H2584" i="7"/>
  <c r="H2583" i="7"/>
  <c r="H2582" i="7"/>
  <c r="H2581" i="7"/>
  <c r="H2580" i="7"/>
  <c r="H2579" i="7"/>
  <c r="H2578" i="7"/>
  <c r="H2577" i="7"/>
  <c r="H2576" i="7"/>
  <c r="H2575" i="7"/>
  <c r="H2574" i="7"/>
  <c r="H2573" i="7"/>
  <c r="H2571" i="7"/>
  <c r="H2570" i="7"/>
  <c r="L2567" i="7"/>
  <c r="H2559" i="7"/>
  <c r="L2556" i="7"/>
  <c r="H2558" i="7"/>
  <c r="L2507" i="7"/>
  <c r="H2512" i="7"/>
  <c r="H2509" i="7"/>
  <c r="H2511" i="7" s="1"/>
  <c r="H8073" i="7"/>
  <c r="H8072" i="7"/>
  <c r="H8057" i="7"/>
  <c r="H8056" i="7"/>
  <c r="H8041" i="7"/>
  <c r="H8040" i="7"/>
  <c r="H7107" i="7"/>
  <c r="H7105" i="7"/>
  <c r="H6754" i="7"/>
  <c r="H6753" i="7"/>
  <c r="H6148" i="7"/>
  <c r="H6147" i="7"/>
  <c r="H6146" i="7"/>
  <c r="H6086" i="7"/>
  <c r="H6066" i="7"/>
  <c r="H6065" i="7"/>
  <c r="H6032" i="7"/>
  <c r="H6031" i="7"/>
  <c r="H6021" i="7"/>
  <c r="H6020" i="7"/>
  <c r="H6002" i="7"/>
  <c r="H5986" i="7"/>
  <c r="H5985" i="7"/>
  <c r="H5962" i="7"/>
  <c r="H5961" i="7"/>
  <c r="H5603" i="7"/>
  <c r="H5602" i="7"/>
  <c r="H4048" i="7"/>
  <c r="H4057" i="7"/>
  <c r="H4055" i="7"/>
  <c r="H4053" i="7"/>
  <c r="H4051" i="7"/>
  <c r="H4049" i="7"/>
  <c r="J665" i="1" l="1"/>
  <c r="H7900" i="7"/>
  <c r="M666" i="1"/>
  <c r="N7889" i="7"/>
  <c r="H2721" i="7"/>
  <c r="H7312" i="7"/>
  <c r="M665" i="1"/>
  <c r="H2731" i="7"/>
  <c r="N2724" i="7" s="1"/>
  <c r="H2684" i="7"/>
  <c r="H2668" i="7"/>
  <c r="H2667" i="7"/>
  <c r="H2564" i="7"/>
  <c r="H2623" i="7"/>
  <c r="H2646" i="7"/>
  <c r="H2610" i="7"/>
  <c r="H2609" i="7"/>
  <c r="H8607" i="7"/>
  <c r="N8014" i="7"/>
  <c r="H8032" i="7"/>
  <c r="N7798" i="7"/>
  <c r="N7299" i="7"/>
  <c r="N7280" i="7"/>
  <c r="H3410" i="7"/>
  <c r="N3355" i="7"/>
  <c r="H3353" i="7"/>
  <c r="N3274" i="7"/>
  <c r="N3249" i="7"/>
  <c r="H2720" i="7"/>
  <c r="H2622" i="7"/>
  <c r="H2683" i="7"/>
  <c r="H2645" i="7"/>
  <c r="H2563" i="7"/>
  <c r="H2513" i="7"/>
  <c r="H2542" i="7"/>
  <c r="H2543" i="7"/>
  <c r="H2544" i="7"/>
  <c r="H2545" i="7"/>
  <c r="N2507" i="7" s="1"/>
  <c r="H2546" i="7"/>
  <c r="H2547" i="7"/>
  <c r="H2548" i="7"/>
  <c r="H2549" i="7"/>
  <c r="H2550" i="7"/>
  <c r="H2551" i="7"/>
  <c r="H2541" i="7"/>
  <c r="H2540" i="7"/>
  <c r="H2539" i="7"/>
  <c r="H1145" i="7"/>
  <c r="J658" i="1" l="1"/>
  <c r="H2685" i="7"/>
  <c r="H2733" i="7"/>
  <c r="H2669" i="7"/>
  <c r="H2647" i="7"/>
  <c r="N2649" i="7"/>
  <c r="H2565" i="7"/>
  <c r="H2722" i="7"/>
  <c r="H2624" i="7"/>
  <c r="N2613" i="7"/>
  <c r="N2556" i="7"/>
  <c r="H2611" i="7"/>
  <c r="N2567" i="7"/>
  <c r="N2687" i="7"/>
  <c r="N2671" i="7"/>
  <c r="N2635" i="7"/>
  <c r="H2894" i="7"/>
  <c r="H2883" i="7"/>
  <c r="H2841" i="7"/>
  <c r="J605" i="1" l="1"/>
  <c r="P644" i="1"/>
  <c r="P590" i="1"/>
  <c r="H8266" i="7"/>
  <c r="H8265" i="7"/>
  <c r="L8066" i="7"/>
  <c r="H8070" i="7"/>
  <c r="H8069" i="7"/>
  <c r="L8050" i="7"/>
  <c r="H8054" i="7"/>
  <c r="H8053" i="7"/>
  <c r="H8037" i="7"/>
  <c r="L8034" i="7"/>
  <c r="H8038" i="7"/>
  <c r="L7097" i="7"/>
  <c r="H7103" i="7"/>
  <c r="H7101" i="7"/>
  <c r="H7090" i="7"/>
  <c r="H7089" i="7"/>
  <c r="H7074" i="7"/>
  <c r="H7060" i="7"/>
  <c r="H7059" i="7"/>
  <c r="H7045" i="7"/>
  <c r="H7013" i="7"/>
  <c r="H7012" i="7"/>
  <c r="H7011" i="7"/>
  <c r="L6746" i="7"/>
  <c r="H6751" i="7"/>
  <c r="H6750" i="7"/>
  <c r="L6736" i="7"/>
  <c r="H6610" i="7"/>
  <c r="H6585" i="7"/>
  <c r="H6144" i="7"/>
  <c r="H6143" i="7"/>
  <c r="H6142" i="7"/>
  <c r="H6083" i="7"/>
  <c r="H6062" i="7"/>
  <c r="H6061" i="7"/>
  <c r="H5982" i="7"/>
  <c r="H5981" i="7"/>
  <c r="H5959" i="7"/>
  <c r="H5958" i="7"/>
  <c r="H5957" i="7"/>
  <c r="L5932" i="7"/>
  <c r="H5936" i="7"/>
  <c r="H5946" i="7" s="1"/>
  <c r="H5919" i="7"/>
  <c r="H5929" i="7" s="1"/>
  <c r="L5915" i="7"/>
  <c r="L5853" i="7"/>
  <c r="H5858" i="7"/>
  <c r="L5841" i="7"/>
  <c r="H5846" i="7"/>
  <c r="H5832" i="7"/>
  <c r="H5837" i="7" s="1"/>
  <c r="L5827" i="7"/>
  <c r="H5838" i="7"/>
  <c r="H5817" i="7"/>
  <c r="L5813" i="7"/>
  <c r="H5824" i="7"/>
  <c r="H5818" i="7"/>
  <c r="L5800" i="7"/>
  <c r="H5805" i="7"/>
  <c r="H5809" i="7" s="1"/>
  <c r="L5787" i="7"/>
  <c r="H5792" i="7"/>
  <c r="H5790" i="7"/>
  <c r="H5599" i="7"/>
  <c r="H5598" i="7"/>
  <c r="H5588" i="7"/>
  <c r="H5587" i="7"/>
  <c r="H5438" i="7"/>
  <c r="H4426" i="7"/>
  <c r="H4434" i="7" s="1"/>
  <c r="H4435" i="7"/>
  <c r="L4420" i="7"/>
  <c r="H4411" i="7"/>
  <c r="H4412" i="7"/>
  <c r="H4414" i="7"/>
  <c r="H4415" i="7"/>
  <c r="H4239" i="7"/>
  <c r="H4238" i="7"/>
  <c r="H7113" i="7" l="1"/>
  <c r="H7112" i="7"/>
  <c r="H6758" i="7"/>
  <c r="H6757" i="7"/>
  <c r="N6746" i="7" s="1"/>
  <c r="H5797" i="7"/>
  <c r="H5849" i="7"/>
  <c r="N5841" i="7" s="1"/>
  <c r="H5850" i="7"/>
  <c r="H5861" i="7"/>
  <c r="N5853" i="7" s="1"/>
  <c r="H5862" i="7"/>
  <c r="H8063" i="7"/>
  <c r="H8062" i="7"/>
  <c r="H8047" i="7"/>
  <c r="H8046" i="7"/>
  <c r="H8079" i="7"/>
  <c r="H8078" i="7"/>
  <c r="H5928" i="7"/>
  <c r="H5945" i="7"/>
  <c r="H6744" i="7"/>
  <c r="N5800" i="7"/>
  <c r="H5839" i="7"/>
  <c r="N5827" i="7"/>
  <c r="H5823" i="7"/>
  <c r="H5810" i="7"/>
  <c r="H5811" i="7" s="1"/>
  <c r="H5796" i="7"/>
  <c r="N5787" i="7" s="1"/>
  <c r="H4436" i="7"/>
  <c r="N4420" i="7"/>
  <c r="H4043" i="7"/>
  <c r="H4041" i="7"/>
  <c r="H4045" i="7"/>
  <c r="H4039" i="7"/>
  <c r="H4037" i="7"/>
  <c r="H4035" i="7"/>
  <c r="H4033" i="7"/>
  <c r="H4031" i="7"/>
  <c r="H4029" i="7"/>
  <c r="H4027" i="7"/>
  <c r="H4025" i="7"/>
  <c r="H4023" i="7"/>
  <c r="H4021" i="7"/>
  <c r="H3856" i="7"/>
  <c r="H3579" i="7"/>
  <c r="H7114" i="7" l="1"/>
  <c r="H5863" i="7"/>
  <c r="H5851" i="7"/>
  <c r="H5930" i="7"/>
  <c r="H8048" i="7"/>
  <c r="H8064" i="7"/>
  <c r="H6759" i="7"/>
  <c r="H8080" i="7"/>
  <c r="N8066" i="7"/>
  <c r="N8050" i="7"/>
  <c r="N8034" i="7"/>
  <c r="N7097" i="7"/>
  <c r="N6736" i="7"/>
  <c r="H5947" i="7"/>
  <c r="N5932" i="7"/>
  <c r="N5915" i="7"/>
  <c r="H5798" i="7"/>
  <c r="H5825" i="7"/>
  <c r="N5813" i="7"/>
  <c r="L2886" i="7"/>
  <c r="H2869" i="7"/>
  <c r="H2873" i="7" s="1"/>
  <c r="H2879" i="7"/>
  <c r="L2876" i="7"/>
  <c r="L2866" i="7"/>
  <c r="H2839" i="7"/>
  <c r="L2832" i="7"/>
  <c r="H2838" i="7"/>
  <c r="H2835" i="7"/>
  <c r="H2826" i="7"/>
  <c r="H2825" i="7"/>
  <c r="H2824" i="7"/>
  <c r="H2755" i="7"/>
  <c r="H2754" i="7"/>
  <c r="L2750" i="7"/>
  <c r="H2531" i="7"/>
  <c r="H2532" i="7"/>
  <c r="H2534" i="7"/>
  <c r="H2535" i="7"/>
  <c r="H2536" i="7"/>
  <c r="J538" i="1" l="1"/>
  <c r="H2775" i="7"/>
  <c r="H2774" i="7"/>
  <c r="H2840" i="7"/>
  <c r="H2893" i="7"/>
  <c r="H2895" i="7" s="1"/>
  <c r="H2882" i="7"/>
  <c r="H2884" i="7" s="1"/>
  <c r="H2872" i="7"/>
  <c r="H2530" i="7"/>
  <c r="H2529" i="7"/>
  <c r="H2528" i="7"/>
  <c r="H2527" i="7"/>
  <c r="H2526" i="7"/>
  <c r="H1144" i="7"/>
  <c r="H1143" i="7"/>
  <c r="H1130" i="7"/>
  <c r="P463" i="1" l="1"/>
  <c r="H2776" i="7"/>
  <c r="H2842" i="7"/>
  <c r="N2886" i="7"/>
  <c r="N2876" i="7"/>
  <c r="H2874" i="7"/>
  <c r="N2866" i="7"/>
  <c r="N2832" i="7"/>
  <c r="N2750" i="7"/>
  <c r="H2977" i="7"/>
  <c r="H2978" i="7"/>
  <c r="H2979" i="7"/>
  <c r="H2980" i="7"/>
  <c r="H2981" i="7"/>
  <c r="H2976" i="7"/>
  <c r="H2968" i="7"/>
  <c r="H2969" i="7"/>
  <c r="H2970" i="7"/>
  <c r="H2971" i="7"/>
  <c r="H2972" i="7"/>
  <c r="H2973" i="7"/>
  <c r="H2967" i="7"/>
  <c r="L2964" i="7"/>
  <c r="H2989" i="7" l="1"/>
  <c r="H2988" i="7"/>
  <c r="H2521" i="7"/>
  <c r="H2522" i="7"/>
  <c r="J156" i="1" l="1"/>
  <c r="K156" i="1"/>
  <c r="H2990" i="7"/>
  <c r="N2964" i="7"/>
  <c r="H8262" i="7" l="1"/>
  <c r="H8130" i="7"/>
  <c r="H8131" i="7"/>
  <c r="H8114" i="7"/>
  <c r="H8115" i="7"/>
  <c r="H7434" i="7"/>
  <c r="H7420" i="7"/>
  <c r="H7418" i="7"/>
  <c r="H7402" i="7"/>
  <c r="H7400" i="7"/>
  <c r="H7370" i="7"/>
  <c r="H7368" i="7"/>
  <c r="H7086" i="7"/>
  <c r="L7081" i="7"/>
  <c r="H7085" i="7"/>
  <c r="L7066" i="7"/>
  <c r="H7070" i="7"/>
  <c r="H7055" i="7"/>
  <c r="L7051" i="7"/>
  <c r="H7056" i="7"/>
  <c r="L7038" i="7"/>
  <c r="H7042" i="7"/>
  <c r="H7032" i="7"/>
  <c r="H7034" i="7" s="1"/>
  <c r="L7028" i="7"/>
  <c r="H7035" i="7"/>
  <c r="L7018" i="7"/>
  <c r="H7025" i="7"/>
  <c r="H7023" i="7"/>
  <c r="H7022" i="7"/>
  <c r="H7007" i="7"/>
  <c r="H7008" i="7"/>
  <c r="L7003" i="7"/>
  <c r="H7009" i="7"/>
  <c r="H6969" i="7"/>
  <c r="L6965" i="7"/>
  <c r="H6972" i="7"/>
  <c r="H6970" i="7"/>
  <c r="L6952" i="7"/>
  <c r="H6957" i="7"/>
  <c r="H6732" i="7"/>
  <c r="H6730" i="7"/>
  <c r="H6731" i="7" s="1"/>
  <c r="H6608" i="7"/>
  <c r="L6604" i="7"/>
  <c r="H6583" i="7"/>
  <c r="H6570" i="7"/>
  <c r="L6520" i="7"/>
  <c r="H6526" i="7"/>
  <c r="H6523" i="7"/>
  <c r="H6525" i="7" s="1"/>
  <c r="L6162" i="7"/>
  <c r="H6165" i="7"/>
  <c r="L6135" i="7"/>
  <c r="H6140" i="7"/>
  <c r="H6139" i="7"/>
  <c r="H6138" i="7"/>
  <c r="L6125" i="7"/>
  <c r="H6128" i="7"/>
  <c r="L6114" i="7"/>
  <c r="H6117" i="7"/>
  <c r="H6122" i="7" s="1"/>
  <c r="L6103" i="7"/>
  <c r="L6092" i="7"/>
  <c r="L6076" i="7"/>
  <c r="H6080" i="7"/>
  <c r="H6058" i="7"/>
  <c r="L6053" i="7"/>
  <c r="H6057" i="7"/>
  <c r="L6042" i="7"/>
  <c r="H6046" i="7"/>
  <c r="H6050" i="7"/>
  <c r="L6024" i="7"/>
  <c r="L5973" i="7"/>
  <c r="H5978" i="7"/>
  <c r="H5977" i="7"/>
  <c r="L5994" i="7"/>
  <c r="H5998" i="7"/>
  <c r="L6009" i="7"/>
  <c r="H6028" i="7"/>
  <c r="H6027" i="7"/>
  <c r="H5953" i="7"/>
  <c r="H5955" i="7"/>
  <c r="L5950" i="7"/>
  <c r="H5954" i="7"/>
  <c r="H5657" i="7"/>
  <c r="H5647" i="7"/>
  <c r="H5638" i="7"/>
  <c r="H5637" i="7"/>
  <c r="H5625" i="7"/>
  <c r="H5624" i="7"/>
  <c r="H5614" i="7"/>
  <c r="H5613" i="7"/>
  <c r="H5597" i="7"/>
  <c r="H5596" i="7"/>
  <c r="L5580" i="7"/>
  <c r="H5566" i="7"/>
  <c r="H5565" i="7"/>
  <c r="H5509" i="7"/>
  <c r="H5508" i="7"/>
  <c r="H5488" i="7"/>
  <c r="H5477" i="7"/>
  <c r="H5466" i="7"/>
  <c r="H5436" i="7"/>
  <c r="H5425" i="7"/>
  <c r="H5387" i="7"/>
  <c r="H5351" i="7"/>
  <c r="H5350" i="7"/>
  <c r="H5340" i="7"/>
  <c r="H5339" i="7"/>
  <c r="H4235" i="7"/>
  <c r="H4229" i="7"/>
  <c r="H4230" i="7"/>
  <c r="H4233" i="7"/>
  <c r="H4234" i="7"/>
  <c r="H4228" i="7"/>
  <c r="H4232" i="7"/>
  <c r="H4227" i="7"/>
  <c r="H4017" i="7"/>
  <c r="H4015" i="7"/>
  <c r="H4013" i="7"/>
  <c r="H4011" i="7"/>
  <c r="H4009" i="7"/>
  <c r="H4007" i="7"/>
  <c r="H4005" i="7"/>
  <c r="H4003" i="7"/>
  <c r="H4001" i="7"/>
  <c r="H3999" i="7"/>
  <c r="H3996" i="7"/>
  <c r="H3994" i="7"/>
  <c r="H3992" i="7"/>
  <c r="H3990" i="7"/>
  <c r="H3988" i="7"/>
  <c r="H3986" i="7"/>
  <c r="H3984" i="7"/>
  <c r="H3982" i="7"/>
  <c r="H3980" i="7"/>
  <c r="H3978" i="7"/>
  <c r="H3976" i="7"/>
  <c r="H3974" i="7"/>
  <c r="H3576" i="7"/>
  <c r="H2519" i="7"/>
  <c r="H2520" i="7"/>
  <c r="H2518" i="7"/>
  <c r="L2515" i="7"/>
  <c r="H4119" i="7" l="1"/>
  <c r="H4120" i="7"/>
  <c r="H6039" i="7"/>
  <c r="H6158" i="7"/>
  <c r="H6159" i="7"/>
  <c r="H6170" i="7"/>
  <c r="H6169" i="7"/>
  <c r="H6073" i="7"/>
  <c r="H6072" i="7"/>
  <c r="H5970" i="7"/>
  <c r="H5969" i="7"/>
  <c r="H5991" i="7"/>
  <c r="H5990" i="7"/>
  <c r="H6131" i="7"/>
  <c r="N6125" i="7" s="1"/>
  <c r="H6132" i="7"/>
  <c r="H6089" i="7"/>
  <c r="H6088" i="7"/>
  <c r="H6038" i="7"/>
  <c r="H6006" i="7"/>
  <c r="H6005" i="7"/>
  <c r="N5994" i="7" s="1"/>
  <c r="H2553" i="7"/>
  <c r="H2554" i="7"/>
  <c r="H7093" i="7"/>
  <c r="H7092" i="7"/>
  <c r="H7078" i="7"/>
  <c r="H7077" i="7"/>
  <c r="N7066" i="7" s="1"/>
  <c r="H7063" i="7"/>
  <c r="H7062" i="7"/>
  <c r="H7048" i="7"/>
  <c r="H7047" i="7"/>
  <c r="N7038" i="7" s="1"/>
  <c r="H7015" i="7"/>
  <c r="H7014" i="7"/>
  <c r="H6962" i="7"/>
  <c r="H6961" i="7"/>
  <c r="H6612" i="7"/>
  <c r="H6611" i="7"/>
  <c r="H7036" i="7"/>
  <c r="N7028" i="7"/>
  <c r="H7024" i="7"/>
  <c r="H6971" i="7"/>
  <c r="H6973" i="7" s="1"/>
  <c r="H6527" i="7"/>
  <c r="N6520" i="7"/>
  <c r="H6121" i="7"/>
  <c r="N6114" i="7" s="1"/>
  <c r="H6110" i="7"/>
  <c r="N6103" i="7" s="1"/>
  <c r="H6111" i="7"/>
  <c r="H6099" i="7"/>
  <c r="H6101" i="7" s="1"/>
  <c r="H6049" i="7"/>
  <c r="N6042" i="7" s="1"/>
  <c r="H6022" i="7"/>
  <c r="H1142" i="7"/>
  <c r="H1141" i="7"/>
  <c r="H1128" i="7"/>
  <c r="H4121" i="7" l="1"/>
  <c r="H6133" i="7"/>
  <c r="H6007" i="7"/>
  <c r="H6040" i="7"/>
  <c r="H7094" i="7"/>
  <c r="H7064" i="7"/>
  <c r="H7016" i="7"/>
  <c r="H6963" i="7"/>
  <c r="H6090" i="7"/>
  <c r="H6613" i="7"/>
  <c r="H7079" i="7"/>
  <c r="H7049" i="7"/>
  <c r="N6076" i="7"/>
  <c r="H5971" i="7"/>
  <c r="H5992" i="7"/>
  <c r="H2555" i="7"/>
  <c r="N7051" i="7"/>
  <c r="N7081" i="7"/>
  <c r="N6604" i="7"/>
  <c r="N6965" i="7"/>
  <c r="H6123" i="7"/>
  <c r="H7026" i="7"/>
  <c r="N7018" i="7"/>
  <c r="N7003" i="7"/>
  <c r="N6092" i="7"/>
  <c r="N6952" i="7"/>
  <c r="H6171" i="7"/>
  <c r="N6162" i="7"/>
  <c r="N5973" i="7"/>
  <c r="H6112" i="7"/>
  <c r="H6051" i="7"/>
  <c r="N6009" i="7"/>
  <c r="N6024" i="7"/>
  <c r="N5950" i="7"/>
  <c r="N5580" i="7"/>
  <c r="H5589" i="7"/>
  <c r="N2515" i="7"/>
  <c r="L8124" i="7"/>
  <c r="H8128" i="7"/>
  <c r="H8112" i="7"/>
  <c r="L8108" i="7"/>
  <c r="H8137" i="7" l="1"/>
  <c r="H8136" i="7"/>
  <c r="N8124" i="7" s="1"/>
  <c r="H8121" i="7"/>
  <c r="H8120" i="7"/>
  <c r="J234" i="1" l="1"/>
  <c r="K234" i="1"/>
  <c r="M234" i="1" s="1"/>
  <c r="H8138" i="7"/>
  <c r="H8122" i="7" l="1"/>
  <c r="N8108" i="7"/>
  <c r="H8243" i="7" l="1"/>
  <c r="H8244" i="7"/>
  <c r="H8245" i="7"/>
  <c r="H8246" i="7"/>
  <c r="H8247" i="7"/>
  <c r="H8248" i="7"/>
  <c r="H8249" i="7"/>
  <c r="H8250" i="7"/>
  <c r="H8251" i="7"/>
  <c r="H8252" i="7"/>
  <c r="H8253" i="7"/>
  <c r="H8254" i="7"/>
  <c r="H8255" i="7"/>
  <c r="H8256" i="7"/>
  <c r="H8257" i="7"/>
  <c r="H8258" i="7"/>
  <c r="H8259" i="7"/>
  <c r="H8242" i="7"/>
  <c r="H8145" i="7"/>
  <c r="H8146" i="7"/>
  <c r="H8147" i="7"/>
  <c r="H8148" i="7"/>
  <c r="H8144" i="7"/>
  <c r="L8141" i="7"/>
  <c r="H7755" i="7"/>
  <c r="H7753" i="7"/>
  <c r="H7752" i="7"/>
  <c r="H7716" i="7"/>
  <c r="H7714" i="7"/>
  <c r="H7713" i="7"/>
  <c r="L7426" i="7"/>
  <c r="H7432" i="7"/>
  <c r="H7430" i="7"/>
  <c r="L7409" i="7"/>
  <c r="H7416" i="7"/>
  <c r="H7415" i="7"/>
  <c r="H7413" i="7"/>
  <c r="L7359" i="7"/>
  <c r="L7391" i="7"/>
  <c r="H7398" i="7"/>
  <c r="H7397" i="7"/>
  <c r="H7395" i="7"/>
  <c r="H7363" i="7"/>
  <c r="H7365" i="7"/>
  <c r="H7366" i="7"/>
  <c r="H7388" i="7" l="1"/>
  <c r="H7387" i="7"/>
  <c r="H7422" i="7"/>
  <c r="H7423" i="7"/>
  <c r="H7405" i="7"/>
  <c r="H7406" i="7"/>
  <c r="H7436" i="7"/>
  <c r="H7435" i="7"/>
  <c r="H8149" i="7"/>
  <c r="H8151" i="7" s="1"/>
  <c r="L6724" i="7"/>
  <c r="L6715" i="7"/>
  <c r="H6721" i="7"/>
  <c r="H6719" i="7"/>
  <c r="H6718" i="7"/>
  <c r="L6706" i="7"/>
  <c r="H6712" i="7"/>
  <c r="H6710" i="7"/>
  <c r="H6709" i="7"/>
  <c r="H6701" i="7"/>
  <c r="H6700" i="7"/>
  <c r="H6703" i="7"/>
  <c r="L6697" i="7"/>
  <c r="H6694" i="7"/>
  <c r="H6693" i="7"/>
  <c r="H6683" i="7"/>
  <c r="H6682" i="7"/>
  <c r="H6672" i="7"/>
  <c r="H6671" i="7"/>
  <c r="H6601" i="7"/>
  <c r="H6600" i="7"/>
  <c r="H6560" i="7"/>
  <c r="H6559" i="7"/>
  <c r="H6547" i="7"/>
  <c r="H6546" i="7"/>
  <c r="L6529" i="7"/>
  <c r="H6535" i="7"/>
  <c r="H6532" i="7"/>
  <c r="H6534" i="7" s="1"/>
  <c r="H6506" i="7"/>
  <c r="L6502" i="7"/>
  <c r="H6508" i="7"/>
  <c r="H6505" i="7"/>
  <c r="H6499" i="7"/>
  <c r="L6493" i="7"/>
  <c r="H6496" i="7"/>
  <c r="H5765" i="7"/>
  <c r="L5761" i="7"/>
  <c r="H5764" i="7"/>
  <c r="L5752" i="7"/>
  <c r="H5755" i="7"/>
  <c r="H5757" i="7" s="1"/>
  <c r="L5743" i="7"/>
  <c r="H5746" i="7"/>
  <c r="H5748" i="7" s="1"/>
  <c r="H5750" i="7" s="1"/>
  <c r="H5740" i="7"/>
  <c r="H5739" i="7"/>
  <c r="L5718" i="7"/>
  <c r="H5721" i="7"/>
  <c r="H5723" i="7" s="1"/>
  <c r="H5725" i="7" s="1"/>
  <c r="L5709" i="7"/>
  <c r="H5712" i="7"/>
  <c r="H5714" i="7" s="1"/>
  <c r="H5716" i="7" s="1"/>
  <c r="H5671" i="7"/>
  <c r="H5670" i="7"/>
  <c r="L5652" i="7"/>
  <c r="H5655" i="7"/>
  <c r="H5645" i="7"/>
  <c r="L5630" i="7"/>
  <c r="H5623" i="7"/>
  <c r="H5622" i="7"/>
  <c r="H5612" i="7"/>
  <c r="H5611" i="7"/>
  <c r="H5595" i="7"/>
  <c r="H5594" i="7"/>
  <c r="H5522" i="7"/>
  <c r="H5521" i="7"/>
  <c r="H5507" i="7"/>
  <c r="H5506" i="7"/>
  <c r="L5503" i="7"/>
  <c r="H5486" i="7"/>
  <c r="H5475" i="7"/>
  <c r="H5464" i="7"/>
  <c r="L5431" i="7"/>
  <c r="H5434" i="7"/>
  <c r="H5423" i="7"/>
  <c r="L5382" i="7"/>
  <c r="H5385" i="7"/>
  <c r="H5377" i="7"/>
  <c r="H5376" i="7"/>
  <c r="L5345" i="7"/>
  <c r="H5349" i="7"/>
  <c r="H5348" i="7"/>
  <c r="L5334" i="7"/>
  <c r="H5338" i="7"/>
  <c r="H5337" i="7"/>
  <c r="H5364" i="7"/>
  <c r="H5363" i="7"/>
  <c r="H5329" i="7"/>
  <c r="H5328" i="7"/>
  <c r="H5316" i="7"/>
  <c r="H5315" i="7"/>
  <c r="H5303" i="7"/>
  <c r="H5302" i="7"/>
  <c r="L5072" i="7"/>
  <c r="H5077" i="7"/>
  <c r="H5075" i="7"/>
  <c r="H5074" i="7"/>
  <c r="L5062" i="7"/>
  <c r="H5066" i="7"/>
  <c r="H5065" i="7"/>
  <c r="H5069" i="7"/>
  <c r="H5067" i="7"/>
  <c r="H5064" i="7"/>
  <c r="H5057" i="7"/>
  <c r="H5056" i="7"/>
  <c r="H5059" i="7"/>
  <c r="L5054" i="7"/>
  <c r="H5017" i="7"/>
  <c r="H5016" i="7"/>
  <c r="H5015" i="7"/>
  <c r="H5001" i="7"/>
  <c r="H4148" i="7"/>
  <c r="H4147" i="7"/>
  <c r="H3888" i="7"/>
  <c r="H3887" i="7"/>
  <c r="H3768" i="7"/>
  <c r="H3765" i="7"/>
  <c r="E3766" i="7"/>
  <c r="H3670" i="7"/>
  <c r="H3573" i="7"/>
  <c r="H3133" i="7"/>
  <c r="H2352" i="7"/>
  <c r="H2350" i="7"/>
  <c r="H2335" i="7"/>
  <c r="H2333" i="7"/>
  <c r="H2331" i="7"/>
  <c r="H2329" i="7"/>
  <c r="H2328" i="7"/>
  <c r="H2327" i="7"/>
  <c r="H2334" i="7"/>
  <c r="H2332" i="7"/>
  <c r="H2330" i="7"/>
  <c r="H2326" i="7"/>
  <c r="L2094" i="7"/>
  <c r="H2097" i="7"/>
  <c r="H2106" i="7" s="1"/>
  <c r="H1139" i="7"/>
  <c r="H1126" i="7"/>
  <c r="H5605" i="7" l="1"/>
  <c r="H5604" i="7"/>
  <c r="N5591" i="7" s="1"/>
  <c r="H2105" i="7"/>
  <c r="H5441" i="7"/>
  <c r="H5440" i="7"/>
  <c r="H7389" i="7"/>
  <c r="H7437" i="7"/>
  <c r="H7424" i="7"/>
  <c r="H7407" i="7"/>
  <c r="H5660" i="7"/>
  <c r="H5659" i="7"/>
  <c r="N5652" i="7" s="1"/>
  <c r="H5649" i="7"/>
  <c r="H5648" i="7"/>
  <c r="H5627" i="7"/>
  <c r="H5626" i="7"/>
  <c r="H5616" i="7"/>
  <c r="H5615" i="7"/>
  <c r="H5511" i="7"/>
  <c r="H5510" i="7"/>
  <c r="H5491" i="7"/>
  <c r="H5490" i="7"/>
  <c r="H5480" i="7"/>
  <c r="H5479" i="7"/>
  <c r="H5469" i="7"/>
  <c r="H5468" i="7"/>
  <c r="H5390" i="7"/>
  <c r="H5389" i="7"/>
  <c r="H5353" i="7"/>
  <c r="H5352" i="7"/>
  <c r="N5345" i="7" s="1"/>
  <c r="H5342" i="7"/>
  <c r="H5341" i="7"/>
  <c r="N7426" i="7"/>
  <c r="N7409" i="7"/>
  <c r="N8141" i="7"/>
  <c r="H6711" i="7"/>
  <c r="H6713" i="7" s="1"/>
  <c r="N7391" i="7"/>
  <c r="H6536" i="7"/>
  <c r="N7359" i="7"/>
  <c r="H6733" i="7"/>
  <c r="H6720" i="7"/>
  <c r="H6722" i="7" s="1"/>
  <c r="H6702" i="7"/>
  <c r="H6704" i="7" s="1"/>
  <c r="N6529" i="7"/>
  <c r="H5766" i="7"/>
  <c r="H5768" i="7" s="1"/>
  <c r="H6507" i="7"/>
  <c r="H6498" i="7"/>
  <c r="H6500" i="7" s="1"/>
  <c r="H5759" i="7"/>
  <c r="N5752" i="7"/>
  <c r="N5743" i="7"/>
  <c r="N5718" i="7"/>
  <c r="N5709" i="7"/>
  <c r="H5076" i="7"/>
  <c r="H5078" i="7" s="1"/>
  <c r="H5639" i="7"/>
  <c r="H5068" i="7"/>
  <c r="H5070" i="7" s="1"/>
  <c r="H5058" i="7"/>
  <c r="H5060" i="7" s="1"/>
  <c r="H5661" i="7" l="1"/>
  <c r="H5442" i="7"/>
  <c r="H5512" i="7"/>
  <c r="H5391" i="7"/>
  <c r="N5431" i="7"/>
  <c r="N5382" i="7"/>
  <c r="H5343" i="7"/>
  <c r="N6706" i="7"/>
  <c r="N6724" i="7"/>
  <c r="N6715" i="7"/>
  <c r="N6697" i="7"/>
  <c r="N5761" i="7"/>
  <c r="H6509" i="7"/>
  <c r="N6502" i="7"/>
  <c r="N6493" i="7"/>
  <c r="H5354" i="7"/>
  <c r="N5072" i="7"/>
  <c r="N5503" i="7"/>
  <c r="N5630" i="7"/>
  <c r="N5334" i="7"/>
  <c r="N5062" i="7"/>
  <c r="N5054" i="7"/>
  <c r="H8238" i="7"/>
  <c r="H8236" i="7"/>
  <c r="H8234" i="7"/>
  <c r="H8232" i="7"/>
  <c r="H8230" i="7"/>
  <c r="H8228" i="7"/>
  <c r="H8225" i="7"/>
  <c r="H8223" i="7"/>
  <c r="H8221" i="7"/>
  <c r="H8219" i="7"/>
  <c r="H8217" i="7"/>
  <c r="H8215" i="7"/>
  <c r="H8211" i="7"/>
  <c r="H8212" i="7"/>
  <c r="H8213" i="7"/>
  <c r="H8214" i="7"/>
  <c r="H8216" i="7"/>
  <c r="H8218" i="7"/>
  <c r="H8220" i="7"/>
  <c r="H8222" i="7"/>
  <c r="H8224" i="7"/>
  <c r="H8226" i="7"/>
  <c r="H8227" i="7"/>
  <c r="H8229" i="7"/>
  <c r="H8231" i="7"/>
  <c r="H8233" i="7"/>
  <c r="H8235" i="7"/>
  <c r="H8237" i="7"/>
  <c r="H8210" i="7"/>
  <c r="L7742" i="7"/>
  <c r="H7749" i="7"/>
  <c r="H7747" i="7"/>
  <c r="H7746" i="7"/>
  <c r="L7729" i="7"/>
  <c r="H7733" i="7"/>
  <c r="H7708" i="7"/>
  <c r="H7710" i="7"/>
  <c r="H7707" i="7"/>
  <c r="H7711" i="7"/>
  <c r="L7703" i="7"/>
  <c r="H6582" i="7"/>
  <c r="H6557" i="7"/>
  <c r="H6558" i="7"/>
  <c r="H6545" i="7"/>
  <c r="H6544" i="7"/>
  <c r="L6358" i="7"/>
  <c r="H6366" i="7"/>
  <c r="H6362" i="7"/>
  <c r="H6365" i="7" s="1"/>
  <c r="L6369" i="7"/>
  <c r="H6377" i="7"/>
  <c r="L6380" i="7"/>
  <c r="H6387" i="7"/>
  <c r="H6386" i="7"/>
  <c r="H5669" i="7"/>
  <c r="H5668" i="7"/>
  <c r="H5574" i="7"/>
  <c r="L5404" i="7"/>
  <c r="H5420" i="7"/>
  <c r="H5375" i="7"/>
  <c r="H5374" i="7"/>
  <c r="H5362" i="7"/>
  <c r="H5361" i="7"/>
  <c r="H5327" i="7"/>
  <c r="H5326" i="7"/>
  <c r="H5314" i="7"/>
  <c r="H5313" i="7"/>
  <c r="H5301" i="7"/>
  <c r="H5300" i="7"/>
  <c r="L5177" i="7"/>
  <c r="H5180" i="7"/>
  <c r="H5182" i="7" s="1"/>
  <c r="H5184" i="7" s="1"/>
  <c r="L5152" i="7"/>
  <c r="H5155" i="7"/>
  <c r="H5157" i="7" s="1"/>
  <c r="H5045" i="7"/>
  <c r="H5046" i="7"/>
  <c r="H5042" i="7"/>
  <c r="L5040" i="7"/>
  <c r="H5031" i="7"/>
  <c r="H5029" i="7"/>
  <c r="L5025" i="7"/>
  <c r="L5008" i="7"/>
  <c r="H5014" i="7"/>
  <c r="H5013" i="7"/>
  <c r="H5012" i="7"/>
  <c r="H5011" i="7"/>
  <c r="L4996" i="7"/>
  <c r="H5000" i="7"/>
  <c r="H4999" i="7"/>
  <c r="H4988" i="7"/>
  <c r="H4987" i="7"/>
  <c r="H4986" i="7"/>
  <c r="H4983" i="7"/>
  <c r="H4984" i="7"/>
  <c r="L4979" i="7"/>
  <c r="H4985" i="7"/>
  <c r="H4982" i="7"/>
  <c r="H4971" i="7"/>
  <c r="H4970" i="7"/>
  <c r="H4352" i="7"/>
  <c r="H7725" i="7" l="1"/>
  <c r="H7726" i="7"/>
  <c r="H5021" i="7"/>
  <c r="H4993" i="7"/>
  <c r="H4992" i="7"/>
  <c r="H5005" i="7"/>
  <c r="H7763" i="7"/>
  <c r="H7764" i="7"/>
  <c r="H7739" i="7"/>
  <c r="H7738" i="7"/>
  <c r="N7729" i="7" s="1"/>
  <c r="H5051" i="7"/>
  <c r="H5050" i="7"/>
  <c r="H5037" i="7"/>
  <c r="H5036" i="7"/>
  <c r="N5025" i="7" s="1"/>
  <c r="H5020" i="7"/>
  <c r="H5004" i="7"/>
  <c r="N6358" i="7"/>
  <c r="H6388" i="7"/>
  <c r="H6376" i="7"/>
  <c r="H6378" i="7" s="1"/>
  <c r="N6380" i="7"/>
  <c r="H6367" i="7"/>
  <c r="N5177" i="7"/>
  <c r="H5159" i="7"/>
  <c r="N5152" i="7"/>
  <c r="H4224" i="7"/>
  <c r="H3690" i="7"/>
  <c r="H3686" i="7"/>
  <c r="H3687" i="7"/>
  <c r="H3684" i="7"/>
  <c r="H3685" i="7"/>
  <c r="H2321" i="7"/>
  <c r="H2322" i="7"/>
  <c r="H2317" i="7"/>
  <c r="H2315" i="7"/>
  <c r="H2314" i="7"/>
  <c r="H2320" i="7"/>
  <c r="H2319" i="7"/>
  <c r="H2318" i="7"/>
  <c r="H2316" i="7"/>
  <c r="H2313" i="7"/>
  <c r="H2312" i="7"/>
  <c r="L1136" i="7"/>
  <c r="H7740" i="7" l="1"/>
  <c r="H7727" i="7"/>
  <c r="H7765" i="7"/>
  <c r="H5006" i="7"/>
  <c r="H5022" i="7"/>
  <c r="N7742" i="7"/>
  <c r="N7703" i="7"/>
  <c r="N6369" i="7"/>
  <c r="H5052" i="7"/>
  <c r="N5040" i="7"/>
  <c r="H5038" i="7"/>
  <c r="H4994" i="7"/>
  <c r="N5008" i="7"/>
  <c r="N4996" i="7"/>
  <c r="N4979" i="7"/>
  <c r="L6390" i="7"/>
  <c r="H3681" i="7"/>
  <c r="H3680" i="7"/>
  <c r="H8461" i="7"/>
  <c r="H8463" i="7" s="1"/>
  <c r="H8206" i="7"/>
  <c r="H8203" i="7"/>
  <c r="H8202" i="7"/>
  <c r="H8201" i="7"/>
  <c r="H8200" i="7"/>
  <c r="H8199" i="7"/>
  <c r="H8198" i="7"/>
  <c r="H8197" i="7"/>
  <c r="H8196" i="7"/>
  <c r="H8195" i="7"/>
  <c r="H8194" i="7"/>
  <c r="H8193" i="7"/>
  <c r="H8192" i="7"/>
  <c r="H8191" i="7"/>
  <c r="H8190" i="7"/>
  <c r="H8189" i="7"/>
  <c r="H8188" i="7"/>
  <c r="H8187" i="7"/>
  <c r="H8186" i="7"/>
  <c r="H8185" i="7"/>
  <c r="H8184" i="7"/>
  <c r="H8183" i="7"/>
  <c r="H8182" i="7"/>
  <c r="H8181" i="7"/>
  <c r="H8180" i="7"/>
  <c r="H8179" i="7"/>
  <c r="H8178" i="7"/>
  <c r="H8176" i="7"/>
  <c r="H8175" i="7"/>
  <c r="H8174" i="7"/>
  <c r="H8173" i="7"/>
  <c r="H8172" i="7"/>
  <c r="H8171" i="7"/>
  <c r="H8170" i="7"/>
  <c r="L8167" i="7"/>
  <c r="H8160" i="7"/>
  <c r="H8159" i="7"/>
  <c r="H8158" i="7"/>
  <c r="H8157" i="7"/>
  <c r="H8156" i="7"/>
  <c r="L8153" i="7"/>
  <c r="H7352" i="7"/>
  <c r="H7350" i="7"/>
  <c r="H7355" i="7" s="1"/>
  <c r="L7347" i="7"/>
  <c r="H6695" i="7"/>
  <c r="N6675" i="7"/>
  <c r="H6673" i="7"/>
  <c r="H6661" i="7"/>
  <c r="H6659" i="7"/>
  <c r="H6658" i="7"/>
  <c r="H6649" i="7"/>
  <c r="H6640" i="7"/>
  <c r="H6642" i="7" s="1"/>
  <c r="H6631" i="7"/>
  <c r="N6626" i="7" s="1"/>
  <c r="H6621" i="7"/>
  <c r="H6620" i="7"/>
  <c r="H6619" i="7"/>
  <c r="H6618" i="7"/>
  <c r="H6602" i="7"/>
  <c r="L6591" i="7"/>
  <c r="H6580" i="7"/>
  <c r="L6576" i="7"/>
  <c r="H6568" i="7"/>
  <c r="L6565" i="7"/>
  <c r="H6556" i="7"/>
  <c r="L6552" i="7"/>
  <c r="H6543" i="7"/>
  <c r="H6542" i="7"/>
  <c r="L6539" i="7"/>
  <c r="L5727" i="7"/>
  <c r="H5703" i="7"/>
  <c r="H5700" i="7"/>
  <c r="H5706" i="7" s="1"/>
  <c r="H5688" i="7"/>
  <c r="H5687" i="7"/>
  <c r="H5684" i="7"/>
  <c r="H5682" i="7"/>
  <c r="H5681" i="7"/>
  <c r="H5667" i="7"/>
  <c r="H5666" i="7"/>
  <c r="H5650" i="7"/>
  <c r="H5617" i="7"/>
  <c r="H5606" i="7"/>
  <c r="H5572" i="7"/>
  <c r="H5567" i="7"/>
  <c r="H5552" i="7"/>
  <c r="H5554" i="7" s="1"/>
  <c r="H5544" i="7"/>
  <c r="H5543" i="7"/>
  <c r="H5531" i="7"/>
  <c r="H5530" i="7"/>
  <c r="H5529" i="7"/>
  <c r="H5528" i="7"/>
  <c r="N5514" i="7"/>
  <c r="H5499" i="7"/>
  <c r="H5501" i="7" s="1"/>
  <c r="A5494" i="7"/>
  <c r="H5492" i="7"/>
  <c r="A5483" i="7"/>
  <c r="H5481" i="7"/>
  <c r="N5461" i="7"/>
  <c r="H5456" i="7"/>
  <c r="H5455" i="7"/>
  <c r="H5453" i="7"/>
  <c r="H5452" i="7"/>
  <c r="H5450" i="7"/>
  <c r="H5449" i="7"/>
  <c r="L5445" i="7"/>
  <c r="H5418" i="7"/>
  <c r="H5417" i="7"/>
  <c r="H5415" i="7"/>
  <c r="H5414" i="7"/>
  <c r="H5412" i="7"/>
  <c r="H5411" i="7"/>
  <c r="H5409" i="7"/>
  <c r="H5408" i="7"/>
  <c r="H5399" i="7"/>
  <c r="H5398" i="7"/>
  <c r="H5397" i="7"/>
  <c r="H5396" i="7"/>
  <c r="L5393" i="7"/>
  <c r="H5373" i="7"/>
  <c r="H5372" i="7"/>
  <c r="H5360" i="7"/>
  <c r="H5359" i="7"/>
  <c r="L5356" i="7"/>
  <c r="H5325" i="7"/>
  <c r="H5324" i="7"/>
  <c r="L5321" i="7"/>
  <c r="H5312" i="7"/>
  <c r="H5311" i="7"/>
  <c r="L5308" i="7"/>
  <c r="H5299" i="7"/>
  <c r="H5298" i="7"/>
  <c r="L5295" i="7"/>
  <c r="H5142" i="7"/>
  <c r="L5124" i="7"/>
  <c r="H4969" i="7"/>
  <c r="H4968" i="7"/>
  <c r="L4965" i="7"/>
  <c r="H4960" i="7"/>
  <c r="H4962" i="7" s="1"/>
  <c r="L4955" i="7"/>
  <c r="A4955" i="7"/>
  <c r="H4951" i="7"/>
  <c r="H4953" i="7" s="1"/>
  <c r="L4946" i="7"/>
  <c r="A4946" i="7"/>
  <c r="H4931" i="7"/>
  <c r="H4933" i="7" s="1"/>
  <c r="L4922" i="7"/>
  <c r="H4915" i="7"/>
  <c r="H4918" i="7" s="1"/>
  <c r="H4904" i="7"/>
  <c r="H4906" i="7" s="1"/>
  <c r="H4898" i="7"/>
  <c r="L4887" i="7"/>
  <c r="H4885" i="7"/>
  <c r="L4874" i="7"/>
  <c r="H4868" i="7"/>
  <c r="H4870" i="7" s="1"/>
  <c r="H4872" i="7" s="1"/>
  <c r="L4864" i="7"/>
  <c r="H4858" i="7"/>
  <c r="H4860" i="7" s="1"/>
  <c r="H4862" i="7" s="1"/>
  <c r="L4854" i="7"/>
  <c r="H4849" i="7"/>
  <c r="H4850" i="7" s="1"/>
  <c r="H4839" i="7"/>
  <c r="H4838" i="7"/>
  <c r="H4835" i="7"/>
  <c r="H4832" i="7"/>
  <c r="H4831" i="7"/>
  <c r="H4830" i="7"/>
  <c r="H4829" i="7"/>
  <c r="H4827" i="7"/>
  <c r="L4822" i="7"/>
  <c r="H4816" i="7"/>
  <c r="H4815" i="7"/>
  <c r="L4811" i="7"/>
  <c r="H4806" i="7"/>
  <c r="H4800" i="7"/>
  <c r="H4805" i="7" s="1"/>
  <c r="H4796" i="7"/>
  <c r="L4787" i="7"/>
  <c r="H4778" i="7"/>
  <c r="H4774" i="7"/>
  <c r="H4765" i="7"/>
  <c r="H4767" i="7" s="1"/>
  <c r="L4760" i="7"/>
  <c r="H4756" i="7"/>
  <c r="H4758" i="7" s="1"/>
  <c r="L4751" i="7"/>
  <c r="H4744" i="7"/>
  <c r="H4747" i="7" s="1"/>
  <c r="L4742" i="7"/>
  <c r="H4735" i="7"/>
  <c r="H4738" i="7" s="1"/>
  <c r="L4733" i="7"/>
  <c r="H4726" i="7"/>
  <c r="H4729" i="7" s="1"/>
  <c r="H4731" i="7" s="1"/>
  <c r="L4724" i="7"/>
  <c r="H4717" i="7"/>
  <c r="H4720" i="7" s="1"/>
  <c r="L4715" i="7"/>
  <c r="H4709" i="7"/>
  <c r="H4708" i="7"/>
  <c r="L4706" i="7"/>
  <c r="H4700" i="7"/>
  <c r="H4699" i="7"/>
  <c r="L4697" i="7"/>
  <c r="H4690" i="7"/>
  <c r="H4693" i="7" s="1"/>
  <c r="L4688" i="7"/>
  <c r="H4681" i="7"/>
  <c r="H4684" i="7" s="1"/>
  <c r="L4679" i="7"/>
  <c r="H4672" i="7"/>
  <c r="H4675" i="7" s="1"/>
  <c r="H4677" i="7" s="1"/>
  <c r="L4670" i="7"/>
  <c r="H4664" i="7"/>
  <c r="H4666" i="7" s="1"/>
  <c r="H4668" i="7" s="1"/>
  <c r="L4661" i="7"/>
  <c r="A4661" i="7"/>
  <c r="H4657" i="7"/>
  <c r="H4659" i="7" s="1"/>
  <c r="L4652" i="7"/>
  <c r="A4652" i="7"/>
  <c r="H4648" i="7"/>
  <c r="H4650" i="7" s="1"/>
  <c r="L4643" i="7"/>
  <c r="A4643" i="7"/>
  <c r="H4639" i="7"/>
  <c r="H4641" i="7" s="1"/>
  <c r="L4634" i="7"/>
  <c r="A4634" i="7"/>
  <c r="H4629" i="7"/>
  <c r="H4628" i="7"/>
  <c r="H4627" i="7"/>
  <c r="L4625" i="7"/>
  <c r="H4620" i="7"/>
  <c r="H4619" i="7"/>
  <c r="H4618" i="7"/>
  <c r="L4616" i="7"/>
  <c r="H4611" i="7"/>
  <c r="H4610" i="7"/>
  <c r="H4609" i="7"/>
  <c r="L4607" i="7"/>
  <c r="H4599" i="7"/>
  <c r="H4598" i="7"/>
  <c r="H4597" i="7"/>
  <c r="L4595" i="7"/>
  <c r="H4588" i="7"/>
  <c r="H4590" i="7" s="1"/>
  <c r="H4592" i="7" s="1"/>
  <c r="L4584" i="7"/>
  <c r="H4578" i="7"/>
  <c r="H4580" i="7" s="1"/>
  <c r="L4574" i="7"/>
  <c r="H4568" i="7"/>
  <c r="H4565" i="7"/>
  <c r="H4571" i="7" s="1"/>
  <c r="L4561" i="7"/>
  <c r="H4546" i="7"/>
  <c r="H4548" i="7" s="1"/>
  <c r="H4550" i="7" s="1"/>
  <c r="L4542" i="7"/>
  <c r="H4536" i="7"/>
  <c r="H4538" i="7" s="1"/>
  <c r="H4540" i="7" s="1"/>
  <c r="L4532" i="7"/>
  <c r="H4526" i="7"/>
  <c r="H4525" i="7"/>
  <c r="L4521" i="7"/>
  <c r="H4514" i="7"/>
  <c r="H4513" i="7"/>
  <c r="H4512" i="7"/>
  <c r="H4508" i="7"/>
  <c r="H4497" i="7"/>
  <c r="H4499" i="7" s="1"/>
  <c r="H4501" i="7" s="1"/>
  <c r="L4493" i="7"/>
  <c r="H4487" i="7"/>
  <c r="H4482" i="7"/>
  <c r="H4490" i="7" s="1"/>
  <c r="L4478" i="7"/>
  <c r="H4472" i="7"/>
  <c r="H4471" i="7"/>
  <c r="H4469" i="7"/>
  <c r="H4468" i="7"/>
  <c r="H4465" i="7"/>
  <c r="H4464" i="7"/>
  <c r="H4463" i="7"/>
  <c r="H4462" i="7"/>
  <c r="H4461" i="7"/>
  <c r="L4453" i="7"/>
  <c r="H4409" i="7"/>
  <c r="H4408" i="7"/>
  <c r="H4407" i="7"/>
  <c r="H4406" i="7"/>
  <c r="H4404" i="7"/>
  <c r="H4403" i="7"/>
  <c r="H4402" i="7"/>
  <c r="H4401" i="7"/>
  <c r="H4400" i="7"/>
  <c r="H4399" i="7"/>
  <c r="H4398" i="7"/>
  <c r="L4393" i="7"/>
  <c r="H4389" i="7"/>
  <c r="H4388" i="7"/>
  <c r="F4387" i="7"/>
  <c r="H4387" i="7" s="1"/>
  <c r="F4386" i="7"/>
  <c r="H4386" i="7" s="1"/>
  <c r="F4385" i="7"/>
  <c r="H4385" i="7" s="1"/>
  <c r="F4384" i="7"/>
  <c r="F4383" i="7"/>
  <c r="F4382" i="7"/>
  <c r="H4381" i="7"/>
  <c r="H4380" i="7"/>
  <c r="H4379" i="7"/>
  <c r="H4378" i="7"/>
  <c r="H4377" i="7"/>
  <c r="L4373" i="7"/>
  <c r="H4349" i="7"/>
  <c r="L4345" i="7"/>
  <c r="H4221" i="7"/>
  <c r="H4220" i="7"/>
  <c r="H4219" i="7"/>
  <c r="H4218" i="7"/>
  <c r="H4217" i="7"/>
  <c r="H4215" i="7"/>
  <c r="H4214" i="7"/>
  <c r="H4213" i="7"/>
  <c r="H4212" i="7"/>
  <c r="H4211" i="7"/>
  <c r="H4210" i="7"/>
  <c r="L4206" i="7"/>
  <c r="H4203" i="7"/>
  <c r="L4195" i="7"/>
  <c r="H4192" i="7"/>
  <c r="H4189" i="7"/>
  <c r="L4184" i="7"/>
  <c r="H4181" i="7"/>
  <c r="H4178" i="7"/>
  <c r="H4177" i="7"/>
  <c r="H4176" i="7"/>
  <c r="H4175" i="7"/>
  <c r="H4173" i="7"/>
  <c r="H4172" i="7"/>
  <c r="H4171" i="7"/>
  <c r="H4170" i="7"/>
  <c r="L4166" i="7"/>
  <c r="H4144" i="7"/>
  <c r="H4143" i="7"/>
  <c r="H4141" i="7"/>
  <c r="H4140" i="7"/>
  <c r="H4139" i="7"/>
  <c r="H4138" i="7"/>
  <c r="L4134" i="7"/>
  <c r="H4131" i="7"/>
  <c r="H4128" i="7"/>
  <c r="L4123" i="7"/>
  <c r="L3970" i="7"/>
  <c r="H3883" i="7"/>
  <c r="H3882" i="7"/>
  <c r="H3881" i="7"/>
  <c r="H3880" i="7"/>
  <c r="H3879" i="7"/>
  <c r="H3878" i="7"/>
  <c r="H3877" i="7"/>
  <c r="H3876" i="7"/>
  <c r="H3875" i="7"/>
  <c r="H3874" i="7"/>
  <c r="H3873" i="7"/>
  <c r="H3872" i="7"/>
  <c r="H3871" i="7"/>
  <c r="H3870" i="7"/>
  <c r="H3869" i="7"/>
  <c r="H3868" i="7"/>
  <c r="H3867" i="7"/>
  <c r="L3863" i="7"/>
  <c r="H3853" i="7"/>
  <c r="H3852" i="7"/>
  <c r="H3850" i="7"/>
  <c r="H3849" i="7"/>
  <c r="H3848" i="7"/>
  <c r="H3847" i="7"/>
  <c r="H3846" i="7"/>
  <c r="H3845" i="7"/>
  <c r="H3844" i="7"/>
  <c r="H3843" i="7"/>
  <c r="H3842" i="7"/>
  <c r="H3841" i="7"/>
  <c r="H3840" i="7"/>
  <c r="H3839" i="7"/>
  <c r="H3838" i="7"/>
  <c r="H3837" i="7"/>
  <c r="H3836" i="7"/>
  <c r="H3835" i="7"/>
  <c r="H3834" i="7"/>
  <c r="H3833" i="7"/>
  <c r="H3832" i="7"/>
  <c r="H3831" i="7"/>
  <c r="H3830" i="7"/>
  <c r="H3829" i="7"/>
  <c r="H3828" i="7"/>
  <c r="H3827" i="7"/>
  <c r="H3826" i="7"/>
  <c r="H3825" i="7"/>
  <c r="H3824" i="7"/>
  <c r="H3823" i="7"/>
  <c r="H3822" i="7"/>
  <c r="H3821" i="7"/>
  <c r="H3820" i="7"/>
  <c r="H3819" i="7"/>
  <c r="H3818" i="7"/>
  <c r="H3817" i="7"/>
  <c r="H3816" i="7"/>
  <c r="H3815" i="7"/>
  <c r="H3814" i="7"/>
  <c r="H3813" i="7"/>
  <c r="H3812" i="7"/>
  <c r="H3811" i="7"/>
  <c r="H3810" i="7"/>
  <c r="H3809" i="7"/>
  <c r="H3808" i="7"/>
  <c r="H3807" i="7"/>
  <c r="H3806" i="7"/>
  <c r="H3804" i="7"/>
  <c r="H3803" i="7"/>
  <c r="H3802" i="7"/>
  <c r="H3801" i="7"/>
  <c r="H3800" i="7"/>
  <c r="H3799" i="7"/>
  <c r="H3798" i="7"/>
  <c r="H3797" i="7"/>
  <c r="H3796" i="7"/>
  <c r="C3795" i="7"/>
  <c r="H3795" i="7" s="1"/>
  <c r="H3794" i="7"/>
  <c r="H3792" i="7"/>
  <c r="H3791" i="7"/>
  <c r="H3790" i="7"/>
  <c r="H3789" i="7"/>
  <c r="H3788" i="7"/>
  <c r="H3787" i="7"/>
  <c r="L3783" i="7"/>
  <c r="H3761" i="7"/>
  <c r="H3757" i="7"/>
  <c r="H3754" i="7"/>
  <c r="E3750" i="7"/>
  <c r="E3749" i="7"/>
  <c r="E3747" i="7"/>
  <c r="E3746" i="7"/>
  <c r="E3744" i="7"/>
  <c r="E3743" i="7"/>
  <c r="E3742" i="7"/>
  <c r="E3740" i="7"/>
  <c r="E3739" i="7"/>
  <c r="E3737" i="7"/>
  <c r="E3736" i="7"/>
  <c r="E3734" i="7"/>
  <c r="E3733" i="7"/>
  <c r="E3730" i="7"/>
  <c r="E3729" i="7"/>
  <c r="E3727" i="7"/>
  <c r="H3726" i="7" s="1"/>
  <c r="E3725" i="7"/>
  <c r="H3724" i="7" s="1"/>
  <c r="E3723" i="7"/>
  <c r="H3722" i="7" s="1"/>
  <c r="E3721" i="7"/>
  <c r="E3720" i="7"/>
  <c r="E3718" i="7"/>
  <c r="H3717" i="7" s="1"/>
  <c r="E3716" i="7"/>
  <c r="H3715" i="7" s="1"/>
  <c r="E3714" i="7"/>
  <c r="H3713" i="7" s="1"/>
  <c r="L3711" i="7"/>
  <c r="H3679" i="7"/>
  <c r="L3677" i="7"/>
  <c r="H3667" i="7"/>
  <c r="D3666" i="7"/>
  <c r="H3666" i="7" s="1"/>
  <c r="H3663" i="7"/>
  <c r="H3662" i="7"/>
  <c r="H3661" i="7"/>
  <c r="H3660" i="7"/>
  <c r="H3659" i="7"/>
  <c r="H3658" i="7"/>
  <c r="H3657" i="7"/>
  <c r="H3656" i="7"/>
  <c r="H3654" i="7"/>
  <c r="H3653" i="7"/>
  <c r="H3652" i="7"/>
  <c r="H3651" i="7"/>
  <c r="H3650" i="7"/>
  <c r="H3649" i="7"/>
  <c r="H3648" i="7"/>
  <c r="H3647" i="7"/>
  <c r="H3646" i="7"/>
  <c r="H3645" i="7"/>
  <c r="H3644" i="7"/>
  <c r="H3643" i="7"/>
  <c r="H3642" i="7"/>
  <c r="H3641" i="7"/>
  <c r="H3640" i="7"/>
  <c r="H3639" i="7"/>
  <c r="H3638" i="7"/>
  <c r="F3637" i="7"/>
  <c r="D3637" i="7"/>
  <c r="H3636" i="7"/>
  <c r="F3634" i="7"/>
  <c r="H3634" i="7" s="1"/>
  <c r="H3633" i="7"/>
  <c r="H3632" i="7"/>
  <c r="D3631" i="7"/>
  <c r="H3631" i="7" s="1"/>
  <c r="H3630" i="7"/>
  <c r="F3629" i="7"/>
  <c r="H3629" i="7" s="1"/>
  <c r="F3628" i="7"/>
  <c r="H3628" i="7" s="1"/>
  <c r="H3625" i="7"/>
  <c r="H3624" i="7"/>
  <c r="H3622" i="7"/>
  <c r="H3621" i="7"/>
  <c r="H3620" i="7"/>
  <c r="H3619" i="7"/>
  <c r="H3609" i="7"/>
  <c r="D3608" i="7"/>
  <c r="H3608" i="7" s="1"/>
  <c r="H3607" i="7"/>
  <c r="H3606" i="7"/>
  <c r="H3605" i="7"/>
  <c r="H3604" i="7"/>
  <c r="H3603" i="7"/>
  <c r="H3602" i="7"/>
  <c r="H3601" i="7"/>
  <c r="H3600" i="7"/>
  <c r="H3599" i="7"/>
  <c r="H3598" i="7"/>
  <c r="D3597" i="7"/>
  <c r="H3597" i="7" s="1"/>
  <c r="D3596" i="7"/>
  <c r="H3596" i="7" s="1"/>
  <c r="D3595" i="7"/>
  <c r="H3595" i="7" s="1"/>
  <c r="D3594" i="7"/>
  <c r="H3594" i="7" s="1"/>
  <c r="H3593" i="7"/>
  <c r="H3592" i="7"/>
  <c r="H3590" i="7"/>
  <c r="H3589" i="7"/>
  <c r="H3570" i="7"/>
  <c r="D3569" i="7"/>
  <c r="H3569" i="7" s="1"/>
  <c r="H3566" i="7"/>
  <c r="H3565" i="7"/>
  <c r="H3564" i="7"/>
  <c r="H3563" i="7"/>
  <c r="H3562" i="7"/>
  <c r="H3561" i="7"/>
  <c r="H3560" i="7"/>
  <c r="H3559" i="7"/>
  <c r="H3557" i="7"/>
  <c r="H3556" i="7"/>
  <c r="H3555" i="7"/>
  <c r="H3554" i="7"/>
  <c r="H3553" i="7"/>
  <c r="H3552" i="7"/>
  <c r="H3551" i="7"/>
  <c r="H3550" i="7"/>
  <c r="H3549" i="7"/>
  <c r="H3548" i="7"/>
  <c r="H3547" i="7"/>
  <c r="H3546" i="7"/>
  <c r="H3545" i="7"/>
  <c r="H3544" i="7"/>
  <c r="H3543" i="7"/>
  <c r="H3542" i="7"/>
  <c r="H3541" i="7"/>
  <c r="F3540" i="7"/>
  <c r="D3540" i="7"/>
  <c r="H3539" i="7"/>
  <c r="F3537" i="7"/>
  <c r="H3537" i="7" s="1"/>
  <c r="H3536" i="7"/>
  <c r="H3535" i="7"/>
  <c r="D3534" i="7"/>
  <c r="H3534" i="7" s="1"/>
  <c r="H3533" i="7"/>
  <c r="F3532" i="7"/>
  <c r="H3532" i="7" s="1"/>
  <c r="F3531" i="7"/>
  <c r="H3531" i="7" s="1"/>
  <c r="H3528" i="7"/>
  <c r="H3527" i="7"/>
  <c r="H3521" i="7"/>
  <c r="H3520" i="7"/>
  <c r="H3514" i="7"/>
  <c r="H3512" i="7"/>
  <c r="H3511" i="7"/>
  <c r="D3510" i="7"/>
  <c r="H3510" i="7" s="1"/>
  <c r="D3509" i="7"/>
  <c r="H3509" i="7" s="1"/>
  <c r="H3508" i="7"/>
  <c r="D3507" i="7"/>
  <c r="H3507" i="7" s="1"/>
  <c r="D3506" i="7"/>
  <c r="H3506" i="7" s="1"/>
  <c r="D3505" i="7"/>
  <c r="H3505" i="7" s="1"/>
  <c r="H3504" i="7"/>
  <c r="D3503" i="7"/>
  <c r="H3503" i="7" s="1"/>
  <c r="D3502" i="7"/>
  <c r="H3502" i="7" s="1"/>
  <c r="H3500" i="7"/>
  <c r="D3499" i="7"/>
  <c r="H3499" i="7" s="1"/>
  <c r="D3498" i="7"/>
  <c r="H3498" i="7" s="1"/>
  <c r="H3497" i="7"/>
  <c r="H3496" i="7"/>
  <c r="H3495" i="7"/>
  <c r="H3494" i="7"/>
  <c r="H3493" i="7"/>
  <c r="D3480" i="7"/>
  <c r="F3479" i="7" s="1"/>
  <c r="H3479" i="7" s="1"/>
  <c r="D3478" i="7"/>
  <c r="D3477" i="7"/>
  <c r="D3475" i="7"/>
  <c r="D3474" i="7"/>
  <c r="D3472" i="7"/>
  <c r="D3471" i="7"/>
  <c r="D3469" i="7"/>
  <c r="D3468" i="7"/>
  <c r="D3467" i="7"/>
  <c r="D3465" i="7"/>
  <c r="D3464" i="7"/>
  <c r="D3462" i="7"/>
  <c r="D3461" i="7"/>
  <c r="D3459" i="7"/>
  <c r="D3458" i="7"/>
  <c r="D3455" i="7"/>
  <c r="F3454" i="7" s="1"/>
  <c r="H3454" i="7" s="1"/>
  <c r="D3453" i="7"/>
  <c r="F3452" i="7" s="1"/>
  <c r="H3452" i="7" s="1"/>
  <c r="D3451" i="7"/>
  <c r="D3450" i="7"/>
  <c r="D3448" i="7"/>
  <c r="D3447" i="7"/>
  <c r="D3445" i="7"/>
  <c r="D3444" i="7"/>
  <c r="D3442" i="7"/>
  <c r="F3441" i="7" s="1"/>
  <c r="H3441" i="7" s="1"/>
  <c r="D3440" i="7"/>
  <c r="F3439" i="7" s="1"/>
  <c r="H3439" i="7" s="1"/>
  <c r="D3438" i="7"/>
  <c r="F3437" i="7" s="1"/>
  <c r="H3437" i="7" s="1"/>
  <c r="D3436" i="7"/>
  <c r="F3435" i="7" s="1"/>
  <c r="H3435" i="7" s="1"/>
  <c r="D3434" i="7"/>
  <c r="D3433" i="7"/>
  <c r="D3432" i="7"/>
  <c r="D3430" i="7"/>
  <c r="F3429" i="7" s="1"/>
  <c r="H3429" i="7" s="1"/>
  <c r="D3428" i="7"/>
  <c r="F3427" i="7" s="1"/>
  <c r="H3427" i="7" s="1"/>
  <c r="D3425" i="7"/>
  <c r="H3425" i="7" s="1"/>
  <c r="D3424" i="7"/>
  <c r="H3424" i="7" s="1"/>
  <c r="H3423" i="7"/>
  <c r="D3422" i="7"/>
  <c r="H3422" i="7" s="1"/>
  <c r="D3421" i="7"/>
  <c r="H3421" i="7" s="1"/>
  <c r="D3419" i="7"/>
  <c r="H3419" i="7" s="1"/>
  <c r="D3418" i="7"/>
  <c r="H3418" i="7" s="1"/>
  <c r="H3243" i="7"/>
  <c r="H3242" i="7"/>
  <c r="H3241" i="7"/>
  <c r="H3240" i="7"/>
  <c r="H3239" i="7"/>
  <c r="H3232" i="7"/>
  <c r="H3231" i="7"/>
  <c r="H3230" i="7"/>
  <c r="H3229" i="7"/>
  <c r="H3228" i="7"/>
  <c r="H3217" i="7"/>
  <c r="H3222" i="7" s="1"/>
  <c r="H3214" i="7"/>
  <c r="H3213" i="7"/>
  <c r="L3208" i="7"/>
  <c r="H3206" i="7"/>
  <c r="H3196" i="7"/>
  <c r="H3195" i="7"/>
  <c r="L3190" i="7"/>
  <c r="H3171" i="7"/>
  <c r="H3169" i="7"/>
  <c r="H3168" i="7"/>
  <c r="H3164" i="7"/>
  <c r="H3163" i="7"/>
  <c r="H3162" i="7"/>
  <c r="H3161" i="7"/>
  <c r="H3160" i="7"/>
  <c r="H3159" i="7"/>
  <c r="H3158" i="7"/>
  <c r="H3156" i="7"/>
  <c r="H3155" i="7"/>
  <c r="H3154" i="7"/>
  <c r="H3153" i="7"/>
  <c r="H3152" i="7"/>
  <c r="H3151" i="7"/>
  <c r="H3150" i="7"/>
  <c r="H3149" i="7"/>
  <c r="H3148" i="7"/>
  <c r="H3147" i="7"/>
  <c r="L3144" i="7"/>
  <c r="H3130" i="7"/>
  <c r="H3129" i="7"/>
  <c r="L3127" i="7"/>
  <c r="H3123" i="7"/>
  <c r="L3115" i="7"/>
  <c r="H3112" i="7"/>
  <c r="H3111" i="7"/>
  <c r="L3107" i="7"/>
  <c r="H3102" i="7"/>
  <c r="H2847" i="7"/>
  <c r="L2844" i="7"/>
  <c r="H2820" i="7"/>
  <c r="H2817" i="7"/>
  <c r="L2814" i="7"/>
  <c r="H2797" i="7"/>
  <c r="H2796" i="7"/>
  <c r="H2794" i="7"/>
  <c r="H2793" i="7"/>
  <c r="H2789" i="7"/>
  <c r="H2788" i="7"/>
  <c r="H2787" i="7"/>
  <c r="H2785" i="7"/>
  <c r="H2784" i="7"/>
  <c r="H2783" i="7"/>
  <c r="H2782" i="7"/>
  <c r="L2779" i="7"/>
  <c r="H2505" i="7"/>
  <c r="N2499" i="7" s="1"/>
  <c r="H2503" i="7"/>
  <c r="H2493" i="7"/>
  <c r="H2491" i="7"/>
  <c r="H2490" i="7"/>
  <c r="H2489" i="7"/>
  <c r="H2488" i="7"/>
  <c r="H2487" i="7"/>
  <c r="H2486" i="7"/>
  <c r="H2485" i="7"/>
  <c r="H2476" i="7"/>
  <c r="H2475" i="7"/>
  <c r="H2473" i="7"/>
  <c r="H2472" i="7"/>
  <c r="C2459" i="7"/>
  <c r="H2459" i="7" s="1"/>
  <c r="C2458" i="7"/>
  <c r="H2458" i="7" s="1"/>
  <c r="C2457" i="7"/>
  <c r="H2457" i="7" s="1"/>
  <c r="C2456" i="7"/>
  <c r="H2456" i="7" s="1"/>
  <c r="C2455" i="7"/>
  <c r="H2455" i="7" s="1"/>
  <c r="H2452" i="7"/>
  <c r="H2451" i="7"/>
  <c r="C2450" i="7"/>
  <c r="H2450" i="7" s="1"/>
  <c r="C2447" i="7"/>
  <c r="H2447" i="7" s="1"/>
  <c r="H2445" i="7"/>
  <c r="H2444" i="7"/>
  <c r="C2443" i="7"/>
  <c r="H2443" i="7" s="1"/>
  <c r="C2442" i="7"/>
  <c r="H2442" i="7" s="1"/>
  <c r="E2441" i="7"/>
  <c r="H2441" i="7" s="1"/>
  <c r="H2440" i="7"/>
  <c r="C2439" i="7"/>
  <c r="H2439" i="7" s="1"/>
  <c r="C2438" i="7"/>
  <c r="H2438" i="7" s="1"/>
  <c r="C2437" i="7"/>
  <c r="H2437" i="7" s="1"/>
  <c r="H2431" i="7"/>
  <c r="H2429" i="7"/>
  <c r="H2428" i="7"/>
  <c r="H2427" i="7"/>
  <c r="H2426" i="7"/>
  <c r="D2424" i="7"/>
  <c r="H2424" i="7" s="1"/>
  <c r="H2422" i="7"/>
  <c r="H2421" i="7"/>
  <c r="H2420" i="7"/>
  <c r="H2419" i="7"/>
  <c r="H2418" i="7"/>
  <c r="H2417" i="7"/>
  <c r="H2415" i="7"/>
  <c r="H2414" i="7"/>
  <c r="H2413" i="7"/>
  <c r="H2412" i="7"/>
  <c r="H2411" i="7"/>
  <c r="H2396" i="7"/>
  <c r="H2395" i="7"/>
  <c r="H2392" i="7"/>
  <c r="H2390" i="7"/>
  <c r="H2388" i="7"/>
  <c r="H2387" i="7"/>
  <c r="H2386" i="7"/>
  <c r="H2385" i="7"/>
  <c r="H2384" i="7"/>
  <c r="H2383" i="7"/>
  <c r="H2382" i="7"/>
  <c r="H2381" i="7"/>
  <c r="H2380" i="7"/>
  <c r="H2377" i="7"/>
  <c r="H2376" i="7"/>
  <c r="H2371" i="7"/>
  <c r="H2369" i="7"/>
  <c r="L2365" i="7"/>
  <c r="H2360" i="7"/>
  <c r="H2359" i="7"/>
  <c r="L2357" i="7"/>
  <c r="H2348" i="7"/>
  <c r="H2346" i="7"/>
  <c r="L2344" i="7"/>
  <c r="H2310" i="7"/>
  <c r="H2309" i="7"/>
  <c r="H2308" i="7"/>
  <c r="H2307" i="7"/>
  <c r="H2306" i="7"/>
  <c r="H2305" i="7"/>
  <c r="H2304" i="7"/>
  <c r="H2303" i="7"/>
  <c r="H2302" i="7"/>
  <c r="H2301" i="7"/>
  <c r="H2300" i="7"/>
  <c r="H2299" i="7"/>
  <c r="H2298" i="7"/>
  <c r="H2297" i="7"/>
  <c r="H2296" i="7"/>
  <c r="H2295" i="7"/>
  <c r="H2294" i="7"/>
  <c r="H2293" i="7"/>
  <c r="H2292" i="7"/>
  <c r="H2291" i="7"/>
  <c r="H2290" i="7"/>
  <c r="H2289" i="7"/>
  <c r="H2288" i="7"/>
  <c r="H2287" i="7"/>
  <c r="H2286" i="7"/>
  <c r="H2285" i="7"/>
  <c r="H2284" i="7"/>
  <c r="H2283" i="7"/>
  <c r="H2282" i="7"/>
  <c r="L2280" i="7"/>
  <c r="H2259" i="7"/>
  <c r="H2258" i="7"/>
  <c r="H2257" i="7"/>
  <c r="H2256" i="7"/>
  <c r="H2255" i="7"/>
  <c r="H2254" i="7"/>
  <c r="H2253" i="7"/>
  <c r="H2252" i="7"/>
  <c r="H2251" i="7"/>
  <c r="D2250" i="7"/>
  <c r="H2250" i="7" s="1"/>
  <c r="H2249" i="7"/>
  <c r="H2248" i="7"/>
  <c r="D2247" i="7"/>
  <c r="H2247" i="7" s="1"/>
  <c r="H2246" i="7"/>
  <c r="H2245" i="7"/>
  <c r="D2244" i="7"/>
  <c r="H2244" i="7" s="1"/>
  <c r="H2243" i="7"/>
  <c r="H2242" i="7"/>
  <c r="H2241" i="7"/>
  <c r="H2240" i="7"/>
  <c r="H2239" i="7"/>
  <c r="H2238" i="7"/>
  <c r="H2237" i="7"/>
  <c r="H2236" i="7"/>
  <c r="H2235" i="7"/>
  <c r="H2234" i="7"/>
  <c r="H2233" i="7"/>
  <c r="H2231" i="7"/>
  <c r="H2230" i="7"/>
  <c r="H2229" i="7"/>
  <c r="H2228" i="7"/>
  <c r="H2227" i="7"/>
  <c r="H2226" i="7"/>
  <c r="H2225" i="7"/>
  <c r="H2224" i="7"/>
  <c r="H2223" i="7"/>
  <c r="H2220" i="7"/>
  <c r="D2217" i="7"/>
  <c r="H2217" i="7" s="1"/>
  <c r="D2216" i="7"/>
  <c r="H2216" i="7" s="1"/>
  <c r="H2215" i="7"/>
  <c r="H2214" i="7"/>
  <c r="H2213" i="7"/>
  <c r="H2212" i="7"/>
  <c r="H2211" i="7"/>
  <c r="H2192" i="7"/>
  <c r="H2191" i="7"/>
  <c r="D2189" i="7"/>
  <c r="H2189" i="7" s="1"/>
  <c r="H2188" i="7"/>
  <c r="H2185" i="7"/>
  <c r="H2183" i="7"/>
  <c r="H2182" i="7"/>
  <c r="I2170" i="7"/>
  <c r="I2165" i="7"/>
  <c r="I2164" i="7"/>
  <c r="I2162" i="7"/>
  <c r="I2160" i="7"/>
  <c r="I2157" i="7"/>
  <c r="I2155" i="7"/>
  <c r="H2154" i="7"/>
  <c r="I2154" i="7" s="1"/>
  <c r="I2153" i="7"/>
  <c r="I2151" i="7"/>
  <c r="I2150" i="7"/>
  <c r="I2148" i="7"/>
  <c r="H2147" i="7"/>
  <c r="I2147" i="7" s="1"/>
  <c r="H2146" i="7"/>
  <c r="I2146" i="7" s="1"/>
  <c r="H2145" i="7"/>
  <c r="I2145" i="7" s="1"/>
  <c r="H2144" i="7"/>
  <c r="I2144" i="7" s="1"/>
  <c r="H2140" i="7"/>
  <c r="I2140" i="7" s="1"/>
  <c r="H2138" i="7"/>
  <c r="I2138" i="7" s="1"/>
  <c r="H2137" i="7"/>
  <c r="I2137" i="7" s="1"/>
  <c r="H2136" i="7"/>
  <c r="I2134" i="7"/>
  <c r="I2133" i="7"/>
  <c r="H2132" i="7"/>
  <c r="H2131" i="7"/>
  <c r="D2128" i="7"/>
  <c r="I2128" i="7" s="1"/>
  <c r="D2126" i="7"/>
  <c r="I2126" i="7" s="1"/>
  <c r="D2125" i="7"/>
  <c r="I2125" i="7" s="1"/>
  <c r="D2124" i="7"/>
  <c r="I2124" i="7" s="1"/>
  <c r="D2123" i="7"/>
  <c r="I2123" i="7" s="1"/>
  <c r="D2122" i="7"/>
  <c r="I2122" i="7" s="1"/>
  <c r="D2121" i="7"/>
  <c r="I2121" i="7" s="1"/>
  <c r="D2120" i="7"/>
  <c r="I2120" i="7" s="1"/>
  <c r="I2118" i="7"/>
  <c r="I2116" i="7"/>
  <c r="I2115" i="7"/>
  <c r="I2114" i="7"/>
  <c r="I2113" i="7"/>
  <c r="I2112" i="7"/>
  <c r="G2086" i="7"/>
  <c r="H2086" i="7" s="1"/>
  <c r="G2085" i="7"/>
  <c r="H2085" i="7" s="1"/>
  <c r="G2084" i="7"/>
  <c r="H2084" i="7" s="1"/>
  <c r="H2083" i="7"/>
  <c r="G2072" i="7"/>
  <c r="H2072" i="7" s="1"/>
  <c r="G2071" i="7"/>
  <c r="H2071" i="7" s="1"/>
  <c r="G2070" i="7"/>
  <c r="H2070" i="7" s="1"/>
  <c r="H2069" i="7"/>
  <c r="G2058" i="7"/>
  <c r="H2058" i="7" s="1"/>
  <c r="G2057" i="7"/>
  <c r="H2057" i="7" s="1"/>
  <c r="G2056" i="7"/>
  <c r="H2056" i="7" s="1"/>
  <c r="H2055" i="7"/>
  <c r="G2044" i="7"/>
  <c r="H2044" i="7" s="1"/>
  <c r="G2043" i="7"/>
  <c r="H2043" i="7" s="1"/>
  <c r="G2042" i="7"/>
  <c r="H2042" i="7" s="1"/>
  <c r="H2041" i="7"/>
  <c r="L2038" i="7"/>
  <c r="H2031" i="7"/>
  <c r="H2033" i="7" s="1"/>
  <c r="H2021" i="7"/>
  <c r="H2023" i="7" s="1"/>
  <c r="H2025" i="7" s="1"/>
  <c r="H2011" i="7"/>
  <c r="H2014" i="7" s="1"/>
  <c r="H2016" i="7" s="1"/>
  <c r="H2001" i="7"/>
  <c r="H2004" i="7" s="1"/>
  <c r="H1984" i="7"/>
  <c r="H1983" i="7"/>
  <c r="H1982" i="7"/>
  <c r="H1981" i="7"/>
  <c r="H1980" i="7"/>
  <c r="H1978" i="7"/>
  <c r="H1977" i="7"/>
  <c r="H1976" i="7"/>
  <c r="H1975" i="7"/>
  <c r="L1971" i="7"/>
  <c r="H1962" i="7"/>
  <c r="C1954" i="7"/>
  <c r="H1954" i="7" s="1"/>
  <c r="H1952" i="7"/>
  <c r="H1951" i="7"/>
  <c r="H1950" i="7"/>
  <c r="H1948" i="7"/>
  <c r="H1947" i="7"/>
  <c r="H1943" i="7"/>
  <c r="H1942" i="7"/>
  <c r="L1938" i="7"/>
  <c r="H1931" i="7"/>
  <c r="H1934" i="7" s="1"/>
  <c r="H1921" i="7"/>
  <c r="H1920" i="7"/>
  <c r="L1916" i="7"/>
  <c r="B1916" i="7"/>
  <c r="H1908" i="7"/>
  <c r="H1907" i="7"/>
  <c r="D1906" i="7"/>
  <c r="H1906" i="7" s="1"/>
  <c r="D1903" i="7"/>
  <c r="H1903" i="7" s="1"/>
  <c r="H1900" i="7"/>
  <c r="H1899" i="7"/>
  <c r="H1898" i="7"/>
  <c r="H1897" i="7"/>
  <c r="H1896" i="7"/>
  <c r="H1893" i="7"/>
  <c r="H1892" i="7"/>
  <c r="H1891" i="7"/>
  <c r="H1890" i="7"/>
  <c r="H1889" i="7"/>
  <c r="H1888" i="7"/>
  <c r="H1887" i="7"/>
  <c r="H1886" i="7"/>
  <c r="H1885" i="7"/>
  <c r="H1884" i="7"/>
  <c r="H1883" i="7"/>
  <c r="H1882" i="7"/>
  <c r="H1881" i="7"/>
  <c r="H1880" i="7"/>
  <c r="H1879" i="7"/>
  <c r="H1878" i="7"/>
  <c r="H1877" i="7"/>
  <c r="H1856" i="7"/>
  <c r="H1855" i="7"/>
  <c r="H1854" i="7"/>
  <c r="H1853" i="7"/>
  <c r="H1851" i="7"/>
  <c r="H1847" i="7"/>
  <c r="H1846" i="7"/>
  <c r="H1845" i="7"/>
  <c r="H1844" i="7"/>
  <c r="H1843" i="7"/>
  <c r="F1841" i="7"/>
  <c r="H1841" i="7" s="1"/>
  <c r="H1840" i="7"/>
  <c r="F1839" i="7"/>
  <c r="H1839" i="7" s="1"/>
  <c r="H1838" i="7"/>
  <c r="L1834" i="7"/>
  <c r="C1822" i="7"/>
  <c r="H1822" i="7" s="1"/>
  <c r="H1821" i="7"/>
  <c r="C1820" i="7"/>
  <c r="H1820" i="7" s="1"/>
  <c r="C1817" i="7"/>
  <c r="H1817" i="7" s="1"/>
  <c r="H1814" i="7"/>
  <c r="H1813" i="7"/>
  <c r="C1812" i="7"/>
  <c r="D1812" i="7" s="1"/>
  <c r="F1812" i="7" s="1"/>
  <c r="C1809" i="7"/>
  <c r="D1809" i="7" s="1"/>
  <c r="F1809" i="7" s="1"/>
  <c r="C1808" i="7"/>
  <c r="D1808" i="7" s="1"/>
  <c r="F1808" i="7" s="1"/>
  <c r="H1808" i="7" s="1"/>
  <c r="C1807" i="7"/>
  <c r="C1799" i="7"/>
  <c r="H1799" i="7" s="1"/>
  <c r="H1794" i="7"/>
  <c r="C1781" i="7"/>
  <c r="H1781" i="7" s="1"/>
  <c r="H1780" i="7"/>
  <c r="C1779" i="7"/>
  <c r="H1779" i="7" s="1"/>
  <c r="C1776" i="7"/>
  <c r="H1776" i="7" s="1"/>
  <c r="H1773" i="7"/>
  <c r="H1772" i="7"/>
  <c r="E1771" i="7"/>
  <c r="D1771" i="7"/>
  <c r="E1769" i="7"/>
  <c r="D1769" i="7"/>
  <c r="E1768" i="7"/>
  <c r="D1768" i="7"/>
  <c r="E1767" i="7"/>
  <c r="D1767" i="7"/>
  <c r="C1753" i="7"/>
  <c r="H1753" i="7" s="1"/>
  <c r="H1749" i="7"/>
  <c r="L1745" i="7"/>
  <c r="C1723" i="7"/>
  <c r="H1723" i="7" s="1"/>
  <c r="H1721" i="7"/>
  <c r="H1711" i="7"/>
  <c r="H1699" i="7"/>
  <c r="H1697" i="7"/>
  <c r="H1696" i="7"/>
  <c r="H1694" i="7"/>
  <c r="H1693" i="7"/>
  <c r="D1692" i="7"/>
  <c r="H1692" i="7" s="1"/>
  <c r="D1689" i="7"/>
  <c r="H1689" i="7" s="1"/>
  <c r="H1686" i="7"/>
  <c r="H1685" i="7"/>
  <c r="H1684" i="7"/>
  <c r="H1683" i="7"/>
  <c r="H1682" i="7"/>
  <c r="C1679" i="7"/>
  <c r="H1679" i="7" s="1"/>
  <c r="E1678" i="7"/>
  <c r="C1678" i="7" s="1"/>
  <c r="H1678" i="7" s="1"/>
  <c r="F1676" i="7"/>
  <c r="H1676" i="7" s="1"/>
  <c r="F1675" i="7"/>
  <c r="H1675" i="7" s="1"/>
  <c r="H1674" i="7"/>
  <c r="H1673" i="7"/>
  <c r="F1672" i="7"/>
  <c r="H1672" i="7" s="1"/>
  <c r="F1671" i="7"/>
  <c r="H1671" i="7" s="1"/>
  <c r="H1670" i="7"/>
  <c r="H1668" i="7"/>
  <c r="H1667" i="7"/>
  <c r="H1666" i="7"/>
  <c r="H1665" i="7"/>
  <c r="H1664" i="7"/>
  <c r="H1663" i="7"/>
  <c r="H1662" i="7"/>
  <c r="H1661" i="7"/>
  <c r="H1660" i="7"/>
  <c r="H1659" i="7"/>
  <c r="H1658" i="7"/>
  <c r="H1657" i="7"/>
  <c r="H1656" i="7"/>
  <c r="H1655" i="7"/>
  <c r="H1654" i="7"/>
  <c r="H1653" i="7"/>
  <c r="H1652" i="7"/>
  <c r="H1650" i="7"/>
  <c r="H1649" i="7"/>
  <c r="H1646" i="7"/>
  <c r="H1643" i="7"/>
  <c r="H1640" i="7"/>
  <c r="H1639" i="7"/>
  <c r="H1638" i="7"/>
  <c r="H1635" i="7"/>
  <c r="H1634" i="7"/>
  <c r="H1633" i="7"/>
  <c r="H1632" i="7"/>
  <c r="H1629" i="7"/>
  <c r="H1628" i="7"/>
  <c r="H1626" i="7"/>
  <c r="H1624" i="7"/>
  <c r="H1623" i="7"/>
  <c r="H1622" i="7"/>
  <c r="H1621" i="7"/>
  <c r="H1619" i="7"/>
  <c r="H1618" i="7"/>
  <c r="H1616" i="7"/>
  <c r="H1614" i="7"/>
  <c r="H1613" i="7"/>
  <c r="H1612" i="7"/>
  <c r="H1611" i="7"/>
  <c r="H1606" i="7"/>
  <c r="H1605" i="7"/>
  <c r="H1604" i="7"/>
  <c r="H1603" i="7"/>
  <c r="H1602" i="7"/>
  <c r="E1599" i="7"/>
  <c r="H1599" i="7" s="1"/>
  <c r="H1598" i="7"/>
  <c r="E1597" i="7"/>
  <c r="H1597" i="7" s="1"/>
  <c r="H1596" i="7"/>
  <c r="L1592" i="7"/>
  <c r="H1583" i="7"/>
  <c r="H1582" i="7"/>
  <c r="H1581" i="7"/>
  <c r="H1580" i="7"/>
  <c r="H1579" i="7"/>
  <c r="H1578" i="7"/>
  <c r="H1577" i="7"/>
  <c r="H1576" i="7"/>
  <c r="H1575" i="7"/>
  <c r="H1574" i="7"/>
  <c r="H1573" i="7"/>
  <c r="H1565" i="7"/>
  <c r="H1561" i="7"/>
  <c r="H1560" i="7"/>
  <c r="H1559" i="7"/>
  <c r="H1558" i="7"/>
  <c r="H1557" i="7"/>
  <c r="H1556" i="7"/>
  <c r="H1555" i="7"/>
  <c r="H1554" i="7"/>
  <c r="H1553" i="7"/>
  <c r="H1552" i="7"/>
  <c r="H1551" i="7"/>
  <c r="H1550" i="7"/>
  <c r="H1549" i="7"/>
  <c r="H1548" i="7"/>
  <c r="H1547" i="7"/>
  <c r="H1546" i="7"/>
  <c r="H1545" i="7"/>
  <c r="H1544" i="7"/>
  <c r="H1543" i="7"/>
  <c r="H1542" i="7"/>
  <c r="H1541" i="7"/>
  <c r="H1540" i="7"/>
  <c r="H1535" i="7"/>
  <c r="H1531" i="7"/>
  <c r="H1530" i="7"/>
  <c r="H1526" i="7"/>
  <c r="H1525" i="7"/>
  <c r="H1524" i="7"/>
  <c r="H1523" i="7"/>
  <c r="H1522" i="7"/>
  <c r="N1516" i="7"/>
  <c r="H1502" i="7"/>
  <c r="H1500" i="7"/>
  <c r="H1499" i="7"/>
  <c r="H1498" i="7"/>
  <c r="H1497" i="7"/>
  <c r="H1496" i="7"/>
  <c r="H1495" i="7"/>
  <c r="H1494" i="7"/>
  <c r="H1493" i="7"/>
  <c r="H1492" i="7"/>
  <c r="H1491" i="7"/>
  <c r="H1490" i="7"/>
  <c r="H1489" i="7"/>
  <c r="H1488" i="7"/>
  <c r="H1487" i="7"/>
  <c r="H1486" i="7"/>
  <c r="H1485" i="7"/>
  <c r="H1484" i="7"/>
  <c r="H1483" i="7"/>
  <c r="H1482" i="7"/>
  <c r="H1481" i="7"/>
  <c r="H1480" i="7"/>
  <c r="H1476" i="7"/>
  <c r="H1472" i="7"/>
  <c r="H1471" i="7"/>
  <c r="H1467" i="7"/>
  <c r="H1466" i="7"/>
  <c r="H1465" i="7"/>
  <c r="H1464" i="7"/>
  <c r="H1463" i="7"/>
  <c r="H1450" i="7"/>
  <c r="H1448" i="7"/>
  <c r="C1448" i="7"/>
  <c r="H1447" i="7"/>
  <c r="C1444" i="7"/>
  <c r="H1444" i="7" s="1"/>
  <c r="H1442" i="7"/>
  <c r="H1440" i="7"/>
  <c r="B1436" i="7"/>
  <c r="C1429" i="7"/>
  <c r="H1429" i="7" s="1"/>
  <c r="C1428" i="7"/>
  <c r="H1428" i="7" s="1"/>
  <c r="C1427" i="7"/>
  <c r="H1427" i="7" s="1"/>
  <c r="C1426" i="7"/>
  <c r="H1426" i="7" s="1"/>
  <c r="H1425" i="7"/>
  <c r="H1423" i="7"/>
  <c r="H1422" i="7"/>
  <c r="C1420" i="7"/>
  <c r="H1420" i="7" s="1"/>
  <c r="H1418" i="7"/>
  <c r="H1416" i="7"/>
  <c r="H1414" i="7"/>
  <c r="L1410" i="7"/>
  <c r="C1398" i="7"/>
  <c r="H1398" i="7" s="1"/>
  <c r="C1397" i="7"/>
  <c r="H1397" i="7" s="1"/>
  <c r="C1396" i="7"/>
  <c r="H1396" i="7" s="1"/>
  <c r="C1395" i="7"/>
  <c r="H1395" i="7" s="1"/>
  <c r="C1394" i="7"/>
  <c r="H1394" i="7" s="1"/>
  <c r="H1392" i="7"/>
  <c r="H1391" i="7"/>
  <c r="H1390" i="7"/>
  <c r="H1389" i="7"/>
  <c r="H1388" i="7"/>
  <c r="H1386" i="7"/>
  <c r="C1384" i="7"/>
  <c r="H1384" i="7" s="1"/>
  <c r="H1381" i="7"/>
  <c r="H1379" i="7"/>
  <c r="H1377" i="7"/>
  <c r="H1364" i="7"/>
  <c r="H1363" i="7"/>
  <c r="H1362" i="7"/>
  <c r="F1361" i="7"/>
  <c r="E1361" i="7"/>
  <c r="D1361" i="7"/>
  <c r="F1360" i="7"/>
  <c r="E1360" i="7"/>
  <c r="D1360" i="7"/>
  <c r="D1505" i="7" s="1"/>
  <c r="D1564" i="7" s="1"/>
  <c r="H1357" i="7"/>
  <c r="D1354" i="7"/>
  <c r="H1354" i="7" s="1"/>
  <c r="H1353" i="7"/>
  <c r="H1352" i="7"/>
  <c r="H1351" i="7"/>
  <c r="H1350" i="7"/>
  <c r="H1349" i="7"/>
  <c r="H1348" i="7"/>
  <c r="H1347" i="7"/>
  <c r="H1346" i="7"/>
  <c r="H1345" i="7"/>
  <c r="H1344" i="7"/>
  <c r="H1343" i="7"/>
  <c r="H1342" i="7"/>
  <c r="H1341" i="7"/>
  <c r="H1340" i="7"/>
  <c r="H1339" i="7"/>
  <c r="H1338" i="7"/>
  <c r="H1337" i="7"/>
  <c r="H1336" i="7"/>
  <c r="H1335" i="7"/>
  <c r="H1334" i="7"/>
  <c r="H1333" i="7"/>
  <c r="H1298" i="7"/>
  <c r="O1293" i="7" s="1"/>
  <c r="H1295" i="7"/>
  <c r="O1292" i="7" s="1"/>
  <c r="H1293" i="7"/>
  <c r="H1292" i="7"/>
  <c r="H1291" i="7"/>
  <c r="H1290" i="7"/>
  <c r="H1289" i="7"/>
  <c r="H1288" i="7"/>
  <c r="H1283" i="7"/>
  <c r="H1279" i="7"/>
  <c r="H1278" i="7"/>
  <c r="H1277" i="7"/>
  <c r="H1276" i="7"/>
  <c r="H1275" i="7"/>
  <c r="H1274" i="7"/>
  <c r="H1273" i="7"/>
  <c r="H1272" i="7"/>
  <c r="H1271" i="7"/>
  <c r="H1270" i="7"/>
  <c r="H1269" i="7"/>
  <c r="H1268" i="7"/>
  <c r="H1267" i="7"/>
  <c r="H1266" i="7"/>
  <c r="H1265" i="7"/>
  <c r="H1264" i="7"/>
  <c r="H1263" i="7"/>
  <c r="H1262" i="7"/>
  <c r="H1261" i="7"/>
  <c r="H1260" i="7"/>
  <c r="H1259" i="7"/>
  <c r="H1258" i="7"/>
  <c r="H1253" i="7"/>
  <c r="H1252" i="7"/>
  <c r="P1251" i="7"/>
  <c r="L1246" i="7"/>
  <c r="H1236" i="7"/>
  <c r="H1235" i="7"/>
  <c r="H1234" i="7"/>
  <c r="H1233" i="7"/>
  <c r="H1232" i="7"/>
  <c r="H1227" i="7"/>
  <c r="H1190" i="7"/>
  <c r="H1189" i="7"/>
  <c r="L1183" i="7"/>
  <c r="H1175" i="7"/>
  <c r="H1179" i="7" s="1"/>
  <c r="N1172" i="7" s="1"/>
  <c r="H1164" i="7"/>
  <c r="H1168" i="7" s="1"/>
  <c r="H1140" i="7"/>
  <c r="H1158" i="7" s="1"/>
  <c r="H1124" i="7"/>
  <c r="E1123" i="7"/>
  <c r="H1123" i="7" s="1"/>
  <c r="E1122" i="7"/>
  <c r="H1122" i="7" s="1"/>
  <c r="E1120" i="7"/>
  <c r="H1120" i="7" s="1"/>
  <c r="E1118" i="7"/>
  <c r="H1118" i="7" s="1"/>
  <c r="H1115" i="7"/>
  <c r="H1114" i="7"/>
  <c r="L1111" i="7"/>
  <c r="B1111" i="7"/>
  <c r="H1092" i="7"/>
  <c r="H1091" i="7"/>
  <c r="H1088" i="7"/>
  <c r="H1086" i="7"/>
  <c r="H1084" i="7"/>
  <c r="H1082" i="7"/>
  <c r="H1071" i="7"/>
  <c r="H1075" i="7" s="1"/>
  <c r="H1077" i="7" s="1"/>
  <c r="H1064" i="7"/>
  <c r="H1066" i="7" s="1"/>
  <c r="H1055" i="7"/>
  <c r="H1057" i="7" s="1"/>
  <c r="H1043" i="7"/>
  <c r="H1047" i="7" s="1"/>
  <c r="H1032" i="7"/>
  <c r="H1036" i="7" s="1"/>
  <c r="N1029" i="7" s="1"/>
  <c r="H1021" i="7"/>
  <c r="H1025" i="7" s="1"/>
  <c r="N1018" i="7" s="1"/>
  <c r="H1010" i="7"/>
  <c r="H1014" i="7" s="1"/>
  <c r="H999" i="7"/>
  <c r="H1003" i="7" s="1"/>
  <c r="H904" i="7"/>
  <c r="H903" i="7"/>
  <c r="H902" i="7"/>
  <c r="H901" i="7"/>
  <c r="H900" i="7"/>
  <c r="H899" i="7"/>
  <c r="H898" i="7"/>
  <c r="H897" i="7"/>
  <c r="L894" i="7"/>
  <c r="H887" i="7"/>
  <c r="H886" i="7"/>
  <c r="H884" i="7"/>
  <c r="H883" i="7"/>
  <c r="D882" i="7"/>
  <c r="H882" i="7" s="1"/>
  <c r="D881" i="7"/>
  <c r="H881" i="7" s="1"/>
  <c r="D877" i="7"/>
  <c r="H877" i="7" s="1"/>
  <c r="D876" i="7"/>
  <c r="H876" i="7" s="1"/>
  <c r="L873" i="7"/>
  <c r="H864" i="7"/>
  <c r="H868" i="7" s="1"/>
  <c r="N861" i="7" s="1"/>
  <c r="H852" i="7"/>
  <c r="H841" i="7"/>
  <c r="H845" i="7" s="1"/>
  <c r="H815" i="7"/>
  <c r="H813" i="7"/>
  <c r="H812" i="7"/>
  <c r="H811" i="7"/>
  <c r="H810" i="7"/>
  <c r="H809" i="7"/>
  <c r="H808" i="7"/>
  <c r="H807" i="7"/>
  <c r="H806" i="7"/>
  <c r="H805" i="7"/>
  <c r="H804" i="7"/>
  <c r="H803" i="7"/>
  <c r="H802" i="7"/>
  <c r="H801" i="7"/>
  <c r="H800" i="7"/>
  <c r="H799" i="7"/>
  <c r="H798" i="7"/>
  <c r="C797" i="7"/>
  <c r="H797" i="7" s="1"/>
  <c r="E786" i="7"/>
  <c r="H786" i="7" s="1"/>
  <c r="E785" i="7"/>
  <c r="H785" i="7" s="1"/>
  <c r="D782" i="7"/>
  <c r="H782" i="7" s="1"/>
  <c r="L779" i="7"/>
  <c r="H772" i="7"/>
  <c r="H769" i="7"/>
  <c r="H768" i="7"/>
  <c r="H767" i="7"/>
  <c r="H765" i="7"/>
  <c r="H764" i="7"/>
  <c r="H752" i="7"/>
  <c r="H747" i="7"/>
  <c r="H724" i="7"/>
  <c r="H713" i="7"/>
  <c r="H717" i="7" s="1"/>
  <c r="N710" i="7" s="1"/>
  <c r="H702" i="7"/>
  <c r="H706" i="7" s="1"/>
  <c r="H691" i="7"/>
  <c r="H690" i="7"/>
  <c r="H680" i="7"/>
  <c r="G678" i="7"/>
  <c r="H678" i="7" s="1"/>
  <c r="G677" i="7"/>
  <c r="H677" i="7" s="1"/>
  <c r="G676" i="7"/>
  <c r="H676" i="7" s="1"/>
  <c r="G675" i="7"/>
  <c r="H675" i="7" s="1"/>
  <c r="G674" i="7"/>
  <c r="H674" i="7" s="1"/>
  <c r="G673" i="7"/>
  <c r="H673" i="7" s="1"/>
  <c r="G672" i="7"/>
  <c r="H672" i="7" s="1"/>
  <c r="G671" i="7"/>
  <c r="H671" i="7" s="1"/>
  <c r="G669" i="7"/>
  <c r="H669" i="7" s="1"/>
  <c r="G668" i="7"/>
  <c r="H668" i="7" s="1"/>
  <c r="G667" i="7"/>
  <c r="H667" i="7" s="1"/>
  <c r="G666" i="7"/>
  <c r="H666" i="7" s="1"/>
  <c r="G665" i="7"/>
  <c r="H665" i="7" s="1"/>
  <c r="G664" i="7"/>
  <c r="H664" i="7" s="1"/>
  <c r="G663" i="7"/>
  <c r="H663" i="7" s="1"/>
  <c r="G662" i="7"/>
  <c r="H662" i="7" s="1"/>
  <c r="G661" i="7"/>
  <c r="H661" i="7" s="1"/>
  <c r="G660" i="7"/>
  <c r="H660" i="7" s="1"/>
  <c r="G659" i="7"/>
  <c r="H659" i="7" s="1"/>
  <c r="G658" i="7"/>
  <c r="H658" i="7" s="1"/>
  <c r="H646" i="7"/>
  <c r="H645" i="7"/>
  <c r="H643" i="7"/>
  <c r="H642" i="7"/>
  <c r="H641" i="7"/>
  <c r="H640" i="7"/>
  <c r="H639" i="7"/>
  <c r="H636" i="7"/>
  <c r="H635" i="7"/>
  <c r="H634" i="7"/>
  <c r="H632" i="7"/>
  <c r="H631" i="7"/>
  <c r="H628" i="7"/>
  <c r="H627" i="7"/>
  <c r="H626" i="7"/>
  <c r="H625" i="7"/>
  <c r="H623" i="7"/>
  <c r="H622" i="7"/>
  <c r="H621" i="7"/>
  <c r="H620" i="7"/>
  <c r="H619" i="7"/>
  <c r="H618" i="7"/>
  <c r="H615" i="7"/>
  <c r="H614" i="7"/>
  <c r="H613" i="7"/>
  <c r="L609" i="7"/>
  <c r="H604" i="7"/>
  <c r="H603" i="7"/>
  <c r="C602" i="7"/>
  <c r="H602" i="7" s="1"/>
  <c r="C601" i="7"/>
  <c r="H601" i="7" s="1"/>
  <c r="H600" i="7"/>
  <c r="H599" i="7"/>
  <c r="H598" i="7"/>
  <c r="H597" i="7"/>
  <c r="H596" i="7"/>
  <c r="H595" i="7"/>
  <c r="H594" i="7"/>
  <c r="H593" i="7"/>
  <c r="H592" i="7"/>
  <c r="H590" i="7"/>
  <c r="C589" i="7"/>
  <c r="H589" i="7" s="1"/>
  <c r="H588" i="7"/>
  <c r="H587" i="7"/>
  <c r="C586" i="7"/>
  <c r="H586" i="7" s="1"/>
  <c r="H585" i="7"/>
  <c r="C584" i="7"/>
  <c r="H584" i="7" s="1"/>
  <c r="H583" i="7"/>
  <c r="H582" i="7"/>
  <c r="H581" i="7"/>
  <c r="H580" i="7"/>
  <c r="H579" i="7"/>
  <c r="H578" i="7"/>
  <c r="H577" i="7"/>
  <c r="H576" i="7"/>
  <c r="H566" i="7"/>
  <c r="H565" i="7"/>
  <c r="H555" i="7"/>
  <c r="H553" i="7"/>
  <c r="H552" i="7"/>
  <c r="H551" i="7"/>
  <c r="H550" i="7"/>
  <c r="H549" i="7"/>
  <c r="H548" i="7"/>
  <c r="H538" i="7"/>
  <c r="H540" i="7" s="1"/>
  <c r="H529" i="7"/>
  <c r="H528" i="7"/>
  <c r="H518" i="7"/>
  <c r="H520" i="7" s="1"/>
  <c r="H508" i="7"/>
  <c r="H507" i="7"/>
  <c r="H506" i="7"/>
  <c r="H505" i="7"/>
  <c r="H504" i="7"/>
  <c r="H503" i="7"/>
  <c r="H502" i="7"/>
  <c r="H501" i="7"/>
  <c r="H500" i="7"/>
  <c r="H499" i="7"/>
  <c r="H498" i="7"/>
  <c r="H497" i="7"/>
  <c r="H496" i="7"/>
  <c r="H495" i="7"/>
  <c r="H494" i="7"/>
  <c r="H493" i="7"/>
  <c r="H492" i="7"/>
  <c r="H491" i="7"/>
  <c r="H490" i="7"/>
  <c r="H489" i="7"/>
  <c r="H487" i="7"/>
  <c r="H486" i="7"/>
  <c r="H485" i="7"/>
  <c r="H484" i="7"/>
  <c r="H483" i="7"/>
  <c r="H482" i="7"/>
  <c r="H481" i="7"/>
  <c r="H480" i="7"/>
  <c r="H479" i="7"/>
  <c r="H478" i="7"/>
  <c r="H477" i="7"/>
  <c r="H476" i="7"/>
  <c r="H475" i="7"/>
  <c r="H474" i="7"/>
  <c r="H473" i="7"/>
  <c r="H472" i="7"/>
  <c r="H471" i="7"/>
  <c r="H461" i="7"/>
  <c r="H458" i="7"/>
  <c r="H456" i="7"/>
  <c r="H455" i="7"/>
  <c r="H454" i="7"/>
  <c r="H453" i="7"/>
  <c r="H451" i="7"/>
  <c r="H450" i="7"/>
  <c r="H449" i="7"/>
  <c r="H448" i="7"/>
  <c r="H447" i="7"/>
  <c r="H446" i="7"/>
  <c r="H445" i="7"/>
  <c r="H444" i="7"/>
  <c r="H443" i="7"/>
  <c r="H439" i="7"/>
  <c r="H438" i="7"/>
  <c r="H437" i="7"/>
  <c r="H436" i="7"/>
  <c r="H435" i="7"/>
  <c r="H434" i="7"/>
  <c r="H432" i="7"/>
  <c r="H431" i="7"/>
  <c r="H430" i="7"/>
  <c r="H429" i="7"/>
  <c r="H428" i="7"/>
  <c r="H426" i="7"/>
  <c r="H425" i="7"/>
  <c r="H413" i="7"/>
  <c r="H412" i="7"/>
  <c r="H411" i="7"/>
  <c r="H401" i="7"/>
  <c r="H400" i="7"/>
  <c r="H399" i="7"/>
  <c r="H398" i="7"/>
  <c r="H397" i="7"/>
  <c r="H388" i="7"/>
  <c r="H387" i="7"/>
  <c r="H386" i="7"/>
  <c r="H385" i="7"/>
  <c r="H384" i="7"/>
  <c r="H375" i="7"/>
  <c r="H373" i="7"/>
  <c r="H372" i="7"/>
  <c r="H371" i="7"/>
  <c r="H369" i="7"/>
  <c r="H368" i="7"/>
  <c r="H367" i="7"/>
  <c r="H366" i="7"/>
  <c r="H356" i="7"/>
  <c r="D355" i="7"/>
  <c r="H355" i="7" s="1"/>
  <c r="D353" i="7"/>
  <c r="H353" i="7" s="1"/>
  <c r="H343" i="7"/>
  <c r="H342" i="7"/>
  <c r="H340" i="7"/>
  <c r="H339" i="7"/>
  <c r="H338" i="7"/>
  <c r="H337" i="7"/>
  <c r="H336" i="7"/>
  <c r="H334" i="7"/>
  <c r="H333" i="7"/>
  <c r="H332" i="7"/>
  <c r="H331" i="7"/>
  <c r="H330" i="7"/>
  <c r="H329" i="7"/>
  <c r="H328" i="7"/>
  <c r="H327" i="7"/>
  <c r="H318" i="7"/>
  <c r="H319" i="7" s="1"/>
  <c r="H309" i="7"/>
  <c r="H308" i="7"/>
  <c r="H306" i="7"/>
  <c r="H305" i="7"/>
  <c r="H304" i="7"/>
  <c r="H303" i="7"/>
  <c r="H302" i="7"/>
  <c r="H301" i="7"/>
  <c r="H291" i="7"/>
  <c r="H290" i="7"/>
  <c r="H288" i="7"/>
  <c r="H287" i="7"/>
  <c r="H286" i="7"/>
  <c r="H285" i="7"/>
  <c r="H284" i="7"/>
  <c r="H283" i="7"/>
  <c r="H282" i="7"/>
  <c r="H280" i="7"/>
  <c r="H279" i="7"/>
  <c r="H278" i="7"/>
  <c r="H277" i="7"/>
  <c r="H276" i="7"/>
  <c r="H267" i="7"/>
  <c r="H265" i="7"/>
  <c r="H263" i="7"/>
  <c r="H262" i="7"/>
  <c r="H261" i="7"/>
  <c r="H260" i="7"/>
  <c r="H249" i="7"/>
  <c r="F246" i="7"/>
  <c r="H246" i="7" s="1"/>
  <c r="H244" i="7"/>
  <c r="H243" i="7"/>
  <c r="H234" i="7"/>
  <c r="H231" i="7"/>
  <c r="H228" i="7"/>
  <c r="H219" i="7"/>
  <c r="H218" i="7"/>
  <c r="H217" i="7"/>
  <c r="H216" i="7"/>
  <c r="H215" i="7"/>
  <c r="H214" i="7"/>
  <c r="H213" i="7"/>
  <c r="H212" i="7"/>
  <c r="H211" i="7"/>
  <c r="H210" i="7"/>
  <c r="H209" i="7"/>
  <c r="H208" i="7"/>
  <c r="H207" i="7"/>
  <c r="H205" i="7"/>
  <c r="H204" i="7"/>
  <c r="H203" i="7"/>
  <c r="H202" i="7"/>
  <c r="H201" i="7"/>
  <c r="H200" i="7"/>
  <c r="H199" i="7"/>
  <c r="H198" i="7"/>
  <c r="H197" i="7"/>
  <c r="H196" i="7"/>
  <c r="H195" i="7"/>
  <c r="H194" i="7"/>
  <c r="H193" i="7"/>
  <c r="H192" i="7"/>
  <c r="H191" i="7"/>
  <c r="H190" i="7"/>
  <c r="H189" i="7"/>
  <c r="H188" i="7"/>
  <c r="H187" i="7"/>
  <c r="H186" i="7"/>
  <c r="H185" i="7"/>
  <c r="H184" i="7"/>
  <c r="H183" i="7"/>
  <c r="H182" i="7"/>
  <c r="H181" i="7"/>
  <c r="H180" i="7"/>
  <c r="H179" i="7"/>
  <c r="H178" i="7"/>
  <c r="H160" i="7"/>
  <c r="H158" i="7"/>
  <c r="H157" i="7"/>
  <c r="H156" i="7"/>
  <c r="H155" i="7"/>
  <c r="H154" i="7"/>
  <c r="D153" i="7"/>
  <c r="H153" i="7" s="1"/>
  <c r="H152" i="7"/>
  <c r="H151" i="7"/>
  <c r="H150" i="7"/>
  <c r="H149" i="7"/>
  <c r="H140" i="7"/>
  <c r="H139" i="7"/>
  <c r="H138" i="7"/>
  <c r="H137" i="7"/>
  <c r="H136" i="7"/>
  <c r="H135" i="7"/>
  <c r="H134" i="7"/>
  <c r="H133" i="7"/>
  <c r="H131" i="7"/>
  <c r="H130" i="7"/>
  <c r="H129" i="7"/>
  <c r="H128" i="7"/>
  <c r="H127" i="7"/>
  <c r="H126" i="7"/>
  <c r="H125" i="7"/>
  <c r="H114" i="7"/>
  <c r="H112" i="7"/>
  <c r="H109" i="7"/>
  <c r="H107" i="7"/>
  <c r="H106" i="7"/>
  <c r="H105" i="7"/>
  <c r="H104" i="7"/>
  <c r="H102" i="7"/>
  <c r="H101" i="7"/>
  <c r="H100" i="7"/>
  <c r="H99" i="7"/>
  <c r="H98" i="7"/>
  <c r="H97" i="7"/>
  <c r="H96" i="7"/>
  <c r="H95" i="7"/>
  <c r="H94" i="7"/>
  <c r="H93" i="7"/>
  <c r="H83" i="7"/>
  <c r="H82" i="7"/>
  <c r="D80" i="7"/>
  <c r="H80" i="7" s="1"/>
  <c r="D79" i="7"/>
  <c r="H79" i="7" s="1"/>
  <c r="D78" i="7"/>
  <c r="H78" i="7" s="1"/>
  <c r="D77" i="7"/>
  <c r="H77" i="7" s="1"/>
  <c r="D76" i="7"/>
  <c r="H76" i="7" s="1"/>
  <c r="D75" i="7"/>
  <c r="H75" i="7" s="1"/>
  <c r="D74" i="7"/>
  <c r="H74" i="7" s="1"/>
  <c r="D73" i="7"/>
  <c r="H73" i="7" s="1"/>
  <c r="H72" i="7"/>
  <c r="H71" i="7"/>
  <c r="H70" i="7"/>
  <c r="H69" i="7"/>
  <c r="H44" i="7"/>
  <c r="H43" i="7"/>
  <c r="H42" i="7"/>
  <c r="H40" i="7"/>
  <c r="H39" i="7"/>
  <c r="H37" i="7"/>
  <c r="D34" i="7"/>
  <c r="H34" i="7" s="1"/>
  <c r="H32" i="7"/>
  <c r="H31" i="7"/>
  <c r="H30" i="7"/>
  <c r="H29" i="7"/>
  <c r="H28" i="7"/>
  <c r="H27" i="7"/>
  <c r="H26" i="7"/>
  <c r="H25" i="7"/>
  <c r="H23" i="7"/>
  <c r="H22" i="7"/>
  <c r="H21" i="7"/>
  <c r="H20" i="7"/>
  <c r="H19" i="7"/>
  <c r="H18" i="7"/>
  <c r="H17" i="7"/>
  <c r="H16" i="7"/>
  <c r="N7" i="7"/>
  <c r="M7" i="7" s="1"/>
  <c r="H8306" i="7" l="1"/>
  <c r="H8305" i="7"/>
  <c r="H2495" i="7"/>
  <c r="N2481" i="7" s="1"/>
  <c r="H2829" i="7"/>
  <c r="H1108" i="7"/>
  <c r="H2810" i="7"/>
  <c r="H2851" i="7"/>
  <c r="N2844" i="7" s="1"/>
  <c r="H2852" i="7"/>
  <c r="H4976" i="7"/>
  <c r="H4975" i="7"/>
  <c r="H4163" i="7"/>
  <c r="H4162" i="7"/>
  <c r="H3708" i="7"/>
  <c r="H3707" i="7"/>
  <c r="N3677" i="7" s="1"/>
  <c r="H3185" i="7"/>
  <c r="H3186" i="7"/>
  <c r="H3138" i="7"/>
  <c r="H3139" i="7"/>
  <c r="H2341" i="7"/>
  <c r="H2340" i="7"/>
  <c r="H2276" i="7"/>
  <c r="H2275" i="7"/>
  <c r="N2208" i="7" s="1"/>
  <c r="H2204" i="7"/>
  <c r="H2203" i="7"/>
  <c r="N2179" i="7" s="1"/>
  <c r="H1968" i="7"/>
  <c r="H1967" i="7"/>
  <c r="N1938" i="7" s="1"/>
  <c r="H1741" i="7"/>
  <c r="N1716" i="7" s="1"/>
  <c r="H1713" i="7"/>
  <c r="H1712" i="7"/>
  <c r="H1587" i="7"/>
  <c r="H1454" i="7"/>
  <c r="H1406" i="7"/>
  <c r="N1373" i="7" s="1"/>
  <c r="H1407" i="7"/>
  <c r="H1310" i="7"/>
  <c r="H1243" i="7"/>
  <c r="H1242" i="7"/>
  <c r="H1107" i="7"/>
  <c r="H918" i="7"/>
  <c r="H835" i="7"/>
  <c r="H834" i="7"/>
  <c r="H856" i="7"/>
  <c r="N849" i="7" s="1"/>
  <c r="H857" i="7"/>
  <c r="H740" i="7"/>
  <c r="H741" i="7"/>
  <c r="H170" i="7"/>
  <c r="H171" i="7"/>
  <c r="H62" i="7"/>
  <c r="H61" i="7"/>
  <c r="N8167" i="7"/>
  <c r="H4604" i="7"/>
  <c r="H4603" i="7"/>
  <c r="H4245" i="7"/>
  <c r="H4244" i="7"/>
  <c r="H1157" i="7"/>
  <c r="N1136" i="7" s="1"/>
  <c r="H6588" i="7"/>
  <c r="H6587" i="7"/>
  <c r="N6576" i="7" s="1"/>
  <c r="H4417" i="7"/>
  <c r="H4416" i="7"/>
  <c r="H3859" i="7"/>
  <c r="H3858" i="7"/>
  <c r="H2828" i="7"/>
  <c r="N2814" i="7" s="1"/>
  <c r="H2809" i="7"/>
  <c r="H1133" i="7"/>
  <c r="H1132" i="7"/>
  <c r="H6573" i="7"/>
  <c r="H6572" i="7"/>
  <c r="N6565" i="7" s="1"/>
  <c r="H5429" i="7"/>
  <c r="H5428" i="7"/>
  <c r="N5404" i="7" s="1"/>
  <c r="H992" i="7"/>
  <c r="H967" i="7"/>
  <c r="H942" i="7"/>
  <c r="H5692" i="7"/>
  <c r="H5693" i="7"/>
  <c r="H6562" i="7"/>
  <c r="H6561" i="7"/>
  <c r="N6552" i="7" s="1"/>
  <c r="H6549" i="7"/>
  <c r="H6548" i="7"/>
  <c r="H5673" i="7"/>
  <c r="H5672" i="7"/>
  <c r="H5379" i="7"/>
  <c r="H5378" i="7"/>
  <c r="H5366" i="7"/>
  <c r="H5365" i="7"/>
  <c r="H5331" i="7"/>
  <c r="H5330" i="7"/>
  <c r="H5318" i="7"/>
  <c r="H5317" i="7"/>
  <c r="H5305" i="7"/>
  <c r="H5304" i="7"/>
  <c r="H3891" i="7"/>
  <c r="H3890" i="7"/>
  <c r="H2354" i="7"/>
  <c r="H2353" i="7"/>
  <c r="H649" i="7"/>
  <c r="H5576" i="7"/>
  <c r="N5569" i="7" s="1"/>
  <c r="H5577" i="7"/>
  <c r="H4357" i="7"/>
  <c r="H4356" i="7"/>
  <c r="N4760" i="7"/>
  <c r="H650" i="7"/>
  <c r="E3477" i="7"/>
  <c r="F3476" i="7" s="1"/>
  <c r="H3476" i="7" s="1"/>
  <c r="N4724" i="7"/>
  <c r="H4818" i="7"/>
  <c r="H4820" i="7" s="1"/>
  <c r="H5545" i="7"/>
  <c r="H4808" i="7"/>
  <c r="N4854" i="7"/>
  <c r="H3738" i="7"/>
  <c r="N4532" i="7"/>
  <c r="H6396" i="7"/>
  <c r="H4130" i="7"/>
  <c r="H4132" i="7" s="1"/>
  <c r="H4784" i="7"/>
  <c r="N4946" i="7"/>
  <c r="N8454" i="7"/>
  <c r="H253" i="7"/>
  <c r="H788" i="7"/>
  <c r="E3464" i="7"/>
  <c r="F3463" i="7" s="1"/>
  <c r="H3463" i="7" s="1"/>
  <c r="N4864" i="7"/>
  <c r="H1360" i="7"/>
  <c r="F1771" i="7"/>
  <c r="H1771" i="7" s="1"/>
  <c r="N4922" i="7"/>
  <c r="H4852" i="7"/>
  <c r="N4844" i="7"/>
  <c r="H141" i="7"/>
  <c r="H143" i="7" s="1"/>
  <c r="E3447" i="7"/>
  <c r="F3446" i="7" s="1"/>
  <c r="H3446" i="7" s="1"/>
  <c r="E3471" i="7"/>
  <c r="F3470" i="7" s="1"/>
  <c r="H3470" i="7" s="1"/>
  <c r="H4391" i="7"/>
  <c r="H3719" i="7"/>
  <c r="N4652" i="7"/>
  <c r="H5523" i="7"/>
  <c r="F1767" i="7"/>
  <c r="H1767" i="7" s="1"/>
  <c r="E3458" i="7"/>
  <c r="F3457" i="7" s="1"/>
  <c r="H3457" i="7" s="1"/>
  <c r="H2361" i="7"/>
  <c r="H2363" i="7" s="1"/>
  <c r="H3104" i="7"/>
  <c r="N3107" i="7"/>
  <c r="H3637" i="7"/>
  <c r="H3672" i="7" s="1"/>
  <c r="H3735" i="7"/>
  <c r="N4751" i="7"/>
  <c r="E3467" i="7"/>
  <c r="F3466" i="7" s="1"/>
  <c r="H3466" i="7" s="1"/>
  <c r="H5741" i="7"/>
  <c r="N3115" i="7"/>
  <c r="E3444" i="7"/>
  <c r="F3443" i="7" s="1"/>
  <c r="H3443" i="7" s="1"/>
  <c r="N3970" i="7"/>
  <c r="H4702" i="7"/>
  <c r="H4704" i="7" s="1"/>
  <c r="N698" i="7"/>
  <c r="H708" i="7"/>
  <c r="H390" i="7"/>
  <c r="H235" i="7"/>
  <c r="N224" i="7" s="1"/>
  <c r="H917" i="7"/>
  <c r="H6684" i="7"/>
  <c r="H1923" i="7"/>
  <c r="H1925" i="7" s="1"/>
  <c r="H4528" i="7"/>
  <c r="H4530" i="7" s="1"/>
  <c r="N5124" i="7"/>
  <c r="N6686" i="7"/>
  <c r="H557" i="7"/>
  <c r="N544" i="7" s="1"/>
  <c r="N1059" i="7"/>
  <c r="H4711" i="7"/>
  <c r="H4713" i="7" s="1"/>
  <c r="N5556" i="7"/>
  <c r="N5727" i="7"/>
  <c r="H568" i="7"/>
  <c r="H570" i="7" s="1"/>
  <c r="H694" i="7"/>
  <c r="H696" i="7" s="1"/>
  <c r="I2131" i="7"/>
  <c r="H3221" i="7"/>
  <c r="H416" i="7"/>
  <c r="N407" i="7" s="1"/>
  <c r="F1768" i="7"/>
  <c r="H1768" i="7" s="1"/>
  <c r="N2007" i="7"/>
  <c r="I2132" i="7"/>
  <c r="H3728" i="7"/>
  <c r="H3732" i="7"/>
  <c r="H4517" i="7"/>
  <c r="N4504" i="7" s="1"/>
  <c r="N4670" i="7"/>
  <c r="N4955" i="7"/>
  <c r="N5494" i="7"/>
  <c r="H1038" i="7"/>
  <c r="H530" i="7"/>
  <c r="N524" i="7" s="1"/>
  <c r="H719" i="7"/>
  <c r="H4202" i="7"/>
  <c r="H4204" i="7" s="1"/>
  <c r="N4874" i="7"/>
  <c r="H1016" i="7"/>
  <c r="N1007" i="7"/>
  <c r="H1049" i="7"/>
  <c r="N1040" i="7"/>
  <c r="N1997" i="7"/>
  <c r="H2006" i="7"/>
  <c r="N5619" i="7"/>
  <c r="H5628" i="7"/>
  <c r="N514" i="7"/>
  <c r="H522" i="7"/>
  <c r="H1005" i="7"/>
  <c r="N996" i="7"/>
  <c r="H118" i="7"/>
  <c r="H5470" i="7"/>
  <c r="H757" i="7"/>
  <c r="H759" i="7" s="1"/>
  <c r="N1050" i="7"/>
  <c r="E3461" i="7"/>
  <c r="F3460" i="7" s="1"/>
  <c r="H3460" i="7" s="1"/>
  <c r="H4191" i="7"/>
  <c r="N4184" i="7" s="1"/>
  <c r="N4643" i="7"/>
  <c r="N5472" i="7"/>
  <c r="N5547" i="7"/>
  <c r="H6623" i="7"/>
  <c r="H3233" i="7"/>
  <c r="H3235" i="7" s="1"/>
  <c r="H1567" i="7"/>
  <c r="H1913" i="7"/>
  <c r="N2017" i="7"/>
  <c r="H2403" i="7"/>
  <c r="N2365" i="7" s="1"/>
  <c r="N4542" i="7"/>
  <c r="H4612" i="7"/>
  <c r="H4614" i="7" s="1"/>
  <c r="N4688" i="7"/>
  <c r="N4493" i="7"/>
  <c r="H775" i="7"/>
  <c r="N761" i="7" s="1"/>
  <c r="H870" i="7"/>
  <c r="H3244" i="7"/>
  <c r="H3246" i="7" s="1"/>
  <c r="H1453" i="7"/>
  <c r="H3741" i="7"/>
  <c r="H4570" i="7"/>
  <c r="H4572" i="7" s="1"/>
  <c r="H4621" i="7"/>
  <c r="H4623" i="7" s="1"/>
  <c r="H8161" i="7"/>
  <c r="H8163" i="7" s="1"/>
  <c r="H1433" i="7"/>
  <c r="F1769" i="7"/>
  <c r="H1769" i="7" s="1"/>
  <c r="H3205" i="7"/>
  <c r="H4180" i="7"/>
  <c r="H4182" i="7" s="1"/>
  <c r="H5458" i="7"/>
  <c r="H6660" i="7"/>
  <c r="H6662" i="7" s="1"/>
  <c r="H358" i="7"/>
  <c r="N349" i="7" s="1"/>
  <c r="H403" i="7"/>
  <c r="N394" i="7" s="1"/>
  <c r="H3113" i="7"/>
  <c r="E3450" i="7"/>
  <c r="F3449" i="7" s="1"/>
  <c r="H3449" i="7" s="1"/>
  <c r="H3745" i="7"/>
  <c r="H4630" i="7"/>
  <c r="H4632" i="7" s="1"/>
  <c r="N5608" i="7"/>
  <c r="H6633" i="7"/>
  <c r="H4518" i="7"/>
  <c r="H268" i="7"/>
  <c r="H789" i="7"/>
  <c r="N779" i="7" s="1"/>
  <c r="H2479" i="7"/>
  <c r="H3540" i="7"/>
  <c r="H3582" i="7" s="1"/>
  <c r="H3748" i="7"/>
  <c r="N6664" i="7"/>
  <c r="H310" i="7"/>
  <c r="N297" i="7" s="1"/>
  <c r="H221" i="7"/>
  <c r="N174" i="7" s="1"/>
  <c r="H1809" i="7"/>
  <c r="H5705" i="7"/>
  <c r="H1309" i="7"/>
  <c r="N1246" i="7" s="1"/>
  <c r="H1361" i="7"/>
  <c r="H2063" i="7"/>
  <c r="H3125" i="7"/>
  <c r="H3220" i="7"/>
  <c r="N3208" i="7" s="1"/>
  <c r="E3474" i="7"/>
  <c r="F3473" i="7" s="1"/>
  <c r="H3473" i="7" s="1"/>
  <c r="N4634" i="7"/>
  <c r="N6591" i="7"/>
  <c r="N1928" i="7"/>
  <c r="H1936" i="7"/>
  <c r="H4722" i="7"/>
  <c r="N4715" i="7"/>
  <c r="H682" i="7"/>
  <c r="N4742" i="7"/>
  <c r="H4749" i="7"/>
  <c r="H294" i="7"/>
  <c r="H542" i="7"/>
  <c r="N534" i="7"/>
  <c r="H1912" i="7"/>
  <c r="I2136" i="7"/>
  <c r="N1068" i="7"/>
  <c r="N4661" i="7"/>
  <c r="H5401" i="7"/>
  <c r="H5400" i="7"/>
  <c r="N5393" i="7" s="1"/>
  <c r="H1432" i="7"/>
  <c r="H2090" i="7"/>
  <c r="H2091" i="7"/>
  <c r="E3432" i="7"/>
  <c r="F3431" i="7" s="1"/>
  <c r="H3431" i="7" s="1"/>
  <c r="N6635" i="7"/>
  <c r="H345" i="7"/>
  <c r="H1181" i="7"/>
  <c r="H4489" i="7"/>
  <c r="H1027" i="7"/>
  <c r="H510" i="7"/>
  <c r="H1170" i="7"/>
  <c r="N1161" i="7"/>
  <c r="O1291" i="7"/>
  <c r="H4841" i="7"/>
  <c r="H4840" i="7"/>
  <c r="H5533" i="7"/>
  <c r="H5532" i="7"/>
  <c r="H463" i="7"/>
  <c r="H847" i="7"/>
  <c r="N838" i="7"/>
  <c r="H222" i="7"/>
  <c r="H1994" i="7"/>
  <c r="H1993" i="7"/>
  <c r="H2062" i="7"/>
  <c r="H4686" i="7"/>
  <c r="N4679" i="7"/>
  <c r="H1812" i="7"/>
  <c r="H2404" i="7"/>
  <c r="N4887" i="7"/>
  <c r="N5641" i="7"/>
  <c r="H85" i="7"/>
  <c r="H378" i="7"/>
  <c r="H377" i="7"/>
  <c r="H2035" i="7"/>
  <c r="N2027" i="7"/>
  <c r="H4475" i="7"/>
  <c r="H4474" i="7"/>
  <c r="H293" i="7"/>
  <c r="H2077" i="7"/>
  <c r="H2076" i="7"/>
  <c r="H2464" i="7"/>
  <c r="H2477" i="7"/>
  <c r="N2468" i="7" s="1"/>
  <c r="H4390" i="7"/>
  <c r="N4373" i="7" s="1"/>
  <c r="H4740" i="7"/>
  <c r="N4733" i="7"/>
  <c r="H2049" i="7"/>
  <c r="H2048" i="7"/>
  <c r="H4695" i="7"/>
  <c r="H117" i="7"/>
  <c r="H606" i="7"/>
  <c r="H890" i="7"/>
  <c r="H892" i="7" s="1"/>
  <c r="H1505" i="7"/>
  <c r="H2497" i="7"/>
  <c r="H4582" i="7"/>
  <c r="N4574" i="7"/>
  <c r="H4908" i="7"/>
  <c r="N4900" i="7"/>
  <c r="H321" i="7"/>
  <c r="N314" i="7"/>
  <c r="H6651" i="7"/>
  <c r="N6644" i="7"/>
  <c r="N4584" i="7"/>
  <c r="H4920" i="7"/>
  <c r="N4910" i="7"/>
  <c r="H4807" i="7"/>
  <c r="N5483" i="7"/>
  <c r="N5536" i="7"/>
  <c r="H3481" i="7"/>
  <c r="H7354" i="7"/>
  <c r="H7356" i="7" s="1"/>
  <c r="H2463" i="7"/>
  <c r="H6622" i="7"/>
  <c r="D1807" i="7"/>
  <c r="F1807" i="7" s="1"/>
  <c r="H1807" i="7" s="1"/>
  <c r="N3095" i="7"/>
  <c r="H3204" i="7"/>
  <c r="N3190" i="7" s="1"/>
  <c r="H5457" i="7"/>
  <c r="H252" i="7"/>
  <c r="H4783" i="7"/>
  <c r="H8307" i="7" l="1"/>
  <c r="H3778" i="7"/>
  <c r="H2853" i="7"/>
  <c r="H2277" i="7"/>
  <c r="H1969" i="7"/>
  <c r="H1455" i="7"/>
  <c r="H1831" i="7"/>
  <c r="H1830" i="7"/>
  <c r="H1714" i="7"/>
  <c r="H1513" i="7"/>
  <c r="H1512" i="7"/>
  <c r="H1370" i="7"/>
  <c r="H1369" i="7"/>
  <c r="N1314" i="7" s="1"/>
  <c r="H1109" i="7"/>
  <c r="H858" i="7"/>
  <c r="H1244" i="7"/>
  <c r="H4605" i="7"/>
  <c r="H3777" i="7"/>
  <c r="N3711" i="7" s="1"/>
  <c r="H4418" i="7"/>
  <c r="H3581" i="7"/>
  <c r="H3583" i="7" s="1"/>
  <c r="H6574" i="7"/>
  <c r="H3892" i="7"/>
  <c r="H4164" i="7"/>
  <c r="H2355" i="7"/>
  <c r="H3673" i="7"/>
  <c r="H3140" i="7"/>
  <c r="H6550" i="7"/>
  <c r="H6589" i="7"/>
  <c r="H6563" i="7"/>
  <c r="H5380" i="7"/>
  <c r="H5674" i="7"/>
  <c r="H5319" i="7"/>
  <c r="H5332" i="7"/>
  <c r="H5578" i="7"/>
  <c r="H5367" i="7"/>
  <c r="H5306" i="7"/>
  <c r="H4358" i="7"/>
  <c r="H4977" i="7"/>
  <c r="N4345" i="7"/>
  <c r="H4246" i="7"/>
  <c r="H1434" i="7"/>
  <c r="N5295" i="7"/>
  <c r="N5369" i="7"/>
  <c r="N3585" i="7"/>
  <c r="N4965" i="7"/>
  <c r="H532" i="7"/>
  <c r="H312" i="7"/>
  <c r="H777" i="7"/>
  <c r="N4811" i="7"/>
  <c r="H63" i="7"/>
  <c r="N2344" i="7"/>
  <c r="N4123" i="7"/>
  <c r="H919" i="7"/>
  <c r="I2176" i="7"/>
  <c r="N2357" i="7"/>
  <c r="N3863" i="7"/>
  <c r="H6398" i="7"/>
  <c r="N6390" i="7"/>
  <c r="H1787" i="7"/>
  <c r="I2175" i="7"/>
  <c r="N2109" i="7" s="1"/>
  <c r="N121" i="7"/>
  <c r="N4706" i="7"/>
  <c r="N6539" i="7"/>
  <c r="N4625" i="7"/>
  <c r="H2830" i="7"/>
  <c r="N1079" i="7"/>
  <c r="N4206" i="7"/>
  <c r="H3187" i="7"/>
  <c r="H223" i="7"/>
  <c r="N3226" i="7"/>
  <c r="H4519" i="7"/>
  <c r="H791" i="7"/>
  <c r="N894" i="7"/>
  <c r="H3709" i="7"/>
  <c r="H651" i="7"/>
  <c r="N5663" i="7"/>
  <c r="N686" i="7"/>
  <c r="H1743" i="7"/>
  <c r="H237" i="7"/>
  <c r="N4697" i="7"/>
  <c r="N8153" i="7"/>
  <c r="H3485" i="7"/>
  <c r="N3413" i="7" s="1"/>
  <c r="N4393" i="7"/>
  <c r="N4595" i="7"/>
  <c r="N4561" i="7"/>
  <c r="H418" i="7"/>
  <c r="N5356" i="7"/>
  <c r="N1436" i="7"/>
  <c r="N1916" i="7"/>
  <c r="H405" i="7"/>
  <c r="H5430" i="7"/>
  <c r="N6653" i="7"/>
  <c r="N5308" i="7"/>
  <c r="H559" i="7"/>
  <c r="N4521" i="7"/>
  <c r="H392" i="7"/>
  <c r="N381" i="7"/>
  <c r="H1786" i="7"/>
  <c r="N4195" i="7"/>
  <c r="H2405" i="7"/>
  <c r="N561" i="7"/>
  <c r="H4476" i="7"/>
  <c r="N5321" i="7"/>
  <c r="H5707" i="7"/>
  <c r="N5696" i="7"/>
  <c r="H3486" i="7"/>
  <c r="H270" i="7"/>
  <c r="N256" i="7"/>
  <c r="N4166" i="7"/>
  <c r="N3127" i="7"/>
  <c r="H360" i="7"/>
  <c r="H2205" i="7"/>
  <c r="H5459" i="7"/>
  <c r="H3967" i="7"/>
  <c r="N1570" i="7"/>
  <c r="H1589" i="7"/>
  <c r="H2050" i="7"/>
  <c r="N4607" i="7"/>
  <c r="N3237" i="7"/>
  <c r="N4616" i="7"/>
  <c r="N5445" i="7"/>
  <c r="H1311" i="7"/>
  <c r="H3090" i="7"/>
  <c r="H5402" i="7"/>
  <c r="N5677" i="7"/>
  <c r="H5694" i="7"/>
  <c r="H2465" i="7"/>
  <c r="N2407" i="7"/>
  <c r="N873" i="7"/>
  <c r="H4842" i="7"/>
  <c r="N4822" i="7"/>
  <c r="N654" i="7"/>
  <c r="H684" i="7"/>
  <c r="H172" i="7"/>
  <c r="N971" i="7"/>
  <c r="H994" i="7"/>
  <c r="N7347" i="7"/>
  <c r="H1134" i="7"/>
  <c r="N1111" i="7"/>
  <c r="H295" i="7"/>
  <c r="N272" i="7"/>
  <c r="H2092" i="7"/>
  <c r="N2080" i="7"/>
  <c r="N4769" i="7"/>
  <c r="H4785" i="7"/>
  <c r="H608" i="7"/>
  <c r="N572" i="7"/>
  <c r="H1995" i="7"/>
  <c r="N1971" i="7"/>
  <c r="N4478" i="7"/>
  <c r="H4491" i="7"/>
  <c r="N89" i="7"/>
  <c r="H119" i="7"/>
  <c r="N239" i="7"/>
  <c r="H254" i="7"/>
  <c r="H4809" i="7"/>
  <c r="N4787" i="7"/>
  <c r="N2052" i="7"/>
  <c r="H2064" i="7"/>
  <c r="N609" i="7"/>
  <c r="N3955" i="7"/>
  <c r="H3860" i="7"/>
  <c r="N3783" i="7"/>
  <c r="H2811" i="7"/>
  <c r="N2779" i="7"/>
  <c r="H512" i="7"/>
  <c r="N467" i="7"/>
  <c r="N1834" i="7"/>
  <c r="H1914" i="7"/>
  <c r="N420" i="7"/>
  <c r="H465" i="7"/>
  <c r="N1592" i="7"/>
  <c r="N4453" i="7"/>
  <c r="N3144" i="7"/>
  <c r="N1183" i="7"/>
  <c r="N2280" i="7"/>
  <c r="H2342" i="7"/>
  <c r="H5534" i="7"/>
  <c r="N5525" i="7"/>
  <c r="H347" i="7"/>
  <c r="N323" i="7"/>
  <c r="N4134" i="7"/>
  <c r="H944" i="7"/>
  <c r="N921" i="7"/>
  <c r="H1408" i="7"/>
  <c r="H2078" i="7"/>
  <c r="N2066" i="7"/>
  <c r="N362" i="7"/>
  <c r="H379" i="7"/>
  <c r="N1410" i="7"/>
  <c r="H6624" i="7"/>
  <c r="N6615" i="7"/>
  <c r="N946" i="7"/>
  <c r="H969" i="7"/>
  <c r="H1159" i="7"/>
  <c r="N2038" i="7"/>
  <c r="H87" i="7"/>
  <c r="N65" i="7"/>
  <c r="H1832" i="7" l="1"/>
  <c r="H1514" i="7"/>
  <c r="N1457" i="7"/>
  <c r="N3489" i="7"/>
  <c r="H3674" i="7"/>
  <c r="H1788" i="7"/>
  <c r="N1745" i="7"/>
  <c r="H1371" i="7"/>
  <c r="H3779" i="7"/>
  <c r="H3487" i="7"/>
  <c r="I2177" i="7"/>
  <c r="N3081" i="7"/>
  <c r="H3092" i="7"/>
  <c r="N1790" i="7"/>
  <c r="K105" i="1" l="1"/>
  <c r="J205" i="1" l="1"/>
  <c r="J193" i="1"/>
  <c r="K206" i="1"/>
  <c r="M206" i="1" s="1"/>
  <c r="K126" i="1"/>
  <c r="L126" i="1" s="1"/>
  <c r="J71" i="1" l="1"/>
  <c r="K71" i="1"/>
  <c r="J298" i="1" l="1"/>
  <c r="J255" i="1"/>
  <c r="J60" i="1"/>
  <c r="J133" i="1"/>
  <c r="J220" i="1"/>
  <c r="J95" i="1"/>
  <c r="J99" i="1"/>
  <c r="J221" i="1"/>
  <c r="J90" i="1"/>
  <c r="J227" i="1"/>
  <c r="J61" i="1"/>
  <c r="J59" i="1" l="1"/>
  <c r="J256" i="1"/>
  <c r="J206" i="1"/>
  <c r="J58" i="1"/>
  <c r="J300" i="1"/>
  <c r="K193" i="1"/>
  <c r="M193" i="1" s="1"/>
  <c r="AP664" i="4" l="1"/>
  <c r="AS664" i="4" s="1"/>
  <c r="AT664" i="4" s="1"/>
  <c r="AO664" i="4"/>
  <c r="AN664" i="4"/>
  <c r="AL664" i="4"/>
  <c r="AK664" i="4"/>
  <c r="AI664" i="4"/>
  <c r="AH664" i="4"/>
  <c r="AF664" i="4"/>
  <c r="AE664" i="4"/>
  <c r="AC664" i="4"/>
  <c r="AB664" i="4"/>
  <c r="Z664" i="4"/>
  <c r="Y664" i="4"/>
  <c r="W664" i="4"/>
  <c r="V664" i="4"/>
  <c r="T664" i="4"/>
  <c r="S664" i="4"/>
  <c r="Q664" i="4"/>
  <c r="P664" i="4"/>
  <c r="N664" i="4"/>
  <c r="M664" i="4"/>
  <c r="I664" i="4"/>
  <c r="H664" i="4"/>
  <c r="AP663" i="4"/>
  <c r="AR663" i="4" s="1"/>
  <c r="AO663" i="4"/>
  <c r="AN663" i="4"/>
  <c r="AL663" i="4"/>
  <c r="AK663" i="4"/>
  <c r="AI663" i="4"/>
  <c r="AH663" i="4"/>
  <c r="AF663" i="4"/>
  <c r="AE663" i="4"/>
  <c r="AC663" i="4"/>
  <c r="AB663" i="4"/>
  <c r="Z663" i="4"/>
  <c r="Y663" i="4"/>
  <c r="W663" i="4"/>
  <c r="V663" i="4"/>
  <c r="T663" i="4"/>
  <c r="S663" i="4"/>
  <c r="Q663" i="4"/>
  <c r="P663" i="4"/>
  <c r="N663" i="4"/>
  <c r="M663" i="4"/>
  <c r="I663" i="4"/>
  <c r="K663" i="4" s="1"/>
  <c r="H663" i="4"/>
  <c r="AP662" i="4"/>
  <c r="AS662" i="4" s="1"/>
  <c r="I662" i="4"/>
  <c r="AP661" i="4"/>
  <c r="I661" i="4"/>
  <c r="AP660" i="4"/>
  <c r="AS660" i="4" s="1"/>
  <c r="AT660" i="4" s="1"/>
  <c r="AT659" i="4" s="1"/>
  <c r="AO660" i="4"/>
  <c r="AN660" i="4"/>
  <c r="AN659" i="4" s="1"/>
  <c r="AL660" i="4"/>
  <c r="AK660" i="4"/>
  <c r="AK659" i="4" s="1"/>
  <c r="AI660" i="4"/>
  <c r="AH660" i="4"/>
  <c r="AH659" i="4" s="1"/>
  <c r="AF660" i="4"/>
  <c r="AE660" i="4"/>
  <c r="AE659" i="4" s="1"/>
  <c r="AC660" i="4"/>
  <c r="AB660" i="4"/>
  <c r="AB659" i="4" s="1"/>
  <c r="Z660" i="4"/>
  <c r="Y660" i="4"/>
  <c r="Y659" i="4" s="1"/>
  <c r="W660" i="4"/>
  <c r="V660" i="4"/>
  <c r="V659" i="4" s="1"/>
  <c r="T660" i="4"/>
  <c r="S660" i="4"/>
  <c r="S659" i="4" s="1"/>
  <c r="Q660" i="4"/>
  <c r="P660" i="4"/>
  <c r="P659" i="4" s="1"/>
  <c r="N660" i="4"/>
  <c r="M660" i="4"/>
  <c r="M659" i="4" s="1"/>
  <c r="I660" i="4"/>
  <c r="H660" i="4"/>
  <c r="H659" i="4" s="1"/>
  <c r="AP659" i="4"/>
  <c r="I659" i="4"/>
  <c r="AP658" i="4"/>
  <c r="AS658" i="4" s="1"/>
  <c r="AT658" i="4" s="1"/>
  <c r="AT657" i="4" s="1"/>
  <c r="AO658" i="4"/>
  <c r="AN658" i="4"/>
  <c r="AN657" i="4" s="1"/>
  <c r="AL658" i="4"/>
  <c r="AK658" i="4"/>
  <c r="AK657" i="4" s="1"/>
  <c r="AI658" i="4"/>
  <c r="AH658" i="4"/>
  <c r="AH657" i="4" s="1"/>
  <c r="AF658" i="4"/>
  <c r="AE658" i="4"/>
  <c r="AE657" i="4" s="1"/>
  <c r="AC658" i="4"/>
  <c r="AB658" i="4"/>
  <c r="AB657" i="4" s="1"/>
  <c r="Z658" i="4"/>
  <c r="Y658" i="4"/>
  <c r="Y657" i="4" s="1"/>
  <c r="W658" i="4"/>
  <c r="V658" i="4"/>
  <c r="V657" i="4" s="1"/>
  <c r="T658" i="4"/>
  <c r="S658" i="4"/>
  <c r="S657" i="4" s="1"/>
  <c r="Q658" i="4"/>
  <c r="P658" i="4"/>
  <c r="P657" i="4" s="1"/>
  <c r="N658" i="4"/>
  <c r="M658" i="4"/>
  <c r="M657" i="4" s="1"/>
  <c r="I658" i="4"/>
  <c r="H658" i="4"/>
  <c r="H657" i="4" s="1"/>
  <c r="AP657" i="4"/>
  <c r="I657" i="4"/>
  <c r="AP656" i="4"/>
  <c r="AS656" i="4" s="1"/>
  <c r="AO656" i="4"/>
  <c r="AN656" i="4"/>
  <c r="AL656" i="4"/>
  <c r="AK656" i="4"/>
  <c r="AI656" i="4"/>
  <c r="AH656" i="4"/>
  <c r="AF656" i="4"/>
  <c r="AE656" i="4"/>
  <c r="AC656" i="4"/>
  <c r="AB656" i="4"/>
  <c r="Z656" i="4"/>
  <c r="Y656" i="4"/>
  <c r="W656" i="4"/>
  <c r="V656" i="4"/>
  <c r="T656" i="4"/>
  <c r="S656" i="4"/>
  <c r="Q656" i="4"/>
  <c r="P656" i="4"/>
  <c r="N656" i="4"/>
  <c r="M656" i="4"/>
  <c r="I656" i="4"/>
  <c r="H656" i="4"/>
  <c r="AP655" i="4"/>
  <c r="AQ655" i="4" s="1"/>
  <c r="AO655" i="4"/>
  <c r="AN655" i="4"/>
  <c r="AL655" i="4"/>
  <c r="AK655" i="4"/>
  <c r="AI655" i="4"/>
  <c r="AH655" i="4"/>
  <c r="AF655" i="4"/>
  <c r="AE655" i="4"/>
  <c r="AC655" i="4"/>
  <c r="AB655" i="4"/>
  <c r="Z655" i="4"/>
  <c r="Y655" i="4"/>
  <c r="W655" i="4"/>
  <c r="V655" i="4"/>
  <c r="T655" i="4"/>
  <c r="S655" i="4"/>
  <c r="Q655" i="4"/>
  <c r="P655" i="4"/>
  <c r="N655" i="4"/>
  <c r="M655" i="4"/>
  <c r="I655" i="4"/>
  <c r="H655" i="4"/>
  <c r="AP654" i="4"/>
  <c r="AS654" i="4" s="1"/>
  <c r="AT654" i="4" s="1"/>
  <c r="AO654" i="4"/>
  <c r="AN654" i="4"/>
  <c r="AL654" i="4"/>
  <c r="AK654" i="4"/>
  <c r="AI654" i="4"/>
  <c r="AH654" i="4"/>
  <c r="AF654" i="4"/>
  <c r="AE654" i="4"/>
  <c r="AC654" i="4"/>
  <c r="AB654" i="4"/>
  <c r="Z654" i="4"/>
  <c r="Y654" i="4"/>
  <c r="W654" i="4"/>
  <c r="V654" i="4"/>
  <c r="T654" i="4"/>
  <c r="S654" i="4"/>
  <c r="Q654" i="4"/>
  <c r="P654" i="4"/>
  <c r="N654" i="4"/>
  <c r="M654" i="4"/>
  <c r="I654" i="4"/>
  <c r="H654" i="4"/>
  <c r="AP653" i="4"/>
  <c r="I653" i="4"/>
  <c r="AP652" i="4"/>
  <c r="AS652" i="4" s="1"/>
  <c r="AO652" i="4"/>
  <c r="AN652" i="4"/>
  <c r="AL652" i="4"/>
  <c r="AK652" i="4"/>
  <c r="AI652" i="4"/>
  <c r="AH652" i="4"/>
  <c r="AF652" i="4"/>
  <c r="AE652" i="4"/>
  <c r="AC652" i="4"/>
  <c r="AB652" i="4"/>
  <c r="Z652" i="4"/>
  <c r="Y652" i="4"/>
  <c r="W652" i="4"/>
  <c r="V652" i="4"/>
  <c r="T652" i="4"/>
  <c r="S652" i="4"/>
  <c r="Q652" i="4"/>
  <c r="P652" i="4"/>
  <c r="N652" i="4"/>
  <c r="M652" i="4"/>
  <c r="I652" i="4"/>
  <c r="H652" i="4"/>
  <c r="AP651" i="4"/>
  <c r="AO651" i="4"/>
  <c r="AN651" i="4"/>
  <c r="AL651" i="4"/>
  <c r="AK651" i="4"/>
  <c r="AI651" i="4"/>
  <c r="AH651" i="4"/>
  <c r="AF651" i="4"/>
  <c r="AE651" i="4"/>
  <c r="AC651" i="4"/>
  <c r="AB651" i="4"/>
  <c r="Z651" i="4"/>
  <c r="Y651" i="4"/>
  <c r="W651" i="4"/>
  <c r="V651" i="4"/>
  <c r="T651" i="4"/>
  <c r="S651" i="4"/>
  <c r="Q651" i="4"/>
  <c r="P651" i="4"/>
  <c r="N651" i="4"/>
  <c r="M651" i="4"/>
  <c r="I651" i="4"/>
  <c r="K651" i="4" s="1"/>
  <c r="H651" i="4"/>
  <c r="AP650" i="4"/>
  <c r="AS650" i="4" s="1"/>
  <c r="AT650" i="4" s="1"/>
  <c r="AO650" i="4"/>
  <c r="AN650" i="4"/>
  <c r="AL650" i="4"/>
  <c r="AK650" i="4"/>
  <c r="AI650" i="4"/>
  <c r="AH650" i="4"/>
  <c r="AF650" i="4"/>
  <c r="AE650" i="4"/>
  <c r="AC650" i="4"/>
  <c r="AB650" i="4"/>
  <c r="Z650" i="4"/>
  <c r="Y650" i="4"/>
  <c r="W650" i="4"/>
  <c r="V650" i="4"/>
  <c r="T650" i="4"/>
  <c r="S650" i="4"/>
  <c r="Q650" i="4"/>
  <c r="P650" i="4"/>
  <c r="N650" i="4"/>
  <c r="M650" i="4"/>
  <c r="I650" i="4"/>
  <c r="H650" i="4"/>
  <c r="AP649" i="4"/>
  <c r="AS649" i="4" s="1"/>
  <c r="AO649" i="4"/>
  <c r="AN649" i="4"/>
  <c r="AL649" i="4"/>
  <c r="AK649" i="4"/>
  <c r="AI649" i="4"/>
  <c r="AH649" i="4"/>
  <c r="AF649" i="4"/>
  <c r="AE649" i="4"/>
  <c r="AC649" i="4"/>
  <c r="AB649" i="4"/>
  <c r="Z649" i="4"/>
  <c r="Y649" i="4"/>
  <c r="W649" i="4"/>
  <c r="V649" i="4"/>
  <c r="T649" i="4"/>
  <c r="S649" i="4"/>
  <c r="Q649" i="4"/>
  <c r="P649" i="4"/>
  <c r="N649" i="4"/>
  <c r="M649" i="4"/>
  <c r="I649" i="4"/>
  <c r="K649" i="4" s="1"/>
  <c r="H649" i="4"/>
  <c r="AP648" i="4"/>
  <c r="AO648" i="4"/>
  <c r="AN648" i="4"/>
  <c r="AL648" i="4"/>
  <c r="AK648" i="4"/>
  <c r="AI648" i="4"/>
  <c r="AH648" i="4"/>
  <c r="AF648" i="4"/>
  <c r="AE648" i="4"/>
  <c r="AC648" i="4"/>
  <c r="AB648" i="4"/>
  <c r="Z648" i="4"/>
  <c r="Y648" i="4"/>
  <c r="W648" i="4"/>
  <c r="V648" i="4"/>
  <c r="T648" i="4"/>
  <c r="S648" i="4"/>
  <c r="Q648" i="4"/>
  <c r="P648" i="4"/>
  <c r="N648" i="4"/>
  <c r="M648" i="4"/>
  <c r="I648" i="4"/>
  <c r="J648" i="4" s="1"/>
  <c r="H648" i="4"/>
  <c r="AP647" i="4"/>
  <c r="I647" i="4"/>
  <c r="AP646" i="4"/>
  <c r="AR646" i="4" s="1"/>
  <c r="AO646" i="4"/>
  <c r="AN646" i="4"/>
  <c r="AN645" i="4" s="1"/>
  <c r="AL646" i="4"/>
  <c r="AK646" i="4"/>
  <c r="AK645" i="4" s="1"/>
  <c r="AI646" i="4"/>
  <c r="AH646" i="4"/>
  <c r="AH645" i="4" s="1"/>
  <c r="AF646" i="4"/>
  <c r="AE646" i="4"/>
  <c r="AE645" i="4" s="1"/>
  <c r="AC646" i="4"/>
  <c r="AB646" i="4"/>
  <c r="AB645" i="4" s="1"/>
  <c r="Z646" i="4"/>
  <c r="Y646" i="4"/>
  <c r="Y645" i="4" s="1"/>
  <c r="W646" i="4"/>
  <c r="V646" i="4"/>
  <c r="V645" i="4" s="1"/>
  <c r="T646" i="4"/>
  <c r="S646" i="4"/>
  <c r="S645" i="4" s="1"/>
  <c r="Q646" i="4"/>
  <c r="P646" i="4"/>
  <c r="P645" i="4" s="1"/>
  <c r="N646" i="4"/>
  <c r="M646" i="4"/>
  <c r="M645" i="4" s="1"/>
  <c r="I646" i="4"/>
  <c r="J646" i="4" s="1"/>
  <c r="J645" i="4" s="1"/>
  <c r="H646" i="4"/>
  <c r="H645" i="4" s="1"/>
  <c r="AP645" i="4"/>
  <c r="AS645" i="4" s="1"/>
  <c r="I645" i="4"/>
  <c r="AP644" i="4"/>
  <c r="I644" i="4"/>
  <c r="AP643" i="4"/>
  <c r="AS643" i="4" s="1"/>
  <c r="AO643" i="4"/>
  <c r="AN643" i="4"/>
  <c r="AL643" i="4"/>
  <c r="AK643" i="4"/>
  <c r="AI643" i="4"/>
  <c r="AH643" i="4"/>
  <c r="AF643" i="4"/>
  <c r="AE643" i="4"/>
  <c r="AC643" i="4"/>
  <c r="AB643" i="4"/>
  <c r="Z643" i="4"/>
  <c r="Y643" i="4"/>
  <c r="W643" i="4"/>
  <c r="V643" i="4"/>
  <c r="T643" i="4"/>
  <c r="S643" i="4"/>
  <c r="Q643" i="4"/>
  <c r="P643" i="4"/>
  <c r="N643" i="4"/>
  <c r="M643" i="4"/>
  <c r="I643" i="4"/>
  <c r="K643" i="4" s="1"/>
  <c r="H643" i="4"/>
  <c r="AP642" i="4"/>
  <c r="AO642" i="4"/>
  <c r="AN642" i="4"/>
  <c r="AL642" i="4"/>
  <c r="AK642" i="4"/>
  <c r="AI642" i="4"/>
  <c r="AH642" i="4"/>
  <c r="AF642" i="4"/>
  <c r="AE642" i="4"/>
  <c r="AC642" i="4"/>
  <c r="AB642" i="4"/>
  <c r="Z642" i="4"/>
  <c r="Y642" i="4"/>
  <c r="W642" i="4"/>
  <c r="V642" i="4"/>
  <c r="T642" i="4"/>
  <c r="S642" i="4"/>
  <c r="Q642" i="4"/>
  <c r="P642" i="4"/>
  <c r="N642" i="4"/>
  <c r="M642" i="4"/>
  <c r="I642" i="4"/>
  <c r="K642" i="4" s="1"/>
  <c r="H642" i="4"/>
  <c r="AP641" i="4"/>
  <c r="AS641" i="4" s="1"/>
  <c r="I641" i="4"/>
  <c r="AP640" i="4"/>
  <c r="AO640" i="4"/>
  <c r="AN640" i="4"/>
  <c r="AN639" i="4" s="1"/>
  <c r="AL640" i="4"/>
  <c r="AK640" i="4"/>
  <c r="AK639" i="4" s="1"/>
  <c r="AI640" i="4"/>
  <c r="AH640" i="4"/>
  <c r="AH639" i="4" s="1"/>
  <c r="AF640" i="4"/>
  <c r="AE640" i="4"/>
  <c r="AE639" i="4" s="1"/>
  <c r="AC640" i="4"/>
  <c r="AB640" i="4"/>
  <c r="AB639" i="4" s="1"/>
  <c r="Z640" i="4"/>
  <c r="Y640" i="4"/>
  <c r="Y639" i="4" s="1"/>
  <c r="W640" i="4"/>
  <c r="V640" i="4"/>
  <c r="V639" i="4" s="1"/>
  <c r="T640" i="4"/>
  <c r="S640" i="4"/>
  <c r="S639" i="4" s="1"/>
  <c r="Q640" i="4"/>
  <c r="P640" i="4"/>
  <c r="P639" i="4" s="1"/>
  <c r="N640" i="4"/>
  <c r="M640" i="4"/>
  <c r="M639" i="4" s="1"/>
  <c r="I640" i="4"/>
  <c r="J640" i="4" s="1"/>
  <c r="J639" i="4" s="1"/>
  <c r="H640" i="4"/>
  <c r="H639" i="4" s="1"/>
  <c r="AP639" i="4"/>
  <c r="AS639" i="4" s="1"/>
  <c r="I639" i="4"/>
  <c r="AP638" i="4"/>
  <c r="AO638" i="4"/>
  <c r="AN638" i="4"/>
  <c r="AN637" i="4" s="1"/>
  <c r="AL638" i="4"/>
  <c r="AK638" i="4"/>
  <c r="AK637" i="4" s="1"/>
  <c r="AI638" i="4"/>
  <c r="AH638" i="4"/>
  <c r="AH637" i="4" s="1"/>
  <c r="AF638" i="4"/>
  <c r="AE638" i="4"/>
  <c r="AE637" i="4" s="1"/>
  <c r="AC638" i="4"/>
  <c r="AB638" i="4"/>
  <c r="AB637" i="4" s="1"/>
  <c r="Z638" i="4"/>
  <c r="Y638" i="4"/>
  <c r="Y637" i="4" s="1"/>
  <c r="W638" i="4"/>
  <c r="V638" i="4"/>
  <c r="V637" i="4" s="1"/>
  <c r="T638" i="4"/>
  <c r="S638" i="4"/>
  <c r="S637" i="4" s="1"/>
  <c r="Q638" i="4"/>
  <c r="P638" i="4"/>
  <c r="P637" i="4" s="1"/>
  <c r="N638" i="4"/>
  <c r="M638" i="4"/>
  <c r="M637" i="4" s="1"/>
  <c r="I638" i="4"/>
  <c r="K638" i="4" s="1"/>
  <c r="H638" i="4"/>
  <c r="H637" i="4" s="1"/>
  <c r="AP637" i="4"/>
  <c r="AS637" i="4" s="1"/>
  <c r="I637" i="4"/>
  <c r="AP636" i="4"/>
  <c r="AO636" i="4"/>
  <c r="AN636" i="4"/>
  <c r="AN635" i="4" s="1"/>
  <c r="AL636" i="4"/>
  <c r="AK636" i="4"/>
  <c r="AK635" i="4" s="1"/>
  <c r="AI636" i="4"/>
  <c r="AH636" i="4"/>
  <c r="AH635" i="4" s="1"/>
  <c r="AF636" i="4"/>
  <c r="AE636" i="4"/>
  <c r="AE635" i="4" s="1"/>
  <c r="AC636" i="4"/>
  <c r="AB636" i="4"/>
  <c r="AB635" i="4" s="1"/>
  <c r="Z636" i="4"/>
  <c r="Y636" i="4"/>
  <c r="Y635" i="4" s="1"/>
  <c r="W636" i="4"/>
  <c r="V636" i="4"/>
  <c r="V635" i="4" s="1"/>
  <c r="T636" i="4"/>
  <c r="S636" i="4"/>
  <c r="S635" i="4" s="1"/>
  <c r="Q636" i="4"/>
  <c r="P636" i="4"/>
  <c r="P635" i="4" s="1"/>
  <c r="N636" i="4"/>
  <c r="M636" i="4"/>
  <c r="M635" i="4" s="1"/>
  <c r="I636" i="4"/>
  <c r="K636" i="4" s="1"/>
  <c r="H636" i="4"/>
  <c r="H635" i="4" s="1"/>
  <c r="AP635" i="4"/>
  <c r="AS635" i="4" s="1"/>
  <c r="I635" i="4"/>
  <c r="AP634" i="4"/>
  <c r="AO634" i="4"/>
  <c r="AN634" i="4"/>
  <c r="AL634" i="4"/>
  <c r="AK634" i="4"/>
  <c r="AI634" i="4"/>
  <c r="AH634" i="4"/>
  <c r="AF634" i="4"/>
  <c r="AE634" i="4"/>
  <c r="AC634" i="4"/>
  <c r="AB634" i="4"/>
  <c r="Z634" i="4"/>
  <c r="Y634" i="4"/>
  <c r="W634" i="4"/>
  <c r="V634" i="4"/>
  <c r="T634" i="4"/>
  <c r="S634" i="4"/>
  <c r="Q634" i="4"/>
  <c r="P634" i="4"/>
  <c r="N634" i="4"/>
  <c r="M634" i="4"/>
  <c r="I634" i="4"/>
  <c r="K634" i="4" s="1"/>
  <c r="H634" i="4"/>
  <c r="AP633" i="4"/>
  <c r="AS633" i="4" s="1"/>
  <c r="AO633" i="4"/>
  <c r="AN633" i="4"/>
  <c r="AL633" i="4"/>
  <c r="AK633" i="4"/>
  <c r="AI633" i="4"/>
  <c r="AH633" i="4"/>
  <c r="AF633" i="4"/>
  <c r="AE633" i="4"/>
  <c r="AC633" i="4"/>
  <c r="AB633" i="4"/>
  <c r="Z633" i="4"/>
  <c r="Y633" i="4"/>
  <c r="W633" i="4"/>
  <c r="V633" i="4"/>
  <c r="T633" i="4"/>
  <c r="S633" i="4"/>
  <c r="Q633" i="4"/>
  <c r="P633" i="4"/>
  <c r="N633" i="4"/>
  <c r="M633" i="4"/>
  <c r="I633" i="4"/>
  <c r="K633" i="4" s="1"/>
  <c r="H633" i="4"/>
  <c r="AP632" i="4"/>
  <c r="AO632" i="4"/>
  <c r="AN632" i="4"/>
  <c r="AL632" i="4"/>
  <c r="AK632" i="4"/>
  <c r="AI632" i="4"/>
  <c r="AH632" i="4"/>
  <c r="AF632" i="4"/>
  <c r="AE632" i="4"/>
  <c r="AC632" i="4"/>
  <c r="AB632" i="4"/>
  <c r="Z632" i="4"/>
  <c r="Y632" i="4"/>
  <c r="W632" i="4"/>
  <c r="V632" i="4"/>
  <c r="T632" i="4"/>
  <c r="S632" i="4"/>
  <c r="Q632" i="4"/>
  <c r="P632" i="4"/>
  <c r="N632" i="4"/>
  <c r="M632" i="4"/>
  <c r="I632" i="4"/>
  <c r="K632" i="4" s="1"/>
  <c r="H632" i="4"/>
  <c r="AP631" i="4"/>
  <c r="AS631" i="4" s="1"/>
  <c r="AO631" i="4"/>
  <c r="AN631" i="4"/>
  <c r="AL631" i="4"/>
  <c r="AK631" i="4"/>
  <c r="AI631" i="4"/>
  <c r="AH631" i="4"/>
  <c r="AF631" i="4"/>
  <c r="AE631" i="4"/>
  <c r="AC631" i="4"/>
  <c r="AB631" i="4"/>
  <c r="Z631" i="4"/>
  <c r="Y631" i="4"/>
  <c r="W631" i="4"/>
  <c r="V631" i="4"/>
  <c r="T631" i="4"/>
  <c r="S631" i="4"/>
  <c r="Q631" i="4"/>
  <c r="P631" i="4"/>
  <c r="N631" i="4"/>
  <c r="M631" i="4"/>
  <c r="I631" i="4"/>
  <c r="K631" i="4" s="1"/>
  <c r="H631" i="4"/>
  <c r="AP630" i="4"/>
  <c r="AO630" i="4"/>
  <c r="AN630" i="4"/>
  <c r="AL630" i="4"/>
  <c r="AK630" i="4"/>
  <c r="AI630" i="4"/>
  <c r="AH630" i="4"/>
  <c r="AF630" i="4"/>
  <c r="AE630" i="4"/>
  <c r="AC630" i="4"/>
  <c r="AB630" i="4"/>
  <c r="Z630" i="4"/>
  <c r="Y630" i="4"/>
  <c r="W630" i="4"/>
  <c r="V630" i="4"/>
  <c r="T630" i="4"/>
  <c r="S630" i="4"/>
  <c r="Q630" i="4"/>
  <c r="P630" i="4"/>
  <c r="N630" i="4"/>
  <c r="M630" i="4"/>
  <c r="I630" i="4"/>
  <c r="J630" i="4" s="1"/>
  <c r="H630" i="4"/>
  <c r="AP629" i="4"/>
  <c r="AS629" i="4" s="1"/>
  <c r="I629" i="4"/>
  <c r="AP628" i="4"/>
  <c r="AS628" i="4" s="1"/>
  <c r="I628" i="4"/>
  <c r="AP627" i="4"/>
  <c r="AS627" i="4" s="1"/>
  <c r="AO627" i="4"/>
  <c r="AN627" i="4"/>
  <c r="AL627" i="4"/>
  <c r="AK627" i="4"/>
  <c r="AI627" i="4"/>
  <c r="AH627" i="4"/>
  <c r="AF627" i="4"/>
  <c r="AE627" i="4"/>
  <c r="AC627" i="4"/>
  <c r="AB627" i="4"/>
  <c r="Z627" i="4"/>
  <c r="Y627" i="4"/>
  <c r="W627" i="4"/>
  <c r="V627" i="4"/>
  <c r="T627" i="4"/>
  <c r="S627" i="4"/>
  <c r="Q627" i="4"/>
  <c r="P627" i="4"/>
  <c r="N627" i="4"/>
  <c r="M627" i="4"/>
  <c r="I627" i="4"/>
  <c r="K627" i="4" s="1"/>
  <c r="H627" i="4"/>
  <c r="AP626" i="4"/>
  <c r="AO626" i="4"/>
  <c r="AN626" i="4"/>
  <c r="AL626" i="4"/>
  <c r="AK626" i="4"/>
  <c r="AI626" i="4"/>
  <c r="AH626" i="4"/>
  <c r="AF626" i="4"/>
  <c r="AE626" i="4"/>
  <c r="AC626" i="4"/>
  <c r="AB626" i="4"/>
  <c r="Z626" i="4"/>
  <c r="Y626" i="4"/>
  <c r="W626" i="4"/>
  <c r="V626" i="4"/>
  <c r="T626" i="4"/>
  <c r="S626" i="4"/>
  <c r="Q626" i="4"/>
  <c r="P626" i="4"/>
  <c r="N626" i="4"/>
  <c r="M626" i="4"/>
  <c r="I626" i="4"/>
  <c r="J626" i="4" s="1"/>
  <c r="H626" i="4"/>
  <c r="AP625" i="4"/>
  <c r="AS625" i="4" s="1"/>
  <c r="I625" i="4"/>
  <c r="AP624" i="4"/>
  <c r="AO624" i="4"/>
  <c r="AN624" i="4"/>
  <c r="AL624" i="4"/>
  <c r="AK624" i="4"/>
  <c r="AI624" i="4"/>
  <c r="AH624" i="4"/>
  <c r="AF624" i="4"/>
  <c r="AE624" i="4"/>
  <c r="AC624" i="4"/>
  <c r="AB624" i="4"/>
  <c r="Z624" i="4"/>
  <c r="Y624" i="4"/>
  <c r="W624" i="4"/>
  <c r="V624" i="4"/>
  <c r="T624" i="4"/>
  <c r="S624" i="4"/>
  <c r="Q624" i="4"/>
  <c r="P624" i="4"/>
  <c r="N624" i="4"/>
  <c r="M624" i="4"/>
  <c r="I624" i="4"/>
  <c r="K624" i="4" s="1"/>
  <c r="H624" i="4"/>
  <c r="AP623" i="4"/>
  <c r="AS623" i="4" s="1"/>
  <c r="AU623" i="4" s="1"/>
  <c r="AO623" i="4"/>
  <c r="AN623" i="4"/>
  <c r="AL623" i="4"/>
  <c r="AK623" i="4"/>
  <c r="AI623" i="4"/>
  <c r="AH623" i="4"/>
  <c r="AF623" i="4"/>
  <c r="AE623" i="4"/>
  <c r="AC623" i="4"/>
  <c r="AB623" i="4"/>
  <c r="Z623" i="4"/>
  <c r="Y623" i="4"/>
  <c r="W623" i="4"/>
  <c r="V623" i="4"/>
  <c r="T623" i="4"/>
  <c r="S623" i="4"/>
  <c r="Q623" i="4"/>
  <c r="P623" i="4"/>
  <c r="N623" i="4"/>
  <c r="M623" i="4"/>
  <c r="I623" i="4"/>
  <c r="H623" i="4"/>
  <c r="AP622" i="4"/>
  <c r="AO622" i="4"/>
  <c r="AN622" i="4"/>
  <c r="AL622" i="4"/>
  <c r="AK622" i="4"/>
  <c r="AI622" i="4"/>
  <c r="AH622" i="4"/>
  <c r="AF622" i="4"/>
  <c r="AE622" i="4"/>
  <c r="AC622" i="4"/>
  <c r="AB622" i="4"/>
  <c r="Z622" i="4"/>
  <c r="Y622" i="4"/>
  <c r="W622" i="4"/>
  <c r="V622" i="4"/>
  <c r="T622" i="4"/>
  <c r="S622" i="4"/>
  <c r="Q622" i="4"/>
  <c r="P622" i="4"/>
  <c r="N622" i="4"/>
  <c r="M622" i="4"/>
  <c r="I622" i="4"/>
  <c r="K622" i="4" s="1"/>
  <c r="H622" i="4"/>
  <c r="AP621" i="4"/>
  <c r="AS621" i="4" s="1"/>
  <c r="AU621" i="4" s="1"/>
  <c r="AO621" i="4"/>
  <c r="AN621" i="4"/>
  <c r="AL621" i="4"/>
  <c r="AK621" i="4"/>
  <c r="AI621" i="4"/>
  <c r="AH621" i="4"/>
  <c r="AF621" i="4"/>
  <c r="AE621" i="4"/>
  <c r="AC621" i="4"/>
  <c r="AB621" i="4"/>
  <c r="Z621" i="4"/>
  <c r="Y621" i="4"/>
  <c r="W621" i="4"/>
  <c r="V621" i="4"/>
  <c r="T621" i="4"/>
  <c r="S621" i="4"/>
  <c r="Q621" i="4"/>
  <c r="P621" i="4"/>
  <c r="N621" i="4"/>
  <c r="M621" i="4"/>
  <c r="I621" i="4"/>
  <c r="H621" i="4"/>
  <c r="AP620" i="4"/>
  <c r="AQ620" i="4" s="1"/>
  <c r="AO620" i="4"/>
  <c r="AN620" i="4"/>
  <c r="AL620" i="4"/>
  <c r="AK620" i="4"/>
  <c r="AI620" i="4"/>
  <c r="AH620" i="4"/>
  <c r="AF620" i="4"/>
  <c r="AE620" i="4"/>
  <c r="AC620" i="4"/>
  <c r="AB620" i="4"/>
  <c r="Z620" i="4"/>
  <c r="Y620" i="4"/>
  <c r="W620" i="4"/>
  <c r="V620" i="4"/>
  <c r="T620" i="4"/>
  <c r="S620" i="4"/>
  <c r="Q620" i="4"/>
  <c r="P620" i="4"/>
  <c r="N620" i="4"/>
  <c r="M620" i="4"/>
  <c r="I620" i="4"/>
  <c r="K620" i="4" s="1"/>
  <c r="H620" i="4"/>
  <c r="AP619" i="4"/>
  <c r="AS619" i="4" s="1"/>
  <c r="AT619" i="4" s="1"/>
  <c r="AO619" i="4"/>
  <c r="AN619" i="4"/>
  <c r="AL619" i="4"/>
  <c r="AK619" i="4"/>
  <c r="AI619" i="4"/>
  <c r="AH619" i="4"/>
  <c r="AF619" i="4"/>
  <c r="AE619" i="4"/>
  <c r="AC619" i="4"/>
  <c r="AB619" i="4"/>
  <c r="Z619" i="4"/>
  <c r="Y619" i="4"/>
  <c r="W619" i="4"/>
  <c r="V619" i="4"/>
  <c r="T619" i="4"/>
  <c r="S619" i="4"/>
  <c r="Q619" i="4"/>
  <c r="P619" i="4"/>
  <c r="N619" i="4"/>
  <c r="M619" i="4"/>
  <c r="I619" i="4"/>
  <c r="H619" i="4"/>
  <c r="AP618" i="4"/>
  <c r="AQ618" i="4" s="1"/>
  <c r="AO618" i="4"/>
  <c r="AN618" i="4"/>
  <c r="AL618" i="4"/>
  <c r="AK618" i="4"/>
  <c r="AI618" i="4"/>
  <c r="AH618" i="4"/>
  <c r="AF618" i="4"/>
  <c r="AE618" i="4"/>
  <c r="AC618" i="4"/>
  <c r="AB618" i="4"/>
  <c r="Z618" i="4"/>
  <c r="Y618" i="4"/>
  <c r="W618" i="4"/>
  <c r="V618" i="4"/>
  <c r="T618" i="4"/>
  <c r="S618" i="4"/>
  <c r="Q618" i="4"/>
  <c r="P618" i="4"/>
  <c r="N618" i="4"/>
  <c r="M618" i="4"/>
  <c r="I618" i="4"/>
  <c r="H618" i="4"/>
  <c r="AP617" i="4"/>
  <c r="AS617" i="4" s="1"/>
  <c r="AT617" i="4" s="1"/>
  <c r="AO617" i="4"/>
  <c r="AN617" i="4"/>
  <c r="AL617" i="4"/>
  <c r="AK617" i="4"/>
  <c r="AI617" i="4"/>
  <c r="AH617" i="4"/>
  <c r="AF617" i="4"/>
  <c r="AE617" i="4"/>
  <c r="AC617" i="4"/>
  <c r="AB617" i="4"/>
  <c r="Z617" i="4"/>
  <c r="Y617" i="4"/>
  <c r="W617" i="4"/>
  <c r="V617" i="4"/>
  <c r="T617" i="4"/>
  <c r="S617" i="4"/>
  <c r="Q617" i="4"/>
  <c r="P617" i="4"/>
  <c r="N617" i="4"/>
  <c r="M617" i="4"/>
  <c r="I617" i="4"/>
  <c r="H617" i="4"/>
  <c r="AP616" i="4"/>
  <c r="AS616" i="4" s="1"/>
  <c r="AO616" i="4"/>
  <c r="AN616" i="4"/>
  <c r="AL616" i="4"/>
  <c r="AK616" i="4"/>
  <c r="AI616" i="4"/>
  <c r="AH616" i="4"/>
  <c r="AF616" i="4"/>
  <c r="AE616" i="4"/>
  <c r="AC616" i="4"/>
  <c r="AB616" i="4"/>
  <c r="Z616" i="4"/>
  <c r="Y616" i="4"/>
  <c r="W616" i="4"/>
  <c r="V616" i="4"/>
  <c r="T616" i="4"/>
  <c r="S616" i="4"/>
  <c r="Q616" i="4"/>
  <c r="P616" i="4"/>
  <c r="N616" i="4"/>
  <c r="M616" i="4"/>
  <c r="I616" i="4"/>
  <c r="H616" i="4"/>
  <c r="AP615" i="4"/>
  <c r="AO615" i="4"/>
  <c r="AN615" i="4"/>
  <c r="AL615" i="4"/>
  <c r="AK615" i="4"/>
  <c r="AI615" i="4"/>
  <c r="AH615" i="4"/>
  <c r="AF615" i="4"/>
  <c r="AE615" i="4"/>
  <c r="AC615" i="4"/>
  <c r="AB615" i="4"/>
  <c r="Z615" i="4"/>
  <c r="Y615" i="4"/>
  <c r="W615" i="4"/>
  <c r="V615" i="4"/>
  <c r="T615" i="4"/>
  <c r="S615" i="4"/>
  <c r="Q615" i="4"/>
  <c r="P615" i="4"/>
  <c r="N615" i="4"/>
  <c r="M615" i="4"/>
  <c r="I615" i="4"/>
  <c r="H615" i="4"/>
  <c r="AP614" i="4"/>
  <c r="AO614" i="4"/>
  <c r="AN614" i="4"/>
  <c r="AL614" i="4"/>
  <c r="AK614" i="4"/>
  <c r="AI614" i="4"/>
  <c r="AH614" i="4"/>
  <c r="AF614" i="4"/>
  <c r="AE614" i="4"/>
  <c r="AC614" i="4"/>
  <c r="AB614" i="4"/>
  <c r="Z614" i="4"/>
  <c r="Y614" i="4"/>
  <c r="W614" i="4"/>
  <c r="V614" i="4"/>
  <c r="T614" i="4"/>
  <c r="S614" i="4"/>
  <c r="Q614" i="4"/>
  <c r="P614" i="4"/>
  <c r="N614" i="4"/>
  <c r="M614" i="4"/>
  <c r="I614" i="4"/>
  <c r="K614" i="4" s="1"/>
  <c r="H614" i="4"/>
  <c r="AP613" i="4"/>
  <c r="AS613" i="4" s="1"/>
  <c r="I613" i="4"/>
  <c r="AP612" i="4"/>
  <c r="AO612" i="4"/>
  <c r="AN612" i="4"/>
  <c r="AL612" i="4"/>
  <c r="AK612" i="4"/>
  <c r="AI612" i="4"/>
  <c r="AH612" i="4"/>
  <c r="AF612" i="4"/>
  <c r="AE612" i="4"/>
  <c r="AC612" i="4"/>
  <c r="AB612" i="4"/>
  <c r="Z612" i="4"/>
  <c r="Y612" i="4"/>
  <c r="W612" i="4"/>
  <c r="V612" i="4"/>
  <c r="T612" i="4"/>
  <c r="S612" i="4"/>
  <c r="Q612" i="4"/>
  <c r="P612" i="4"/>
  <c r="N612" i="4"/>
  <c r="M612" i="4"/>
  <c r="I612" i="4"/>
  <c r="K612" i="4" s="1"/>
  <c r="H612" i="4"/>
  <c r="AP611" i="4"/>
  <c r="AO611" i="4"/>
  <c r="AN611" i="4"/>
  <c r="AL611" i="4"/>
  <c r="AK611" i="4"/>
  <c r="AI611" i="4"/>
  <c r="AH611" i="4"/>
  <c r="AF611" i="4"/>
  <c r="AE611" i="4"/>
  <c r="AC611" i="4"/>
  <c r="AB611" i="4"/>
  <c r="Z611" i="4"/>
  <c r="Y611" i="4"/>
  <c r="W611" i="4"/>
  <c r="V611" i="4"/>
  <c r="T611" i="4"/>
  <c r="S611" i="4"/>
  <c r="Q611" i="4"/>
  <c r="P611" i="4"/>
  <c r="N611" i="4"/>
  <c r="M611" i="4"/>
  <c r="I611" i="4"/>
  <c r="H611" i="4"/>
  <c r="AP610" i="4"/>
  <c r="AQ610" i="4" s="1"/>
  <c r="AO610" i="4"/>
  <c r="AN610" i="4"/>
  <c r="AL610" i="4"/>
  <c r="AK610" i="4"/>
  <c r="AI610" i="4"/>
  <c r="AH610" i="4"/>
  <c r="AF610" i="4"/>
  <c r="AE610" i="4"/>
  <c r="AC610" i="4"/>
  <c r="AB610" i="4"/>
  <c r="Z610" i="4"/>
  <c r="Y610" i="4"/>
  <c r="W610" i="4"/>
  <c r="V610" i="4"/>
  <c r="T610" i="4"/>
  <c r="S610" i="4"/>
  <c r="Q610" i="4"/>
  <c r="P610" i="4"/>
  <c r="N610" i="4"/>
  <c r="M610" i="4"/>
  <c r="I610" i="4"/>
  <c r="H610" i="4"/>
  <c r="AP609" i="4"/>
  <c r="AO609" i="4"/>
  <c r="AN609" i="4"/>
  <c r="AL609" i="4"/>
  <c r="AK609" i="4"/>
  <c r="AI609" i="4"/>
  <c r="AH609" i="4"/>
  <c r="AF609" i="4"/>
  <c r="AE609" i="4"/>
  <c r="AC609" i="4"/>
  <c r="AB609" i="4"/>
  <c r="Z609" i="4"/>
  <c r="Y609" i="4"/>
  <c r="W609" i="4"/>
  <c r="V609" i="4"/>
  <c r="T609" i="4"/>
  <c r="S609" i="4"/>
  <c r="Q609" i="4"/>
  <c r="P609" i="4"/>
  <c r="N609" i="4"/>
  <c r="M609" i="4"/>
  <c r="I609" i="4"/>
  <c r="H609" i="4"/>
  <c r="AP608" i="4"/>
  <c r="AR608" i="4" s="1"/>
  <c r="AO608" i="4"/>
  <c r="AN608" i="4"/>
  <c r="AL608" i="4"/>
  <c r="AK608" i="4"/>
  <c r="AI608" i="4"/>
  <c r="AH608" i="4"/>
  <c r="AF608" i="4"/>
  <c r="AE608" i="4"/>
  <c r="AC608" i="4"/>
  <c r="AB608" i="4"/>
  <c r="Z608" i="4"/>
  <c r="Y608" i="4"/>
  <c r="W608" i="4"/>
  <c r="V608" i="4"/>
  <c r="T608" i="4"/>
  <c r="S608" i="4"/>
  <c r="Q608" i="4"/>
  <c r="P608" i="4"/>
  <c r="N608" i="4"/>
  <c r="M608" i="4"/>
  <c r="I608" i="4"/>
  <c r="H608" i="4"/>
  <c r="AP607" i="4"/>
  <c r="AS607" i="4" s="1"/>
  <c r="I607" i="4"/>
  <c r="AP606" i="4"/>
  <c r="AQ606" i="4" s="1"/>
  <c r="AO606" i="4"/>
  <c r="AN606" i="4"/>
  <c r="AL606" i="4"/>
  <c r="AK606" i="4"/>
  <c r="AI606" i="4"/>
  <c r="AH606" i="4"/>
  <c r="AF606" i="4"/>
  <c r="AE606" i="4"/>
  <c r="AC606" i="4"/>
  <c r="AB606" i="4"/>
  <c r="Z606" i="4"/>
  <c r="Y606" i="4"/>
  <c r="W606" i="4"/>
  <c r="V606" i="4"/>
  <c r="T606" i="4"/>
  <c r="S606" i="4"/>
  <c r="Q606" i="4"/>
  <c r="P606" i="4"/>
  <c r="N606" i="4"/>
  <c r="M606" i="4"/>
  <c r="I606" i="4"/>
  <c r="J606" i="4" s="1"/>
  <c r="H606" i="4"/>
  <c r="AP605" i="4"/>
  <c r="AS605" i="4" s="1"/>
  <c r="AT605" i="4" s="1"/>
  <c r="AO605" i="4"/>
  <c r="AN605" i="4"/>
  <c r="AL605" i="4"/>
  <c r="AK605" i="4"/>
  <c r="AI605" i="4"/>
  <c r="AH605" i="4"/>
  <c r="AF605" i="4"/>
  <c r="AE605" i="4"/>
  <c r="AC605" i="4"/>
  <c r="AB605" i="4"/>
  <c r="Z605" i="4"/>
  <c r="Y605" i="4"/>
  <c r="W605" i="4"/>
  <c r="V605" i="4"/>
  <c r="T605" i="4"/>
  <c r="S605" i="4"/>
  <c r="Q605" i="4"/>
  <c r="P605" i="4"/>
  <c r="N605" i="4"/>
  <c r="M605" i="4"/>
  <c r="I605" i="4"/>
  <c r="H605" i="4"/>
  <c r="AP604" i="4"/>
  <c r="AS604" i="4" s="1"/>
  <c r="AO604" i="4"/>
  <c r="AN604" i="4"/>
  <c r="AL604" i="4"/>
  <c r="AK604" i="4"/>
  <c r="AI604" i="4"/>
  <c r="AH604" i="4"/>
  <c r="AF604" i="4"/>
  <c r="AE604" i="4"/>
  <c r="AC604" i="4"/>
  <c r="AB604" i="4"/>
  <c r="Z604" i="4"/>
  <c r="Y604" i="4"/>
  <c r="W604" i="4"/>
  <c r="V604" i="4"/>
  <c r="T604" i="4"/>
  <c r="S604" i="4"/>
  <c r="Q604" i="4"/>
  <c r="P604" i="4"/>
  <c r="N604" i="4"/>
  <c r="M604" i="4"/>
  <c r="I604" i="4"/>
  <c r="J604" i="4" s="1"/>
  <c r="H604" i="4"/>
  <c r="AP603" i="4"/>
  <c r="AO603" i="4"/>
  <c r="AN603" i="4"/>
  <c r="AL603" i="4"/>
  <c r="AK603" i="4"/>
  <c r="AI603" i="4"/>
  <c r="AH603" i="4"/>
  <c r="AF603" i="4"/>
  <c r="AE603" i="4"/>
  <c r="AC603" i="4"/>
  <c r="AB603" i="4"/>
  <c r="Z603" i="4"/>
  <c r="Y603" i="4"/>
  <c r="W603" i="4"/>
  <c r="V603" i="4"/>
  <c r="T603" i="4"/>
  <c r="S603" i="4"/>
  <c r="Q603" i="4"/>
  <c r="P603" i="4"/>
  <c r="N603" i="4"/>
  <c r="M603" i="4"/>
  <c r="I603" i="4"/>
  <c r="H603" i="4"/>
  <c r="AP602" i="4"/>
  <c r="AR602" i="4" s="1"/>
  <c r="AO602" i="4"/>
  <c r="AN602" i="4"/>
  <c r="AL602" i="4"/>
  <c r="AK602" i="4"/>
  <c r="AI602" i="4"/>
  <c r="AH602" i="4"/>
  <c r="AF602" i="4"/>
  <c r="AE602" i="4"/>
  <c r="AC602" i="4"/>
  <c r="AB602" i="4"/>
  <c r="Z602" i="4"/>
  <c r="Y602" i="4"/>
  <c r="W602" i="4"/>
  <c r="V602" i="4"/>
  <c r="T602" i="4"/>
  <c r="S602" i="4"/>
  <c r="Q602" i="4"/>
  <c r="P602" i="4"/>
  <c r="N602" i="4"/>
  <c r="M602" i="4"/>
  <c r="I602" i="4"/>
  <c r="H602" i="4"/>
  <c r="AP601" i="4"/>
  <c r="I601" i="4"/>
  <c r="AP600" i="4"/>
  <c r="AR600" i="4" s="1"/>
  <c r="AO600" i="4"/>
  <c r="AN600" i="4"/>
  <c r="AL600" i="4"/>
  <c r="AK600" i="4"/>
  <c r="AI600" i="4"/>
  <c r="AH600" i="4"/>
  <c r="AF600" i="4"/>
  <c r="AE600" i="4"/>
  <c r="AC600" i="4"/>
  <c r="AB600" i="4"/>
  <c r="Z600" i="4"/>
  <c r="Y600" i="4"/>
  <c r="W600" i="4"/>
  <c r="V600" i="4"/>
  <c r="T600" i="4"/>
  <c r="S600" i="4"/>
  <c r="Q600" i="4"/>
  <c r="P600" i="4"/>
  <c r="N600" i="4"/>
  <c r="M600" i="4"/>
  <c r="I600" i="4"/>
  <c r="J600" i="4" s="1"/>
  <c r="H600" i="4"/>
  <c r="AP599" i="4"/>
  <c r="AS599" i="4" s="1"/>
  <c r="AT599" i="4" s="1"/>
  <c r="AO599" i="4"/>
  <c r="AN599" i="4"/>
  <c r="AL599" i="4"/>
  <c r="AK599" i="4"/>
  <c r="AI599" i="4"/>
  <c r="AH599" i="4"/>
  <c r="AF599" i="4"/>
  <c r="AE599" i="4"/>
  <c r="AC599" i="4"/>
  <c r="AB599" i="4"/>
  <c r="Z599" i="4"/>
  <c r="Y599" i="4"/>
  <c r="W599" i="4"/>
  <c r="V599" i="4"/>
  <c r="T599" i="4"/>
  <c r="S599" i="4"/>
  <c r="Q599" i="4"/>
  <c r="P599" i="4"/>
  <c r="N599" i="4"/>
  <c r="M599" i="4"/>
  <c r="I599" i="4"/>
  <c r="H599" i="4"/>
  <c r="AP598" i="4"/>
  <c r="AQ598" i="4" s="1"/>
  <c r="AO598" i="4"/>
  <c r="AN598" i="4"/>
  <c r="AL598" i="4"/>
  <c r="AK598" i="4"/>
  <c r="AI598" i="4"/>
  <c r="AH598" i="4"/>
  <c r="AF598" i="4"/>
  <c r="AE598" i="4"/>
  <c r="AC598" i="4"/>
  <c r="AB598" i="4"/>
  <c r="Z598" i="4"/>
  <c r="Y598" i="4"/>
  <c r="W598" i="4"/>
  <c r="V598" i="4"/>
  <c r="T598" i="4"/>
  <c r="S598" i="4"/>
  <c r="Q598" i="4"/>
  <c r="P598" i="4"/>
  <c r="N598" i="4"/>
  <c r="M598" i="4"/>
  <c r="I598" i="4"/>
  <c r="H598" i="4"/>
  <c r="AP597" i="4"/>
  <c r="AO597" i="4"/>
  <c r="AN597" i="4"/>
  <c r="AL597" i="4"/>
  <c r="AK597" i="4"/>
  <c r="AI597" i="4"/>
  <c r="AH597" i="4"/>
  <c r="AF597" i="4"/>
  <c r="AE597" i="4"/>
  <c r="AC597" i="4"/>
  <c r="AB597" i="4"/>
  <c r="Z597" i="4"/>
  <c r="Y597" i="4"/>
  <c r="W597" i="4"/>
  <c r="V597" i="4"/>
  <c r="T597" i="4"/>
  <c r="S597" i="4"/>
  <c r="Q597" i="4"/>
  <c r="P597" i="4"/>
  <c r="N597" i="4"/>
  <c r="M597" i="4"/>
  <c r="I597" i="4"/>
  <c r="H597" i="4"/>
  <c r="AP596" i="4"/>
  <c r="AR596" i="4" s="1"/>
  <c r="AO596" i="4"/>
  <c r="AN596" i="4"/>
  <c r="AL596" i="4"/>
  <c r="AK596" i="4"/>
  <c r="AI596" i="4"/>
  <c r="AH596" i="4"/>
  <c r="AF596" i="4"/>
  <c r="AE596" i="4"/>
  <c r="AC596" i="4"/>
  <c r="AB596" i="4"/>
  <c r="Z596" i="4"/>
  <c r="Y596" i="4"/>
  <c r="W596" i="4"/>
  <c r="V596" i="4"/>
  <c r="T596" i="4"/>
  <c r="S596" i="4"/>
  <c r="Q596" i="4"/>
  <c r="P596" i="4"/>
  <c r="N596" i="4"/>
  <c r="M596" i="4"/>
  <c r="I596" i="4"/>
  <c r="K596" i="4" s="1"/>
  <c r="H596" i="4"/>
  <c r="AP595" i="4"/>
  <c r="I595" i="4"/>
  <c r="AP594" i="4"/>
  <c r="AR594" i="4" s="1"/>
  <c r="AO594" i="4"/>
  <c r="AN594" i="4"/>
  <c r="AL594" i="4"/>
  <c r="AK594" i="4"/>
  <c r="AI594" i="4"/>
  <c r="AH594" i="4"/>
  <c r="AF594" i="4"/>
  <c r="AE594" i="4"/>
  <c r="AC594" i="4"/>
  <c r="AB594" i="4"/>
  <c r="Z594" i="4"/>
  <c r="Y594" i="4"/>
  <c r="W594" i="4"/>
  <c r="V594" i="4"/>
  <c r="T594" i="4"/>
  <c r="S594" i="4"/>
  <c r="Q594" i="4"/>
  <c r="P594" i="4"/>
  <c r="N594" i="4"/>
  <c r="M594" i="4"/>
  <c r="I594" i="4"/>
  <c r="K594" i="4" s="1"/>
  <c r="H594" i="4"/>
  <c r="AP593" i="4"/>
  <c r="AQ593" i="4" s="1"/>
  <c r="AO593" i="4"/>
  <c r="AN593" i="4"/>
  <c r="AL593" i="4"/>
  <c r="AK593" i="4"/>
  <c r="AI593" i="4"/>
  <c r="AH593" i="4"/>
  <c r="AF593" i="4"/>
  <c r="AE593" i="4"/>
  <c r="AC593" i="4"/>
  <c r="AB593" i="4"/>
  <c r="Z593" i="4"/>
  <c r="Y593" i="4"/>
  <c r="W593" i="4"/>
  <c r="V593" i="4"/>
  <c r="T593" i="4"/>
  <c r="S593" i="4"/>
  <c r="Q593" i="4"/>
  <c r="P593" i="4"/>
  <c r="N593" i="4"/>
  <c r="M593" i="4"/>
  <c r="I593" i="4"/>
  <c r="H593" i="4"/>
  <c r="AP592" i="4"/>
  <c r="AQ592" i="4" s="1"/>
  <c r="AO592" i="4"/>
  <c r="AN592" i="4"/>
  <c r="AL592" i="4"/>
  <c r="AK592" i="4"/>
  <c r="AI592" i="4"/>
  <c r="AH592" i="4"/>
  <c r="AF592" i="4"/>
  <c r="AE592" i="4"/>
  <c r="AC592" i="4"/>
  <c r="AB592" i="4"/>
  <c r="Z592" i="4"/>
  <c r="Y592" i="4"/>
  <c r="W592" i="4"/>
  <c r="V592" i="4"/>
  <c r="T592" i="4"/>
  <c r="S592" i="4"/>
  <c r="Q592" i="4"/>
  <c r="P592" i="4"/>
  <c r="N592" i="4"/>
  <c r="M592" i="4"/>
  <c r="I592" i="4"/>
  <c r="J592" i="4" s="1"/>
  <c r="H592" i="4"/>
  <c r="AP591" i="4"/>
  <c r="I591" i="4"/>
  <c r="AP590" i="4"/>
  <c r="I590" i="4"/>
  <c r="AP589" i="4"/>
  <c r="AO589" i="4"/>
  <c r="AN589" i="4"/>
  <c r="AL589" i="4"/>
  <c r="AK589" i="4"/>
  <c r="AI589" i="4"/>
  <c r="AH589" i="4"/>
  <c r="AF589" i="4"/>
  <c r="AE589" i="4"/>
  <c r="AC589" i="4"/>
  <c r="AB589" i="4"/>
  <c r="Z589" i="4"/>
  <c r="Y589" i="4"/>
  <c r="W589" i="4"/>
  <c r="V589" i="4"/>
  <c r="T589" i="4"/>
  <c r="S589" i="4"/>
  <c r="Q589" i="4"/>
  <c r="P589" i="4"/>
  <c r="N589" i="4"/>
  <c r="M589" i="4"/>
  <c r="I589" i="4"/>
  <c r="H589" i="4"/>
  <c r="AP588" i="4"/>
  <c r="AO588" i="4"/>
  <c r="AN588" i="4"/>
  <c r="AL588" i="4"/>
  <c r="AK588" i="4"/>
  <c r="AI588" i="4"/>
  <c r="AH588" i="4"/>
  <c r="AF588" i="4"/>
  <c r="AE588" i="4"/>
  <c r="AC588" i="4"/>
  <c r="AB588" i="4"/>
  <c r="Z588" i="4"/>
  <c r="Y588" i="4"/>
  <c r="W588" i="4"/>
  <c r="V588" i="4"/>
  <c r="T588" i="4"/>
  <c r="S588" i="4"/>
  <c r="Q588" i="4"/>
  <c r="P588" i="4"/>
  <c r="N588" i="4"/>
  <c r="M588" i="4"/>
  <c r="I588" i="4"/>
  <c r="H588" i="4"/>
  <c r="AP587" i="4"/>
  <c r="AQ587" i="4" s="1"/>
  <c r="AO587" i="4"/>
  <c r="AN587" i="4"/>
  <c r="AL587" i="4"/>
  <c r="AK587" i="4"/>
  <c r="AI587" i="4"/>
  <c r="AH587" i="4"/>
  <c r="AF587" i="4"/>
  <c r="AE587" i="4"/>
  <c r="AC587" i="4"/>
  <c r="AB587" i="4"/>
  <c r="Z587" i="4"/>
  <c r="Y587" i="4"/>
  <c r="W587" i="4"/>
  <c r="V587" i="4"/>
  <c r="T587" i="4"/>
  <c r="S587" i="4"/>
  <c r="Q587" i="4"/>
  <c r="P587" i="4"/>
  <c r="N587" i="4"/>
  <c r="M587" i="4"/>
  <c r="I587" i="4"/>
  <c r="H587" i="4"/>
  <c r="AP586" i="4"/>
  <c r="AO586" i="4"/>
  <c r="AN586" i="4"/>
  <c r="AL586" i="4"/>
  <c r="AK586" i="4"/>
  <c r="AI586" i="4"/>
  <c r="AH586" i="4"/>
  <c r="AF586" i="4"/>
  <c r="AE586" i="4"/>
  <c r="AC586" i="4"/>
  <c r="AB586" i="4"/>
  <c r="Z586" i="4"/>
  <c r="Y586" i="4"/>
  <c r="W586" i="4"/>
  <c r="V586" i="4"/>
  <c r="T586" i="4"/>
  <c r="S586" i="4"/>
  <c r="Q586" i="4"/>
  <c r="P586" i="4"/>
  <c r="N586" i="4"/>
  <c r="M586" i="4"/>
  <c r="I586" i="4"/>
  <c r="K586" i="4" s="1"/>
  <c r="H586" i="4"/>
  <c r="AP585" i="4"/>
  <c r="AO585" i="4"/>
  <c r="AN585" i="4"/>
  <c r="AL585" i="4"/>
  <c r="AK585" i="4"/>
  <c r="AI585" i="4"/>
  <c r="AH585" i="4"/>
  <c r="AF585" i="4"/>
  <c r="AE585" i="4"/>
  <c r="AC585" i="4"/>
  <c r="AB585" i="4"/>
  <c r="Z585" i="4"/>
  <c r="Y585" i="4"/>
  <c r="W585" i="4"/>
  <c r="V585" i="4"/>
  <c r="T585" i="4"/>
  <c r="S585" i="4"/>
  <c r="Q585" i="4"/>
  <c r="P585" i="4"/>
  <c r="N585" i="4"/>
  <c r="M585" i="4"/>
  <c r="I585" i="4"/>
  <c r="H585" i="4"/>
  <c r="AP584" i="4"/>
  <c r="AR584" i="4" s="1"/>
  <c r="AO584" i="4"/>
  <c r="AN584" i="4"/>
  <c r="AL584" i="4"/>
  <c r="AK584" i="4"/>
  <c r="AI584" i="4"/>
  <c r="AH584" i="4"/>
  <c r="AF584" i="4"/>
  <c r="AE584" i="4"/>
  <c r="AC584" i="4"/>
  <c r="AB584" i="4"/>
  <c r="Z584" i="4"/>
  <c r="Y584" i="4"/>
  <c r="W584" i="4"/>
  <c r="V584" i="4"/>
  <c r="T584" i="4"/>
  <c r="S584" i="4"/>
  <c r="Q584" i="4"/>
  <c r="P584" i="4"/>
  <c r="N584" i="4"/>
  <c r="M584" i="4"/>
  <c r="I584" i="4"/>
  <c r="K584" i="4" s="1"/>
  <c r="H584" i="4"/>
  <c r="AP583" i="4"/>
  <c r="AQ583" i="4" s="1"/>
  <c r="AO583" i="4"/>
  <c r="AN583" i="4"/>
  <c r="AL583" i="4"/>
  <c r="AK583" i="4"/>
  <c r="AI583" i="4"/>
  <c r="AH583" i="4"/>
  <c r="AF583" i="4"/>
  <c r="AE583" i="4"/>
  <c r="AC583" i="4"/>
  <c r="AB583" i="4"/>
  <c r="Z583" i="4"/>
  <c r="Y583" i="4"/>
  <c r="W583" i="4"/>
  <c r="V583" i="4"/>
  <c r="T583" i="4"/>
  <c r="S583" i="4"/>
  <c r="Q583" i="4"/>
  <c r="P583" i="4"/>
  <c r="N583" i="4"/>
  <c r="M583" i="4"/>
  <c r="I583" i="4"/>
  <c r="H583" i="4"/>
  <c r="AP582" i="4"/>
  <c r="AQ582" i="4" s="1"/>
  <c r="AO582" i="4"/>
  <c r="AN582" i="4"/>
  <c r="AL582" i="4"/>
  <c r="AK582" i="4"/>
  <c r="AI582" i="4"/>
  <c r="AH582" i="4"/>
  <c r="AF582" i="4"/>
  <c r="AE582" i="4"/>
  <c r="AC582" i="4"/>
  <c r="AB582" i="4"/>
  <c r="Z582" i="4"/>
  <c r="Y582" i="4"/>
  <c r="W582" i="4"/>
  <c r="V582" i="4"/>
  <c r="T582" i="4"/>
  <c r="S582" i="4"/>
  <c r="Q582" i="4"/>
  <c r="P582" i="4"/>
  <c r="N582" i="4"/>
  <c r="M582" i="4"/>
  <c r="I582" i="4"/>
  <c r="H582" i="4"/>
  <c r="AP581" i="4"/>
  <c r="AO581" i="4"/>
  <c r="AN581" i="4"/>
  <c r="AL581" i="4"/>
  <c r="AK581" i="4"/>
  <c r="AI581" i="4"/>
  <c r="AH581" i="4"/>
  <c r="AF581" i="4"/>
  <c r="AE581" i="4"/>
  <c r="AC581" i="4"/>
  <c r="AB581" i="4"/>
  <c r="Z581" i="4"/>
  <c r="Y581" i="4"/>
  <c r="W581" i="4"/>
  <c r="V581" i="4"/>
  <c r="T581" i="4"/>
  <c r="S581" i="4"/>
  <c r="Q581" i="4"/>
  <c r="P581" i="4"/>
  <c r="N581" i="4"/>
  <c r="M581" i="4"/>
  <c r="I581" i="4"/>
  <c r="H581" i="4"/>
  <c r="AP580" i="4"/>
  <c r="AO580" i="4"/>
  <c r="AN580" i="4"/>
  <c r="AL580" i="4"/>
  <c r="AK580" i="4"/>
  <c r="AI580" i="4"/>
  <c r="AH580" i="4"/>
  <c r="AF580" i="4"/>
  <c r="AE580" i="4"/>
  <c r="AC580" i="4"/>
  <c r="AB580" i="4"/>
  <c r="Z580" i="4"/>
  <c r="Y580" i="4"/>
  <c r="W580" i="4"/>
  <c r="V580" i="4"/>
  <c r="T580" i="4"/>
  <c r="S580" i="4"/>
  <c r="Q580" i="4"/>
  <c r="P580" i="4"/>
  <c r="N580" i="4"/>
  <c r="M580" i="4"/>
  <c r="I580" i="4"/>
  <c r="H580" i="4"/>
  <c r="AP579" i="4"/>
  <c r="AO579" i="4"/>
  <c r="AN579" i="4"/>
  <c r="AL579" i="4"/>
  <c r="AK579" i="4"/>
  <c r="AI579" i="4"/>
  <c r="AH579" i="4"/>
  <c r="AF579" i="4"/>
  <c r="AE579" i="4"/>
  <c r="AC579" i="4"/>
  <c r="AB579" i="4"/>
  <c r="Z579" i="4"/>
  <c r="Y579" i="4"/>
  <c r="W579" i="4"/>
  <c r="V579" i="4"/>
  <c r="T579" i="4"/>
  <c r="S579" i="4"/>
  <c r="Q579" i="4"/>
  <c r="P579" i="4"/>
  <c r="N579" i="4"/>
  <c r="M579" i="4"/>
  <c r="I579" i="4"/>
  <c r="H579" i="4"/>
  <c r="AP578" i="4"/>
  <c r="I578" i="4"/>
  <c r="AP577" i="4"/>
  <c r="AO577" i="4"/>
  <c r="AN577" i="4"/>
  <c r="AL577" i="4"/>
  <c r="AK577" i="4"/>
  <c r="AI577" i="4"/>
  <c r="AH577" i="4"/>
  <c r="AF577" i="4"/>
  <c r="AE577" i="4"/>
  <c r="AC577" i="4"/>
  <c r="AB577" i="4"/>
  <c r="Z577" i="4"/>
  <c r="Y577" i="4"/>
  <c r="W577" i="4"/>
  <c r="V577" i="4"/>
  <c r="T577" i="4"/>
  <c r="S577" i="4"/>
  <c r="Q577" i="4"/>
  <c r="P577" i="4"/>
  <c r="N577" i="4"/>
  <c r="M577" i="4"/>
  <c r="I577" i="4"/>
  <c r="H577" i="4"/>
  <c r="AP576" i="4"/>
  <c r="AS576" i="4" s="1"/>
  <c r="AO576" i="4"/>
  <c r="AN576" i="4"/>
  <c r="AL576" i="4"/>
  <c r="AK576" i="4"/>
  <c r="AI576" i="4"/>
  <c r="AH576" i="4"/>
  <c r="AF576" i="4"/>
  <c r="AE576" i="4"/>
  <c r="AC576" i="4"/>
  <c r="AB576" i="4"/>
  <c r="Z576" i="4"/>
  <c r="Y576" i="4"/>
  <c r="W576" i="4"/>
  <c r="V576" i="4"/>
  <c r="T576" i="4"/>
  <c r="S576" i="4"/>
  <c r="Q576" i="4"/>
  <c r="P576" i="4"/>
  <c r="N576" i="4"/>
  <c r="M576" i="4"/>
  <c r="I576" i="4"/>
  <c r="K576" i="4" s="1"/>
  <c r="H576" i="4"/>
  <c r="AP575" i="4"/>
  <c r="AO575" i="4"/>
  <c r="AN575" i="4"/>
  <c r="AL575" i="4"/>
  <c r="AK575" i="4"/>
  <c r="AI575" i="4"/>
  <c r="AH575" i="4"/>
  <c r="AF575" i="4"/>
  <c r="AE575" i="4"/>
  <c r="AC575" i="4"/>
  <c r="AB575" i="4"/>
  <c r="Z575" i="4"/>
  <c r="Y575" i="4"/>
  <c r="W575" i="4"/>
  <c r="V575" i="4"/>
  <c r="T575" i="4"/>
  <c r="S575" i="4"/>
  <c r="Q575" i="4"/>
  <c r="P575" i="4"/>
  <c r="N575" i="4"/>
  <c r="M575" i="4"/>
  <c r="I575" i="4"/>
  <c r="H575" i="4"/>
  <c r="AP574" i="4"/>
  <c r="AO574" i="4"/>
  <c r="AN574" i="4"/>
  <c r="AL574" i="4"/>
  <c r="AK574" i="4"/>
  <c r="AI574" i="4"/>
  <c r="AH574" i="4"/>
  <c r="AF574" i="4"/>
  <c r="AE574" i="4"/>
  <c r="AC574" i="4"/>
  <c r="AB574" i="4"/>
  <c r="Z574" i="4"/>
  <c r="Y574" i="4"/>
  <c r="W574" i="4"/>
  <c r="V574" i="4"/>
  <c r="T574" i="4"/>
  <c r="S574" i="4"/>
  <c r="Q574" i="4"/>
  <c r="P574" i="4"/>
  <c r="N574" i="4"/>
  <c r="M574" i="4"/>
  <c r="I574" i="4"/>
  <c r="J574" i="4" s="1"/>
  <c r="H574" i="4"/>
  <c r="AP573" i="4"/>
  <c r="I573" i="4"/>
  <c r="AP572" i="4"/>
  <c r="AO572" i="4"/>
  <c r="AN572" i="4"/>
  <c r="AL572" i="4"/>
  <c r="AK572" i="4"/>
  <c r="AI572" i="4"/>
  <c r="AH572" i="4"/>
  <c r="AF572" i="4"/>
  <c r="AE572" i="4"/>
  <c r="AC572" i="4"/>
  <c r="AB572" i="4"/>
  <c r="Z572" i="4"/>
  <c r="Y572" i="4"/>
  <c r="W572" i="4"/>
  <c r="V572" i="4"/>
  <c r="T572" i="4"/>
  <c r="S572" i="4"/>
  <c r="Q572" i="4"/>
  <c r="P572" i="4"/>
  <c r="N572" i="4"/>
  <c r="M572" i="4"/>
  <c r="I572" i="4"/>
  <c r="K572" i="4" s="1"/>
  <c r="H572" i="4"/>
  <c r="AP571" i="4"/>
  <c r="AO571" i="4"/>
  <c r="AN571" i="4"/>
  <c r="AL571" i="4"/>
  <c r="AK571" i="4"/>
  <c r="AI571" i="4"/>
  <c r="AH571" i="4"/>
  <c r="AF571" i="4"/>
  <c r="AE571" i="4"/>
  <c r="AC571" i="4"/>
  <c r="AB571" i="4"/>
  <c r="Z571" i="4"/>
  <c r="Y571" i="4"/>
  <c r="W571" i="4"/>
  <c r="V571" i="4"/>
  <c r="T571" i="4"/>
  <c r="S571" i="4"/>
  <c r="Q571" i="4"/>
  <c r="P571" i="4"/>
  <c r="N571" i="4"/>
  <c r="M571" i="4"/>
  <c r="I571" i="4"/>
  <c r="H571" i="4"/>
  <c r="AP570" i="4"/>
  <c r="AR570" i="4" s="1"/>
  <c r="AO570" i="4"/>
  <c r="AN570" i="4"/>
  <c r="AL570" i="4"/>
  <c r="AK570" i="4"/>
  <c r="AI570" i="4"/>
  <c r="AH570" i="4"/>
  <c r="AF570" i="4"/>
  <c r="AE570" i="4"/>
  <c r="AC570" i="4"/>
  <c r="AB570" i="4"/>
  <c r="Z570" i="4"/>
  <c r="Y570" i="4"/>
  <c r="W570" i="4"/>
  <c r="V570" i="4"/>
  <c r="T570" i="4"/>
  <c r="S570" i="4"/>
  <c r="Q570" i="4"/>
  <c r="P570" i="4"/>
  <c r="N570" i="4"/>
  <c r="M570" i="4"/>
  <c r="I570" i="4"/>
  <c r="H570" i="4"/>
  <c r="AP569" i="4"/>
  <c r="AO569" i="4"/>
  <c r="AN569" i="4"/>
  <c r="AL569" i="4"/>
  <c r="AK569" i="4"/>
  <c r="AI569" i="4"/>
  <c r="AH569" i="4"/>
  <c r="AF569" i="4"/>
  <c r="AE569" i="4"/>
  <c r="AC569" i="4"/>
  <c r="AB569" i="4"/>
  <c r="Z569" i="4"/>
  <c r="Y569" i="4"/>
  <c r="W569" i="4"/>
  <c r="V569" i="4"/>
  <c r="T569" i="4"/>
  <c r="S569" i="4"/>
  <c r="Q569" i="4"/>
  <c r="P569" i="4"/>
  <c r="N569" i="4"/>
  <c r="M569" i="4"/>
  <c r="I569" i="4"/>
  <c r="H569" i="4"/>
  <c r="AP568" i="4"/>
  <c r="I568" i="4"/>
  <c r="AP567" i="4"/>
  <c r="AO567" i="4"/>
  <c r="AN567" i="4"/>
  <c r="AL567" i="4"/>
  <c r="AK567" i="4"/>
  <c r="AI567" i="4"/>
  <c r="AH567" i="4"/>
  <c r="AF567" i="4"/>
  <c r="AE567" i="4"/>
  <c r="AC567" i="4"/>
  <c r="AB567" i="4"/>
  <c r="Z567" i="4"/>
  <c r="Y567" i="4"/>
  <c r="W567" i="4"/>
  <c r="V567" i="4"/>
  <c r="T567" i="4"/>
  <c r="S567" i="4"/>
  <c r="Q567" i="4"/>
  <c r="P567" i="4"/>
  <c r="N567" i="4"/>
  <c r="M567" i="4"/>
  <c r="I567" i="4"/>
  <c r="J567" i="4" s="1"/>
  <c r="H567" i="4"/>
  <c r="AP566" i="4"/>
  <c r="AO566" i="4"/>
  <c r="AN566" i="4"/>
  <c r="AL566" i="4"/>
  <c r="AK566" i="4"/>
  <c r="AI566" i="4"/>
  <c r="AH566" i="4"/>
  <c r="AF566" i="4"/>
  <c r="AE566" i="4"/>
  <c r="AC566" i="4"/>
  <c r="AB566" i="4"/>
  <c r="Z566" i="4"/>
  <c r="Y566" i="4"/>
  <c r="W566" i="4"/>
  <c r="V566" i="4"/>
  <c r="T566" i="4"/>
  <c r="S566" i="4"/>
  <c r="Q566" i="4"/>
  <c r="P566" i="4"/>
  <c r="N566" i="4"/>
  <c r="M566" i="4"/>
  <c r="I566" i="4"/>
  <c r="K566" i="4" s="1"/>
  <c r="H566" i="4"/>
  <c r="AP565" i="4"/>
  <c r="AO565" i="4"/>
  <c r="AN565" i="4"/>
  <c r="AL565" i="4"/>
  <c r="AK565" i="4"/>
  <c r="AI565" i="4"/>
  <c r="AH565" i="4"/>
  <c r="AF565" i="4"/>
  <c r="AE565" i="4"/>
  <c r="AC565" i="4"/>
  <c r="AB565" i="4"/>
  <c r="Z565" i="4"/>
  <c r="Y565" i="4"/>
  <c r="W565" i="4"/>
  <c r="V565" i="4"/>
  <c r="T565" i="4"/>
  <c r="S565" i="4"/>
  <c r="Q565" i="4"/>
  <c r="P565" i="4"/>
  <c r="N565" i="4"/>
  <c r="M565" i="4"/>
  <c r="I565" i="4"/>
  <c r="J565" i="4" s="1"/>
  <c r="H565" i="4"/>
  <c r="AP564" i="4"/>
  <c r="AQ564" i="4" s="1"/>
  <c r="AO564" i="4"/>
  <c r="AN564" i="4"/>
  <c r="AL564" i="4"/>
  <c r="AK564" i="4"/>
  <c r="AI564" i="4"/>
  <c r="AH564" i="4"/>
  <c r="AF564" i="4"/>
  <c r="AE564" i="4"/>
  <c r="AC564" i="4"/>
  <c r="AB564" i="4"/>
  <c r="Z564" i="4"/>
  <c r="Y564" i="4"/>
  <c r="W564" i="4"/>
  <c r="V564" i="4"/>
  <c r="T564" i="4"/>
  <c r="S564" i="4"/>
  <c r="Q564" i="4"/>
  <c r="P564" i="4"/>
  <c r="N564" i="4"/>
  <c r="M564" i="4"/>
  <c r="I564" i="4"/>
  <c r="H564" i="4"/>
  <c r="AP563" i="4"/>
  <c r="AO563" i="4"/>
  <c r="AN563" i="4"/>
  <c r="AL563" i="4"/>
  <c r="AK563" i="4"/>
  <c r="AI563" i="4"/>
  <c r="AH563" i="4"/>
  <c r="AF563" i="4"/>
  <c r="AE563" i="4"/>
  <c r="AC563" i="4"/>
  <c r="AB563" i="4"/>
  <c r="Z563" i="4"/>
  <c r="Y563" i="4"/>
  <c r="W563" i="4"/>
  <c r="V563" i="4"/>
  <c r="T563" i="4"/>
  <c r="S563" i="4"/>
  <c r="Q563" i="4"/>
  <c r="P563" i="4"/>
  <c r="N563" i="4"/>
  <c r="M563" i="4"/>
  <c r="I563" i="4"/>
  <c r="J563" i="4" s="1"/>
  <c r="H563" i="4"/>
  <c r="AP562" i="4"/>
  <c r="AO562" i="4"/>
  <c r="AN562" i="4"/>
  <c r="AL562" i="4"/>
  <c r="AK562" i="4"/>
  <c r="AI562" i="4"/>
  <c r="AH562" i="4"/>
  <c r="AF562" i="4"/>
  <c r="AE562" i="4"/>
  <c r="AC562" i="4"/>
  <c r="AB562" i="4"/>
  <c r="Z562" i="4"/>
  <c r="Y562" i="4"/>
  <c r="W562" i="4"/>
  <c r="V562" i="4"/>
  <c r="T562" i="4"/>
  <c r="S562" i="4"/>
  <c r="Q562" i="4"/>
  <c r="P562" i="4"/>
  <c r="N562" i="4"/>
  <c r="M562" i="4"/>
  <c r="I562" i="4"/>
  <c r="H562" i="4"/>
  <c r="AP561" i="4"/>
  <c r="AO561" i="4"/>
  <c r="AN561" i="4"/>
  <c r="AL561" i="4"/>
  <c r="AK561" i="4"/>
  <c r="AI561" i="4"/>
  <c r="AH561" i="4"/>
  <c r="AF561" i="4"/>
  <c r="AE561" i="4"/>
  <c r="AC561" i="4"/>
  <c r="AB561" i="4"/>
  <c r="Z561" i="4"/>
  <c r="Y561" i="4"/>
  <c r="W561" i="4"/>
  <c r="V561" i="4"/>
  <c r="T561" i="4"/>
  <c r="S561" i="4"/>
  <c r="Q561" i="4"/>
  <c r="P561" i="4"/>
  <c r="N561" i="4"/>
  <c r="M561" i="4"/>
  <c r="I561" i="4"/>
  <c r="H561" i="4"/>
  <c r="AP560" i="4"/>
  <c r="I560" i="4"/>
  <c r="AP559" i="4"/>
  <c r="I559" i="4"/>
  <c r="AP558" i="4"/>
  <c r="AR558" i="4" s="1"/>
  <c r="AO558" i="4"/>
  <c r="AN558" i="4"/>
  <c r="AL558" i="4"/>
  <c r="AK558" i="4"/>
  <c r="AI558" i="4"/>
  <c r="AH558" i="4"/>
  <c r="AF558" i="4"/>
  <c r="AE558" i="4"/>
  <c r="AC558" i="4"/>
  <c r="AB558" i="4"/>
  <c r="Z558" i="4"/>
  <c r="Y558" i="4"/>
  <c r="W558" i="4"/>
  <c r="V558" i="4"/>
  <c r="T558" i="4"/>
  <c r="S558" i="4"/>
  <c r="Q558" i="4"/>
  <c r="P558" i="4"/>
  <c r="N558" i="4"/>
  <c r="M558" i="4"/>
  <c r="I558" i="4"/>
  <c r="K558" i="4" s="1"/>
  <c r="H558" i="4"/>
  <c r="AP557" i="4"/>
  <c r="AO557" i="4"/>
  <c r="AN557" i="4"/>
  <c r="AL557" i="4"/>
  <c r="AK557" i="4"/>
  <c r="AI557" i="4"/>
  <c r="AH557" i="4"/>
  <c r="AF557" i="4"/>
  <c r="AE557" i="4"/>
  <c r="AC557" i="4"/>
  <c r="AB557" i="4"/>
  <c r="Z557" i="4"/>
  <c r="Y557" i="4"/>
  <c r="W557" i="4"/>
  <c r="V557" i="4"/>
  <c r="T557" i="4"/>
  <c r="S557" i="4"/>
  <c r="Q557" i="4"/>
  <c r="P557" i="4"/>
  <c r="N557" i="4"/>
  <c r="M557" i="4"/>
  <c r="I557" i="4"/>
  <c r="J557" i="4" s="1"/>
  <c r="H557" i="4"/>
  <c r="AP556" i="4"/>
  <c r="AR556" i="4" s="1"/>
  <c r="AO556" i="4"/>
  <c r="AN556" i="4"/>
  <c r="AL556" i="4"/>
  <c r="AK556" i="4"/>
  <c r="AI556" i="4"/>
  <c r="AH556" i="4"/>
  <c r="AF556" i="4"/>
  <c r="AE556" i="4"/>
  <c r="AC556" i="4"/>
  <c r="AB556" i="4"/>
  <c r="Z556" i="4"/>
  <c r="Y556" i="4"/>
  <c r="W556" i="4"/>
  <c r="V556" i="4"/>
  <c r="T556" i="4"/>
  <c r="S556" i="4"/>
  <c r="Q556" i="4"/>
  <c r="P556" i="4"/>
  <c r="N556" i="4"/>
  <c r="M556" i="4"/>
  <c r="I556" i="4"/>
  <c r="K556" i="4" s="1"/>
  <c r="H556" i="4"/>
  <c r="AP555" i="4"/>
  <c r="AO555" i="4"/>
  <c r="AN555" i="4"/>
  <c r="AL555" i="4"/>
  <c r="AK555" i="4"/>
  <c r="AI555" i="4"/>
  <c r="AH555" i="4"/>
  <c r="AF555" i="4"/>
  <c r="AE555" i="4"/>
  <c r="AC555" i="4"/>
  <c r="AB555" i="4"/>
  <c r="Z555" i="4"/>
  <c r="Y555" i="4"/>
  <c r="W555" i="4"/>
  <c r="V555" i="4"/>
  <c r="T555" i="4"/>
  <c r="S555" i="4"/>
  <c r="Q555" i="4"/>
  <c r="P555" i="4"/>
  <c r="N555" i="4"/>
  <c r="M555" i="4"/>
  <c r="I555" i="4"/>
  <c r="H555" i="4"/>
  <c r="AP554" i="4"/>
  <c r="AR554" i="4" s="1"/>
  <c r="AO554" i="4"/>
  <c r="AN554" i="4"/>
  <c r="AL554" i="4"/>
  <c r="AK554" i="4"/>
  <c r="AI554" i="4"/>
  <c r="AH554" i="4"/>
  <c r="AF554" i="4"/>
  <c r="AE554" i="4"/>
  <c r="AC554" i="4"/>
  <c r="AB554" i="4"/>
  <c r="Z554" i="4"/>
  <c r="Y554" i="4"/>
  <c r="W554" i="4"/>
  <c r="V554" i="4"/>
  <c r="T554" i="4"/>
  <c r="S554" i="4"/>
  <c r="Q554" i="4"/>
  <c r="P554" i="4"/>
  <c r="N554" i="4"/>
  <c r="M554" i="4"/>
  <c r="I554" i="4"/>
  <c r="K554" i="4" s="1"/>
  <c r="H554" i="4"/>
  <c r="AP553" i="4"/>
  <c r="AO553" i="4"/>
  <c r="AN553" i="4"/>
  <c r="AL553" i="4"/>
  <c r="AK553" i="4"/>
  <c r="AI553" i="4"/>
  <c r="AH553" i="4"/>
  <c r="AF553" i="4"/>
  <c r="AE553" i="4"/>
  <c r="AC553" i="4"/>
  <c r="AB553" i="4"/>
  <c r="Z553" i="4"/>
  <c r="Y553" i="4"/>
  <c r="W553" i="4"/>
  <c r="V553" i="4"/>
  <c r="T553" i="4"/>
  <c r="S553" i="4"/>
  <c r="Q553" i="4"/>
  <c r="P553" i="4"/>
  <c r="N553" i="4"/>
  <c r="M553" i="4"/>
  <c r="I553" i="4"/>
  <c r="J553" i="4" s="1"/>
  <c r="H553" i="4"/>
  <c r="AP552" i="4"/>
  <c r="AQ552" i="4" s="1"/>
  <c r="AO552" i="4"/>
  <c r="AN552" i="4"/>
  <c r="AL552" i="4"/>
  <c r="AK552" i="4"/>
  <c r="AI552" i="4"/>
  <c r="AH552" i="4"/>
  <c r="AF552" i="4"/>
  <c r="AE552" i="4"/>
  <c r="AC552" i="4"/>
  <c r="AB552" i="4"/>
  <c r="Z552" i="4"/>
  <c r="Y552" i="4"/>
  <c r="W552" i="4"/>
  <c r="V552" i="4"/>
  <c r="T552" i="4"/>
  <c r="S552" i="4"/>
  <c r="Q552" i="4"/>
  <c r="P552" i="4"/>
  <c r="N552" i="4"/>
  <c r="M552" i="4"/>
  <c r="I552" i="4"/>
  <c r="H552" i="4"/>
  <c r="AP551" i="4"/>
  <c r="AS551" i="4" s="1"/>
  <c r="AO551" i="4"/>
  <c r="AN551" i="4"/>
  <c r="AL551" i="4"/>
  <c r="AK551" i="4"/>
  <c r="AI551" i="4"/>
  <c r="AH551" i="4"/>
  <c r="AF551" i="4"/>
  <c r="AE551" i="4"/>
  <c r="AC551" i="4"/>
  <c r="AB551" i="4"/>
  <c r="Z551" i="4"/>
  <c r="Y551" i="4"/>
  <c r="W551" i="4"/>
  <c r="V551" i="4"/>
  <c r="T551" i="4"/>
  <c r="S551" i="4"/>
  <c r="Q551" i="4"/>
  <c r="P551" i="4"/>
  <c r="N551" i="4"/>
  <c r="M551" i="4"/>
  <c r="I551" i="4"/>
  <c r="H551" i="4"/>
  <c r="AP550" i="4"/>
  <c r="AQ550" i="4" s="1"/>
  <c r="AO550" i="4"/>
  <c r="AN550" i="4"/>
  <c r="AL550" i="4"/>
  <c r="AK550" i="4"/>
  <c r="AI550" i="4"/>
  <c r="AH550" i="4"/>
  <c r="AF550" i="4"/>
  <c r="AE550" i="4"/>
  <c r="AC550" i="4"/>
  <c r="AB550" i="4"/>
  <c r="Z550" i="4"/>
  <c r="Y550" i="4"/>
  <c r="W550" i="4"/>
  <c r="V550" i="4"/>
  <c r="T550" i="4"/>
  <c r="S550" i="4"/>
  <c r="Q550" i="4"/>
  <c r="P550" i="4"/>
  <c r="N550" i="4"/>
  <c r="M550" i="4"/>
  <c r="I550" i="4"/>
  <c r="H550" i="4"/>
  <c r="AP549" i="4"/>
  <c r="AS549" i="4" s="1"/>
  <c r="AO549" i="4"/>
  <c r="AN549" i="4"/>
  <c r="AL549" i="4"/>
  <c r="AK549" i="4"/>
  <c r="AI549" i="4"/>
  <c r="AH549" i="4"/>
  <c r="AF549" i="4"/>
  <c r="AE549" i="4"/>
  <c r="AC549" i="4"/>
  <c r="AB549" i="4"/>
  <c r="Z549" i="4"/>
  <c r="Y549" i="4"/>
  <c r="W549" i="4"/>
  <c r="V549" i="4"/>
  <c r="T549" i="4"/>
  <c r="S549" i="4"/>
  <c r="Q549" i="4"/>
  <c r="P549" i="4"/>
  <c r="N549" i="4"/>
  <c r="M549" i="4"/>
  <c r="I549" i="4"/>
  <c r="H549" i="4"/>
  <c r="AP548" i="4"/>
  <c r="AQ548" i="4" s="1"/>
  <c r="AO548" i="4"/>
  <c r="AN548" i="4"/>
  <c r="AL548" i="4"/>
  <c r="AK548" i="4"/>
  <c r="AI548" i="4"/>
  <c r="AH548" i="4"/>
  <c r="AF548" i="4"/>
  <c r="AE548" i="4"/>
  <c r="AC548" i="4"/>
  <c r="AB548" i="4"/>
  <c r="Z548" i="4"/>
  <c r="Y548" i="4"/>
  <c r="W548" i="4"/>
  <c r="V548" i="4"/>
  <c r="T548" i="4"/>
  <c r="S548" i="4"/>
  <c r="Q548" i="4"/>
  <c r="P548" i="4"/>
  <c r="N548" i="4"/>
  <c r="M548" i="4"/>
  <c r="I548" i="4"/>
  <c r="H548" i="4"/>
  <c r="AP547" i="4"/>
  <c r="AS547" i="4" s="1"/>
  <c r="AO547" i="4"/>
  <c r="AN547" i="4"/>
  <c r="AL547" i="4"/>
  <c r="AK547" i="4"/>
  <c r="AI547" i="4"/>
  <c r="AH547" i="4"/>
  <c r="AF547" i="4"/>
  <c r="AE547" i="4"/>
  <c r="AC547" i="4"/>
  <c r="AB547" i="4"/>
  <c r="Z547" i="4"/>
  <c r="Y547" i="4"/>
  <c r="W547" i="4"/>
  <c r="V547" i="4"/>
  <c r="T547" i="4"/>
  <c r="S547" i="4"/>
  <c r="Q547" i="4"/>
  <c r="P547" i="4"/>
  <c r="N547" i="4"/>
  <c r="M547" i="4"/>
  <c r="I547" i="4"/>
  <c r="J547" i="4" s="1"/>
  <c r="H547" i="4"/>
  <c r="AP546" i="4"/>
  <c r="AO546" i="4"/>
  <c r="AL546" i="4"/>
  <c r="AI546" i="4"/>
  <c r="AF546" i="4"/>
  <c r="AC546" i="4"/>
  <c r="Z546" i="4"/>
  <c r="W546" i="4"/>
  <c r="T546" i="4"/>
  <c r="Q546" i="4"/>
  <c r="N546" i="4"/>
  <c r="I546" i="4"/>
  <c r="K546" i="4" s="1"/>
  <c r="AP545" i="4"/>
  <c r="AQ545" i="4" s="1"/>
  <c r="AO545" i="4"/>
  <c r="AN545" i="4"/>
  <c r="AL545" i="4"/>
  <c r="AK545" i="4"/>
  <c r="AI545" i="4"/>
  <c r="AH545" i="4"/>
  <c r="AF545" i="4"/>
  <c r="AE545" i="4"/>
  <c r="AC545" i="4"/>
  <c r="AB545" i="4"/>
  <c r="Z545" i="4"/>
  <c r="Y545" i="4"/>
  <c r="W545" i="4"/>
  <c r="V545" i="4"/>
  <c r="T545" i="4"/>
  <c r="S545" i="4"/>
  <c r="Q545" i="4"/>
  <c r="P545" i="4"/>
  <c r="N545" i="4"/>
  <c r="M545" i="4"/>
  <c r="I545" i="4"/>
  <c r="H545" i="4"/>
  <c r="AP544" i="4"/>
  <c r="AS544" i="4" s="1"/>
  <c r="AO544" i="4"/>
  <c r="AN544" i="4"/>
  <c r="AL544" i="4"/>
  <c r="AK544" i="4"/>
  <c r="AI544" i="4"/>
  <c r="AH544" i="4"/>
  <c r="AF544" i="4"/>
  <c r="AE544" i="4"/>
  <c r="AC544" i="4"/>
  <c r="AB544" i="4"/>
  <c r="Z544" i="4"/>
  <c r="Y544" i="4"/>
  <c r="W544" i="4"/>
  <c r="V544" i="4"/>
  <c r="T544" i="4"/>
  <c r="S544" i="4"/>
  <c r="Q544" i="4"/>
  <c r="P544" i="4"/>
  <c r="N544" i="4"/>
  <c r="M544" i="4"/>
  <c r="I544" i="4"/>
  <c r="J544" i="4" s="1"/>
  <c r="H544" i="4"/>
  <c r="AP543" i="4"/>
  <c r="AO543" i="4"/>
  <c r="AL543" i="4"/>
  <c r="AI543" i="4"/>
  <c r="AF543" i="4"/>
  <c r="AC543" i="4"/>
  <c r="Z543" i="4"/>
  <c r="W543" i="4"/>
  <c r="T543" i="4"/>
  <c r="Q543" i="4"/>
  <c r="N543" i="4"/>
  <c r="I543" i="4"/>
  <c r="K543" i="4" s="1"/>
  <c r="AP542" i="4"/>
  <c r="AQ542" i="4" s="1"/>
  <c r="AO542" i="4"/>
  <c r="AN542" i="4"/>
  <c r="AL542" i="4"/>
  <c r="AK542" i="4"/>
  <c r="AI542" i="4"/>
  <c r="AH542" i="4"/>
  <c r="AF542" i="4"/>
  <c r="AE542" i="4"/>
  <c r="AC542" i="4"/>
  <c r="AB542" i="4"/>
  <c r="Z542" i="4"/>
  <c r="Y542" i="4"/>
  <c r="W542" i="4"/>
  <c r="V542" i="4"/>
  <c r="T542" i="4"/>
  <c r="S542" i="4"/>
  <c r="Q542" i="4"/>
  <c r="P542" i="4"/>
  <c r="N542" i="4"/>
  <c r="M542" i="4"/>
  <c r="I542" i="4"/>
  <c r="H542" i="4"/>
  <c r="AP541" i="4"/>
  <c r="AS541" i="4" s="1"/>
  <c r="AO541" i="4"/>
  <c r="AN541" i="4"/>
  <c r="AL541" i="4"/>
  <c r="AK541" i="4"/>
  <c r="AI541" i="4"/>
  <c r="AH541" i="4"/>
  <c r="AF541" i="4"/>
  <c r="AE541" i="4"/>
  <c r="AC541" i="4"/>
  <c r="AB541" i="4"/>
  <c r="Z541" i="4"/>
  <c r="Y541" i="4"/>
  <c r="W541" i="4"/>
  <c r="V541" i="4"/>
  <c r="T541" i="4"/>
  <c r="S541" i="4"/>
  <c r="Q541" i="4"/>
  <c r="P541" i="4"/>
  <c r="N541" i="4"/>
  <c r="M541" i="4"/>
  <c r="I541" i="4"/>
  <c r="H541" i="4"/>
  <c r="AP540" i="4"/>
  <c r="AO540" i="4"/>
  <c r="AN540" i="4"/>
  <c r="AL540" i="4"/>
  <c r="AK540" i="4"/>
  <c r="AI540" i="4"/>
  <c r="AH540" i="4"/>
  <c r="AF540" i="4"/>
  <c r="AE540" i="4"/>
  <c r="AC540" i="4"/>
  <c r="AB540" i="4"/>
  <c r="Z540" i="4"/>
  <c r="Y540" i="4"/>
  <c r="W540" i="4"/>
  <c r="V540" i="4"/>
  <c r="T540" i="4"/>
  <c r="S540" i="4"/>
  <c r="Q540" i="4"/>
  <c r="P540" i="4"/>
  <c r="N540" i="4"/>
  <c r="M540" i="4"/>
  <c r="I540" i="4"/>
  <c r="J540" i="4" s="1"/>
  <c r="H540" i="4"/>
  <c r="AP539" i="4"/>
  <c r="AS539" i="4" s="1"/>
  <c r="AT539" i="4" s="1"/>
  <c r="AO539" i="4"/>
  <c r="AN539" i="4"/>
  <c r="AL539" i="4"/>
  <c r="AK539" i="4"/>
  <c r="AI539" i="4"/>
  <c r="AH539" i="4"/>
  <c r="AF539" i="4"/>
  <c r="AE539" i="4"/>
  <c r="AC539" i="4"/>
  <c r="AB539" i="4"/>
  <c r="Z539" i="4"/>
  <c r="Y539" i="4"/>
  <c r="W539" i="4"/>
  <c r="V539" i="4"/>
  <c r="T539" i="4"/>
  <c r="S539" i="4"/>
  <c r="Q539" i="4"/>
  <c r="P539" i="4"/>
  <c r="N539" i="4"/>
  <c r="M539" i="4"/>
  <c r="I539" i="4"/>
  <c r="J539" i="4" s="1"/>
  <c r="H539" i="4"/>
  <c r="AP538" i="4"/>
  <c r="AQ538" i="4" s="1"/>
  <c r="AO538" i="4"/>
  <c r="AN538" i="4"/>
  <c r="AL538" i="4"/>
  <c r="AK538" i="4"/>
  <c r="AI538" i="4"/>
  <c r="AH538" i="4"/>
  <c r="AF538" i="4"/>
  <c r="AE538" i="4"/>
  <c r="AC538" i="4"/>
  <c r="AB538" i="4"/>
  <c r="Z538" i="4"/>
  <c r="Y538" i="4"/>
  <c r="W538" i="4"/>
  <c r="V538" i="4"/>
  <c r="T538" i="4"/>
  <c r="S538" i="4"/>
  <c r="Q538" i="4"/>
  <c r="P538" i="4"/>
  <c r="N538" i="4"/>
  <c r="M538" i="4"/>
  <c r="I538" i="4"/>
  <c r="J538" i="4" s="1"/>
  <c r="H538" i="4"/>
  <c r="AP537" i="4"/>
  <c r="AS537" i="4" s="1"/>
  <c r="AU537" i="4" s="1"/>
  <c r="AO537" i="4"/>
  <c r="AL537" i="4"/>
  <c r="AI537" i="4"/>
  <c r="AF537" i="4"/>
  <c r="AC537" i="4"/>
  <c r="Z537" i="4"/>
  <c r="W537" i="4"/>
  <c r="T537" i="4"/>
  <c r="Q537" i="4"/>
  <c r="N537" i="4"/>
  <c r="I537" i="4"/>
  <c r="K537" i="4" s="1"/>
  <c r="AP536" i="4"/>
  <c r="AS536" i="4" s="1"/>
  <c r="AO536" i="4"/>
  <c r="AN536" i="4"/>
  <c r="AL536" i="4"/>
  <c r="AK536" i="4"/>
  <c r="AI536" i="4"/>
  <c r="AH536" i="4"/>
  <c r="AF536" i="4"/>
  <c r="AE536" i="4"/>
  <c r="AC536" i="4"/>
  <c r="AB536" i="4"/>
  <c r="Z536" i="4"/>
  <c r="Y536" i="4"/>
  <c r="W536" i="4"/>
  <c r="V536" i="4"/>
  <c r="T536" i="4"/>
  <c r="S536" i="4"/>
  <c r="Q536" i="4"/>
  <c r="P536" i="4"/>
  <c r="N536" i="4"/>
  <c r="M536" i="4"/>
  <c r="I536" i="4"/>
  <c r="J536" i="4" s="1"/>
  <c r="H536" i="4"/>
  <c r="AP535" i="4"/>
  <c r="AR535" i="4" s="1"/>
  <c r="AO535" i="4"/>
  <c r="AN535" i="4"/>
  <c r="AL535" i="4"/>
  <c r="AK535" i="4"/>
  <c r="AI535" i="4"/>
  <c r="AH535" i="4"/>
  <c r="AF535" i="4"/>
  <c r="AE535" i="4"/>
  <c r="AC535" i="4"/>
  <c r="AB535" i="4"/>
  <c r="Z535" i="4"/>
  <c r="Y535" i="4"/>
  <c r="W535" i="4"/>
  <c r="V535" i="4"/>
  <c r="T535" i="4"/>
  <c r="S535" i="4"/>
  <c r="Q535" i="4"/>
  <c r="P535" i="4"/>
  <c r="N535" i="4"/>
  <c r="M535" i="4"/>
  <c r="I535" i="4"/>
  <c r="H535" i="4"/>
  <c r="AP534" i="4"/>
  <c r="AS534" i="4" s="1"/>
  <c r="AT534" i="4" s="1"/>
  <c r="AO534" i="4"/>
  <c r="AN534" i="4"/>
  <c r="AL534" i="4"/>
  <c r="AK534" i="4"/>
  <c r="AI534" i="4"/>
  <c r="AH534" i="4"/>
  <c r="AF534" i="4"/>
  <c r="AE534" i="4"/>
  <c r="AC534" i="4"/>
  <c r="AB534" i="4"/>
  <c r="Z534" i="4"/>
  <c r="Y534" i="4"/>
  <c r="W534" i="4"/>
  <c r="V534" i="4"/>
  <c r="T534" i="4"/>
  <c r="S534" i="4"/>
  <c r="Q534" i="4"/>
  <c r="P534" i="4"/>
  <c r="N534" i="4"/>
  <c r="M534" i="4"/>
  <c r="I534" i="4"/>
  <c r="J534" i="4" s="1"/>
  <c r="H534" i="4"/>
  <c r="AP533" i="4"/>
  <c r="AO533" i="4"/>
  <c r="AN533" i="4"/>
  <c r="AL533" i="4"/>
  <c r="AK533" i="4"/>
  <c r="AI533" i="4"/>
  <c r="AH533" i="4"/>
  <c r="AF533" i="4"/>
  <c r="AE533" i="4"/>
  <c r="AC533" i="4"/>
  <c r="AB533" i="4"/>
  <c r="Z533" i="4"/>
  <c r="Y533" i="4"/>
  <c r="W533" i="4"/>
  <c r="V533" i="4"/>
  <c r="T533" i="4"/>
  <c r="S533" i="4"/>
  <c r="Q533" i="4"/>
  <c r="P533" i="4"/>
  <c r="N533" i="4"/>
  <c r="M533" i="4"/>
  <c r="I533" i="4"/>
  <c r="J533" i="4" s="1"/>
  <c r="H533" i="4"/>
  <c r="AP532" i="4"/>
  <c r="AO532" i="4"/>
  <c r="AN532" i="4"/>
  <c r="AL532" i="4"/>
  <c r="AK532" i="4"/>
  <c r="AI532" i="4"/>
  <c r="AH532" i="4"/>
  <c r="AF532" i="4"/>
  <c r="AE532" i="4"/>
  <c r="AC532" i="4"/>
  <c r="AB532" i="4"/>
  <c r="Z532" i="4"/>
  <c r="Y532" i="4"/>
  <c r="W532" i="4"/>
  <c r="V532" i="4"/>
  <c r="T532" i="4"/>
  <c r="S532" i="4"/>
  <c r="Q532" i="4"/>
  <c r="P532" i="4"/>
  <c r="N532" i="4"/>
  <c r="M532" i="4"/>
  <c r="I532" i="4"/>
  <c r="J532" i="4" s="1"/>
  <c r="H532" i="4"/>
  <c r="AP531" i="4"/>
  <c r="AS531" i="4" s="1"/>
  <c r="AT531" i="4" s="1"/>
  <c r="AO531" i="4"/>
  <c r="AN531" i="4"/>
  <c r="AL531" i="4"/>
  <c r="AK531" i="4"/>
  <c r="AI531" i="4"/>
  <c r="AH531" i="4"/>
  <c r="AF531" i="4"/>
  <c r="AE531" i="4"/>
  <c r="AC531" i="4"/>
  <c r="AB531" i="4"/>
  <c r="Z531" i="4"/>
  <c r="Y531" i="4"/>
  <c r="W531" i="4"/>
  <c r="V531" i="4"/>
  <c r="T531" i="4"/>
  <c r="S531" i="4"/>
  <c r="Q531" i="4"/>
  <c r="P531" i="4"/>
  <c r="N531" i="4"/>
  <c r="M531" i="4"/>
  <c r="I531" i="4"/>
  <c r="J531" i="4" s="1"/>
  <c r="H531" i="4"/>
  <c r="AP530" i="4"/>
  <c r="AS530" i="4" s="1"/>
  <c r="AT530" i="4" s="1"/>
  <c r="AO530" i="4"/>
  <c r="AN530" i="4"/>
  <c r="AL530" i="4"/>
  <c r="AK530" i="4"/>
  <c r="AI530" i="4"/>
  <c r="AH530" i="4"/>
  <c r="AF530" i="4"/>
  <c r="AE530" i="4"/>
  <c r="AC530" i="4"/>
  <c r="AB530" i="4"/>
  <c r="Z530" i="4"/>
  <c r="Y530" i="4"/>
  <c r="W530" i="4"/>
  <c r="V530" i="4"/>
  <c r="T530" i="4"/>
  <c r="S530" i="4"/>
  <c r="Q530" i="4"/>
  <c r="P530" i="4"/>
  <c r="N530" i="4"/>
  <c r="M530" i="4"/>
  <c r="I530" i="4"/>
  <c r="J530" i="4" s="1"/>
  <c r="H530" i="4"/>
  <c r="AP529" i="4"/>
  <c r="AR529" i="4" s="1"/>
  <c r="AO529" i="4"/>
  <c r="AL529" i="4"/>
  <c r="AI529" i="4"/>
  <c r="AF529" i="4"/>
  <c r="AC529" i="4"/>
  <c r="Z529" i="4"/>
  <c r="W529" i="4"/>
  <c r="T529" i="4"/>
  <c r="Q529" i="4"/>
  <c r="N529" i="4"/>
  <c r="I529" i="4"/>
  <c r="K529" i="4" s="1"/>
  <c r="AP528" i="4"/>
  <c r="AS528" i="4" s="1"/>
  <c r="AT528" i="4" s="1"/>
  <c r="AO528" i="4"/>
  <c r="AN528" i="4"/>
  <c r="AL528" i="4"/>
  <c r="AK528" i="4"/>
  <c r="AI528" i="4"/>
  <c r="AH528" i="4"/>
  <c r="AF528" i="4"/>
  <c r="AE528" i="4"/>
  <c r="AC528" i="4"/>
  <c r="AB528" i="4"/>
  <c r="Z528" i="4"/>
  <c r="Y528" i="4"/>
  <c r="W528" i="4"/>
  <c r="V528" i="4"/>
  <c r="T528" i="4"/>
  <c r="S528" i="4"/>
  <c r="Q528" i="4"/>
  <c r="P528" i="4"/>
  <c r="N528" i="4"/>
  <c r="M528" i="4"/>
  <c r="I528" i="4"/>
  <c r="J528" i="4" s="1"/>
  <c r="H528" i="4"/>
  <c r="AP527" i="4"/>
  <c r="AQ527" i="4" s="1"/>
  <c r="AO527" i="4"/>
  <c r="AN527" i="4"/>
  <c r="AL527" i="4"/>
  <c r="AK527" i="4"/>
  <c r="AI527" i="4"/>
  <c r="AH527" i="4"/>
  <c r="AF527" i="4"/>
  <c r="AE527" i="4"/>
  <c r="AC527" i="4"/>
  <c r="AB527" i="4"/>
  <c r="Z527" i="4"/>
  <c r="Y527" i="4"/>
  <c r="W527" i="4"/>
  <c r="V527" i="4"/>
  <c r="T527" i="4"/>
  <c r="S527" i="4"/>
  <c r="Q527" i="4"/>
  <c r="P527" i="4"/>
  <c r="N527" i="4"/>
  <c r="M527" i="4"/>
  <c r="I527" i="4"/>
  <c r="J527" i="4" s="1"/>
  <c r="H527" i="4"/>
  <c r="AP526" i="4"/>
  <c r="AO526" i="4"/>
  <c r="AN526" i="4"/>
  <c r="AL526" i="4"/>
  <c r="AK526" i="4"/>
  <c r="AI526" i="4"/>
  <c r="AH526" i="4"/>
  <c r="AF526" i="4"/>
  <c r="AE526" i="4"/>
  <c r="AC526" i="4"/>
  <c r="AB526" i="4"/>
  <c r="Z526" i="4"/>
  <c r="Y526" i="4"/>
  <c r="W526" i="4"/>
  <c r="V526" i="4"/>
  <c r="T526" i="4"/>
  <c r="S526" i="4"/>
  <c r="Q526" i="4"/>
  <c r="P526" i="4"/>
  <c r="N526" i="4"/>
  <c r="M526" i="4"/>
  <c r="I526" i="4"/>
  <c r="J526" i="4" s="1"/>
  <c r="H526" i="4"/>
  <c r="AP525" i="4"/>
  <c r="AS525" i="4" s="1"/>
  <c r="AT525" i="4" s="1"/>
  <c r="AO525" i="4"/>
  <c r="AN525" i="4"/>
  <c r="AL525" i="4"/>
  <c r="AK525" i="4"/>
  <c r="AI525" i="4"/>
  <c r="AH525" i="4"/>
  <c r="AF525" i="4"/>
  <c r="AE525" i="4"/>
  <c r="AC525" i="4"/>
  <c r="AB525" i="4"/>
  <c r="Z525" i="4"/>
  <c r="Y525" i="4"/>
  <c r="W525" i="4"/>
  <c r="V525" i="4"/>
  <c r="T525" i="4"/>
  <c r="S525" i="4"/>
  <c r="Q525" i="4"/>
  <c r="P525" i="4"/>
  <c r="N525" i="4"/>
  <c r="M525" i="4"/>
  <c r="I525" i="4"/>
  <c r="J525" i="4" s="1"/>
  <c r="H525" i="4"/>
  <c r="AP524" i="4"/>
  <c r="AR524" i="4" s="1"/>
  <c r="AO524" i="4"/>
  <c r="AN524" i="4"/>
  <c r="AL524" i="4"/>
  <c r="AK524" i="4"/>
  <c r="AI524" i="4"/>
  <c r="AH524" i="4"/>
  <c r="AF524" i="4"/>
  <c r="AE524" i="4"/>
  <c r="AC524" i="4"/>
  <c r="AB524" i="4"/>
  <c r="Z524" i="4"/>
  <c r="Y524" i="4"/>
  <c r="W524" i="4"/>
  <c r="V524" i="4"/>
  <c r="T524" i="4"/>
  <c r="S524" i="4"/>
  <c r="Q524" i="4"/>
  <c r="P524" i="4"/>
  <c r="N524" i="4"/>
  <c r="M524" i="4"/>
  <c r="I524" i="4"/>
  <c r="J524" i="4" s="1"/>
  <c r="H524" i="4"/>
  <c r="AP523" i="4"/>
  <c r="AS523" i="4" s="1"/>
  <c r="AU523" i="4" s="1"/>
  <c r="AO523" i="4"/>
  <c r="AL523" i="4"/>
  <c r="AI523" i="4"/>
  <c r="AF523" i="4"/>
  <c r="AC523" i="4"/>
  <c r="Z523" i="4"/>
  <c r="W523" i="4"/>
  <c r="T523" i="4"/>
  <c r="Q523" i="4"/>
  <c r="N523" i="4"/>
  <c r="I523" i="4"/>
  <c r="K523" i="4" s="1"/>
  <c r="AP522" i="4"/>
  <c r="I522" i="4"/>
  <c r="AP521" i="4"/>
  <c r="AO521" i="4"/>
  <c r="AN521" i="4"/>
  <c r="AL521" i="4"/>
  <c r="AK521" i="4"/>
  <c r="AI521" i="4"/>
  <c r="AH521" i="4"/>
  <c r="AF521" i="4"/>
  <c r="AE521" i="4"/>
  <c r="AC521" i="4"/>
  <c r="AB521" i="4"/>
  <c r="Z521" i="4"/>
  <c r="Y521" i="4"/>
  <c r="W521" i="4"/>
  <c r="V521" i="4"/>
  <c r="T521" i="4"/>
  <c r="S521" i="4"/>
  <c r="Q521" i="4"/>
  <c r="P521" i="4"/>
  <c r="N521" i="4"/>
  <c r="M521" i="4"/>
  <c r="I521" i="4"/>
  <c r="K521" i="4" s="1"/>
  <c r="H521" i="4"/>
  <c r="AP520" i="4"/>
  <c r="AO520" i="4"/>
  <c r="AN520" i="4"/>
  <c r="AL520" i="4"/>
  <c r="AK520" i="4"/>
  <c r="AI520" i="4"/>
  <c r="AH520" i="4"/>
  <c r="AF520" i="4"/>
  <c r="AE520" i="4"/>
  <c r="AC520" i="4"/>
  <c r="AB520" i="4"/>
  <c r="Z520" i="4"/>
  <c r="Y520" i="4"/>
  <c r="W520" i="4"/>
  <c r="V520" i="4"/>
  <c r="T520" i="4"/>
  <c r="S520" i="4"/>
  <c r="Q520" i="4"/>
  <c r="P520" i="4"/>
  <c r="N520" i="4"/>
  <c r="M520" i="4"/>
  <c r="I520" i="4"/>
  <c r="K520" i="4" s="1"/>
  <c r="H520" i="4"/>
  <c r="AP519" i="4"/>
  <c r="AO519" i="4"/>
  <c r="AN519" i="4"/>
  <c r="AL519" i="4"/>
  <c r="AK519" i="4"/>
  <c r="AI519" i="4"/>
  <c r="AH519" i="4"/>
  <c r="AF519" i="4"/>
  <c r="AE519" i="4"/>
  <c r="AC519" i="4"/>
  <c r="AB519" i="4"/>
  <c r="Z519" i="4"/>
  <c r="Y519" i="4"/>
  <c r="W519" i="4"/>
  <c r="V519" i="4"/>
  <c r="T519" i="4"/>
  <c r="S519" i="4"/>
  <c r="Q519" i="4"/>
  <c r="P519" i="4"/>
  <c r="N519" i="4"/>
  <c r="M519" i="4"/>
  <c r="I519" i="4"/>
  <c r="H519" i="4"/>
  <c r="AP518" i="4"/>
  <c r="AO518" i="4"/>
  <c r="AN518" i="4"/>
  <c r="AL518" i="4"/>
  <c r="AK518" i="4"/>
  <c r="AI518" i="4"/>
  <c r="AH518" i="4"/>
  <c r="AF518" i="4"/>
  <c r="AE518" i="4"/>
  <c r="AC518" i="4"/>
  <c r="AB518" i="4"/>
  <c r="Z518" i="4"/>
  <c r="Y518" i="4"/>
  <c r="W518" i="4"/>
  <c r="V518" i="4"/>
  <c r="T518" i="4"/>
  <c r="S518" i="4"/>
  <c r="Q518" i="4"/>
  <c r="P518" i="4"/>
  <c r="N518" i="4"/>
  <c r="M518" i="4"/>
  <c r="I518" i="4"/>
  <c r="K518" i="4" s="1"/>
  <c r="H518" i="4"/>
  <c r="AP517" i="4"/>
  <c r="AO517" i="4"/>
  <c r="AN517" i="4"/>
  <c r="AL517" i="4"/>
  <c r="AK517" i="4"/>
  <c r="AI517" i="4"/>
  <c r="AH517" i="4"/>
  <c r="AF517" i="4"/>
  <c r="AE517" i="4"/>
  <c r="AC517" i="4"/>
  <c r="AB517" i="4"/>
  <c r="Z517" i="4"/>
  <c r="Y517" i="4"/>
  <c r="W517" i="4"/>
  <c r="V517" i="4"/>
  <c r="T517" i="4"/>
  <c r="S517" i="4"/>
  <c r="Q517" i="4"/>
  <c r="P517" i="4"/>
  <c r="N517" i="4"/>
  <c r="M517" i="4"/>
  <c r="I517" i="4"/>
  <c r="H517" i="4"/>
  <c r="AP516" i="4"/>
  <c r="AO516" i="4"/>
  <c r="AN516" i="4"/>
  <c r="AL516" i="4"/>
  <c r="AK516" i="4"/>
  <c r="AI516" i="4"/>
  <c r="AH516" i="4"/>
  <c r="AF516" i="4"/>
  <c r="AE516" i="4"/>
  <c r="AC516" i="4"/>
  <c r="AB516" i="4"/>
  <c r="Z516" i="4"/>
  <c r="Y516" i="4"/>
  <c r="W516" i="4"/>
  <c r="V516" i="4"/>
  <c r="T516" i="4"/>
  <c r="S516" i="4"/>
  <c r="Q516" i="4"/>
  <c r="P516" i="4"/>
  <c r="N516" i="4"/>
  <c r="M516" i="4"/>
  <c r="I516" i="4"/>
  <c r="K516" i="4" s="1"/>
  <c r="H516" i="4"/>
  <c r="AP515" i="4"/>
  <c r="AO515" i="4"/>
  <c r="AN515" i="4"/>
  <c r="AL515" i="4"/>
  <c r="AK515" i="4"/>
  <c r="AI515" i="4"/>
  <c r="AH515" i="4"/>
  <c r="AF515" i="4"/>
  <c r="AE515" i="4"/>
  <c r="AC515" i="4"/>
  <c r="AB515" i="4"/>
  <c r="Z515" i="4"/>
  <c r="Y515" i="4"/>
  <c r="W515" i="4"/>
  <c r="V515" i="4"/>
  <c r="T515" i="4"/>
  <c r="S515" i="4"/>
  <c r="Q515" i="4"/>
  <c r="P515" i="4"/>
  <c r="N515" i="4"/>
  <c r="M515" i="4"/>
  <c r="I515" i="4"/>
  <c r="H515" i="4"/>
  <c r="AP514" i="4"/>
  <c r="AO514" i="4"/>
  <c r="AN514" i="4"/>
  <c r="AL514" i="4"/>
  <c r="AK514" i="4"/>
  <c r="AI514" i="4"/>
  <c r="AH514" i="4"/>
  <c r="AF514" i="4"/>
  <c r="AE514" i="4"/>
  <c r="AC514" i="4"/>
  <c r="AB514" i="4"/>
  <c r="Z514" i="4"/>
  <c r="Y514" i="4"/>
  <c r="W514" i="4"/>
  <c r="V514" i="4"/>
  <c r="T514" i="4"/>
  <c r="S514" i="4"/>
  <c r="Q514" i="4"/>
  <c r="P514" i="4"/>
  <c r="N514" i="4"/>
  <c r="M514" i="4"/>
  <c r="I514" i="4"/>
  <c r="K514" i="4" s="1"/>
  <c r="H514" i="4"/>
  <c r="AP513" i="4"/>
  <c r="AO513" i="4"/>
  <c r="AN513" i="4"/>
  <c r="AL513" i="4"/>
  <c r="AK513" i="4"/>
  <c r="AI513" i="4"/>
  <c r="AH513" i="4"/>
  <c r="AF513" i="4"/>
  <c r="AE513" i="4"/>
  <c r="AC513" i="4"/>
  <c r="AB513" i="4"/>
  <c r="Z513" i="4"/>
  <c r="Y513" i="4"/>
  <c r="W513" i="4"/>
  <c r="V513" i="4"/>
  <c r="T513" i="4"/>
  <c r="S513" i="4"/>
  <c r="Q513" i="4"/>
  <c r="P513" i="4"/>
  <c r="N513" i="4"/>
  <c r="M513" i="4"/>
  <c r="I513" i="4"/>
  <c r="H513" i="4"/>
  <c r="AP512" i="4"/>
  <c r="AO512" i="4"/>
  <c r="AN512" i="4"/>
  <c r="AL512" i="4"/>
  <c r="AK512" i="4"/>
  <c r="AI512" i="4"/>
  <c r="AH512" i="4"/>
  <c r="AF512" i="4"/>
  <c r="AE512" i="4"/>
  <c r="AC512" i="4"/>
  <c r="AB512" i="4"/>
  <c r="Z512" i="4"/>
  <c r="Y512" i="4"/>
  <c r="W512" i="4"/>
  <c r="V512" i="4"/>
  <c r="T512" i="4"/>
  <c r="S512" i="4"/>
  <c r="Q512" i="4"/>
  <c r="P512" i="4"/>
  <c r="N512" i="4"/>
  <c r="M512" i="4"/>
  <c r="I512" i="4"/>
  <c r="K512" i="4" s="1"/>
  <c r="H512" i="4"/>
  <c r="AP511" i="4"/>
  <c r="AO511" i="4"/>
  <c r="AN511" i="4"/>
  <c r="AL511" i="4"/>
  <c r="AK511" i="4"/>
  <c r="AI511" i="4"/>
  <c r="AH511" i="4"/>
  <c r="AF511" i="4"/>
  <c r="AE511" i="4"/>
  <c r="AC511" i="4"/>
  <c r="AB511" i="4"/>
  <c r="Z511" i="4"/>
  <c r="Y511" i="4"/>
  <c r="W511" i="4"/>
  <c r="V511" i="4"/>
  <c r="T511" i="4"/>
  <c r="S511" i="4"/>
  <c r="Q511" i="4"/>
  <c r="P511" i="4"/>
  <c r="N511" i="4"/>
  <c r="M511" i="4"/>
  <c r="I511" i="4"/>
  <c r="H511" i="4"/>
  <c r="AP510" i="4"/>
  <c r="AO510" i="4"/>
  <c r="AN510" i="4"/>
  <c r="AL510" i="4"/>
  <c r="AK510" i="4"/>
  <c r="AI510" i="4"/>
  <c r="AH510" i="4"/>
  <c r="AF510" i="4"/>
  <c r="AE510" i="4"/>
  <c r="AC510" i="4"/>
  <c r="AB510" i="4"/>
  <c r="Z510" i="4"/>
  <c r="Y510" i="4"/>
  <c r="W510" i="4"/>
  <c r="V510" i="4"/>
  <c r="T510" i="4"/>
  <c r="S510" i="4"/>
  <c r="Q510" i="4"/>
  <c r="P510" i="4"/>
  <c r="N510" i="4"/>
  <c r="M510" i="4"/>
  <c r="I510" i="4"/>
  <c r="K510" i="4" s="1"/>
  <c r="H510" i="4"/>
  <c r="AP509" i="4"/>
  <c r="AO509" i="4"/>
  <c r="AN509" i="4"/>
  <c r="AL509" i="4"/>
  <c r="AK509" i="4"/>
  <c r="AI509" i="4"/>
  <c r="AH509" i="4"/>
  <c r="AF509" i="4"/>
  <c r="AE509" i="4"/>
  <c r="AC509" i="4"/>
  <c r="AB509" i="4"/>
  <c r="Z509" i="4"/>
  <c r="Y509" i="4"/>
  <c r="W509" i="4"/>
  <c r="V509" i="4"/>
  <c r="T509" i="4"/>
  <c r="S509" i="4"/>
  <c r="Q509" i="4"/>
  <c r="P509" i="4"/>
  <c r="N509" i="4"/>
  <c r="M509" i="4"/>
  <c r="I509" i="4"/>
  <c r="H509" i="4"/>
  <c r="AP508" i="4"/>
  <c r="AO508" i="4"/>
  <c r="AL508" i="4"/>
  <c r="AI508" i="4"/>
  <c r="AF508" i="4"/>
  <c r="AC508" i="4"/>
  <c r="Z508" i="4"/>
  <c r="W508" i="4"/>
  <c r="T508" i="4"/>
  <c r="Q508" i="4"/>
  <c r="N508" i="4"/>
  <c r="I508" i="4"/>
  <c r="K508" i="4" s="1"/>
  <c r="AP507" i="4"/>
  <c r="AO507" i="4"/>
  <c r="AN507" i="4"/>
  <c r="AL507" i="4"/>
  <c r="AK507" i="4"/>
  <c r="AI507" i="4"/>
  <c r="AH507" i="4"/>
  <c r="AF507" i="4"/>
  <c r="AE507" i="4"/>
  <c r="AC507" i="4"/>
  <c r="AB507" i="4"/>
  <c r="Z507" i="4"/>
  <c r="Y507" i="4"/>
  <c r="W507" i="4"/>
  <c r="V507" i="4"/>
  <c r="T507" i="4"/>
  <c r="S507" i="4"/>
  <c r="Q507" i="4"/>
  <c r="P507" i="4"/>
  <c r="N507" i="4"/>
  <c r="M507" i="4"/>
  <c r="I507" i="4"/>
  <c r="K507" i="4" s="1"/>
  <c r="H507" i="4"/>
  <c r="AP506" i="4"/>
  <c r="AO506" i="4"/>
  <c r="AN506" i="4"/>
  <c r="AL506" i="4"/>
  <c r="AK506" i="4"/>
  <c r="AI506" i="4"/>
  <c r="AH506" i="4"/>
  <c r="AF506" i="4"/>
  <c r="AE506" i="4"/>
  <c r="AC506" i="4"/>
  <c r="AB506" i="4"/>
  <c r="Z506" i="4"/>
  <c r="Y506" i="4"/>
  <c r="W506" i="4"/>
  <c r="V506" i="4"/>
  <c r="T506" i="4"/>
  <c r="S506" i="4"/>
  <c r="Q506" i="4"/>
  <c r="P506" i="4"/>
  <c r="N506" i="4"/>
  <c r="M506" i="4"/>
  <c r="I506" i="4"/>
  <c r="H506" i="4"/>
  <c r="AP505" i="4"/>
  <c r="AO505" i="4"/>
  <c r="AN505" i="4"/>
  <c r="AL505" i="4"/>
  <c r="AK505" i="4"/>
  <c r="AI505" i="4"/>
  <c r="AH505" i="4"/>
  <c r="AF505" i="4"/>
  <c r="AE505" i="4"/>
  <c r="AC505" i="4"/>
  <c r="AB505" i="4"/>
  <c r="Z505" i="4"/>
  <c r="Y505" i="4"/>
  <c r="W505" i="4"/>
  <c r="V505" i="4"/>
  <c r="T505" i="4"/>
  <c r="S505" i="4"/>
  <c r="Q505" i="4"/>
  <c r="P505" i="4"/>
  <c r="N505" i="4"/>
  <c r="M505" i="4"/>
  <c r="I505" i="4"/>
  <c r="K505" i="4" s="1"/>
  <c r="H505" i="4"/>
  <c r="AP504" i="4"/>
  <c r="AO504" i="4"/>
  <c r="AN504" i="4"/>
  <c r="AL504" i="4"/>
  <c r="AK504" i="4"/>
  <c r="AI504" i="4"/>
  <c r="AH504" i="4"/>
  <c r="AF504" i="4"/>
  <c r="AE504" i="4"/>
  <c r="AC504" i="4"/>
  <c r="AB504" i="4"/>
  <c r="Z504" i="4"/>
  <c r="Y504" i="4"/>
  <c r="W504" i="4"/>
  <c r="V504" i="4"/>
  <c r="T504" i="4"/>
  <c r="S504" i="4"/>
  <c r="Q504" i="4"/>
  <c r="P504" i="4"/>
  <c r="N504" i="4"/>
  <c r="M504" i="4"/>
  <c r="I504" i="4"/>
  <c r="H504" i="4"/>
  <c r="AP503" i="4"/>
  <c r="AO503" i="4"/>
  <c r="AL503" i="4"/>
  <c r="AI503" i="4"/>
  <c r="AF503" i="4"/>
  <c r="AC503" i="4"/>
  <c r="Z503" i="4"/>
  <c r="W503" i="4"/>
  <c r="T503" i="4"/>
  <c r="Q503" i="4"/>
  <c r="N503" i="4"/>
  <c r="I503" i="4"/>
  <c r="K503" i="4" s="1"/>
  <c r="AP502" i="4"/>
  <c r="AO502" i="4"/>
  <c r="AN502" i="4"/>
  <c r="AL502" i="4"/>
  <c r="AK502" i="4"/>
  <c r="AI502" i="4"/>
  <c r="AH502" i="4"/>
  <c r="AF502" i="4"/>
  <c r="AE502" i="4"/>
  <c r="AC502" i="4"/>
  <c r="AB502" i="4"/>
  <c r="Z502" i="4"/>
  <c r="Y502" i="4"/>
  <c r="W502" i="4"/>
  <c r="V502" i="4"/>
  <c r="T502" i="4"/>
  <c r="S502" i="4"/>
  <c r="Q502" i="4"/>
  <c r="P502" i="4"/>
  <c r="N502" i="4"/>
  <c r="M502" i="4"/>
  <c r="I502" i="4"/>
  <c r="K502" i="4" s="1"/>
  <c r="H502" i="4"/>
  <c r="AP501" i="4"/>
  <c r="AO501" i="4"/>
  <c r="AN501" i="4"/>
  <c r="AL501" i="4"/>
  <c r="AK501" i="4"/>
  <c r="AI501" i="4"/>
  <c r="AH501" i="4"/>
  <c r="AF501" i="4"/>
  <c r="AE501" i="4"/>
  <c r="AC501" i="4"/>
  <c r="AB501" i="4"/>
  <c r="Z501" i="4"/>
  <c r="Y501" i="4"/>
  <c r="W501" i="4"/>
  <c r="V501" i="4"/>
  <c r="T501" i="4"/>
  <c r="S501" i="4"/>
  <c r="Q501" i="4"/>
  <c r="P501" i="4"/>
  <c r="N501" i="4"/>
  <c r="M501" i="4"/>
  <c r="I501" i="4"/>
  <c r="H501" i="4"/>
  <c r="AP500" i="4"/>
  <c r="AS500" i="4" s="1"/>
  <c r="AO500" i="4"/>
  <c r="AN500" i="4"/>
  <c r="AL500" i="4"/>
  <c r="AK500" i="4"/>
  <c r="AI500" i="4"/>
  <c r="AH500" i="4"/>
  <c r="AF500" i="4"/>
  <c r="AE500" i="4"/>
  <c r="AC500" i="4"/>
  <c r="AB500" i="4"/>
  <c r="Z500" i="4"/>
  <c r="Y500" i="4"/>
  <c r="W500" i="4"/>
  <c r="V500" i="4"/>
  <c r="T500" i="4"/>
  <c r="S500" i="4"/>
  <c r="Q500" i="4"/>
  <c r="P500" i="4"/>
  <c r="N500" i="4"/>
  <c r="M500" i="4"/>
  <c r="I500" i="4"/>
  <c r="K500" i="4" s="1"/>
  <c r="H500" i="4"/>
  <c r="AP499" i="4"/>
  <c r="AO499" i="4"/>
  <c r="AL499" i="4"/>
  <c r="AI499" i="4"/>
  <c r="AF499" i="4"/>
  <c r="AC499" i="4"/>
  <c r="Z499" i="4"/>
  <c r="W499" i="4"/>
  <c r="T499" i="4"/>
  <c r="Q499" i="4"/>
  <c r="N499" i="4"/>
  <c r="I499" i="4"/>
  <c r="K499" i="4" s="1"/>
  <c r="AP498" i="4"/>
  <c r="AS498" i="4" s="1"/>
  <c r="AU498" i="4" s="1"/>
  <c r="AO498" i="4"/>
  <c r="AN498" i="4"/>
  <c r="AL498" i="4"/>
  <c r="AK498" i="4"/>
  <c r="AI498" i="4"/>
  <c r="AH498" i="4"/>
  <c r="AF498" i="4"/>
  <c r="AE498" i="4"/>
  <c r="AC498" i="4"/>
  <c r="AB498" i="4"/>
  <c r="Z498" i="4"/>
  <c r="Y498" i="4"/>
  <c r="W498" i="4"/>
  <c r="V498" i="4"/>
  <c r="T498" i="4"/>
  <c r="S498" i="4"/>
  <c r="Q498" i="4"/>
  <c r="P498" i="4"/>
  <c r="N498" i="4"/>
  <c r="M498" i="4"/>
  <c r="I498" i="4"/>
  <c r="H498" i="4"/>
  <c r="AP497" i="4"/>
  <c r="AQ497" i="4" s="1"/>
  <c r="AO497" i="4"/>
  <c r="AN497" i="4"/>
  <c r="AL497" i="4"/>
  <c r="AK497" i="4"/>
  <c r="AI497" i="4"/>
  <c r="AH497" i="4"/>
  <c r="AF497" i="4"/>
  <c r="AE497" i="4"/>
  <c r="AC497" i="4"/>
  <c r="AB497" i="4"/>
  <c r="Z497" i="4"/>
  <c r="Y497" i="4"/>
  <c r="W497" i="4"/>
  <c r="V497" i="4"/>
  <c r="T497" i="4"/>
  <c r="S497" i="4"/>
  <c r="Q497" i="4"/>
  <c r="P497" i="4"/>
  <c r="N497" i="4"/>
  <c r="M497" i="4"/>
  <c r="I497" i="4"/>
  <c r="K497" i="4" s="1"/>
  <c r="H497" i="4"/>
  <c r="AP496" i="4"/>
  <c r="AS496" i="4" s="1"/>
  <c r="AU496" i="4" s="1"/>
  <c r="AO496" i="4"/>
  <c r="AN496" i="4"/>
  <c r="AL496" i="4"/>
  <c r="AK496" i="4"/>
  <c r="AI496" i="4"/>
  <c r="AH496" i="4"/>
  <c r="AF496" i="4"/>
  <c r="AE496" i="4"/>
  <c r="AC496" i="4"/>
  <c r="AB496" i="4"/>
  <c r="Z496" i="4"/>
  <c r="Y496" i="4"/>
  <c r="W496" i="4"/>
  <c r="V496" i="4"/>
  <c r="T496" i="4"/>
  <c r="S496" i="4"/>
  <c r="Q496" i="4"/>
  <c r="P496" i="4"/>
  <c r="N496" i="4"/>
  <c r="M496" i="4"/>
  <c r="I496" i="4"/>
  <c r="H496" i="4"/>
  <c r="AP495" i="4"/>
  <c r="AR495" i="4" s="1"/>
  <c r="AO495" i="4"/>
  <c r="AN495" i="4"/>
  <c r="AL495" i="4"/>
  <c r="AK495" i="4"/>
  <c r="AI495" i="4"/>
  <c r="AH495" i="4"/>
  <c r="AF495" i="4"/>
  <c r="AE495" i="4"/>
  <c r="AC495" i="4"/>
  <c r="AB495" i="4"/>
  <c r="Z495" i="4"/>
  <c r="Y495" i="4"/>
  <c r="W495" i="4"/>
  <c r="V495" i="4"/>
  <c r="T495" i="4"/>
  <c r="S495" i="4"/>
  <c r="Q495" i="4"/>
  <c r="P495" i="4"/>
  <c r="N495" i="4"/>
  <c r="M495" i="4"/>
  <c r="I495" i="4"/>
  <c r="K495" i="4" s="1"/>
  <c r="H495" i="4"/>
  <c r="AP494" i="4"/>
  <c r="AO494" i="4"/>
  <c r="AN494" i="4"/>
  <c r="AL494" i="4"/>
  <c r="AK494" i="4"/>
  <c r="AI494" i="4"/>
  <c r="AH494" i="4"/>
  <c r="AF494" i="4"/>
  <c r="AE494" i="4"/>
  <c r="AC494" i="4"/>
  <c r="AB494" i="4"/>
  <c r="Z494" i="4"/>
  <c r="Y494" i="4"/>
  <c r="W494" i="4"/>
  <c r="V494" i="4"/>
  <c r="T494" i="4"/>
  <c r="S494" i="4"/>
  <c r="Q494" i="4"/>
  <c r="P494" i="4"/>
  <c r="N494" i="4"/>
  <c r="M494" i="4"/>
  <c r="I494" i="4"/>
  <c r="H494" i="4"/>
  <c r="AP493" i="4"/>
  <c r="AR493" i="4" s="1"/>
  <c r="AO493" i="4"/>
  <c r="AN493" i="4"/>
  <c r="AL493" i="4"/>
  <c r="AK493" i="4"/>
  <c r="AI493" i="4"/>
  <c r="AH493" i="4"/>
  <c r="AF493" i="4"/>
  <c r="AE493" i="4"/>
  <c r="AC493" i="4"/>
  <c r="AB493" i="4"/>
  <c r="Z493" i="4"/>
  <c r="Y493" i="4"/>
  <c r="W493" i="4"/>
  <c r="V493" i="4"/>
  <c r="T493" i="4"/>
  <c r="S493" i="4"/>
  <c r="Q493" i="4"/>
  <c r="P493" i="4"/>
  <c r="N493" i="4"/>
  <c r="M493" i="4"/>
  <c r="I493" i="4"/>
  <c r="K493" i="4" s="1"/>
  <c r="H493" i="4"/>
  <c r="AP492" i="4"/>
  <c r="AO492" i="4"/>
  <c r="AN492" i="4"/>
  <c r="AL492" i="4"/>
  <c r="AK492" i="4"/>
  <c r="AI492" i="4"/>
  <c r="AH492" i="4"/>
  <c r="AF492" i="4"/>
  <c r="AE492" i="4"/>
  <c r="AC492" i="4"/>
  <c r="AB492" i="4"/>
  <c r="Z492" i="4"/>
  <c r="Y492" i="4"/>
  <c r="W492" i="4"/>
  <c r="V492" i="4"/>
  <c r="T492" i="4"/>
  <c r="S492" i="4"/>
  <c r="Q492" i="4"/>
  <c r="P492" i="4"/>
  <c r="N492" i="4"/>
  <c r="M492" i="4"/>
  <c r="I492" i="4"/>
  <c r="H492" i="4"/>
  <c r="AP491" i="4"/>
  <c r="AO491" i="4"/>
  <c r="AN491" i="4"/>
  <c r="AL491" i="4"/>
  <c r="AK491" i="4"/>
  <c r="AI491" i="4"/>
  <c r="AH491" i="4"/>
  <c r="AF491" i="4"/>
  <c r="AE491" i="4"/>
  <c r="AC491" i="4"/>
  <c r="AB491" i="4"/>
  <c r="Z491" i="4"/>
  <c r="Y491" i="4"/>
  <c r="W491" i="4"/>
  <c r="V491" i="4"/>
  <c r="T491" i="4"/>
  <c r="S491" i="4"/>
  <c r="Q491" i="4"/>
  <c r="P491" i="4"/>
  <c r="N491" i="4"/>
  <c r="M491" i="4"/>
  <c r="I491" i="4"/>
  <c r="K491" i="4" s="1"/>
  <c r="H491" i="4"/>
  <c r="AP490" i="4"/>
  <c r="AS490" i="4" s="1"/>
  <c r="AU490" i="4" s="1"/>
  <c r="AO490" i="4"/>
  <c r="AN490" i="4"/>
  <c r="AL490" i="4"/>
  <c r="AK490" i="4"/>
  <c r="AI490" i="4"/>
  <c r="AH490" i="4"/>
  <c r="AF490" i="4"/>
  <c r="AE490" i="4"/>
  <c r="AC490" i="4"/>
  <c r="AB490" i="4"/>
  <c r="Z490" i="4"/>
  <c r="Y490" i="4"/>
  <c r="W490" i="4"/>
  <c r="V490" i="4"/>
  <c r="T490" i="4"/>
  <c r="S490" i="4"/>
  <c r="Q490" i="4"/>
  <c r="P490" i="4"/>
  <c r="N490" i="4"/>
  <c r="M490" i="4"/>
  <c r="I490" i="4"/>
  <c r="H490" i="4"/>
  <c r="AP489" i="4"/>
  <c r="AQ489" i="4" s="1"/>
  <c r="AO489" i="4"/>
  <c r="AN489" i="4"/>
  <c r="AL489" i="4"/>
  <c r="AK489" i="4"/>
  <c r="AI489" i="4"/>
  <c r="AH489" i="4"/>
  <c r="AF489" i="4"/>
  <c r="AE489" i="4"/>
  <c r="AC489" i="4"/>
  <c r="AB489" i="4"/>
  <c r="Z489" i="4"/>
  <c r="Y489" i="4"/>
  <c r="W489" i="4"/>
  <c r="V489" i="4"/>
  <c r="T489" i="4"/>
  <c r="S489" i="4"/>
  <c r="Q489" i="4"/>
  <c r="P489" i="4"/>
  <c r="N489" i="4"/>
  <c r="M489" i="4"/>
  <c r="I489" i="4"/>
  <c r="K489" i="4" s="1"/>
  <c r="H489" i="4"/>
  <c r="AP488" i="4"/>
  <c r="AO488" i="4"/>
  <c r="AN488" i="4"/>
  <c r="AL488" i="4"/>
  <c r="AK488" i="4"/>
  <c r="AI488" i="4"/>
  <c r="AH488" i="4"/>
  <c r="AF488" i="4"/>
  <c r="AE488" i="4"/>
  <c r="AC488" i="4"/>
  <c r="AB488" i="4"/>
  <c r="Z488" i="4"/>
  <c r="Y488" i="4"/>
  <c r="W488" i="4"/>
  <c r="V488" i="4"/>
  <c r="T488" i="4"/>
  <c r="S488" i="4"/>
  <c r="Q488" i="4"/>
  <c r="P488" i="4"/>
  <c r="N488" i="4"/>
  <c r="M488" i="4"/>
  <c r="I488" i="4"/>
  <c r="H488" i="4"/>
  <c r="AP487" i="4"/>
  <c r="AQ487" i="4" s="1"/>
  <c r="AO487" i="4"/>
  <c r="AN487" i="4"/>
  <c r="AL487" i="4"/>
  <c r="AK487" i="4"/>
  <c r="AI487" i="4"/>
  <c r="AH487" i="4"/>
  <c r="AF487" i="4"/>
  <c r="AE487" i="4"/>
  <c r="AC487" i="4"/>
  <c r="AB487" i="4"/>
  <c r="Z487" i="4"/>
  <c r="Y487" i="4"/>
  <c r="W487" i="4"/>
  <c r="V487" i="4"/>
  <c r="T487" i="4"/>
  <c r="S487" i="4"/>
  <c r="Q487" i="4"/>
  <c r="P487" i="4"/>
  <c r="N487" i="4"/>
  <c r="M487" i="4"/>
  <c r="I487" i="4"/>
  <c r="K487" i="4" s="1"/>
  <c r="H487" i="4"/>
  <c r="AP486" i="4"/>
  <c r="AQ486" i="4" s="1"/>
  <c r="AO486" i="4"/>
  <c r="AN486" i="4"/>
  <c r="AL486" i="4"/>
  <c r="AK486" i="4"/>
  <c r="AI486" i="4"/>
  <c r="AH486" i="4"/>
  <c r="AF486" i="4"/>
  <c r="AE486" i="4"/>
  <c r="AC486" i="4"/>
  <c r="AB486" i="4"/>
  <c r="Z486" i="4"/>
  <c r="Y486" i="4"/>
  <c r="W486" i="4"/>
  <c r="V486" i="4"/>
  <c r="T486" i="4"/>
  <c r="S486" i="4"/>
  <c r="Q486" i="4"/>
  <c r="P486" i="4"/>
  <c r="N486" i="4"/>
  <c r="M486" i="4"/>
  <c r="I486" i="4"/>
  <c r="H486" i="4"/>
  <c r="AP485" i="4"/>
  <c r="AO485" i="4"/>
  <c r="AN485" i="4"/>
  <c r="AL485" i="4"/>
  <c r="AK485" i="4"/>
  <c r="AI485" i="4"/>
  <c r="AH485" i="4"/>
  <c r="AF485" i="4"/>
  <c r="AE485" i="4"/>
  <c r="AC485" i="4"/>
  <c r="AB485" i="4"/>
  <c r="Z485" i="4"/>
  <c r="Y485" i="4"/>
  <c r="W485" i="4"/>
  <c r="V485" i="4"/>
  <c r="T485" i="4"/>
  <c r="S485" i="4"/>
  <c r="Q485" i="4"/>
  <c r="P485" i="4"/>
  <c r="N485" i="4"/>
  <c r="M485" i="4"/>
  <c r="I485" i="4"/>
  <c r="K485" i="4" s="1"/>
  <c r="H485" i="4"/>
  <c r="AP484" i="4"/>
  <c r="AO484" i="4"/>
  <c r="AN484" i="4"/>
  <c r="AL484" i="4"/>
  <c r="AK484" i="4"/>
  <c r="AI484" i="4"/>
  <c r="AH484" i="4"/>
  <c r="AF484" i="4"/>
  <c r="AE484" i="4"/>
  <c r="AC484" i="4"/>
  <c r="AB484" i="4"/>
  <c r="Z484" i="4"/>
  <c r="Y484" i="4"/>
  <c r="W484" i="4"/>
  <c r="V484" i="4"/>
  <c r="T484" i="4"/>
  <c r="S484" i="4"/>
  <c r="Q484" i="4"/>
  <c r="P484" i="4"/>
  <c r="N484" i="4"/>
  <c r="M484" i="4"/>
  <c r="I484" i="4"/>
  <c r="J484" i="4" s="1"/>
  <c r="H484" i="4"/>
  <c r="AP483" i="4"/>
  <c r="AO483" i="4"/>
  <c r="AN483" i="4"/>
  <c r="AL483" i="4"/>
  <c r="AK483" i="4"/>
  <c r="AI483" i="4"/>
  <c r="AH483" i="4"/>
  <c r="AF483" i="4"/>
  <c r="AE483" i="4"/>
  <c r="AC483" i="4"/>
  <c r="AB483" i="4"/>
  <c r="Z483" i="4"/>
  <c r="Y483" i="4"/>
  <c r="W483" i="4"/>
  <c r="V483" i="4"/>
  <c r="T483" i="4"/>
  <c r="S483" i="4"/>
  <c r="Q483" i="4"/>
  <c r="P483" i="4"/>
  <c r="N483" i="4"/>
  <c r="M483" i="4"/>
  <c r="I483" i="4"/>
  <c r="H483" i="4"/>
  <c r="AP482" i="4"/>
  <c r="AO482" i="4"/>
  <c r="AN482" i="4"/>
  <c r="AL482" i="4"/>
  <c r="AK482" i="4"/>
  <c r="AI482" i="4"/>
  <c r="AH482" i="4"/>
  <c r="AF482" i="4"/>
  <c r="AE482" i="4"/>
  <c r="AC482" i="4"/>
  <c r="AB482" i="4"/>
  <c r="Z482" i="4"/>
  <c r="Y482" i="4"/>
  <c r="W482" i="4"/>
  <c r="V482" i="4"/>
  <c r="T482" i="4"/>
  <c r="S482" i="4"/>
  <c r="Q482" i="4"/>
  <c r="P482" i="4"/>
  <c r="N482" i="4"/>
  <c r="M482" i="4"/>
  <c r="I482" i="4"/>
  <c r="J482" i="4" s="1"/>
  <c r="H482" i="4"/>
  <c r="AP481" i="4"/>
  <c r="AQ481" i="4" s="1"/>
  <c r="AO481" i="4"/>
  <c r="AN481" i="4"/>
  <c r="AL481" i="4"/>
  <c r="AK481" i="4"/>
  <c r="AI481" i="4"/>
  <c r="AH481" i="4"/>
  <c r="AF481" i="4"/>
  <c r="AE481" i="4"/>
  <c r="AC481" i="4"/>
  <c r="AB481" i="4"/>
  <c r="Z481" i="4"/>
  <c r="Y481" i="4"/>
  <c r="W481" i="4"/>
  <c r="V481" i="4"/>
  <c r="T481" i="4"/>
  <c r="S481" i="4"/>
  <c r="Q481" i="4"/>
  <c r="P481" i="4"/>
  <c r="N481" i="4"/>
  <c r="M481" i="4"/>
  <c r="I481" i="4"/>
  <c r="H481" i="4"/>
  <c r="AP480" i="4"/>
  <c r="AQ480" i="4" s="1"/>
  <c r="AO480" i="4"/>
  <c r="AN480" i="4"/>
  <c r="AL480" i="4"/>
  <c r="AK480" i="4"/>
  <c r="AI480" i="4"/>
  <c r="AH480" i="4"/>
  <c r="AF480" i="4"/>
  <c r="AE480" i="4"/>
  <c r="AC480" i="4"/>
  <c r="AB480" i="4"/>
  <c r="Z480" i="4"/>
  <c r="Y480" i="4"/>
  <c r="W480" i="4"/>
  <c r="V480" i="4"/>
  <c r="T480" i="4"/>
  <c r="S480" i="4"/>
  <c r="Q480" i="4"/>
  <c r="P480" i="4"/>
  <c r="N480" i="4"/>
  <c r="M480" i="4"/>
  <c r="I480" i="4"/>
  <c r="H480" i="4"/>
  <c r="AP479" i="4"/>
  <c r="AR479" i="4" s="1"/>
  <c r="AO479" i="4"/>
  <c r="AL479" i="4"/>
  <c r="AI479" i="4"/>
  <c r="AF479" i="4"/>
  <c r="AC479" i="4"/>
  <c r="Z479" i="4"/>
  <c r="W479" i="4"/>
  <c r="T479" i="4"/>
  <c r="Q479" i="4"/>
  <c r="N479" i="4"/>
  <c r="I479" i="4"/>
  <c r="K479" i="4" s="1"/>
  <c r="AP478" i="4"/>
  <c r="AO478" i="4"/>
  <c r="AN478" i="4"/>
  <c r="AL478" i="4"/>
  <c r="AK478" i="4"/>
  <c r="AI478" i="4"/>
  <c r="AH478" i="4"/>
  <c r="AF478" i="4"/>
  <c r="AE478" i="4"/>
  <c r="AC478" i="4"/>
  <c r="AB478" i="4"/>
  <c r="Z478" i="4"/>
  <c r="Y478" i="4"/>
  <c r="W478" i="4"/>
  <c r="V478" i="4"/>
  <c r="T478" i="4"/>
  <c r="S478" i="4"/>
  <c r="Q478" i="4"/>
  <c r="P478" i="4"/>
  <c r="N478" i="4"/>
  <c r="M478" i="4"/>
  <c r="I478" i="4"/>
  <c r="H478" i="4"/>
  <c r="AP477" i="4"/>
  <c r="AO477" i="4"/>
  <c r="AN477" i="4"/>
  <c r="AL477" i="4"/>
  <c r="AK477" i="4"/>
  <c r="AI477" i="4"/>
  <c r="AH477" i="4"/>
  <c r="AF477" i="4"/>
  <c r="AE477" i="4"/>
  <c r="AC477" i="4"/>
  <c r="AB477" i="4"/>
  <c r="Z477" i="4"/>
  <c r="Y477" i="4"/>
  <c r="W477" i="4"/>
  <c r="V477" i="4"/>
  <c r="T477" i="4"/>
  <c r="S477" i="4"/>
  <c r="Q477" i="4"/>
  <c r="P477" i="4"/>
  <c r="N477" i="4"/>
  <c r="M477" i="4"/>
  <c r="I477" i="4"/>
  <c r="J477" i="4" s="1"/>
  <c r="H477" i="4"/>
  <c r="AP476" i="4"/>
  <c r="AQ476" i="4" s="1"/>
  <c r="AO476" i="4"/>
  <c r="AN476" i="4"/>
  <c r="AL476" i="4"/>
  <c r="AK476" i="4"/>
  <c r="AI476" i="4"/>
  <c r="AH476" i="4"/>
  <c r="AF476" i="4"/>
  <c r="AE476" i="4"/>
  <c r="AC476" i="4"/>
  <c r="AB476" i="4"/>
  <c r="Z476" i="4"/>
  <c r="Y476" i="4"/>
  <c r="W476" i="4"/>
  <c r="V476" i="4"/>
  <c r="T476" i="4"/>
  <c r="S476" i="4"/>
  <c r="Q476" i="4"/>
  <c r="P476" i="4"/>
  <c r="N476" i="4"/>
  <c r="M476" i="4"/>
  <c r="I476" i="4"/>
  <c r="H476" i="4"/>
  <c r="AP475" i="4"/>
  <c r="AS475" i="4" s="1"/>
  <c r="AO475" i="4"/>
  <c r="AN475" i="4"/>
  <c r="AL475" i="4"/>
  <c r="AK475" i="4"/>
  <c r="AI475" i="4"/>
  <c r="AH475" i="4"/>
  <c r="AF475" i="4"/>
  <c r="AE475" i="4"/>
  <c r="AC475" i="4"/>
  <c r="AB475" i="4"/>
  <c r="Z475" i="4"/>
  <c r="Y475" i="4"/>
  <c r="W475" i="4"/>
  <c r="V475" i="4"/>
  <c r="T475" i="4"/>
  <c r="S475" i="4"/>
  <c r="Q475" i="4"/>
  <c r="P475" i="4"/>
  <c r="N475" i="4"/>
  <c r="M475" i="4"/>
  <c r="I475" i="4"/>
  <c r="H475" i="4"/>
  <c r="AP474" i="4"/>
  <c r="AQ474" i="4" s="1"/>
  <c r="AO474" i="4"/>
  <c r="AN474" i="4"/>
  <c r="AL474" i="4"/>
  <c r="AK474" i="4"/>
  <c r="AI474" i="4"/>
  <c r="AH474" i="4"/>
  <c r="AF474" i="4"/>
  <c r="AE474" i="4"/>
  <c r="AC474" i="4"/>
  <c r="AB474" i="4"/>
  <c r="Z474" i="4"/>
  <c r="Y474" i="4"/>
  <c r="W474" i="4"/>
  <c r="V474" i="4"/>
  <c r="T474" i="4"/>
  <c r="S474" i="4"/>
  <c r="Q474" i="4"/>
  <c r="P474" i="4"/>
  <c r="N474" i="4"/>
  <c r="M474" i="4"/>
  <c r="I474" i="4"/>
  <c r="H474" i="4"/>
  <c r="AP473" i="4"/>
  <c r="AO473" i="4"/>
  <c r="AN473" i="4"/>
  <c r="AL473" i="4"/>
  <c r="AK473" i="4"/>
  <c r="AI473" i="4"/>
  <c r="AH473" i="4"/>
  <c r="AF473" i="4"/>
  <c r="AE473" i="4"/>
  <c r="AC473" i="4"/>
  <c r="AB473" i="4"/>
  <c r="Z473" i="4"/>
  <c r="Y473" i="4"/>
  <c r="W473" i="4"/>
  <c r="V473" i="4"/>
  <c r="T473" i="4"/>
  <c r="S473" i="4"/>
  <c r="Q473" i="4"/>
  <c r="P473" i="4"/>
  <c r="N473" i="4"/>
  <c r="M473" i="4"/>
  <c r="I473" i="4"/>
  <c r="J473" i="4" s="1"/>
  <c r="H473" i="4"/>
  <c r="AP472" i="4"/>
  <c r="AR472" i="4" s="1"/>
  <c r="AO472" i="4"/>
  <c r="AL472" i="4"/>
  <c r="AI472" i="4"/>
  <c r="AF472" i="4"/>
  <c r="AC472" i="4"/>
  <c r="Z472" i="4"/>
  <c r="W472" i="4"/>
  <c r="T472" i="4"/>
  <c r="Q472" i="4"/>
  <c r="N472" i="4"/>
  <c r="I472" i="4"/>
  <c r="K472" i="4" s="1"/>
  <c r="AP471" i="4"/>
  <c r="I471" i="4"/>
  <c r="AP470" i="4"/>
  <c r="AQ470" i="4" s="1"/>
  <c r="AO470" i="4"/>
  <c r="AN470" i="4"/>
  <c r="AL470" i="4"/>
  <c r="AK470" i="4"/>
  <c r="AI470" i="4"/>
  <c r="AH470" i="4"/>
  <c r="AF470" i="4"/>
  <c r="AE470" i="4"/>
  <c r="AC470" i="4"/>
  <c r="AB470" i="4"/>
  <c r="Z470" i="4"/>
  <c r="Y470" i="4"/>
  <c r="W470" i="4"/>
  <c r="V470" i="4"/>
  <c r="T470" i="4"/>
  <c r="S470" i="4"/>
  <c r="Q470" i="4"/>
  <c r="P470" i="4"/>
  <c r="N470" i="4"/>
  <c r="M470" i="4"/>
  <c r="I470" i="4"/>
  <c r="J470" i="4" s="1"/>
  <c r="H470" i="4"/>
  <c r="AP469" i="4"/>
  <c r="AO469" i="4"/>
  <c r="AN469" i="4"/>
  <c r="AL469" i="4"/>
  <c r="AK469" i="4"/>
  <c r="AI469" i="4"/>
  <c r="AH469" i="4"/>
  <c r="AF469" i="4"/>
  <c r="AE469" i="4"/>
  <c r="AC469" i="4"/>
  <c r="AB469" i="4"/>
  <c r="Z469" i="4"/>
  <c r="Y469" i="4"/>
  <c r="W469" i="4"/>
  <c r="V469" i="4"/>
  <c r="T469" i="4"/>
  <c r="S469" i="4"/>
  <c r="Q469" i="4"/>
  <c r="P469" i="4"/>
  <c r="N469" i="4"/>
  <c r="M469" i="4"/>
  <c r="I469" i="4"/>
  <c r="H469" i="4"/>
  <c r="AP468" i="4"/>
  <c r="AR468" i="4" s="1"/>
  <c r="AO468" i="4"/>
  <c r="AL468" i="4"/>
  <c r="AI468" i="4"/>
  <c r="AF468" i="4"/>
  <c r="AC468" i="4"/>
  <c r="Z468" i="4"/>
  <c r="W468" i="4"/>
  <c r="T468" i="4"/>
  <c r="Q468" i="4"/>
  <c r="N468" i="4"/>
  <c r="I468" i="4"/>
  <c r="K468" i="4" s="1"/>
  <c r="AP467" i="4"/>
  <c r="AO467" i="4"/>
  <c r="AN467" i="4"/>
  <c r="AL467" i="4"/>
  <c r="AK467" i="4"/>
  <c r="AI467" i="4"/>
  <c r="AH467" i="4"/>
  <c r="AF467" i="4"/>
  <c r="AE467" i="4"/>
  <c r="AC467" i="4"/>
  <c r="AB467" i="4"/>
  <c r="Z467" i="4"/>
  <c r="Y467" i="4"/>
  <c r="W467" i="4"/>
  <c r="V467" i="4"/>
  <c r="T467" i="4"/>
  <c r="S467" i="4"/>
  <c r="Q467" i="4"/>
  <c r="P467" i="4"/>
  <c r="N467" i="4"/>
  <c r="M467" i="4"/>
  <c r="I467" i="4"/>
  <c r="J467" i="4" s="1"/>
  <c r="H467" i="4"/>
  <c r="AP466" i="4"/>
  <c r="AO466" i="4"/>
  <c r="AN466" i="4"/>
  <c r="AL466" i="4"/>
  <c r="AK466" i="4"/>
  <c r="AI466" i="4"/>
  <c r="AH466" i="4"/>
  <c r="AF466" i="4"/>
  <c r="AE466" i="4"/>
  <c r="AC466" i="4"/>
  <c r="AB466" i="4"/>
  <c r="Z466" i="4"/>
  <c r="Y466" i="4"/>
  <c r="W466" i="4"/>
  <c r="V466" i="4"/>
  <c r="T466" i="4"/>
  <c r="S466" i="4"/>
  <c r="Q466" i="4"/>
  <c r="P466" i="4"/>
  <c r="N466" i="4"/>
  <c r="M466" i="4"/>
  <c r="I466" i="4"/>
  <c r="J466" i="4" s="1"/>
  <c r="H466" i="4"/>
  <c r="AP465" i="4"/>
  <c r="AO465" i="4"/>
  <c r="AL465" i="4"/>
  <c r="AI465" i="4"/>
  <c r="AF465" i="4"/>
  <c r="AC465" i="4"/>
  <c r="Z465" i="4"/>
  <c r="W465" i="4"/>
  <c r="T465" i="4"/>
  <c r="Q465" i="4"/>
  <c r="N465" i="4"/>
  <c r="I465" i="4"/>
  <c r="K465" i="4" s="1"/>
  <c r="AP464" i="4"/>
  <c r="I464" i="4"/>
  <c r="AP463" i="4"/>
  <c r="I463" i="4"/>
  <c r="AP462" i="4"/>
  <c r="AO462" i="4"/>
  <c r="AN462" i="4"/>
  <c r="AL462" i="4"/>
  <c r="AK462" i="4"/>
  <c r="AI462" i="4"/>
  <c r="AH462" i="4"/>
  <c r="AF462" i="4"/>
  <c r="AE462" i="4"/>
  <c r="AC462" i="4"/>
  <c r="AB462" i="4"/>
  <c r="Z462" i="4"/>
  <c r="Y462" i="4"/>
  <c r="W462" i="4"/>
  <c r="V462" i="4"/>
  <c r="T462" i="4"/>
  <c r="S462" i="4"/>
  <c r="Q462" i="4"/>
  <c r="P462" i="4"/>
  <c r="N462" i="4"/>
  <c r="M462" i="4"/>
  <c r="I462" i="4"/>
  <c r="J462" i="4" s="1"/>
  <c r="H462" i="4"/>
  <c r="AP461" i="4"/>
  <c r="AR461" i="4" s="1"/>
  <c r="AO461" i="4"/>
  <c r="AN461" i="4"/>
  <c r="AL461" i="4"/>
  <c r="AK461" i="4"/>
  <c r="AI461" i="4"/>
  <c r="AH461" i="4"/>
  <c r="AF461" i="4"/>
  <c r="AE461" i="4"/>
  <c r="AC461" i="4"/>
  <c r="AB461" i="4"/>
  <c r="Z461" i="4"/>
  <c r="Y461" i="4"/>
  <c r="W461" i="4"/>
  <c r="V461" i="4"/>
  <c r="T461" i="4"/>
  <c r="S461" i="4"/>
  <c r="Q461" i="4"/>
  <c r="P461" i="4"/>
  <c r="N461" i="4"/>
  <c r="M461" i="4"/>
  <c r="I461" i="4"/>
  <c r="H461" i="4"/>
  <c r="AP460" i="4"/>
  <c r="AO460" i="4"/>
  <c r="AN460" i="4"/>
  <c r="AL460" i="4"/>
  <c r="AK460" i="4"/>
  <c r="AI460" i="4"/>
  <c r="AH460" i="4"/>
  <c r="AF460" i="4"/>
  <c r="AE460" i="4"/>
  <c r="AC460" i="4"/>
  <c r="AB460" i="4"/>
  <c r="Z460" i="4"/>
  <c r="Y460" i="4"/>
  <c r="W460" i="4"/>
  <c r="V460" i="4"/>
  <c r="T460" i="4"/>
  <c r="S460" i="4"/>
  <c r="Q460" i="4"/>
  <c r="P460" i="4"/>
  <c r="N460" i="4"/>
  <c r="M460" i="4"/>
  <c r="I460" i="4"/>
  <c r="J460" i="4" s="1"/>
  <c r="H460" i="4"/>
  <c r="AP459" i="4"/>
  <c r="AS459" i="4" s="1"/>
  <c r="AT459" i="4" s="1"/>
  <c r="AO459" i="4"/>
  <c r="AN459" i="4"/>
  <c r="AL459" i="4"/>
  <c r="AK459" i="4"/>
  <c r="AI459" i="4"/>
  <c r="AH459" i="4"/>
  <c r="AF459" i="4"/>
  <c r="AE459" i="4"/>
  <c r="AC459" i="4"/>
  <c r="AB459" i="4"/>
  <c r="Z459" i="4"/>
  <c r="Y459" i="4"/>
  <c r="W459" i="4"/>
  <c r="V459" i="4"/>
  <c r="T459" i="4"/>
  <c r="S459" i="4"/>
  <c r="Q459" i="4"/>
  <c r="P459" i="4"/>
  <c r="N459" i="4"/>
  <c r="M459" i="4"/>
  <c r="I459" i="4"/>
  <c r="H459" i="4"/>
  <c r="AP458" i="4"/>
  <c r="AO458" i="4"/>
  <c r="AN458" i="4"/>
  <c r="AL458" i="4"/>
  <c r="AK458" i="4"/>
  <c r="AI458" i="4"/>
  <c r="AH458" i="4"/>
  <c r="AF458" i="4"/>
  <c r="AE458" i="4"/>
  <c r="AC458" i="4"/>
  <c r="AB458" i="4"/>
  <c r="Z458" i="4"/>
  <c r="Y458" i="4"/>
  <c r="W458" i="4"/>
  <c r="V458" i="4"/>
  <c r="T458" i="4"/>
  <c r="S458" i="4"/>
  <c r="Q458" i="4"/>
  <c r="P458" i="4"/>
  <c r="N458" i="4"/>
  <c r="M458" i="4"/>
  <c r="I458" i="4"/>
  <c r="H458" i="4"/>
  <c r="AP457" i="4"/>
  <c r="I457" i="4"/>
  <c r="AP456" i="4"/>
  <c r="AO456" i="4"/>
  <c r="AN456" i="4"/>
  <c r="AL456" i="4"/>
  <c r="AK456" i="4"/>
  <c r="AI456" i="4"/>
  <c r="AH456" i="4"/>
  <c r="AF456" i="4"/>
  <c r="AE456" i="4"/>
  <c r="AC456" i="4"/>
  <c r="AB456" i="4"/>
  <c r="Z456" i="4"/>
  <c r="Y456" i="4"/>
  <c r="W456" i="4"/>
  <c r="V456" i="4"/>
  <c r="T456" i="4"/>
  <c r="S456" i="4"/>
  <c r="Q456" i="4"/>
  <c r="P456" i="4"/>
  <c r="N456" i="4"/>
  <c r="M456" i="4"/>
  <c r="I456" i="4"/>
  <c r="H456" i="4"/>
  <c r="AP455" i="4"/>
  <c r="AS455" i="4" s="1"/>
  <c r="AT455" i="4" s="1"/>
  <c r="AO455" i="4"/>
  <c r="AN455" i="4"/>
  <c r="AL455" i="4"/>
  <c r="AK455" i="4"/>
  <c r="AI455" i="4"/>
  <c r="AH455" i="4"/>
  <c r="AF455" i="4"/>
  <c r="AE455" i="4"/>
  <c r="AC455" i="4"/>
  <c r="AB455" i="4"/>
  <c r="Z455" i="4"/>
  <c r="Y455" i="4"/>
  <c r="W455" i="4"/>
  <c r="V455" i="4"/>
  <c r="T455" i="4"/>
  <c r="S455" i="4"/>
  <c r="Q455" i="4"/>
  <c r="P455" i="4"/>
  <c r="N455" i="4"/>
  <c r="M455" i="4"/>
  <c r="I455" i="4"/>
  <c r="J455" i="4" s="1"/>
  <c r="H455" i="4"/>
  <c r="AP454" i="4"/>
  <c r="AO454" i="4"/>
  <c r="AN454" i="4"/>
  <c r="AL454" i="4"/>
  <c r="AK454" i="4"/>
  <c r="AI454" i="4"/>
  <c r="AH454" i="4"/>
  <c r="AF454" i="4"/>
  <c r="AE454" i="4"/>
  <c r="AC454" i="4"/>
  <c r="AB454" i="4"/>
  <c r="Z454" i="4"/>
  <c r="Y454" i="4"/>
  <c r="W454" i="4"/>
  <c r="V454" i="4"/>
  <c r="T454" i="4"/>
  <c r="S454" i="4"/>
  <c r="Q454" i="4"/>
  <c r="P454" i="4"/>
  <c r="N454" i="4"/>
  <c r="M454" i="4"/>
  <c r="I454" i="4"/>
  <c r="J454" i="4" s="1"/>
  <c r="H454" i="4"/>
  <c r="AP453" i="4"/>
  <c r="AO453" i="4"/>
  <c r="AN453" i="4"/>
  <c r="AL453" i="4"/>
  <c r="AK453" i="4"/>
  <c r="AI453" i="4"/>
  <c r="AH453" i="4"/>
  <c r="AF453" i="4"/>
  <c r="AE453" i="4"/>
  <c r="AC453" i="4"/>
  <c r="AB453" i="4"/>
  <c r="Z453" i="4"/>
  <c r="Y453" i="4"/>
  <c r="W453" i="4"/>
  <c r="V453" i="4"/>
  <c r="T453" i="4"/>
  <c r="S453" i="4"/>
  <c r="Q453" i="4"/>
  <c r="P453" i="4"/>
  <c r="N453" i="4"/>
  <c r="M453" i="4"/>
  <c r="I453" i="4"/>
  <c r="J453" i="4" s="1"/>
  <c r="H453" i="4"/>
  <c r="AP452" i="4"/>
  <c r="I452" i="4"/>
  <c r="AP451" i="4"/>
  <c r="AO451" i="4"/>
  <c r="AN451" i="4"/>
  <c r="AL451" i="4"/>
  <c r="AK451" i="4"/>
  <c r="AI451" i="4"/>
  <c r="AH451" i="4"/>
  <c r="AF451" i="4"/>
  <c r="AE451" i="4"/>
  <c r="AC451" i="4"/>
  <c r="AB451" i="4"/>
  <c r="Z451" i="4"/>
  <c r="Y451" i="4"/>
  <c r="W451" i="4"/>
  <c r="V451" i="4"/>
  <c r="T451" i="4"/>
  <c r="S451" i="4"/>
  <c r="Q451" i="4"/>
  <c r="P451" i="4"/>
  <c r="N451" i="4"/>
  <c r="M451" i="4"/>
  <c r="I451" i="4"/>
  <c r="H451" i="4"/>
  <c r="AP450" i="4"/>
  <c r="AQ450" i="4" s="1"/>
  <c r="AO450" i="4"/>
  <c r="AN450" i="4"/>
  <c r="AL450" i="4"/>
  <c r="AK450" i="4"/>
  <c r="AI450" i="4"/>
  <c r="AH450" i="4"/>
  <c r="AF450" i="4"/>
  <c r="AE450" i="4"/>
  <c r="AC450" i="4"/>
  <c r="AB450" i="4"/>
  <c r="Z450" i="4"/>
  <c r="Y450" i="4"/>
  <c r="W450" i="4"/>
  <c r="V450" i="4"/>
  <c r="T450" i="4"/>
  <c r="S450" i="4"/>
  <c r="Q450" i="4"/>
  <c r="P450" i="4"/>
  <c r="N450" i="4"/>
  <c r="M450" i="4"/>
  <c r="I450" i="4"/>
  <c r="J450" i="4" s="1"/>
  <c r="H450" i="4"/>
  <c r="AP449" i="4"/>
  <c r="AO449" i="4"/>
  <c r="AN449" i="4"/>
  <c r="AL449" i="4"/>
  <c r="AK449" i="4"/>
  <c r="AI449" i="4"/>
  <c r="AH449" i="4"/>
  <c r="AF449" i="4"/>
  <c r="AE449" i="4"/>
  <c r="AC449" i="4"/>
  <c r="AB449" i="4"/>
  <c r="Z449" i="4"/>
  <c r="Y449" i="4"/>
  <c r="W449" i="4"/>
  <c r="V449" i="4"/>
  <c r="T449" i="4"/>
  <c r="S449" i="4"/>
  <c r="Q449" i="4"/>
  <c r="P449" i="4"/>
  <c r="N449" i="4"/>
  <c r="M449" i="4"/>
  <c r="I449" i="4"/>
  <c r="K449" i="4" s="1"/>
  <c r="H449" i="4"/>
  <c r="AP448" i="4"/>
  <c r="AO448" i="4"/>
  <c r="AN448" i="4"/>
  <c r="AL448" i="4"/>
  <c r="AK448" i="4"/>
  <c r="AI448" i="4"/>
  <c r="AH448" i="4"/>
  <c r="AF448" i="4"/>
  <c r="AE448" i="4"/>
  <c r="AC448" i="4"/>
  <c r="AB448" i="4"/>
  <c r="Z448" i="4"/>
  <c r="Y448" i="4"/>
  <c r="W448" i="4"/>
  <c r="V448" i="4"/>
  <c r="T448" i="4"/>
  <c r="S448" i="4"/>
  <c r="Q448" i="4"/>
  <c r="P448" i="4"/>
  <c r="N448" i="4"/>
  <c r="M448" i="4"/>
  <c r="I448" i="4"/>
  <c r="J448" i="4" s="1"/>
  <c r="H448" i="4"/>
  <c r="AP447" i="4"/>
  <c r="AR447" i="4" s="1"/>
  <c r="AO447" i="4"/>
  <c r="AN447" i="4"/>
  <c r="AL447" i="4"/>
  <c r="AK447" i="4"/>
  <c r="AI447" i="4"/>
  <c r="AH447" i="4"/>
  <c r="AF447" i="4"/>
  <c r="AE447" i="4"/>
  <c r="AC447" i="4"/>
  <c r="AB447" i="4"/>
  <c r="Z447" i="4"/>
  <c r="Y447" i="4"/>
  <c r="W447" i="4"/>
  <c r="V447" i="4"/>
  <c r="T447" i="4"/>
  <c r="S447" i="4"/>
  <c r="Q447" i="4"/>
  <c r="P447" i="4"/>
  <c r="N447" i="4"/>
  <c r="M447" i="4"/>
  <c r="I447" i="4"/>
  <c r="H447" i="4"/>
  <c r="AP446" i="4"/>
  <c r="AO446" i="4"/>
  <c r="AN446" i="4"/>
  <c r="AL446" i="4"/>
  <c r="AK446" i="4"/>
  <c r="AI446" i="4"/>
  <c r="AH446" i="4"/>
  <c r="AF446" i="4"/>
  <c r="AE446" i="4"/>
  <c r="AC446" i="4"/>
  <c r="AB446" i="4"/>
  <c r="Z446" i="4"/>
  <c r="Y446" i="4"/>
  <c r="W446" i="4"/>
  <c r="V446" i="4"/>
  <c r="T446" i="4"/>
  <c r="S446" i="4"/>
  <c r="Q446" i="4"/>
  <c r="P446" i="4"/>
  <c r="N446" i="4"/>
  <c r="M446" i="4"/>
  <c r="I446" i="4"/>
  <c r="H446" i="4"/>
  <c r="AP445" i="4"/>
  <c r="AS445" i="4" s="1"/>
  <c r="AT445" i="4" s="1"/>
  <c r="AO445" i="4"/>
  <c r="AN445" i="4"/>
  <c r="AL445" i="4"/>
  <c r="AK445" i="4"/>
  <c r="AI445" i="4"/>
  <c r="AH445" i="4"/>
  <c r="AF445" i="4"/>
  <c r="AE445" i="4"/>
  <c r="AC445" i="4"/>
  <c r="AB445" i="4"/>
  <c r="Z445" i="4"/>
  <c r="Y445" i="4"/>
  <c r="W445" i="4"/>
  <c r="V445" i="4"/>
  <c r="T445" i="4"/>
  <c r="S445" i="4"/>
  <c r="Q445" i="4"/>
  <c r="P445" i="4"/>
  <c r="N445" i="4"/>
  <c r="M445" i="4"/>
  <c r="I445" i="4"/>
  <c r="H445" i="4"/>
  <c r="AP444" i="4"/>
  <c r="AO444" i="4"/>
  <c r="AN444" i="4"/>
  <c r="AL444" i="4"/>
  <c r="AK444" i="4"/>
  <c r="AI444" i="4"/>
  <c r="AH444" i="4"/>
  <c r="AF444" i="4"/>
  <c r="AE444" i="4"/>
  <c r="AC444" i="4"/>
  <c r="AB444" i="4"/>
  <c r="Z444" i="4"/>
  <c r="Y444" i="4"/>
  <c r="W444" i="4"/>
  <c r="V444" i="4"/>
  <c r="T444" i="4"/>
  <c r="S444" i="4"/>
  <c r="Q444" i="4"/>
  <c r="P444" i="4"/>
  <c r="N444" i="4"/>
  <c r="M444" i="4"/>
  <c r="I444" i="4"/>
  <c r="H444" i="4"/>
  <c r="AP443" i="4"/>
  <c r="I443" i="4"/>
  <c r="AP442" i="4"/>
  <c r="AS442" i="4" s="1"/>
  <c r="AU442" i="4" s="1"/>
  <c r="AO442" i="4"/>
  <c r="AN442" i="4"/>
  <c r="AL442" i="4"/>
  <c r="AK442" i="4"/>
  <c r="AI442" i="4"/>
  <c r="AH442" i="4"/>
  <c r="AF442" i="4"/>
  <c r="AE442" i="4"/>
  <c r="AC442" i="4"/>
  <c r="AB442" i="4"/>
  <c r="Z442" i="4"/>
  <c r="Y442" i="4"/>
  <c r="W442" i="4"/>
  <c r="V442" i="4"/>
  <c r="T442" i="4"/>
  <c r="S442" i="4"/>
  <c r="Q442" i="4"/>
  <c r="P442" i="4"/>
  <c r="N442" i="4"/>
  <c r="M442" i="4"/>
  <c r="I442" i="4"/>
  <c r="H442" i="4"/>
  <c r="AP441" i="4"/>
  <c r="AO441" i="4"/>
  <c r="AN441" i="4"/>
  <c r="AL441" i="4"/>
  <c r="AK441" i="4"/>
  <c r="AI441" i="4"/>
  <c r="AH441" i="4"/>
  <c r="AF441" i="4"/>
  <c r="AE441" i="4"/>
  <c r="AC441" i="4"/>
  <c r="AB441" i="4"/>
  <c r="Z441" i="4"/>
  <c r="Y441" i="4"/>
  <c r="W441" i="4"/>
  <c r="V441" i="4"/>
  <c r="T441" i="4"/>
  <c r="S441" i="4"/>
  <c r="Q441" i="4"/>
  <c r="P441" i="4"/>
  <c r="N441" i="4"/>
  <c r="M441" i="4"/>
  <c r="I441" i="4"/>
  <c r="H441" i="4"/>
  <c r="AP440" i="4"/>
  <c r="AO440" i="4"/>
  <c r="AN440" i="4"/>
  <c r="AL440" i="4"/>
  <c r="AK440" i="4"/>
  <c r="AI440" i="4"/>
  <c r="AH440" i="4"/>
  <c r="AF440" i="4"/>
  <c r="AE440" i="4"/>
  <c r="AC440" i="4"/>
  <c r="AB440" i="4"/>
  <c r="Z440" i="4"/>
  <c r="Y440" i="4"/>
  <c r="W440" i="4"/>
  <c r="V440" i="4"/>
  <c r="T440" i="4"/>
  <c r="S440" i="4"/>
  <c r="Q440" i="4"/>
  <c r="P440" i="4"/>
  <c r="N440" i="4"/>
  <c r="M440" i="4"/>
  <c r="I440" i="4"/>
  <c r="H440" i="4"/>
  <c r="AP439" i="4"/>
  <c r="AS439" i="4" s="1"/>
  <c r="AO439" i="4"/>
  <c r="AN439" i="4"/>
  <c r="AL439" i="4"/>
  <c r="AK439" i="4"/>
  <c r="AI439" i="4"/>
  <c r="AH439" i="4"/>
  <c r="AF439" i="4"/>
  <c r="AE439" i="4"/>
  <c r="AC439" i="4"/>
  <c r="AB439" i="4"/>
  <c r="Z439" i="4"/>
  <c r="Y439" i="4"/>
  <c r="W439" i="4"/>
  <c r="V439" i="4"/>
  <c r="T439" i="4"/>
  <c r="S439" i="4"/>
  <c r="Q439" i="4"/>
  <c r="P439" i="4"/>
  <c r="N439" i="4"/>
  <c r="M439" i="4"/>
  <c r="I439" i="4"/>
  <c r="J439" i="4" s="1"/>
  <c r="H439" i="4"/>
  <c r="AP438" i="4"/>
  <c r="AO438" i="4"/>
  <c r="AN438" i="4"/>
  <c r="AL438" i="4"/>
  <c r="AK438" i="4"/>
  <c r="AI438" i="4"/>
  <c r="AH438" i="4"/>
  <c r="AF438" i="4"/>
  <c r="AE438" i="4"/>
  <c r="AC438" i="4"/>
  <c r="AB438" i="4"/>
  <c r="Z438" i="4"/>
  <c r="Y438" i="4"/>
  <c r="W438" i="4"/>
  <c r="V438" i="4"/>
  <c r="T438" i="4"/>
  <c r="S438" i="4"/>
  <c r="Q438" i="4"/>
  <c r="P438" i="4"/>
  <c r="N438" i="4"/>
  <c r="M438" i="4"/>
  <c r="I438" i="4"/>
  <c r="H438" i="4"/>
  <c r="AP437" i="4"/>
  <c r="AR437" i="4" s="1"/>
  <c r="AO437" i="4"/>
  <c r="AN437" i="4"/>
  <c r="AL437" i="4"/>
  <c r="AK437" i="4"/>
  <c r="AI437" i="4"/>
  <c r="AH437" i="4"/>
  <c r="AF437" i="4"/>
  <c r="AE437" i="4"/>
  <c r="AC437" i="4"/>
  <c r="AB437" i="4"/>
  <c r="Z437" i="4"/>
  <c r="Y437" i="4"/>
  <c r="W437" i="4"/>
  <c r="V437" i="4"/>
  <c r="T437" i="4"/>
  <c r="S437" i="4"/>
  <c r="Q437" i="4"/>
  <c r="P437" i="4"/>
  <c r="N437" i="4"/>
  <c r="M437" i="4"/>
  <c r="I437" i="4"/>
  <c r="H437" i="4"/>
  <c r="AP436" i="4"/>
  <c r="AO436" i="4"/>
  <c r="AN436" i="4"/>
  <c r="AL436" i="4"/>
  <c r="AK436" i="4"/>
  <c r="AI436" i="4"/>
  <c r="AH436" i="4"/>
  <c r="AF436" i="4"/>
  <c r="AE436" i="4"/>
  <c r="AC436" i="4"/>
  <c r="AB436" i="4"/>
  <c r="Z436" i="4"/>
  <c r="Y436" i="4"/>
  <c r="W436" i="4"/>
  <c r="V436" i="4"/>
  <c r="T436" i="4"/>
  <c r="S436" i="4"/>
  <c r="Q436" i="4"/>
  <c r="P436" i="4"/>
  <c r="N436" i="4"/>
  <c r="M436" i="4"/>
  <c r="I436" i="4"/>
  <c r="H436" i="4"/>
  <c r="AP435" i="4"/>
  <c r="AO435" i="4"/>
  <c r="AN435" i="4"/>
  <c r="AL435" i="4"/>
  <c r="AK435" i="4"/>
  <c r="AI435" i="4"/>
  <c r="AH435" i="4"/>
  <c r="AF435" i="4"/>
  <c r="AE435" i="4"/>
  <c r="AC435" i="4"/>
  <c r="AB435" i="4"/>
  <c r="Z435" i="4"/>
  <c r="Y435" i="4"/>
  <c r="W435" i="4"/>
  <c r="V435" i="4"/>
  <c r="T435" i="4"/>
  <c r="S435" i="4"/>
  <c r="Q435" i="4"/>
  <c r="P435" i="4"/>
  <c r="N435" i="4"/>
  <c r="M435" i="4"/>
  <c r="I435" i="4"/>
  <c r="K435" i="4" s="1"/>
  <c r="H435" i="4"/>
  <c r="AP434" i="4"/>
  <c r="AO434" i="4"/>
  <c r="AN434" i="4"/>
  <c r="AL434" i="4"/>
  <c r="AK434" i="4"/>
  <c r="AI434" i="4"/>
  <c r="AH434" i="4"/>
  <c r="AF434" i="4"/>
  <c r="AE434" i="4"/>
  <c r="AC434" i="4"/>
  <c r="AB434" i="4"/>
  <c r="Z434" i="4"/>
  <c r="Y434" i="4"/>
  <c r="W434" i="4"/>
  <c r="V434" i="4"/>
  <c r="T434" i="4"/>
  <c r="S434" i="4"/>
  <c r="Q434" i="4"/>
  <c r="P434" i="4"/>
  <c r="N434" i="4"/>
  <c r="M434" i="4"/>
  <c r="I434" i="4"/>
  <c r="H434" i="4"/>
  <c r="AP433" i="4"/>
  <c r="AQ433" i="4" s="1"/>
  <c r="AO433" i="4"/>
  <c r="AN433" i="4"/>
  <c r="AL433" i="4"/>
  <c r="AK433" i="4"/>
  <c r="AI433" i="4"/>
  <c r="AH433" i="4"/>
  <c r="AF433" i="4"/>
  <c r="AE433" i="4"/>
  <c r="AC433" i="4"/>
  <c r="AB433" i="4"/>
  <c r="Z433" i="4"/>
  <c r="Y433" i="4"/>
  <c r="W433" i="4"/>
  <c r="V433" i="4"/>
  <c r="T433" i="4"/>
  <c r="S433" i="4"/>
  <c r="Q433" i="4"/>
  <c r="P433" i="4"/>
  <c r="N433" i="4"/>
  <c r="M433" i="4"/>
  <c r="I433" i="4"/>
  <c r="H433" i="4"/>
  <c r="AP432" i="4"/>
  <c r="AQ432" i="4" s="1"/>
  <c r="AO432" i="4"/>
  <c r="AN432" i="4"/>
  <c r="AL432" i="4"/>
  <c r="AK432" i="4"/>
  <c r="AI432" i="4"/>
  <c r="AH432" i="4"/>
  <c r="AF432" i="4"/>
  <c r="AE432" i="4"/>
  <c r="AC432" i="4"/>
  <c r="AB432" i="4"/>
  <c r="Z432" i="4"/>
  <c r="Y432" i="4"/>
  <c r="W432" i="4"/>
  <c r="V432" i="4"/>
  <c r="T432" i="4"/>
  <c r="S432" i="4"/>
  <c r="Q432" i="4"/>
  <c r="P432" i="4"/>
  <c r="N432" i="4"/>
  <c r="M432" i="4"/>
  <c r="I432" i="4"/>
  <c r="H432" i="4"/>
  <c r="AP431" i="4"/>
  <c r="AQ431" i="4" s="1"/>
  <c r="AO431" i="4"/>
  <c r="AN431" i="4"/>
  <c r="AL431" i="4"/>
  <c r="AK431" i="4"/>
  <c r="AI431" i="4"/>
  <c r="AH431" i="4"/>
  <c r="AF431" i="4"/>
  <c r="AE431" i="4"/>
  <c r="AC431" i="4"/>
  <c r="AB431" i="4"/>
  <c r="Z431" i="4"/>
  <c r="Y431" i="4"/>
  <c r="W431" i="4"/>
  <c r="V431" i="4"/>
  <c r="T431" i="4"/>
  <c r="S431" i="4"/>
  <c r="Q431" i="4"/>
  <c r="P431" i="4"/>
  <c r="N431" i="4"/>
  <c r="M431" i="4"/>
  <c r="I431" i="4"/>
  <c r="H431" i="4"/>
  <c r="AP430" i="4"/>
  <c r="I430" i="4"/>
  <c r="AP429" i="4"/>
  <c r="AS429" i="4" s="1"/>
  <c r="AO429" i="4"/>
  <c r="AN429" i="4"/>
  <c r="AL429" i="4"/>
  <c r="AK429" i="4"/>
  <c r="AI429" i="4"/>
  <c r="AH429" i="4"/>
  <c r="AF429" i="4"/>
  <c r="AE429" i="4"/>
  <c r="AC429" i="4"/>
  <c r="AB429" i="4"/>
  <c r="Z429" i="4"/>
  <c r="Y429" i="4"/>
  <c r="W429" i="4"/>
  <c r="V429" i="4"/>
  <c r="T429" i="4"/>
  <c r="S429" i="4"/>
  <c r="Q429" i="4"/>
  <c r="P429" i="4"/>
  <c r="N429" i="4"/>
  <c r="M429" i="4"/>
  <c r="I429" i="4"/>
  <c r="K429" i="4" s="1"/>
  <c r="H429" i="4"/>
  <c r="AP428" i="4"/>
  <c r="AO428" i="4"/>
  <c r="AN428" i="4"/>
  <c r="AL428" i="4"/>
  <c r="AK428" i="4"/>
  <c r="AI428" i="4"/>
  <c r="AH428" i="4"/>
  <c r="AF428" i="4"/>
  <c r="AE428" i="4"/>
  <c r="AC428" i="4"/>
  <c r="AB428" i="4"/>
  <c r="Z428" i="4"/>
  <c r="Y428" i="4"/>
  <c r="W428" i="4"/>
  <c r="V428" i="4"/>
  <c r="T428" i="4"/>
  <c r="S428" i="4"/>
  <c r="Q428" i="4"/>
  <c r="P428" i="4"/>
  <c r="N428" i="4"/>
  <c r="M428" i="4"/>
  <c r="I428" i="4"/>
  <c r="H428" i="4"/>
  <c r="AP427" i="4"/>
  <c r="AR427" i="4" s="1"/>
  <c r="AO427" i="4"/>
  <c r="AN427" i="4"/>
  <c r="AL427" i="4"/>
  <c r="AK427" i="4"/>
  <c r="AI427" i="4"/>
  <c r="AH427" i="4"/>
  <c r="AF427" i="4"/>
  <c r="AE427" i="4"/>
  <c r="AC427" i="4"/>
  <c r="AB427" i="4"/>
  <c r="Z427" i="4"/>
  <c r="Y427" i="4"/>
  <c r="W427" i="4"/>
  <c r="V427" i="4"/>
  <c r="T427" i="4"/>
  <c r="S427" i="4"/>
  <c r="Q427" i="4"/>
  <c r="P427" i="4"/>
  <c r="N427" i="4"/>
  <c r="M427" i="4"/>
  <c r="I427" i="4"/>
  <c r="K427" i="4" s="1"/>
  <c r="H427" i="4"/>
  <c r="AP426" i="4"/>
  <c r="AO426" i="4"/>
  <c r="AN426" i="4"/>
  <c r="AL426" i="4"/>
  <c r="AK426" i="4"/>
  <c r="AI426" i="4"/>
  <c r="AH426" i="4"/>
  <c r="AF426" i="4"/>
  <c r="AE426" i="4"/>
  <c r="AC426" i="4"/>
  <c r="AB426" i="4"/>
  <c r="Z426" i="4"/>
  <c r="Y426" i="4"/>
  <c r="W426" i="4"/>
  <c r="V426" i="4"/>
  <c r="T426" i="4"/>
  <c r="S426" i="4"/>
  <c r="Q426" i="4"/>
  <c r="P426" i="4"/>
  <c r="N426" i="4"/>
  <c r="M426" i="4"/>
  <c r="I426" i="4"/>
  <c r="H426" i="4"/>
  <c r="AP425" i="4"/>
  <c r="AS425" i="4" s="1"/>
  <c r="AO425" i="4"/>
  <c r="AN425" i="4"/>
  <c r="AL425" i="4"/>
  <c r="AK425" i="4"/>
  <c r="AI425" i="4"/>
  <c r="AH425" i="4"/>
  <c r="AF425" i="4"/>
  <c r="AE425" i="4"/>
  <c r="AC425" i="4"/>
  <c r="AB425" i="4"/>
  <c r="Z425" i="4"/>
  <c r="Y425" i="4"/>
  <c r="W425" i="4"/>
  <c r="V425" i="4"/>
  <c r="T425" i="4"/>
  <c r="S425" i="4"/>
  <c r="Q425" i="4"/>
  <c r="P425" i="4"/>
  <c r="N425" i="4"/>
  <c r="M425" i="4"/>
  <c r="I425" i="4"/>
  <c r="H425" i="4"/>
  <c r="AP424" i="4"/>
  <c r="AO424" i="4"/>
  <c r="AN424" i="4"/>
  <c r="AL424" i="4"/>
  <c r="AK424" i="4"/>
  <c r="AI424" i="4"/>
  <c r="AH424" i="4"/>
  <c r="AF424" i="4"/>
  <c r="AE424" i="4"/>
  <c r="AC424" i="4"/>
  <c r="AB424" i="4"/>
  <c r="Z424" i="4"/>
  <c r="Y424" i="4"/>
  <c r="W424" i="4"/>
  <c r="V424" i="4"/>
  <c r="T424" i="4"/>
  <c r="S424" i="4"/>
  <c r="Q424" i="4"/>
  <c r="P424" i="4"/>
  <c r="N424" i="4"/>
  <c r="M424" i="4"/>
  <c r="I424" i="4"/>
  <c r="H424" i="4"/>
  <c r="AP423" i="4"/>
  <c r="AO423" i="4"/>
  <c r="AN423" i="4"/>
  <c r="AL423" i="4"/>
  <c r="AK423" i="4"/>
  <c r="AI423" i="4"/>
  <c r="AH423" i="4"/>
  <c r="AF423" i="4"/>
  <c r="AE423" i="4"/>
  <c r="AC423" i="4"/>
  <c r="AB423" i="4"/>
  <c r="Z423" i="4"/>
  <c r="Y423" i="4"/>
  <c r="W423" i="4"/>
  <c r="V423" i="4"/>
  <c r="T423" i="4"/>
  <c r="S423" i="4"/>
  <c r="Q423" i="4"/>
  <c r="P423" i="4"/>
  <c r="N423" i="4"/>
  <c r="M423" i="4"/>
  <c r="I423" i="4"/>
  <c r="K423" i="4" s="1"/>
  <c r="H423" i="4"/>
  <c r="AP422" i="4"/>
  <c r="AO422" i="4"/>
  <c r="AN422" i="4"/>
  <c r="AL422" i="4"/>
  <c r="AK422" i="4"/>
  <c r="AI422" i="4"/>
  <c r="AH422" i="4"/>
  <c r="AF422" i="4"/>
  <c r="AE422" i="4"/>
  <c r="AC422" i="4"/>
  <c r="AB422" i="4"/>
  <c r="Z422" i="4"/>
  <c r="Y422" i="4"/>
  <c r="W422" i="4"/>
  <c r="V422" i="4"/>
  <c r="T422" i="4"/>
  <c r="S422" i="4"/>
  <c r="Q422" i="4"/>
  <c r="P422" i="4"/>
  <c r="N422" i="4"/>
  <c r="M422" i="4"/>
  <c r="I422" i="4"/>
  <c r="J422" i="4" s="1"/>
  <c r="H422" i="4"/>
  <c r="AP421" i="4"/>
  <c r="AO421" i="4"/>
  <c r="AN421" i="4"/>
  <c r="AL421" i="4"/>
  <c r="AK421" i="4"/>
  <c r="AI421" i="4"/>
  <c r="AH421" i="4"/>
  <c r="AF421" i="4"/>
  <c r="AE421" i="4"/>
  <c r="AC421" i="4"/>
  <c r="AB421" i="4"/>
  <c r="Z421" i="4"/>
  <c r="Y421" i="4"/>
  <c r="W421" i="4"/>
  <c r="V421" i="4"/>
  <c r="T421" i="4"/>
  <c r="S421" i="4"/>
  <c r="Q421" i="4"/>
  <c r="P421" i="4"/>
  <c r="N421" i="4"/>
  <c r="M421" i="4"/>
  <c r="I421" i="4"/>
  <c r="J421" i="4" s="1"/>
  <c r="H421" i="4"/>
  <c r="AP420" i="4"/>
  <c r="AQ420" i="4" s="1"/>
  <c r="AO420" i="4"/>
  <c r="AN420" i="4"/>
  <c r="AL420" i="4"/>
  <c r="AK420" i="4"/>
  <c r="AI420" i="4"/>
  <c r="AH420" i="4"/>
  <c r="AF420" i="4"/>
  <c r="AE420" i="4"/>
  <c r="AC420" i="4"/>
  <c r="AB420" i="4"/>
  <c r="Z420" i="4"/>
  <c r="Y420" i="4"/>
  <c r="W420" i="4"/>
  <c r="V420" i="4"/>
  <c r="T420" i="4"/>
  <c r="S420" i="4"/>
  <c r="Q420" i="4"/>
  <c r="P420" i="4"/>
  <c r="N420" i="4"/>
  <c r="M420" i="4"/>
  <c r="I420" i="4"/>
  <c r="H420" i="4"/>
  <c r="AP419" i="4"/>
  <c r="AO419" i="4"/>
  <c r="AN419" i="4"/>
  <c r="AL419" i="4"/>
  <c r="AK419" i="4"/>
  <c r="AI419" i="4"/>
  <c r="AH419" i="4"/>
  <c r="AF419" i="4"/>
  <c r="AE419" i="4"/>
  <c r="AC419" i="4"/>
  <c r="AB419" i="4"/>
  <c r="Z419" i="4"/>
  <c r="Y419" i="4"/>
  <c r="W419" i="4"/>
  <c r="V419" i="4"/>
  <c r="T419" i="4"/>
  <c r="S419" i="4"/>
  <c r="Q419" i="4"/>
  <c r="P419" i="4"/>
  <c r="N419" i="4"/>
  <c r="M419" i="4"/>
  <c r="I419" i="4"/>
  <c r="K419" i="4" s="1"/>
  <c r="H419" i="4"/>
  <c r="AP418" i="4"/>
  <c r="AQ418" i="4" s="1"/>
  <c r="AO418" i="4"/>
  <c r="AN418" i="4"/>
  <c r="AL418" i="4"/>
  <c r="AK418" i="4"/>
  <c r="AI418" i="4"/>
  <c r="AH418" i="4"/>
  <c r="AF418" i="4"/>
  <c r="AE418" i="4"/>
  <c r="AC418" i="4"/>
  <c r="AB418" i="4"/>
  <c r="Z418" i="4"/>
  <c r="Y418" i="4"/>
  <c r="W418" i="4"/>
  <c r="V418" i="4"/>
  <c r="T418" i="4"/>
  <c r="S418" i="4"/>
  <c r="Q418" i="4"/>
  <c r="P418" i="4"/>
  <c r="N418" i="4"/>
  <c r="M418" i="4"/>
  <c r="I418" i="4"/>
  <c r="J418" i="4" s="1"/>
  <c r="H418" i="4"/>
  <c r="AP417" i="4"/>
  <c r="AO417" i="4"/>
  <c r="AN417" i="4"/>
  <c r="AL417" i="4"/>
  <c r="AK417" i="4"/>
  <c r="AI417" i="4"/>
  <c r="AH417" i="4"/>
  <c r="AF417" i="4"/>
  <c r="AE417" i="4"/>
  <c r="AC417" i="4"/>
  <c r="AB417" i="4"/>
  <c r="Z417" i="4"/>
  <c r="Y417" i="4"/>
  <c r="W417" i="4"/>
  <c r="V417" i="4"/>
  <c r="T417" i="4"/>
  <c r="S417" i="4"/>
  <c r="Q417" i="4"/>
  <c r="P417" i="4"/>
  <c r="N417" i="4"/>
  <c r="M417" i="4"/>
  <c r="I417" i="4"/>
  <c r="H417" i="4"/>
  <c r="AP416" i="4"/>
  <c r="AQ416" i="4" s="1"/>
  <c r="AO416" i="4"/>
  <c r="AN416" i="4"/>
  <c r="AL416" i="4"/>
  <c r="AK416" i="4"/>
  <c r="AI416" i="4"/>
  <c r="AH416" i="4"/>
  <c r="AF416" i="4"/>
  <c r="AE416" i="4"/>
  <c r="AC416" i="4"/>
  <c r="AB416" i="4"/>
  <c r="Z416" i="4"/>
  <c r="Y416" i="4"/>
  <c r="W416" i="4"/>
  <c r="V416" i="4"/>
  <c r="T416" i="4"/>
  <c r="S416" i="4"/>
  <c r="Q416" i="4"/>
  <c r="P416" i="4"/>
  <c r="N416" i="4"/>
  <c r="M416" i="4"/>
  <c r="I416" i="4"/>
  <c r="K416" i="4" s="1"/>
  <c r="H416" i="4"/>
  <c r="AP415" i="4"/>
  <c r="I415" i="4"/>
  <c r="AP414" i="4"/>
  <c r="AQ414" i="4" s="1"/>
  <c r="AO414" i="4"/>
  <c r="AN414" i="4"/>
  <c r="AL414" i="4"/>
  <c r="AK414" i="4"/>
  <c r="AI414" i="4"/>
  <c r="AH414" i="4"/>
  <c r="AF414" i="4"/>
  <c r="AE414" i="4"/>
  <c r="AC414" i="4"/>
  <c r="AB414" i="4"/>
  <c r="Z414" i="4"/>
  <c r="Y414" i="4"/>
  <c r="W414" i="4"/>
  <c r="V414" i="4"/>
  <c r="T414" i="4"/>
  <c r="S414" i="4"/>
  <c r="Q414" i="4"/>
  <c r="P414" i="4"/>
  <c r="N414" i="4"/>
  <c r="M414" i="4"/>
  <c r="I414" i="4"/>
  <c r="K414" i="4" s="1"/>
  <c r="H414" i="4"/>
  <c r="AP413" i="4"/>
  <c r="AO413" i="4"/>
  <c r="AN413" i="4"/>
  <c r="AL413" i="4"/>
  <c r="AK413" i="4"/>
  <c r="AI413" i="4"/>
  <c r="AH413" i="4"/>
  <c r="AF413" i="4"/>
  <c r="AE413" i="4"/>
  <c r="AC413" i="4"/>
  <c r="AB413" i="4"/>
  <c r="Z413" i="4"/>
  <c r="Y413" i="4"/>
  <c r="W413" i="4"/>
  <c r="V413" i="4"/>
  <c r="T413" i="4"/>
  <c r="S413" i="4"/>
  <c r="Q413" i="4"/>
  <c r="P413" i="4"/>
  <c r="N413" i="4"/>
  <c r="M413" i="4"/>
  <c r="I413" i="4"/>
  <c r="H413" i="4"/>
  <c r="AP412" i="4"/>
  <c r="AQ412" i="4" s="1"/>
  <c r="AO412" i="4"/>
  <c r="AN412" i="4"/>
  <c r="AL412" i="4"/>
  <c r="AK412" i="4"/>
  <c r="AI412" i="4"/>
  <c r="AH412" i="4"/>
  <c r="AF412" i="4"/>
  <c r="AE412" i="4"/>
  <c r="AC412" i="4"/>
  <c r="AB412" i="4"/>
  <c r="Z412" i="4"/>
  <c r="Y412" i="4"/>
  <c r="W412" i="4"/>
  <c r="V412" i="4"/>
  <c r="T412" i="4"/>
  <c r="S412" i="4"/>
  <c r="Q412" i="4"/>
  <c r="P412" i="4"/>
  <c r="N412" i="4"/>
  <c r="M412" i="4"/>
  <c r="I412" i="4"/>
  <c r="K412" i="4" s="1"/>
  <c r="H412" i="4"/>
  <c r="AP411" i="4"/>
  <c r="AO411" i="4"/>
  <c r="AN411" i="4"/>
  <c r="AL411" i="4"/>
  <c r="AK411" i="4"/>
  <c r="AI411" i="4"/>
  <c r="AH411" i="4"/>
  <c r="AF411" i="4"/>
  <c r="AE411" i="4"/>
  <c r="AC411" i="4"/>
  <c r="AB411" i="4"/>
  <c r="Z411" i="4"/>
  <c r="Y411" i="4"/>
  <c r="W411" i="4"/>
  <c r="V411" i="4"/>
  <c r="T411" i="4"/>
  <c r="S411" i="4"/>
  <c r="Q411" i="4"/>
  <c r="P411" i="4"/>
  <c r="N411" i="4"/>
  <c r="M411" i="4"/>
  <c r="I411" i="4"/>
  <c r="J411" i="4" s="1"/>
  <c r="H411" i="4"/>
  <c r="AP410" i="4"/>
  <c r="AQ410" i="4" s="1"/>
  <c r="AO410" i="4"/>
  <c r="AN410" i="4"/>
  <c r="AL410" i="4"/>
  <c r="AK410" i="4"/>
  <c r="AI410" i="4"/>
  <c r="AH410" i="4"/>
  <c r="AF410" i="4"/>
  <c r="AE410" i="4"/>
  <c r="AC410" i="4"/>
  <c r="AB410" i="4"/>
  <c r="Z410" i="4"/>
  <c r="Y410" i="4"/>
  <c r="W410" i="4"/>
  <c r="V410" i="4"/>
  <c r="T410" i="4"/>
  <c r="S410" i="4"/>
  <c r="Q410" i="4"/>
  <c r="P410" i="4"/>
  <c r="N410" i="4"/>
  <c r="M410" i="4"/>
  <c r="I410" i="4"/>
  <c r="K410" i="4" s="1"/>
  <c r="H410" i="4"/>
  <c r="AP409" i="4"/>
  <c r="AS409" i="4" s="1"/>
  <c r="AU409" i="4" s="1"/>
  <c r="AO409" i="4"/>
  <c r="AN409" i="4"/>
  <c r="AL409" i="4"/>
  <c r="AK409" i="4"/>
  <c r="AI409" i="4"/>
  <c r="AH409" i="4"/>
  <c r="AF409" i="4"/>
  <c r="AE409" i="4"/>
  <c r="AC409" i="4"/>
  <c r="AB409" i="4"/>
  <c r="Z409" i="4"/>
  <c r="Y409" i="4"/>
  <c r="W409" i="4"/>
  <c r="V409" i="4"/>
  <c r="T409" i="4"/>
  <c r="S409" i="4"/>
  <c r="Q409" i="4"/>
  <c r="P409" i="4"/>
  <c r="N409" i="4"/>
  <c r="M409" i="4"/>
  <c r="I409" i="4"/>
  <c r="J409" i="4" s="1"/>
  <c r="H409" i="4"/>
  <c r="AP408" i="4"/>
  <c r="AQ408" i="4" s="1"/>
  <c r="AO408" i="4"/>
  <c r="AN408" i="4"/>
  <c r="AL408" i="4"/>
  <c r="AK408" i="4"/>
  <c r="AI408" i="4"/>
  <c r="AH408" i="4"/>
  <c r="AF408" i="4"/>
  <c r="AE408" i="4"/>
  <c r="AC408" i="4"/>
  <c r="AB408" i="4"/>
  <c r="Z408" i="4"/>
  <c r="Y408" i="4"/>
  <c r="W408" i="4"/>
  <c r="V408" i="4"/>
  <c r="T408" i="4"/>
  <c r="S408" i="4"/>
  <c r="Q408" i="4"/>
  <c r="P408" i="4"/>
  <c r="N408" i="4"/>
  <c r="M408" i="4"/>
  <c r="I408" i="4"/>
  <c r="K408" i="4" s="1"/>
  <c r="H408" i="4"/>
  <c r="AP407" i="4"/>
  <c r="AS407" i="4" s="1"/>
  <c r="AU407" i="4" s="1"/>
  <c r="AO407" i="4"/>
  <c r="AN407" i="4"/>
  <c r="AL407" i="4"/>
  <c r="AK407" i="4"/>
  <c r="AI407" i="4"/>
  <c r="AH407" i="4"/>
  <c r="AF407" i="4"/>
  <c r="AE407" i="4"/>
  <c r="AC407" i="4"/>
  <c r="AB407" i="4"/>
  <c r="Z407" i="4"/>
  <c r="Y407" i="4"/>
  <c r="W407" i="4"/>
  <c r="V407" i="4"/>
  <c r="T407" i="4"/>
  <c r="S407" i="4"/>
  <c r="Q407" i="4"/>
  <c r="P407" i="4"/>
  <c r="N407" i="4"/>
  <c r="M407" i="4"/>
  <c r="I407" i="4"/>
  <c r="J407" i="4" s="1"/>
  <c r="H407" i="4"/>
  <c r="AP406" i="4"/>
  <c r="AQ406" i="4" s="1"/>
  <c r="AO406" i="4"/>
  <c r="AN406" i="4"/>
  <c r="AL406" i="4"/>
  <c r="AK406" i="4"/>
  <c r="AI406" i="4"/>
  <c r="AH406" i="4"/>
  <c r="AF406" i="4"/>
  <c r="AE406" i="4"/>
  <c r="AC406" i="4"/>
  <c r="AB406" i="4"/>
  <c r="Z406" i="4"/>
  <c r="Y406" i="4"/>
  <c r="W406" i="4"/>
  <c r="V406" i="4"/>
  <c r="T406" i="4"/>
  <c r="S406" i="4"/>
  <c r="Q406" i="4"/>
  <c r="P406" i="4"/>
  <c r="N406" i="4"/>
  <c r="M406" i="4"/>
  <c r="I406" i="4"/>
  <c r="K406" i="4" s="1"/>
  <c r="H406" i="4"/>
  <c r="AP405" i="4"/>
  <c r="AO405" i="4"/>
  <c r="AN405" i="4"/>
  <c r="AL405" i="4"/>
  <c r="AK405" i="4"/>
  <c r="AI405" i="4"/>
  <c r="AH405" i="4"/>
  <c r="AF405" i="4"/>
  <c r="AE405" i="4"/>
  <c r="AC405" i="4"/>
  <c r="AB405" i="4"/>
  <c r="Z405" i="4"/>
  <c r="Y405" i="4"/>
  <c r="W405" i="4"/>
  <c r="V405" i="4"/>
  <c r="T405" i="4"/>
  <c r="S405" i="4"/>
  <c r="Q405" i="4"/>
  <c r="P405" i="4"/>
  <c r="N405" i="4"/>
  <c r="M405" i="4"/>
  <c r="I405" i="4"/>
  <c r="J405" i="4" s="1"/>
  <c r="H405" i="4"/>
  <c r="AP404" i="4"/>
  <c r="AQ404" i="4" s="1"/>
  <c r="AO404" i="4"/>
  <c r="AN404" i="4"/>
  <c r="AL404" i="4"/>
  <c r="AK404" i="4"/>
  <c r="AI404" i="4"/>
  <c r="AH404" i="4"/>
  <c r="AF404" i="4"/>
  <c r="AE404" i="4"/>
  <c r="AC404" i="4"/>
  <c r="AB404" i="4"/>
  <c r="Z404" i="4"/>
  <c r="Y404" i="4"/>
  <c r="W404" i="4"/>
  <c r="V404" i="4"/>
  <c r="T404" i="4"/>
  <c r="S404" i="4"/>
  <c r="Q404" i="4"/>
  <c r="P404" i="4"/>
  <c r="N404" i="4"/>
  <c r="M404" i="4"/>
  <c r="I404" i="4"/>
  <c r="K404" i="4" s="1"/>
  <c r="H404" i="4"/>
  <c r="AP403" i="4"/>
  <c r="AO403" i="4"/>
  <c r="AN403" i="4"/>
  <c r="AL403" i="4"/>
  <c r="AK403" i="4"/>
  <c r="AI403" i="4"/>
  <c r="AH403" i="4"/>
  <c r="AF403" i="4"/>
  <c r="AE403" i="4"/>
  <c r="AC403" i="4"/>
  <c r="AB403" i="4"/>
  <c r="Z403" i="4"/>
  <c r="Y403" i="4"/>
  <c r="W403" i="4"/>
  <c r="V403" i="4"/>
  <c r="T403" i="4"/>
  <c r="S403" i="4"/>
  <c r="Q403" i="4"/>
  <c r="P403" i="4"/>
  <c r="N403" i="4"/>
  <c r="M403" i="4"/>
  <c r="I403" i="4"/>
  <c r="J403" i="4" s="1"/>
  <c r="H403" i="4"/>
  <c r="AP402" i="4"/>
  <c r="AQ402" i="4" s="1"/>
  <c r="AO402" i="4"/>
  <c r="AN402" i="4"/>
  <c r="AL402" i="4"/>
  <c r="AK402" i="4"/>
  <c r="AI402" i="4"/>
  <c r="AH402" i="4"/>
  <c r="AF402" i="4"/>
  <c r="AE402" i="4"/>
  <c r="AC402" i="4"/>
  <c r="AB402" i="4"/>
  <c r="Z402" i="4"/>
  <c r="Y402" i="4"/>
  <c r="W402" i="4"/>
  <c r="V402" i="4"/>
  <c r="T402" i="4"/>
  <c r="S402" i="4"/>
  <c r="Q402" i="4"/>
  <c r="P402" i="4"/>
  <c r="N402" i="4"/>
  <c r="M402" i="4"/>
  <c r="I402" i="4"/>
  <c r="K402" i="4" s="1"/>
  <c r="H402" i="4"/>
  <c r="AP401" i="4"/>
  <c r="AS401" i="4" s="1"/>
  <c r="AU401" i="4" s="1"/>
  <c r="AO401" i="4"/>
  <c r="AN401" i="4"/>
  <c r="AL401" i="4"/>
  <c r="AK401" i="4"/>
  <c r="AI401" i="4"/>
  <c r="AH401" i="4"/>
  <c r="AF401" i="4"/>
  <c r="AE401" i="4"/>
  <c r="AC401" i="4"/>
  <c r="AB401" i="4"/>
  <c r="Z401" i="4"/>
  <c r="Y401" i="4"/>
  <c r="W401" i="4"/>
  <c r="V401" i="4"/>
  <c r="T401" i="4"/>
  <c r="S401" i="4"/>
  <c r="Q401" i="4"/>
  <c r="P401" i="4"/>
  <c r="N401" i="4"/>
  <c r="M401" i="4"/>
  <c r="I401" i="4"/>
  <c r="H401" i="4"/>
  <c r="AP400" i="4"/>
  <c r="AQ400" i="4" s="1"/>
  <c r="AO400" i="4"/>
  <c r="AN400" i="4"/>
  <c r="AL400" i="4"/>
  <c r="AK400" i="4"/>
  <c r="AI400" i="4"/>
  <c r="AH400" i="4"/>
  <c r="AF400" i="4"/>
  <c r="AE400" i="4"/>
  <c r="AC400" i="4"/>
  <c r="AB400" i="4"/>
  <c r="Z400" i="4"/>
  <c r="Y400" i="4"/>
  <c r="W400" i="4"/>
  <c r="V400" i="4"/>
  <c r="T400" i="4"/>
  <c r="S400" i="4"/>
  <c r="Q400" i="4"/>
  <c r="P400" i="4"/>
  <c r="N400" i="4"/>
  <c r="M400" i="4"/>
  <c r="I400" i="4"/>
  <c r="K400" i="4" s="1"/>
  <c r="H400" i="4"/>
  <c r="AP399" i="4"/>
  <c r="AS399" i="4" s="1"/>
  <c r="AU399" i="4" s="1"/>
  <c r="AO399" i="4"/>
  <c r="AN399" i="4"/>
  <c r="AL399" i="4"/>
  <c r="AK399" i="4"/>
  <c r="AI399" i="4"/>
  <c r="AH399" i="4"/>
  <c r="AF399" i="4"/>
  <c r="AE399" i="4"/>
  <c r="AC399" i="4"/>
  <c r="AB399" i="4"/>
  <c r="Z399" i="4"/>
  <c r="Y399" i="4"/>
  <c r="W399" i="4"/>
  <c r="V399" i="4"/>
  <c r="T399" i="4"/>
  <c r="S399" i="4"/>
  <c r="Q399" i="4"/>
  <c r="P399" i="4"/>
  <c r="N399" i="4"/>
  <c r="M399" i="4"/>
  <c r="I399" i="4"/>
  <c r="J399" i="4" s="1"/>
  <c r="H399" i="4"/>
  <c r="AP398" i="4"/>
  <c r="AQ398" i="4" s="1"/>
  <c r="AO398" i="4"/>
  <c r="AN398" i="4"/>
  <c r="AL398" i="4"/>
  <c r="AK398" i="4"/>
  <c r="AI398" i="4"/>
  <c r="AH398" i="4"/>
  <c r="AF398" i="4"/>
  <c r="AE398" i="4"/>
  <c r="AC398" i="4"/>
  <c r="AB398" i="4"/>
  <c r="Z398" i="4"/>
  <c r="Y398" i="4"/>
  <c r="W398" i="4"/>
  <c r="V398" i="4"/>
  <c r="T398" i="4"/>
  <c r="S398" i="4"/>
  <c r="Q398" i="4"/>
  <c r="P398" i="4"/>
  <c r="N398" i="4"/>
  <c r="M398" i="4"/>
  <c r="I398" i="4"/>
  <c r="K398" i="4" s="1"/>
  <c r="H398" i="4"/>
  <c r="AP397" i="4"/>
  <c r="AO397" i="4"/>
  <c r="AN397" i="4"/>
  <c r="AL397" i="4"/>
  <c r="AK397" i="4"/>
  <c r="AI397" i="4"/>
  <c r="AH397" i="4"/>
  <c r="AF397" i="4"/>
  <c r="AE397" i="4"/>
  <c r="AC397" i="4"/>
  <c r="AB397" i="4"/>
  <c r="Z397" i="4"/>
  <c r="Y397" i="4"/>
  <c r="W397" i="4"/>
  <c r="V397" i="4"/>
  <c r="T397" i="4"/>
  <c r="S397" i="4"/>
  <c r="Q397" i="4"/>
  <c r="P397" i="4"/>
  <c r="N397" i="4"/>
  <c r="M397" i="4"/>
  <c r="I397" i="4"/>
  <c r="J397" i="4" s="1"/>
  <c r="H397" i="4"/>
  <c r="AP396" i="4"/>
  <c r="AQ396" i="4" s="1"/>
  <c r="AO396" i="4"/>
  <c r="AN396" i="4"/>
  <c r="AL396" i="4"/>
  <c r="AK396" i="4"/>
  <c r="AI396" i="4"/>
  <c r="AH396" i="4"/>
  <c r="AF396" i="4"/>
  <c r="AE396" i="4"/>
  <c r="AC396" i="4"/>
  <c r="AB396" i="4"/>
  <c r="Z396" i="4"/>
  <c r="Y396" i="4"/>
  <c r="W396" i="4"/>
  <c r="V396" i="4"/>
  <c r="T396" i="4"/>
  <c r="S396" i="4"/>
  <c r="Q396" i="4"/>
  <c r="P396" i="4"/>
  <c r="N396" i="4"/>
  <c r="M396" i="4"/>
  <c r="I396" i="4"/>
  <c r="K396" i="4" s="1"/>
  <c r="H396" i="4"/>
  <c r="AP395" i="4"/>
  <c r="I395" i="4"/>
  <c r="AP394" i="4"/>
  <c r="AQ394" i="4" s="1"/>
  <c r="AO394" i="4"/>
  <c r="AN394" i="4"/>
  <c r="AL394" i="4"/>
  <c r="AK394" i="4"/>
  <c r="AI394" i="4"/>
  <c r="AH394" i="4"/>
  <c r="AF394" i="4"/>
  <c r="AE394" i="4"/>
  <c r="AC394" i="4"/>
  <c r="AB394" i="4"/>
  <c r="Z394" i="4"/>
  <c r="Y394" i="4"/>
  <c r="W394" i="4"/>
  <c r="V394" i="4"/>
  <c r="T394" i="4"/>
  <c r="S394" i="4"/>
  <c r="Q394" i="4"/>
  <c r="P394" i="4"/>
  <c r="N394" i="4"/>
  <c r="M394" i="4"/>
  <c r="I394" i="4"/>
  <c r="K394" i="4" s="1"/>
  <c r="H394" i="4"/>
  <c r="AP393" i="4"/>
  <c r="AO393" i="4"/>
  <c r="AN393" i="4"/>
  <c r="AL393" i="4"/>
  <c r="AK393" i="4"/>
  <c r="AI393" i="4"/>
  <c r="AH393" i="4"/>
  <c r="AF393" i="4"/>
  <c r="AE393" i="4"/>
  <c r="AC393" i="4"/>
  <c r="AB393" i="4"/>
  <c r="Z393" i="4"/>
  <c r="Y393" i="4"/>
  <c r="W393" i="4"/>
  <c r="V393" i="4"/>
  <c r="T393" i="4"/>
  <c r="S393" i="4"/>
  <c r="Q393" i="4"/>
  <c r="P393" i="4"/>
  <c r="N393" i="4"/>
  <c r="M393" i="4"/>
  <c r="I393" i="4"/>
  <c r="J393" i="4" s="1"/>
  <c r="H393" i="4"/>
  <c r="AP392" i="4"/>
  <c r="AQ392" i="4" s="1"/>
  <c r="AO392" i="4"/>
  <c r="AN392" i="4"/>
  <c r="AL392" i="4"/>
  <c r="AK392" i="4"/>
  <c r="AI392" i="4"/>
  <c r="AH392" i="4"/>
  <c r="AF392" i="4"/>
  <c r="AE392" i="4"/>
  <c r="AC392" i="4"/>
  <c r="AB392" i="4"/>
  <c r="Z392" i="4"/>
  <c r="Y392" i="4"/>
  <c r="W392" i="4"/>
  <c r="V392" i="4"/>
  <c r="T392" i="4"/>
  <c r="S392" i="4"/>
  <c r="Q392" i="4"/>
  <c r="P392" i="4"/>
  <c r="N392" i="4"/>
  <c r="M392" i="4"/>
  <c r="I392" i="4"/>
  <c r="K392" i="4" s="1"/>
  <c r="H392" i="4"/>
  <c r="AP391" i="4"/>
  <c r="AS391" i="4" s="1"/>
  <c r="AU391" i="4" s="1"/>
  <c r="AO391" i="4"/>
  <c r="AN391" i="4"/>
  <c r="AL391" i="4"/>
  <c r="AK391" i="4"/>
  <c r="AI391" i="4"/>
  <c r="AH391" i="4"/>
  <c r="AF391" i="4"/>
  <c r="AE391" i="4"/>
  <c r="AC391" i="4"/>
  <c r="AB391" i="4"/>
  <c r="Z391" i="4"/>
  <c r="Y391" i="4"/>
  <c r="W391" i="4"/>
  <c r="V391" i="4"/>
  <c r="T391" i="4"/>
  <c r="S391" i="4"/>
  <c r="Q391" i="4"/>
  <c r="P391" i="4"/>
  <c r="N391" i="4"/>
  <c r="M391" i="4"/>
  <c r="I391" i="4"/>
  <c r="H391" i="4"/>
  <c r="AP390" i="4"/>
  <c r="AO390" i="4"/>
  <c r="AN390" i="4"/>
  <c r="AL390" i="4"/>
  <c r="AK390" i="4"/>
  <c r="AI390" i="4"/>
  <c r="AH390" i="4"/>
  <c r="AF390" i="4"/>
  <c r="AE390" i="4"/>
  <c r="AC390" i="4"/>
  <c r="AB390" i="4"/>
  <c r="Z390" i="4"/>
  <c r="Y390" i="4"/>
  <c r="W390" i="4"/>
  <c r="V390" i="4"/>
  <c r="T390" i="4"/>
  <c r="S390" i="4"/>
  <c r="Q390" i="4"/>
  <c r="P390" i="4"/>
  <c r="N390" i="4"/>
  <c r="M390" i="4"/>
  <c r="I390" i="4"/>
  <c r="K390" i="4" s="1"/>
  <c r="H390" i="4"/>
  <c r="AP389" i="4"/>
  <c r="AO389" i="4"/>
  <c r="AN389" i="4"/>
  <c r="AL389" i="4"/>
  <c r="AK389" i="4"/>
  <c r="AI389" i="4"/>
  <c r="AH389" i="4"/>
  <c r="AF389" i="4"/>
  <c r="AE389" i="4"/>
  <c r="AC389" i="4"/>
  <c r="AB389" i="4"/>
  <c r="Z389" i="4"/>
  <c r="Y389" i="4"/>
  <c r="W389" i="4"/>
  <c r="V389" i="4"/>
  <c r="T389" i="4"/>
  <c r="S389" i="4"/>
  <c r="Q389" i="4"/>
  <c r="P389" i="4"/>
  <c r="N389" i="4"/>
  <c r="M389" i="4"/>
  <c r="I389" i="4"/>
  <c r="H389" i="4"/>
  <c r="AP388" i="4"/>
  <c r="AO388" i="4"/>
  <c r="AN388" i="4"/>
  <c r="AL388" i="4"/>
  <c r="AK388" i="4"/>
  <c r="AI388" i="4"/>
  <c r="AH388" i="4"/>
  <c r="AF388" i="4"/>
  <c r="AE388" i="4"/>
  <c r="AC388" i="4"/>
  <c r="AB388" i="4"/>
  <c r="Z388" i="4"/>
  <c r="Y388" i="4"/>
  <c r="W388" i="4"/>
  <c r="V388" i="4"/>
  <c r="T388" i="4"/>
  <c r="S388" i="4"/>
  <c r="Q388" i="4"/>
  <c r="P388" i="4"/>
  <c r="N388" i="4"/>
  <c r="M388" i="4"/>
  <c r="I388" i="4"/>
  <c r="K388" i="4" s="1"/>
  <c r="H388" i="4"/>
  <c r="AP387" i="4"/>
  <c r="AS387" i="4" s="1"/>
  <c r="AU387" i="4" s="1"/>
  <c r="AO387" i="4"/>
  <c r="AN387" i="4"/>
  <c r="AL387" i="4"/>
  <c r="AK387" i="4"/>
  <c r="AI387" i="4"/>
  <c r="AH387" i="4"/>
  <c r="AF387" i="4"/>
  <c r="AE387" i="4"/>
  <c r="AC387" i="4"/>
  <c r="AB387" i="4"/>
  <c r="Z387" i="4"/>
  <c r="Y387" i="4"/>
  <c r="W387" i="4"/>
  <c r="V387" i="4"/>
  <c r="T387" i="4"/>
  <c r="S387" i="4"/>
  <c r="Q387" i="4"/>
  <c r="P387" i="4"/>
  <c r="N387" i="4"/>
  <c r="M387" i="4"/>
  <c r="I387" i="4"/>
  <c r="H387" i="4"/>
  <c r="AP386" i="4"/>
  <c r="AO386" i="4"/>
  <c r="AN386" i="4"/>
  <c r="AL386" i="4"/>
  <c r="AK386" i="4"/>
  <c r="AI386" i="4"/>
  <c r="AH386" i="4"/>
  <c r="AF386" i="4"/>
  <c r="AE386" i="4"/>
  <c r="AC386" i="4"/>
  <c r="AB386" i="4"/>
  <c r="Z386" i="4"/>
  <c r="Y386" i="4"/>
  <c r="W386" i="4"/>
  <c r="V386" i="4"/>
  <c r="T386" i="4"/>
  <c r="S386" i="4"/>
  <c r="Q386" i="4"/>
  <c r="P386" i="4"/>
  <c r="N386" i="4"/>
  <c r="M386" i="4"/>
  <c r="I386" i="4"/>
  <c r="K386" i="4" s="1"/>
  <c r="H386" i="4"/>
  <c r="AP385" i="4"/>
  <c r="AO385" i="4"/>
  <c r="AN385" i="4"/>
  <c r="AL385" i="4"/>
  <c r="AK385" i="4"/>
  <c r="AI385" i="4"/>
  <c r="AH385" i="4"/>
  <c r="AF385" i="4"/>
  <c r="AE385" i="4"/>
  <c r="AC385" i="4"/>
  <c r="AB385" i="4"/>
  <c r="Z385" i="4"/>
  <c r="Y385" i="4"/>
  <c r="W385" i="4"/>
  <c r="V385" i="4"/>
  <c r="T385" i="4"/>
  <c r="S385" i="4"/>
  <c r="Q385" i="4"/>
  <c r="P385" i="4"/>
  <c r="N385" i="4"/>
  <c r="M385" i="4"/>
  <c r="I385" i="4"/>
  <c r="H385" i="4"/>
  <c r="AP384" i="4"/>
  <c r="I384" i="4"/>
  <c r="AP383" i="4"/>
  <c r="AS383" i="4" s="1"/>
  <c r="AU383" i="4" s="1"/>
  <c r="AO383" i="4"/>
  <c r="AN383" i="4"/>
  <c r="AL383" i="4"/>
  <c r="AK383" i="4"/>
  <c r="AI383" i="4"/>
  <c r="AH383" i="4"/>
  <c r="AF383" i="4"/>
  <c r="AE383" i="4"/>
  <c r="AC383" i="4"/>
  <c r="AB383" i="4"/>
  <c r="Z383" i="4"/>
  <c r="Y383" i="4"/>
  <c r="W383" i="4"/>
  <c r="V383" i="4"/>
  <c r="T383" i="4"/>
  <c r="S383" i="4"/>
  <c r="Q383" i="4"/>
  <c r="P383" i="4"/>
  <c r="N383" i="4"/>
  <c r="M383" i="4"/>
  <c r="I383" i="4"/>
  <c r="J383" i="4" s="1"/>
  <c r="H383" i="4"/>
  <c r="AP382" i="4"/>
  <c r="AQ382" i="4" s="1"/>
  <c r="AO382" i="4"/>
  <c r="AN382" i="4"/>
  <c r="AL382" i="4"/>
  <c r="AK382" i="4"/>
  <c r="AI382" i="4"/>
  <c r="AH382" i="4"/>
  <c r="AF382" i="4"/>
  <c r="AE382" i="4"/>
  <c r="AC382" i="4"/>
  <c r="AB382" i="4"/>
  <c r="Z382" i="4"/>
  <c r="Y382" i="4"/>
  <c r="W382" i="4"/>
  <c r="V382" i="4"/>
  <c r="T382" i="4"/>
  <c r="S382" i="4"/>
  <c r="Q382" i="4"/>
  <c r="P382" i="4"/>
  <c r="N382" i="4"/>
  <c r="M382" i="4"/>
  <c r="I382" i="4"/>
  <c r="K382" i="4" s="1"/>
  <c r="H382" i="4"/>
  <c r="AP381" i="4"/>
  <c r="AS381" i="4" s="1"/>
  <c r="AU381" i="4" s="1"/>
  <c r="AO381" i="4"/>
  <c r="AN381" i="4"/>
  <c r="AL381" i="4"/>
  <c r="AK381" i="4"/>
  <c r="AI381" i="4"/>
  <c r="AH381" i="4"/>
  <c r="AF381" i="4"/>
  <c r="AE381" i="4"/>
  <c r="AC381" i="4"/>
  <c r="AB381" i="4"/>
  <c r="Z381" i="4"/>
  <c r="Y381" i="4"/>
  <c r="W381" i="4"/>
  <c r="V381" i="4"/>
  <c r="T381" i="4"/>
  <c r="S381" i="4"/>
  <c r="Q381" i="4"/>
  <c r="P381" i="4"/>
  <c r="N381" i="4"/>
  <c r="M381" i="4"/>
  <c r="I381" i="4"/>
  <c r="H381" i="4"/>
  <c r="AP380" i="4"/>
  <c r="AS380" i="4" s="1"/>
  <c r="AO380" i="4"/>
  <c r="AN380" i="4"/>
  <c r="AL380" i="4"/>
  <c r="AK380" i="4"/>
  <c r="AI380" i="4"/>
  <c r="AH380" i="4"/>
  <c r="AF380" i="4"/>
  <c r="AE380" i="4"/>
  <c r="AC380" i="4"/>
  <c r="AB380" i="4"/>
  <c r="Z380" i="4"/>
  <c r="Y380" i="4"/>
  <c r="W380" i="4"/>
  <c r="V380" i="4"/>
  <c r="T380" i="4"/>
  <c r="S380" i="4"/>
  <c r="Q380" i="4"/>
  <c r="P380" i="4"/>
  <c r="N380" i="4"/>
  <c r="M380" i="4"/>
  <c r="I380" i="4"/>
  <c r="K380" i="4" s="1"/>
  <c r="H380" i="4"/>
  <c r="AP379" i="4"/>
  <c r="AO379" i="4"/>
  <c r="AN379" i="4"/>
  <c r="AL379" i="4"/>
  <c r="AK379" i="4"/>
  <c r="AI379" i="4"/>
  <c r="AH379" i="4"/>
  <c r="AF379" i="4"/>
  <c r="AE379" i="4"/>
  <c r="AC379" i="4"/>
  <c r="AB379" i="4"/>
  <c r="Z379" i="4"/>
  <c r="Y379" i="4"/>
  <c r="W379" i="4"/>
  <c r="V379" i="4"/>
  <c r="T379" i="4"/>
  <c r="S379" i="4"/>
  <c r="Q379" i="4"/>
  <c r="P379" i="4"/>
  <c r="N379" i="4"/>
  <c r="M379" i="4"/>
  <c r="I379" i="4"/>
  <c r="J379" i="4" s="1"/>
  <c r="H379" i="4"/>
  <c r="AP378" i="4"/>
  <c r="AO378" i="4"/>
  <c r="AN378" i="4"/>
  <c r="AL378" i="4"/>
  <c r="AK378" i="4"/>
  <c r="AI378" i="4"/>
  <c r="AH378" i="4"/>
  <c r="AF378" i="4"/>
  <c r="AE378" i="4"/>
  <c r="AC378" i="4"/>
  <c r="AB378" i="4"/>
  <c r="Z378" i="4"/>
  <c r="Y378" i="4"/>
  <c r="W378" i="4"/>
  <c r="V378" i="4"/>
  <c r="T378" i="4"/>
  <c r="S378" i="4"/>
  <c r="Q378" i="4"/>
  <c r="P378" i="4"/>
  <c r="N378" i="4"/>
  <c r="M378" i="4"/>
  <c r="I378" i="4"/>
  <c r="K378" i="4" s="1"/>
  <c r="H378" i="4"/>
  <c r="AP377" i="4"/>
  <c r="AS377" i="4" s="1"/>
  <c r="AU377" i="4" s="1"/>
  <c r="AO377" i="4"/>
  <c r="AN377" i="4"/>
  <c r="AL377" i="4"/>
  <c r="AK377" i="4"/>
  <c r="AI377" i="4"/>
  <c r="AH377" i="4"/>
  <c r="AF377" i="4"/>
  <c r="AE377" i="4"/>
  <c r="AC377" i="4"/>
  <c r="AB377" i="4"/>
  <c r="Z377" i="4"/>
  <c r="Y377" i="4"/>
  <c r="W377" i="4"/>
  <c r="V377" i="4"/>
  <c r="T377" i="4"/>
  <c r="S377" i="4"/>
  <c r="Q377" i="4"/>
  <c r="P377" i="4"/>
  <c r="N377" i="4"/>
  <c r="M377" i="4"/>
  <c r="I377" i="4"/>
  <c r="J377" i="4" s="1"/>
  <c r="H377" i="4"/>
  <c r="AP376" i="4"/>
  <c r="AO376" i="4"/>
  <c r="AN376" i="4"/>
  <c r="AL376" i="4"/>
  <c r="AK376" i="4"/>
  <c r="AI376" i="4"/>
  <c r="AH376" i="4"/>
  <c r="AF376" i="4"/>
  <c r="AE376" i="4"/>
  <c r="AC376" i="4"/>
  <c r="AB376" i="4"/>
  <c r="Z376" i="4"/>
  <c r="Y376" i="4"/>
  <c r="W376" i="4"/>
  <c r="V376" i="4"/>
  <c r="T376" i="4"/>
  <c r="S376" i="4"/>
  <c r="Q376" i="4"/>
  <c r="P376" i="4"/>
  <c r="N376" i="4"/>
  <c r="M376" i="4"/>
  <c r="I376" i="4"/>
  <c r="H376" i="4"/>
  <c r="AP375" i="4"/>
  <c r="AO375" i="4"/>
  <c r="AN375" i="4"/>
  <c r="AL375" i="4"/>
  <c r="AK375" i="4"/>
  <c r="AI375" i="4"/>
  <c r="AH375" i="4"/>
  <c r="AF375" i="4"/>
  <c r="AE375" i="4"/>
  <c r="AC375" i="4"/>
  <c r="AB375" i="4"/>
  <c r="Z375" i="4"/>
  <c r="Y375" i="4"/>
  <c r="W375" i="4"/>
  <c r="V375" i="4"/>
  <c r="T375" i="4"/>
  <c r="S375" i="4"/>
  <c r="Q375" i="4"/>
  <c r="P375" i="4"/>
  <c r="N375" i="4"/>
  <c r="M375" i="4"/>
  <c r="I375" i="4"/>
  <c r="H375" i="4"/>
  <c r="AP374" i="4"/>
  <c r="AO374" i="4"/>
  <c r="AN374" i="4"/>
  <c r="AL374" i="4"/>
  <c r="AK374" i="4"/>
  <c r="AI374" i="4"/>
  <c r="AH374" i="4"/>
  <c r="AF374" i="4"/>
  <c r="AE374" i="4"/>
  <c r="AC374" i="4"/>
  <c r="AB374" i="4"/>
  <c r="Z374" i="4"/>
  <c r="Y374" i="4"/>
  <c r="W374" i="4"/>
  <c r="V374" i="4"/>
  <c r="T374" i="4"/>
  <c r="S374" i="4"/>
  <c r="Q374" i="4"/>
  <c r="P374" i="4"/>
  <c r="N374" i="4"/>
  <c r="M374" i="4"/>
  <c r="I374" i="4"/>
  <c r="H374" i="4"/>
  <c r="AP373" i="4"/>
  <c r="AS373" i="4" s="1"/>
  <c r="AO373" i="4"/>
  <c r="AN373" i="4"/>
  <c r="AL373" i="4"/>
  <c r="AK373" i="4"/>
  <c r="AI373" i="4"/>
  <c r="AH373" i="4"/>
  <c r="AF373" i="4"/>
  <c r="AE373" i="4"/>
  <c r="AC373" i="4"/>
  <c r="AB373" i="4"/>
  <c r="Z373" i="4"/>
  <c r="Y373" i="4"/>
  <c r="W373" i="4"/>
  <c r="V373" i="4"/>
  <c r="T373" i="4"/>
  <c r="S373" i="4"/>
  <c r="Q373" i="4"/>
  <c r="P373" i="4"/>
  <c r="N373" i="4"/>
  <c r="M373" i="4"/>
  <c r="I373" i="4"/>
  <c r="H373" i="4"/>
  <c r="AP372" i="4"/>
  <c r="AS372" i="4" s="1"/>
  <c r="AO372" i="4"/>
  <c r="AN372" i="4"/>
  <c r="AL372" i="4"/>
  <c r="AK372" i="4"/>
  <c r="AI372" i="4"/>
  <c r="AH372" i="4"/>
  <c r="AF372" i="4"/>
  <c r="AE372" i="4"/>
  <c r="AC372" i="4"/>
  <c r="AB372" i="4"/>
  <c r="Z372" i="4"/>
  <c r="Y372" i="4"/>
  <c r="W372" i="4"/>
  <c r="V372" i="4"/>
  <c r="T372" i="4"/>
  <c r="S372" i="4"/>
  <c r="Q372" i="4"/>
  <c r="P372" i="4"/>
  <c r="N372" i="4"/>
  <c r="M372" i="4"/>
  <c r="I372" i="4"/>
  <c r="H372" i="4"/>
  <c r="AP371" i="4"/>
  <c r="AO371" i="4"/>
  <c r="AN371" i="4"/>
  <c r="AL371" i="4"/>
  <c r="AK371" i="4"/>
  <c r="AI371" i="4"/>
  <c r="AH371" i="4"/>
  <c r="AF371" i="4"/>
  <c r="AE371" i="4"/>
  <c r="AC371" i="4"/>
  <c r="AB371" i="4"/>
  <c r="Z371" i="4"/>
  <c r="Y371" i="4"/>
  <c r="W371" i="4"/>
  <c r="V371" i="4"/>
  <c r="T371" i="4"/>
  <c r="S371" i="4"/>
  <c r="Q371" i="4"/>
  <c r="P371" i="4"/>
  <c r="N371" i="4"/>
  <c r="M371" i="4"/>
  <c r="I371" i="4"/>
  <c r="J371" i="4" s="1"/>
  <c r="H371" i="4"/>
  <c r="AP370" i="4"/>
  <c r="AO370" i="4"/>
  <c r="AN370" i="4"/>
  <c r="AL370" i="4"/>
  <c r="AK370" i="4"/>
  <c r="AI370" i="4"/>
  <c r="AH370" i="4"/>
  <c r="AF370" i="4"/>
  <c r="AE370" i="4"/>
  <c r="AC370" i="4"/>
  <c r="AB370" i="4"/>
  <c r="Z370" i="4"/>
  <c r="Y370" i="4"/>
  <c r="W370" i="4"/>
  <c r="V370" i="4"/>
  <c r="T370" i="4"/>
  <c r="S370" i="4"/>
  <c r="Q370" i="4"/>
  <c r="P370" i="4"/>
  <c r="N370" i="4"/>
  <c r="M370" i="4"/>
  <c r="I370" i="4"/>
  <c r="H370" i="4"/>
  <c r="AP369" i="4"/>
  <c r="AS369" i="4" s="1"/>
  <c r="AO369" i="4"/>
  <c r="AN369" i="4"/>
  <c r="AL369" i="4"/>
  <c r="AK369" i="4"/>
  <c r="AI369" i="4"/>
  <c r="AH369" i="4"/>
  <c r="AF369" i="4"/>
  <c r="AE369" i="4"/>
  <c r="AC369" i="4"/>
  <c r="AB369" i="4"/>
  <c r="Z369" i="4"/>
  <c r="Y369" i="4"/>
  <c r="W369" i="4"/>
  <c r="V369" i="4"/>
  <c r="T369" i="4"/>
  <c r="S369" i="4"/>
  <c r="Q369" i="4"/>
  <c r="P369" i="4"/>
  <c r="N369" i="4"/>
  <c r="M369" i="4"/>
  <c r="I369" i="4"/>
  <c r="J369" i="4" s="1"/>
  <c r="H369" i="4"/>
  <c r="AP368" i="4"/>
  <c r="AO368" i="4"/>
  <c r="AN368" i="4"/>
  <c r="AL368" i="4"/>
  <c r="AK368" i="4"/>
  <c r="AI368" i="4"/>
  <c r="AH368" i="4"/>
  <c r="AF368" i="4"/>
  <c r="AE368" i="4"/>
  <c r="AC368" i="4"/>
  <c r="AB368" i="4"/>
  <c r="Z368" i="4"/>
  <c r="Y368" i="4"/>
  <c r="W368" i="4"/>
  <c r="V368" i="4"/>
  <c r="T368" i="4"/>
  <c r="S368" i="4"/>
  <c r="Q368" i="4"/>
  <c r="P368" i="4"/>
  <c r="N368" i="4"/>
  <c r="M368" i="4"/>
  <c r="I368" i="4"/>
  <c r="H368" i="4"/>
  <c r="AP367" i="4"/>
  <c r="AO367" i="4"/>
  <c r="AN367" i="4"/>
  <c r="AL367" i="4"/>
  <c r="AK367" i="4"/>
  <c r="AI367" i="4"/>
  <c r="AH367" i="4"/>
  <c r="AF367" i="4"/>
  <c r="AE367" i="4"/>
  <c r="AC367" i="4"/>
  <c r="AB367" i="4"/>
  <c r="Z367" i="4"/>
  <c r="Y367" i="4"/>
  <c r="W367" i="4"/>
  <c r="V367" i="4"/>
  <c r="T367" i="4"/>
  <c r="S367" i="4"/>
  <c r="Q367" i="4"/>
  <c r="P367" i="4"/>
  <c r="N367" i="4"/>
  <c r="M367" i="4"/>
  <c r="I367" i="4"/>
  <c r="J367" i="4" s="1"/>
  <c r="H367" i="4"/>
  <c r="AP366" i="4"/>
  <c r="AO366" i="4"/>
  <c r="AN366" i="4"/>
  <c r="AL366" i="4"/>
  <c r="AK366" i="4"/>
  <c r="AI366" i="4"/>
  <c r="AH366" i="4"/>
  <c r="AF366" i="4"/>
  <c r="AE366" i="4"/>
  <c r="AC366" i="4"/>
  <c r="AB366" i="4"/>
  <c r="Z366" i="4"/>
  <c r="Y366" i="4"/>
  <c r="W366" i="4"/>
  <c r="V366" i="4"/>
  <c r="T366" i="4"/>
  <c r="S366" i="4"/>
  <c r="Q366" i="4"/>
  <c r="P366" i="4"/>
  <c r="N366" i="4"/>
  <c r="M366" i="4"/>
  <c r="I366" i="4"/>
  <c r="J366" i="4" s="1"/>
  <c r="H366" i="4"/>
  <c r="AP365" i="4"/>
  <c r="AS365" i="4" s="1"/>
  <c r="AT365" i="4" s="1"/>
  <c r="AO365" i="4"/>
  <c r="AN365" i="4"/>
  <c r="AL365" i="4"/>
  <c r="AK365" i="4"/>
  <c r="AI365" i="4"/>
  <c r="AH365" i="4"/>
  <c r="AF365" i="4"/>
  <c r="AE365" i="4"/>
  <c r="AC365" i="4"/>
  <c r="AB365" i="4"/>
  <c r="Z365" i="4"/>
  <c r="Y365" i="4"/>
  <c r="W365" i="4"/>
  <c r="V365" i="4"/>
  <c r="T365" i="4"/>
  <c r="S365" i="4"/>
  <c r="Q365" i="4"/>
  <c r="P365" i="4"/>
  <c r="N365" i="4"/>
  <c r="M365" i="4"/>
  <c r="I365" i="4"/>
  <c r="H365" i="4"/>
  <c r="AP364" i="4"/>
  <c r="AO364" i="4"/>
  <c r="AN364" i="4"/>
  <c r="AL364" i="4"/>
  <c r="AK364" i="4"/>
  <c r="AI364" i="4"/>
  <c r="AH364" i="4"/>
  <c r="AF364" i="4"/>
  <c r="AE364" i="4"/>
  <c r="AC364" i="4"/>
  <c r="AB364" i="4"/>
  <c r="Z364" i="4"/>
  <c r="Y364" i="4"/>
  <c r="W364" i="4"/>
  <c r="V364" i="4"/>
  <c r="T364" i="4"/>
  <c r="S364" i="4"/>
  <c r="Q364" i="4"/>
  <c r="P364" i="4"/>
  <c r="N364" i="4"/>
  <c r="M364" i="4"/>
  <c r="I364" i="4"/>
  <c r="J364" i="4" s="1"/>
  <c r="H364" i="4"/>
  <c r="AP363" i="4"/>
  <c r="AO363" i="4"/>
  <c r="AN363" i="4"/>
  <c r="AL363" i="4"/>
  <c r="AK363" i="4"/>
  <c r="AI363" i="4"/>
  <c r="AH363" i="4"/>
  <c r="AF363" i="4"/>
  <c r="AE363" i="4"/>
  <c r="AC363" i="4"/>
  <c r="AB363" i="4"/>
  <c r="Z363" i="4"/>
  <c r="Y363" i="4"/>
  <c r="W363" i="4"/>
  <c r="V363" i="4"/>
  <c r="T363" i="4"/>
  <c r="S363" i="4"/>
  <c r="Q363" i="4"/>
  <c r="P363" i="4"/>
  <c r="N363" i="4"/>
  <c r="M363" i="4"/>
  <c r="I363" i="4"/>
  <c r="J363" i="4" s="1"/>
  <c r="H363" i="4"/>
  <c r="AP362" i="4"/>
  <c r="AS362" i="4" s="1"/>
  <c r="AO362" i="4"/>
  <c r="AN362" i="4"/>
  <c r="AL362" i="4"/>
  <c r="AK362" i="4"/>
  <c r="AI362" i="4"/>
  <c r="AH362" i="4"/>
  <c r="AF362" i="4"/>
  <c r="AE362" i="4"/>
  <c r="AC362" i="4"/>
  <c r="AB362" i="4"/>
  <c r="Z362" i="4"/>
  <c r="Y362" i="4"/>
  <c r="W362" i="4"/>
  <c r="V362" i="4"/>
  <c r="T362" i="4"/>
  <c r="S362" i="4"/>
  <c r="Q362" i="4"/>
  <c r="P362" i="4"/>
  <c r="N362" i="4"/>
  <c r="M362" i="4"/>
  <c r="I362" i="4"/>
  <c r="H362" i="4"/>
  <c r="AP361" i="4"/>
  <c r="AO361" i="4"/>
  <c r="AN361" i="4"/>
  <c r="AL361" i="4"/>
  <c r="AK361" i="4"/>
  <c r="AI361" i="4"/>
  <c r="AH361" i="4"/>
  <c r="AF361" i="4"/>
  <c r="AE361" i="4"/>
  <c r="AC361" i="4"/>
  <c r="AB361" i="4"/>
  <c r="Z361" i="4"/>
  <c r="Y361" i="4"/>
  <c r="W361" i="4"/>
  <c r="V361" i="4"/>
  <c r="T361" i="4"/>
  <c r="S361" i="4"/>
  <c r="Q361" i="4"/>
  <c r="P361" i="4"/>
  <c r="N361" i="4"/>
  <c r="M361" i="4"/>
  <c r="I361" i="4"/>
  <c r="J361" i="4" s="1"/>
  <c r="H361" i="4"/>
  <c r="AP360" i="4"/>
  <c r="AO360" i="4"/>
  <c r="AN360" i="4"/>
  <c r="AL360" i="4"/>
  <c r="AK360" i="4"/>
  <c r="AI360" i="4"/>
  <c r="AH360" i="4"/>
  <c r="AF360" i="4"/>
  <c r="AE360" i="4"/>
  <c r="AC360" i="4"/>
  <c r="AB360" i="4"/>
  <c r="Z360" i="4"/>
  <c r="Y360" i="4"/>
  <c r="W360" i="4"/>
  <c r="V360" i="4"/>
  <c r="T360" i="4"/>
  <c r="S360" i="4"/>
  <c r="Q360" i="4"/>
  <c r="P360" i="4"/>
  <c r="N360" i="4"/>
  <c r="M360" i="4"/>
  <c r="I360" i="4"/>
  <c r="J360" i="4" s="1"/>
  <c r="H360" i="4"/>
  <c r="AP359" i="4"/>
  <c r="AR359" i="4" s="1"/>
  <c r="AO359" i="4"/>
  <c r="AN359" i="4"/>
  <c r="AL359" i="4"/>
  <c r="AK359" i="4"/>
  <c r="AI359" i="4"/>
  <c r="AH359" i="4"/>
  <c r="AF359" i="4"/>
  <c r="AE359" i="4"/>
  <c r="AC359" i="4"/>
  <c r="AB359" i="4"/>
  <c r="Z359" i="4"/>
  <c r="Y359" i="4"/>
  <c r="W359" i="4"/>
  <c r="V359" i="4"/>
  <c r="T359" i="4"/>
  <c r="S359" i="4"/>
  <c r="Q359" i="4"/>
  <c r="P359" i="4"/>
  <c r="N359" i="4"/>
  <c r="M359" i="4"/>
  <c r="I359" i="4"/>
  <c r="K359" i="4" s="1"/>
  <c r="H359" i="4"/>
  <c r="AP358" i="4"/>
  <c r="AO358" i="4"/>
  <c r="AN358" i="4"/>
  <c r="AL358" i="4"/>
  <c r="AK358" i="4"/>
  <c r="AI358" i="4"/>
  <c r="AH358" i="4"/>
  <c r="AF358" i="4"/>
  <c r="AE358" i="4"/>
  <c r="AC358" i="4"/>
  <c r="AB358" i="4"/>
  <c r="Z358" i="4"/>
  <c r="Y358" i="4"/>
  <c r="W358" i="4"/>
  <c r="V358" i="4"/>
  <c r="T358" i="4"/>
  <c r="S358" i="4"/>
  <c r="Q358" i="4"/>
  <c r="P358" i="4"/>
  <c r="N358" i="4"/>
  <c r="M358" i="4"/>
  <c r="I358" i="4"/>
  <c r="J358" i="4" s="1"/>
  <c r="H358" i="4"/>
  <c r="AP357" i="4"/>
  <c r="AS357" i="4" s="1"/>
  <c r="AT357" i="4" s="1"/>
  <c r="AO357" i="4"/>
  <c r="AN357" i="4"/>
  <c r="AL357" i="4"/>
  <c r="AK357" i="4"/>
  <c r="AI357" i="4"/>
  <c r="AH357" i="4"/>
  <c r="AF357" i="4"/>
  <c r="AE357" i="4"/>
  <c r="AC357" i="4"/>
  <c r="AB357" i="4"/>
  <c r="Z357" i="4"/>
  <c r="Y357" i="4"/>
  <c r="W357" i="4"/>
  <c r="V357" i="4"/>
  <c r="T357" i="4"/>
  <c r="S357" i="4"/>
  <c r="Q357" i="4"/>
  <c r="P357" i="4"/>
  <c r="N357" i="4"/>
  <c r="M357" i="4"/>
  <c r="I357" i="4"/>
  <c r="J357" i="4" s="1"/>
  <c r="H357" i="4"/>
  <c r="AP356" i="4"/>
  <c r="AO356" i="4"/>
  <c r="AN356" i="4"/>
  <c r="AL356" i="4"/>
  <c r="AK356" i="4"/>
  <c r="AI356" i="4"/>
  <c r="AH356" i="4"/>
  <c r="AF356" i="4"/>
  <c r="AE356" i="4"/>
  <c r="AC356" i="4"/>
  <c r="AB356" i="4"/>
  <c r="Z356" i="4"/>
  <c r="Y356" i="4"/>
  <c r="W356" i="4"/>
  <c r="V356" i="4"/>
  <c r="T356" i="4"/>
  <c r="S356" i="4"/>
  <c r="Q356" i="4"/>
  <c r="P356" i="4"/>
  <c r="N356" i="4"/>
  <c r="M356" i="4"/>
  <c r="I356" i="4"/>
  <c r="J356" i="4" s="1"/>
  <c r="H356" i="4"/>
  <c r="AP355" i="4"/>
  <c r="AS355" i="4" s="1"/>
  <c r="AT355" i="4" s="1"/>
  <c r="AO355" i="4"/>
  <c r="AN355" i="4"/>
  <c r="AL355" i="4"/>
  <c r="AK355" i="4"/>
  <c r="AI355" i="4"/>
  <c r="AH355" i="4"/>
  <c r="AF355" i="4"/>
  <c r="AE355" i="4"/>
  <c r="AC355" i="4"/>
  <c r="AB355" i="4"/>
  <c r="Z355" i="4"/>
  <c r="Y355" i="4"/>
  <c r="W355" i="4"/>
  <c r="V355" i="4"/>
  <c r="T355" i="4"/>
  <c r="S355" i="4"/>
  <c r="Q355" i="4"/>
  <c r="P355" i="4"/>
  <c r="N355" i="4"/>
  <c r="M355" i="4"/>
  <c r="I355" i="4"/>
  <c r="H355" i="4"/>
  <c r="AP354" i="4"/>
  <c r="AO354" i="4"/>
  <c r="AN354" i="4"/>
  <c r="AL354" i="4"/>
  <c r="AK354" i="4"/>
  <c r="AI354" i="4"/>
  <c r="AH354" i="4"/>
  <c r="AF354" i="4"/>
  <c r="AE354" i="4"/>
  <c r="AC354" i="4"/>
  <c r="AB354" i="4"/>
  <c r="Z354" i="4"/>
  <c r="Y354" i="4"/>
  <c r="W354" i="4"/>
  <c r="V354" i="4"/>
  <c r="T354" i="4"/>
  <c r="S354" i="4"/>
  <c r="Q354" i="4"/>
  <c r="P354" i="4"/>
  <c r="N354" i="4"/>
  <c r="M354" i="4"/>
  <c r="I354" i="4"/>
  <c r="J354" i="4" s="1"/>
  <c r="H354" i="4"/>
  <c r="AP353" i="4"/>
  <c r="AO353" i="4"/>
  <c r="AN353" i="4"/>
  <c r="AL353" i="4"/>
  <c r="AK353" i="4"/>
  <c r="AI353" i="4"/>
  <c r="AH353" i="4"/>
  <c r="AF353" i="4"/>
  <c r="AE353" i="4"/>
  <c r="AC353" i="4"/>
  <c r="AB353" i="4"/>
  <c r="Z353" i="4"/>
  <c r="Y353" i="4"/>
  <c r="W353" i="4"/>
  <c r="V353" i="4"/>
  <c r="T353" i="4"/>
  <c r="S353" i="4"/>
  <c r="Q353" i="4"/>
  <c r="P353" i="4"/>
  <c r="N353" i="4"/>
  <c r="M353" i="4"/>
  <c r="I353" i="4"/>
  <c r="K353" i="4" s="1"/>
  <c r="H353" i="4"/>
  <c r="AP352" i="4"/>
  <c r="AO352" i="4"/>
  <c r="AN352" i="4"/>
  <c r="AL352" i="4"/>
  <c r="AK352" i="4"/>
  <c r="AI352" i="4"/>
  <c r="AH352" i="4"/>
  <c r="AF352" i="4"/>
  <c r="AE352" i="4"/>
  <c r="AC352" i="4"/>
  <c r="AB352" i="4"/>
  <c r="Z352" i="4"/>
  <c r="Y352" i="4"/>
  <c r="W352" i="4"/>
  <c r="V352" i="4"/>
  <c r="T352" i="4"/>
  <c r="S352" i="4"/>
  <c r="Q352" i="4"/>
  <c r="P352" i="4"/>
  <c r="N352" i="4"/>
  <c r="M352" i="4"/>
  <c r="I352" i="4"/>
  <c r="J352" i="4" s="1"/>
  <c r="H352" i="4"/>
  <c r="AP351" i="4"/>
  <c r="I351" i="4"/>
  <c r="AP350" i="4"/>
  <c r="AO350" i="4"/>
  <c r="AN350" i="4"/>
  <c r="AL350" i="4"/>
  <c r="AK350" i="4"/>
  <c r="AI350" i="4"/>
  <c r="AH350" i="4"/>
  <c r="AF350" i="4"/>
  <c r="AE350" i="4"/>
  <c r="AC350" i="4"/>
  <c r="AB350" i="4"/>
  <c r="Z350" i="4"/>
  <c r="Y350" i="4"/>
  <c r="W350" i="4"/>
  <c r="V350" i="4"/>
  <c r="T350" i="4"/>
  <c r="S350" i="4"/>
  <c r="Q350" i="4"/>
  <c r="P350" i="4"/>
  <c r="N350" i="4"/>
  <c r="M350" i="4"/>
  <c r="I350" i="4"/>
  <c r="J350" i="4" s="1"/>
  <c r="H350" i="4"/>
  <c r="AP349" i="4"/>
  <c r="AS349" i="4" s="1"/>
  <c r="AT349" i="4" s="1"/>
  <c r="AO349" i="4"/>
  <c r="AN349" i="4"/>
  <c r="AL349" i="4"/>
  <c r="AK349" i="4"/>
  <c r="AI349" i="4"/>
  <c r="AH349" i="4"/>
  <c r="AF349" i="4"/>
  <c r="AE349" i="4"/>
  <c r="AC349" i="4"/>
  <c r="AB349" i="4"/>
  <c r="Z349" i="4"/>
  <c r="Y349" i="4"/>
  <c r="W349" i="4"/>
  <c r="V349" i="4"/>
  <c r="T349" i="4"/>
  <c r="S349" i="4"/>
  <c r="Q349" i="4"/>
  <c r="P349" i="4"/>
  <c r="N349" i="4"/>
  <c r="M349" i="4"/>
  <c r="I349" i="4"/>
  <c r="J349" i="4" s="1"/>
  <c r="H349" i="4"/>
  <c r="AP348" i="4"/>
  <c r="AO348" i="4"/>
  <c r="AN348" i="4"/>
  <c r="AL348" i="4"/>
  <c r="AK348" i="4"/>
  <c r="AI348" i="4"/>
  <c r="AH348" i="4"/>
  <c r="AF348" i="4"/>
  <c r="AE348" i="4"/>
  <c r="AC348" i="4"/>
  <c r="AB348" i="4"/>
  <c r="Z348" i="4"/>
  <c r="Y348" i="4"/>
  <c r="W348" i="4"/>
  <c r="V348" i="4"/>
  <c r="T348" i="4"/>
  <c r="S348" i="4"/>
  <c r="Q348" i="4"/>
  <c r="P348" i="4"/>
  <c r="N348" i="4"/>
  <c r="M348" i="4"/>
  <c r="I348" i="4"/>
  <c r="J348" i="4" s="1"/>
  <c r="H348" i="4"/>
  <c r="AP347" i="4"/>
  <c r="AO347" i="4"/>
  <c r="AN347" i="4"/>
  <c r="AL347" i="4"/>
  <c r="AK347" i="4"/>
  <c r="AI347" i="4"/>
  <c r="AH347" i="4"/>
  <c r="AF347" i="4"/>
  <c r="AE347" i="4"/>
  <c r="AC347" i="4"/>
  <c r="AB347" i="4"/>
  <c r="Z347" i="4"/>
  <c r="Y347" i="4"/>
  <c r="W347" i="4"/>
  <c r="V347" i="4"/>
  <c r="T347" i="4"/>
  <c r="S347" i="4"/>
  <c r="Q347" i="4"/>
  <c r="P347" i="4"/>
  <c r="N347" i="4"/>
  <c r="M347" i="4"/>
  <c r="I347" i="4"/>
  <c r="K347" i="4" s="1"/>
  <c r="H347" i="4"/>
  <c r="AP346" i="4"/>
  <c r="AO346" i="4"/>
  <c r="AN346" i="4"/>
  <c r="AL346" i="4"/>
  <c r="AK346" i="4"/>
  <c r="AI346" i="4"/>
  <c r="AH346" i="4"/>
  <c r="AF346" i="4"/>
  <c r="AE346" i="4"/>
  <c r="AC346" i="4"/>
  <c r="AB346" i="4"/>
  <c r="Z346" i="4"/>
  <c r="Y346" i="4"/>
  <c r="W346" i="4"/>
  <c r="V346" i="4"/>
  <c r="T346" i="4"/>
  <c r="S346" i="4"/>
  <c r="Q346" i="4"/>
  <c r="P346" i="4"/>
  <c r="N346" i="4"/>
  <c r="M346" i="4"/>
  <c r="I346" i="4"/>
  <c r="J346" i="4" s="1"/>
  <c r="H346" i="4"/>
  <c r="AP345" i="4"/>
  <c r="AS345" i="4" s="1"/>
  <c r="AT345" i="4" s="1"/>
  <c r="AO345" i="4"/>
  <c r="AN345" i="4"/>
  <c r="AL345" i="4"/>
  <c r="AK345" i="4"/>
  <c r="AI345" i="4"/>
  <c r="AH345" i="4"/>
  <c r="AF345" i="4"/>
  <c r="AE345" i="4"/>
  <c r="AC345" i="4"/>
  <c r="AB345" i="4"/>
  <c r="Z345" i="4"/>
  <c r="Y345" i="4"/>
  <c r="W345" i="4"/>
  <c r="V345" i="4"/>
  <c r="T345" i="4"/>
  <c r="S345" i="4"/>
  <c r="Q345" i="4"/>
  <c r="P345" i="4"/>
  <c r="N345" i="4"/>
  <c r="M345" i="4"/>
  <c r="I345" i="4"/>
  <c r="K345" i="4" s="1"/>
  <c r="H345" i="4"/>
  <c r="AP344" i="4"/>
  <c r="AO344" i="4"/>
  <c r="AN344" i="4"/>
  <c r="AL344" i="4"/>
  <c r="AK344" i="4"/>
  <c r="AI344" i="4"/>
  <c r="AH344" i="4"/>
  <c r="AF344" i="4"/>
  <c r="AE344" i="4"/>
  <c r="AC344" i="4"/>
  <c r="AB344" i="4"/>
  <c r="Z344" i="4"/>
  <c r="Y344" i="4"/>
  <c r="W344" i="4"/>
  <c r="V344" i="4"/>
  <c r="T344" i="4"/>
  <c r="S344" i="4"/>
  <c r="Q344" i="4"/>
  <c r="P344" i="4"/>
  <c r="N344" i="4"/>
  <c r="M344" i="4"/>
  <c r="I344" i="4"/>
  <c r="J344" i="4" s="1"/>
  <c r="H344" i="4"/>
  <c r="AP343" i="4"/>
  <c r="AO343" i="4"/>
  <c r="AN343" i="4"/>
  <c r="AL343" i="4"/>
  <c r="AK343" i="4"/>
  <c r="AI343" i="4"/>
  <c r="AH343" i="4"/>
  <c r="AF343" i="4"/>
  <c r="AE343" i="4"/>
  <c r="AC343" i="4"/>
  <c r="AB343" i="4"/>
  <c r="Z343" i="4"/>
  <c r="Y343" i="4"/>
  <c r="W343" i="4"/>
  <c r="V343" i="4"/>
  <c r="T343" i="4"/>
  <c r="S343" i="4"/>
  <c r="Q343" i="4"/>
  <c r="P343" i="4"/>
  <c r="N343" i="4"/>
  <c r="M343" i="4"/>
  <c r="I343" i="4"/>
  <c r="H343" i="4"/>
  <c r="AP342" i="4"/>
  <c r="AO342" i="4"/>
  <c r="AN342" i="4"/>
  <c r="AL342" i="4"/>
  <c r="AK342" i="4"/>
  <c r="AI342" i="4"/>
  <c r="AH342" i="4"/>
  <c r="AF342" i="4"/>
  <c r="AE342" i="4"/>
  <c r="AC342" i="4"/>
  <c r="AB342" i="4"/>
  <c r="Z342" i="4"/>
  <c r="Y342" i="4"/>
  <c r="W342" i="4"/>
  <c r="V342" i="4"/>
  <c r="T342" i="4"/>
  <c r="S342" i="4"/>
  <c r="Q342" i="4"/>
  <c r="P342" i="4"/>
  <c r="N342" i="4"/>
  <c r="M342" i="4"/>
  <c r="I342" i="4"/>
  <c r="J342" i="4" s="1"/>
  <c r="H342" i="4"/>
  <c r="AP341" i="4"/>
  <c r="AO341" i="4"/>
  <c r="AN341" i="4"/>
  <c r="AL341" i="4"/>
  <c r="AK341" i="4"/>
  <c r="AI341" i="4"/>
  <c r="AH341" i="4"/>
  <c r="AF341" i="4"/>
  <c r="AE341" i="4"/>
  <c r="AC341" i="4"/>
  <c r="AB341" i="4"/>
  <c r="Z341" i="4"/>
  <c r="Y341" i="4"/>
  <c r="W341" i="4"/>
  <c r="V341" i="4"/>
  <c r="T341" i="4"/>
  <c r="S341" i="4"/>
  <c r="Q341" i="4"/>
  <c r="P341" i="4"/>
  <c r="N341" i="4"/>
  <c r="M341" i="4"/>
  <c r="I341" i="4"/>
  <c r="J341" i="4" s="1"/>
  <c r="H341" i="4"/>
  <c r="AP340" i="4"/>
  <c r="AO340" i="4"/>
  <c r="AN340" i="4"/>
  <c r="AL340" i="4"/>
  <c r="AK340" i="4"/>
  <c r="AI340" i="4"/>
  <c r="AH340" i="4"/>
  <c r="AF340" i="4"/>
  <c r="AE340" i="4"/>
  <c r="AC340" i="4"/>
  <c r="AB340" i="4"/>
  <c r="Z340" i="4"/>
  <c r="Y340" i="4"/>
  <c r="W340" i="4"/>
  <c r="V340" i="4"/>
  <c r="T340" i="4"/>
  <c r="S340" i="4"/>
  <c r="Q340" i="4"/>
  <c r="P340" i="4"/>
  <c r="N340" i="4"/>
  <c r="M340" i="4"/>
  <c r="I340" i="4"/>
  <c r="J340" i="4" s="1"/>
  <c r="H340" i="4"/>
  <c r="AP339" i="4"/>
  <c r="AS339" i="4" s="1"/>
  <c r="AO339" i="4"/>
  <c r="AN339" i="4"/>
  <c r="AL339" i="4"/>
  <c r="AK339" i="4"/>
  <c r="AI339" i="4"/>
  <c r="AH339" i="4"/>
  <c r="AF339" i="4"/>
  <c r="AE339" i="4"/>
  <c r="AC339" i="4"/>
  <c r="AB339" i="4"/>
  <c r="Z339" i="4"/>
  <c r="Y339" i="4"/>
  <c r="W339" i="4"/>
  <c r="V339" i="4"/>
  <c r="T339" i="4"/>
  <c r="S339" i="4"/>
  <c r="Q339" i="4"/>
  <c r="P339" i="4"/>
  <c r="N339" i="4"/>
  <c r="M339" i="4"/>
  <c r="I339" i="4"/>
  <c r="H339" i="4"/>
  <c r="AP338" i="4"/>
  <c r="AQ338" i="4" s="1"/>
  <c r="AO338" i="4"/>
  <c r="AN338" i="4"/>
  <c r="AL338" i="4"/>
  <c r="AK338" i="4"/>
  <c r="AI338" i="4"/>
  <c r="AH338" i="4"/>
  <c r="AF338" i="4"/>
  <c r="AE338" i="4"/>
  <c r="AC338" i="4"/>
  <c r="AB338" i="4"/>
  <c r="Z338" i="4"/>
  <c r="Y338" i="4"/>
  <c r="W338" i="4"/>
  <c r="V338" i="4"/>
  <c r="T338" i="4"/>
  <c r="S338" i="4"/>
  <c r="Q338" i="4"/>
  <c r="P338" i="4"/>
  <c r="N338" i="4"/>
  <c r="M338" i="4"/>
  <c r="I338" i="4"/>
  <c r="J338" i="4" s="1"/>
  <c r="H338" i="4"/>
  <c r="AP337" i="4"/>
  <c r="AO337" i="4"/>
  <c r="AN337" i="4"/>
  <c r="AL337" i="4"/>
  <c r="AK337" i="4"/>
  <c r="AI337" i="4"/>
  <c r="AH337" i="4"/>
  <c r="AF337" i="4"/>
  <c r="AE337" i="4"/>
  <c r="AC337" i="4"/>
  <c r="AB337" i="4"/>
  <c r="Z337" i="4"/>
  <c r="Y337" i="4"/>
  <c r="W337" i="4"/>
  <c r="V337" i="4"/>
  <c r="T337" i="4"/>
  <c r="S337" i="4"/>
  <c r="Q337" i="4"/>
  <c r="P337" i="4"/>
  <c r="N337" i="4"/>
  <c r="M337" i="4"/>
  <c r="I337" i="4"/>
  <c r="K337" i="4" s="1"/>
  <c r="H337" i="4"/>
  <c r="AP336" i="4"/>
  <c r="AO336" i="4"/>
  <c r="AN336" i="4"/>
  <c r="AL336" i="4"/>
  <c r="AK336" i="4"/>
  <c r="AI336" i="4"/>
  <c r="AH336" i="4"/>
  <c r="AF336" i="4"/>
  <c r="AE336" i="4"/>
  <c r="AC336" i="4"/>
  <c r="AB336" i="4"/>
  <c r="Z336" i="4"/>
  <c r="Y336" i="4"/>
  <c r="W336" i="4"/>
  <c r="V336" i="4"/>
  <c r="T336" i="4"/>
  <c r="S336" i="4"/>
  <c r="Q336" i="4"/>
  <c r="P336" i="4"/>
  <c r="N336" i="4"/>
  <c r="M336" i="4"/>
  <c r="I336" i="4"/>
  <c r="J336" i="4" s="1"/>
  <c r="H336" i="4"/>
  <c r="AP335" i="4"/>
  <c r="AR335" i="4" s="1"/>
  <c r="AO335" i="4"/>
  <c r="AN335" i="4"/>
  <c r="AL335" i="4"/>
  <c r="AK335" i="4"/>
  <c r="AI335" i="4"/>
  <c r="AH335" i="4"/>
  <c r="AF335" i="4"/>
  <c r="AE335" i="4"/>
  <c r="AC335" i="4"/>
  <c r="AB335" i="4"/>
  <c r="Z335" i="4"/>
  <c r="Y335" i="4"/>
  <c r="W335" i="4"/>
  <c r="V335" i="4"/>
  <c r="T335" i="4"/>
  <c r="S335" i="4"/>
  <c r="Q335" i="4"/>
  <c r="P335" i="4"/>
  <c r="N335" i="4"/>
  <c r="M335" i="4"/>
  <c r="I335" i="4"/>
  <c r="K335" i="4" s="1"/>
  <c r="H335" i="4"/>
  <c r="AP334" i="4"/>
  <c r="AO334" i="4"/>
  <c r="AN334" i="4"/>
  <c r="AL334" i="4"/>
  <c r="AK334" i="4"/>
  <c r="AI334" i="4"/>
  <c r="AH334" i="4"/>
  <c r="AF334" i="4"/>
  <c r="AE334" i="4"/>
  <c r="AC334" i="4"/>
  <c r="AB334" i="4"/>
  <c r="Z334" i="4"/>
  <c r="Y334" i="4"/>
  <c r="W334" i="4"/>
  <c r="V334" i="4"/>
  <c r="T334" i="4"/>
  <c r="S334" i="4"/>
  <c r="Q334" i="4"/>
  <c r="P334" i="4"/>
  <c r="N334" i="4"/>
  <c r="M334" i="4"/>
  <c r="I334" i="4"/>
  <c r="J334" i="4" s="1"/>
  <c r="H334" i="4"/>
  <c r="AP333" i="4"/>
  <c r="AS333" i="4" s="1"/>
  <c r="AO333" i="4"/>
  <c r="AN333" i="4"/>
  <c r="AL333" i="4"/>
  <c r="AK333" i="4"/>
  <c r="AI333" i="4"/>
  <c r="AH333" i="4"/>
  <c r="AF333" i="4"/>
  <c r="AE333" i="4"/>
  <c r="AC333" i="4"/>
  <c r="AB333" i="4"/>
  <c r="Z333" i="4"/>
  <c r="Y333" i="4"/>
  <c r="W333" i="4"/>
  <c r="V333" i="4"/>
  <c r="T333" i="4"/>
  <c r="S333" i="4"/>
  <c r="Q333" i="4"/>
  <c r="P333" i="4"/>
  <c r="N333" i="4"/>
  <c r="M333" i="4"/>
  <c r="I333" i="4"/>
  <c r="K333" i="4" s="1"/>
  <c r="H333" i="4"/>
  <c r="AP332" i="4"/>
  <c r="AO332" i="4"/>
  <c r="AN332" i="4"/>
  <c r="AL332" i="4"/>
  <c r="AK332" i="4"/>
  <c r="AI332" i="4"/>
  <c r="AH332" i="4"/>
  <c r="AF332" i="4"/>
  <c r="AE332" i="4"/>
  <c r="AC332" i="4"/>
  <c r="AB332" i="4"/>
  <c r="Z332" i="4"/>
  <c r="Y332" i="4"/>
  <c r="W332" i="4"/>
  <c r="V332" i="4"/>
  <c r="T332" i="4"/>
  <c r="S332" i="4"/>
  <c r="Q332" i="4"/>
  <c r="P332" i="4"/>
  <c r="N332" i="4"/>
  <c r="M332" i="4"/>
  <c r="I332" i="4"/>
  <c r="J332" i="4" s="1"/>
  <c r="H332" i="4"/>
  <c r="AP331" i="4"/>
  <c r="AO331" i="4"/>
  <c r="AN331" i="4"/>
  <c r="AL331" i="4"/>
  <c r="AK331" i="4"/>
  <c r="AI331" i="4"/>
  <c r="AH331" i="4"/>
  <c r="AF331" i="4"/>
  <c r="AE331" i="4"/>
  <c r="AC331" i="4"/>
  <c r="AB331" i="4"/>
  <c r="Z331" i="4"/>
  <c r="Y331" i="4"/>
  <c r="W331" i="4"/>
  <c r="V331" i="4"/>
  <c r="T331" i="4"/>
  <c r="S331" i="4"/>
  <c r="Q331" i="4"/>
  <c r="P331" i="4"/>
  <c r="N331" i="4"/>
  <c r="M331" i="4"/>
  <c r="I331" i="4"/>
  <c r="K331" i="4" s="1"/>
  <c r="H331" i="4"/>
  <c r="AP330" i="4"/>
  <c r="AO330" i="4"/>
  <c r="AN330" i="4"/>
  <c r="AL330" i="4"/>
  <c r="AK330" i="4"/>
  <c r="AI330" i="4"/>
  <c r="AH330" i="4"/>
  <c r="AF330" i="4"/>
  <c r="AE330" i="4"/>
  <c r="AC330" i="4"/>
  <c r="AB330" i="4"/>
  <c r="Z330" i="4"/>
  <c r="Y330" i="4"/>
  <c r="W330" i="4"/>
  <c r="V330" i="4"/>
  <c r="T330" i="4"/>
  <c r="S330" i="4"/>
  <c r="Q330" i="4"/>
  <c r="P330" i="4"/>
  <c r="N330" i="4"/>
  <c r="M330" i="4"/>
  <c r="I330" i="4"/>
  <c r="J330" i="4" s="1"/>
  <c r="H330" i="4"/>
  <c r="AP329" i="4"/>
  <c r="AQ329" i="4" s="1"/>
  <c r="AO329" i="4"/>
  <c r="AN329" i="4"/>
  <c r="AL329" i="4"/>
  <c r="AK329" i="4"/>
  <c r="AI329" i="4"/>
  <c r="AH329" i="4"/>
  <c r="AF329" i="4"/>
  <c r="AE329" i="4"/>
  <c r="AC329" i="4"/>
  <c r="AB329" i="4"/>
  <c r="Z329" i="4"/>
  <c r="Y329" i="4"/>
  <c r="W329" i="4"/>
  <c r="V329" i="4"/>
  <c r="T329" i="4"/>
  <c r="S329" i="4"/>
  <c r="Q329" i="4"/>
  <c r="P329" i="4"/>
  <c r="N329" i="4"/>
  <c r="M329" i="4"/>
  <c r="I329" i="4"/>
  <c r="K329" i="4" s="1"/>
  <c r="H329" i="4"/>
  <c r="AP328" i="4"/>
  <c r="AS328" i="4" s="1"/>
  <c r="AU328" i="4" s="1"/>
  <c r="AO328" i="4"/>
  <c r="AN328" i="4"/>
  <c r="AL328" i="4"/>
  <c r="AK328" i="4"/>
  <c r="AI328" i="4"/>
  <c r="AH328" i="4"/>
  <c r="AF328" i="4"/>
  <c r="AE328" i="4"/>
  <c r="AC328" i="4"/>
  <c r="AB328" i="4"/>
  <c r="Z328" i="4"/>
  <c r="Y328" i="4"/>
  <c r="W328" i="4"/>
  <c r="V328" i="4"/>
  <c r="T328" i="4"/>
  <c r="S328" i="4"/>
  <c r="Q328" i="4"/>
  <c r="P328" i="4"/>
  <c r="N328" i="4"/>
  <c r="M328" i="4"/>
  <c r="I328" i="4"/>
  <c r="H328" i="4"/>
  <c r="AP327" i="4"/>
  <c r="I327" i="4"/>
  <c r="AP326" i="4"/>
  <c r="I326" i="4"/>
  <c r="AP325" i="4"/>
  <c r="AO325" i="4"/>
  <c r="AN325" i="4"/>
  <c r="AL325" i="4"/>
  <c r="AK325" i="4"/>
  <c r="AI325" i="4"/>
  <c r="AH325" i="4"/>
  <c r="AF325" i="4"/>
  <c r="AE325" i="4"/>
  <c r="AC325" i="4"/>
  <c r="AB325" i="4"/>
  <c r="Z325" i="4"/>
  <c r="Y325" i="4"/>
  <c r="W325" i="4"/>
  <c r="V325" i="4"/>
  <c r="T325" i="4"/>
  <c r="S325" i="4"/>
  <c r="Q325" i="4"/>
  <c r="P325" i="4"/>
  <c r="N325" i="4"/>
  <c r="M325" i="4"/>
  <c r="I325" i="4"/>
  <c r="K325" i="4" s="1"/>
  <c r="H325" i="4"/>
  <c r="AP324" i="4"/>
  <c r="AQ324" i="4" s="1"/>
  <c r="AO324" i="4"/>
  <c r="AN324" i="4"/>
  <c r="AL324" i="4"/>
  <c r="AK324" i="4"/>
  <c r="AI324" i="4"/>
  <c r="AH324" i="4"/>
  <c r="AF324" i="4"/>
  <c r="AE324" i="4"/>
  <c r="AC324" i="4"/>
  <c r="AB324" i="4"/>
  <c r="Z324" i="4"/>
  <c r="Y324" i="4"/>
  <c r="W324" i="4"/>
  <c r="V324" i="4"/>
  <c r="T324" i="4"/>
  <c r="S324" i="4"/>
  <c r="Q324" i="4"/>
  <c r="P324" i="4"/>
  <c r="N324" i="4"/>
  <c r="M324" i="4"/>
  <c r="I324" i="4"/>
  <c r="J324" i="4" s="1"/>
  <c r="H324" i="4"/>
  <c r="AP323" i="4"/>
  <c r="AS323" i="4" s="1"/>
  <c r="AT323" i="4" s="1"/>
  <c r="AO323" i="4"/>
  <c r="AN323" i="4"/>
  <c r="AL323" i="4"/>
  <c r="AK323" i="4"/>
  <c r="AI323" i="4"/>
  <c r="AH323" i="4"/>
  <c r="AF323" i="4"/>
  <c r="AE323" i="4"/>
  <c r="AC323" i="4"/>
  <c r="AB323" i="4"/>
  <c r="Z323" i="4"/>
  <c r="Y323" i="4"/>
  <c r="W323" i="4"/>
  <c r="V323" i="4"/>
  <c r="T323" i="4"/>
  <c r="S323" i="4"/>
  <c r="Q323" i="4"/>
  <c r="P323" i="4"/>
  <c r="N323" i="4"/>
  <c r="M323" i="4"/>
  <c r="I323" i="4"/>
  <c r="K323" i="4" s="1"/>
  <c r="H323" i="4"/>
  <c r="AP322" i="4"/>
  <c r="AS322" i="4" s="1"/>
  <c r="AU322" i="4" s="1"/>
  <c r="AO322" i="4"/>
  <c r="AN322" i="4"/>
  <c r="AL322" i="4"/>
  <c r="AK322" i="4"/>
  <c r="AI322" i="4"/>
  <c r="AH322" i="4"/>
  <c r="AF322" i="4"/>
  <c r="AE322" i="4"/>
  <c r="AC322" i="4"/>
  <c r="AB322" i="4"/>
  <c r="Z322" i="4"/>
  <c r="Y322" i="4"/>
  <c r="W322" i="4"/>
  <c r="V322" i="4"/>
  <c r="T322" i="4"/>
  <c r="S322" i="4"/>
  <c r="Q322" i="4"/>
  <c r="P322" i="4"/>
  <c r="N322" i="4"/>
  <c r="M322" i="4"/>
  <c r="I322" i="4"/>
  <c r="H322" i="4"/>
  <c r="AP321" i="4"/>
  <c r="AO321" i="4"/>
  <c r="AN321" i="4"/>
  <c r="AL321" i="4"/>
  <c r="AK321" i="4"/>
  <c r="AI321" i="4"/>
  <c r="AH321" i="4"/>
  <c r="AF321" i="4"/>
  <c r="AE321" i="4"/>
  <c r="AC321" i="4"/>
  <c r="AB321" i="4"/>
  <c r="Z321" i="4"/>
  <c r="Y321" i="4"/>
  <c r="W321" i="4"/>
  <c r="V321" i="4"/>
  <c r="T321" i="4"/>
  <c r="S321" i="4"/>
  <c r="Q321" i="4"/>
  <c r="P321" i="4"/>
  <c r="N321" i="4"/>
  <c r="M321" i="4"/>
  <c r="I321" i="4"/>
  <c r="K321" i="4" s="1"/>
  <c r="H321" i="4"/>
  <c r="AP320" i="4"/>
  <c r="AO320" i="4"/>
  <c r="AN320" i="4"/>
  <c r="AL320" i="4"/>
  <c r="AK320" i="4"/>
  <c r="AI320" i="4"/>
  <c r="AH320" i="4"/>
  <c r="AF320" i="4"/>
  <c r="AE320" i="4"/>
  <c r="AC320" i="4"/>
  <c r="AB320" i="4"/>
  <c r="Z320" i="4"/>
  <c r="Y320" i="4"/>
  <c r="W320" i="4"/>
  <c r="V320" i="4"/>
  <c r="T320" i="4"/>
  <c r="S320" i="4"/>
  <c r="Q320" i="4"/>
  <c r="P320" i="4"/>
  <c r="N320" i="4"/>
  <c r="M320" i="4"/>
  <c r="I320" i="4"/>
  <c r="J320" i="4" s="1"/>
  <c r="H320" i="4"/>
  <c r="AP319" i="4"/>
  <c r="I319" i="4"/>
  <c r="AP318" i="4"/>
  <c r="AR318" i="4" s="1"/>
  <c r="AO318" i="4"/>
  <c r="AN318" i="4"/>
  <c r="AL318" i="4"/>
  <c r="AK318" i="4"/>
  <c r="AI318" i="4"/>
  <c r="AH318" i="4"/>
  <c r="AF318" i="4"/>
  <c r="AE318" i="4"/>
  <c r="AC318" i="4"/>
  <c r="AB318" i="4"/>
  <c r="Z318" i="4"/>
  <c r="Y318" i="4"/>
  <c r="W318" i="4"/>
  <c r="V318" i="4"/>
  <c r="T318" i="4"/>
  <c r="S318" i="4"/>
  <c r="Q318" i="4"/>
  <c r="P318" i="4"/>
  <c r="N318" i="4"/>
  <c r="M318" i="4"/>
  <c r="I318" i="4"/>
  <c r="H318" i="4"/>
  <c r="AP317" i="4"/>
  <c r="AQ317" i="4" s="1"/>
  <c r="AO317" i="4"/>
  <c r="AN317" i="4"/>
  <c r="AL317" i="4"/>
  <c r="AK317" i="4"/>
  <c r="AI317" i="4"/>
  <c r="AH317" i="4"/>
  <c r="AF317" i="4"/>
  <c r="AE317" i="4"/>
  <c r="AC317" i="4"/>
  <c r="AB317" i="4"/>
  <c r="Z317" i="4"/>
  <c r="Y317" i="4"/>
  <c r="W317" i="4"/>
  <c r="V317" i="4"/>
  <c r="T317" i="4"/>
  <c r="S317" i="4"/>
  <c r="Q317" i="4"/>
  <c r="P317" i="4"/>
  <c r="N317" i="4"/>
  <c r="M317" i="4"/>
  <c r="I317" i="4"/>
  <c r="K317" i="4" s="1"/>
  <c r="H317" i="4"/>
  <c r="AP316" i="4"/>
  <c r="AR316" i="4" s="1"/>
  <c r="AO316" i="4"/>
  <c r="AN316" i="4"/>
  <c r="AL316" i="4"/>
  <c r="AK316" i="4"/>
  <c r="AI316" i="4"/>
  <c r="AH316" i="4"/>
  <c r="AF316" i="4"/>
  <c r="AE316" i="4"/>
  <c r="AC316" i="4"/>
  <c r="AB316" i="4"/>
  <c r="Z316" i="4"/>
  <c r="Y316" i="4"/>
  <c r="W316" i="4"/>
  <c r="V316" i="4"/>
  <c r="T316" i="4"/>
  <c r="S316" i="4"/>
  <c r="Q316" i="4"/>
  <c r="P316" i="4"/>
  <c r="N316" i="4"/>
  <c r="M316" i="4"/>
  <c r="I316" i="4"/>
  <c r="H316" i="4"/>
  <c r="AP315" i="4"/>
  <c r="AR315" i="4" s="1"/>
  <c r="AO315" i="4"/>
  <c r="AN315" i="4"/>
  <c r="AL315" i="4"/>
  <c r="AK315" i="4"/>
  <c r="AI315" i="4"/>
  <c r="AH315" i="4"/>
  <c r="AF315" i="4"/>
  <c r="AE315" i="4"/>
  <c r="AC315" i="4"/>
  <c r="AB315" i="4"/>
  <c r="Z315" i="4"/>
  <c r="Y315" i="4"/>
  <c r="W315" i="4"/>
  <c r="V315" i="4"/>
  <c r="T315" i="4"/>
  <c r="S315" i="4"/>
  <c r="Q315" i="4"/>
  <c r="P315" i="4"/>
  <c r="N315" i="4"/>
  <c r="M315" i="4"/>
  <c r="I315" i="4"/>
  <c r="K315" i="4" s="1"/>
  <c r="H315" i="4"/>
  <c r="AP314" i="4"/>
  <c r="I314" i="4"/>
  <c r="AP313" i="4"/>
  <c r="AO313" i="4"/>
  <c r="AN313" i="4"/>
  <c r="AL313" i="4"/>
  <c r="AK313" i="4"/>
  <c r="AI313" i="4"/>
  <c r="AH313" i="4"/>
  <c r="AF313" i="4"/>
  <c r="AE313" i="4"/>
  <c r="AC313" i="4"/>
  <c r="AB313" i="4"/>
  <c r="Z313" i="4"/>
  <c r="Y313" i="4"/>
  <c r="W313" i="4"/>
  <c r="V313" i="4"/>
  <c r="T313" i="4"/>
  <c r="S313" i="4"/>
  <c r="Q313" i="4"/>
  <c r="P313" i="4"/>
  <c r="N313" i="4"/>
  <c r="M313" i="4"/>
  <c r="I313" i="4"/>
  <c r="K313" i="4" s="1"/>
  <c r="H313" i="4"/>
  <c r="AP312" i="4"/>
  <c r="AR312" i="4" s="1"/>
  <c r="AO312" i="4"/>
  <c r="AN312" i="4"/>
  <c r="AL312" i="4"/>
  <c r="AK312" i="4"/>
  <c r="AI312" i="4"/>
  <c r="AH312" i="4"/>
  <c r="AF312" i="4"/>
  <c r="AE312" i="4"/>
  <c r="AC312" i="4"/>
  <c r="AB312" i="4"/>
  <c r="Z312" i="4"/>
  <c r="Y312" i="4"/>
  <c r="W312" i="4"/>
  <c r="V312" i="4"/>
  <c r="T312" i="4"/>
  <c r="S312" i="4"/>
  <c r="Q312" i="4"/>
  <c r="P312" i="4"/>
  <c r="N312" i="4"/>
  <c r="M312" i="4"/>
  <c r="I312" i="4"/>
  <c r="J312" i="4" s="1"/>
  <c r="H312" i="4"/>
  <c r="AP311" i="4"/>
  <c r="I311" i="4"/>
  <c r="AP310" i="4"/>
  <c r="AO310" i="4"/>
  <c r="AN310" i="4"/>
  <c r="AL310" i="4"/>
  <c r="AK310" i="4"/>
  <c r="AI310" i="4"/>
  <c r="AH310" i="4"/>
  <c r="AF310" i="4"/>
  <c r="AE310" i="4"/>
  <c r="AC310" i="4"/>
  <c r="AB310" i="4"/>
  <c r="Z310" i="4"/>
  <c r="Y310" i="4"/>
  <c r="W310" i="4"/>
  <c r="V310" i="4"/>
  <c r="T310" i="4"/>
  <c r="S310" i="4"/>
  <c r="Q310" i="4"/>
  <c r="P310" i="4"/>
  <c r="N310" i="4"/>
  <c r="M310" i="4"/>
  <c r="I310" i="4"/>
  <c r="J310" i="4" s="1"/>
  <c r="H310" i="4"/>
  <c r="AP309" i="4"/>
  <c r="AO309" i="4"/>
  <c r="AN309" i="4"/>
  <c r="AL309" i="4"/>
  <c r="AK309" i="4"/>
  <c r="AI309" i="4"/>
  <c r="AH309" i="4"/>
  <c r="AF309" i="4"/>
  <c r="AE309" i="4"/>
  <c r="AC309" i="4"/>
  <c r="AB309" i="4"/>
  <c r="Z309" i="4"/>
  <c r="Y309" i="4"/>
  <c r="W309" i="4"/>
  <c r="V309" i="4"/>
  <c r="T309" i="4"/>
  <c r="S309" i="4"/>
  <c r="Q309" i="4"/>
  <c r="P309" i="4"/>
  <c r="N309" i="4"/>
  <c r="M309" i="4"/>
  <c r="I309" i="4"/>
  <c r="K309" i="4" s="1"/>
  <c r="H309" i="4"/>
  <c r="AP308" i="4"/>
  <c r="AO308" i="4"/>
  <c r="AN308" i="4"/>
  <c r="AL308" i="4"/>
  <c r="AK308" i="4"/>
  <c r="AI308" i="4"/>
  <c r="AH308" i="4"/>
  <c r="AF308" i="4"/>
  <c r="AE308" i="4"/>
  <c r="AC308" i="4"/>
  <c r="AB308" i="4"/>
  <c r="Z308" i="4"/>
  <c r="Y308" i="4"/>
  <c r="W308" i="4"/>
  <c r="V308" i="4"/>
  <c r="T308" i="4"/>
  <c r="S308" i="4"/>
  <c r="Q308" i="4"/>
  <c r="P308" i="4"/>
  <c r="N308" i="4"/>
  <c r="M308" i="4"/>
  <c r="I308" i="4"/>
  <c r="J308" i="4" s="1"/>
  <c r="H308" i="4"/>
  <c r="AP307" i="4"/>
  <c r="AQ307" i="4" s="1"/>
  <c r="AO307" i="4"/>
  <c r="AN307" i="4"/>
  <c r="AL307" i="4"/>
  <c r="AK307" i="4"/>
  <c r="AI307" i="4"/>
  <c r="AH307" i="4"/>
  <c r="AF307" i="4"/>
  <c r="AE307" i="4"/>
  <c r="AC307" i="4"/>
  <c r="AB307" i="4"/>
  <c r="Z307" i="4"/>
  <c r="Y307" i="4"/>
  <c r="W307" i="4"/>
  <c r="V307" i="4"/>
  <c r="T307" i="4"/>
  <c r="S307" i="4"/>
  <c r="Q307" i="4"/>
  <c r="P307" i="4"/>
  <c r="N307" i="4"/>
  <c r="M307" i="4"/>
  <c r="I307" i="4"/>
  <c r="K307" i="4" s="1"/>
  <c r="H307" i="4"/>
  <c r="AP306" i="4"/>
  <c r="AR306" i="4" s="1"/>
  <c r="AO306" i="4"/>
  <c r="AN306" i="4"/>
  <c r="AL306" i="4"/>
  <c r="AK306" i="4"/>
  <c r="AI306" i="4"/>
  <c r="AH306" i="4"/>
  <c r="AF306" i="4"/>
  <c r="AE306" i="4"/>
  <c r="AC306" i="4"/>
  <c r="AB306" i="4"/>
  <c r="Z306" i="4"/>
  <c r="Y306" i="4"/>
  <c r="W306" i="4"/>
  <c r="V306" i="4"/>
  <c r="T306" i="4"/>
  <c r="S306" i="4"/>
  <c r="Q306" i="4"/>
  <c r="P306" i="4"/>
  <c r="N306" i="4"/>
  <c r="M306" i="4"/>
  <c r="I306" i="4"/>
  <c r="H306" i="4"/>
  <c r="AP305" i="4"/>
  <c r="AO305" i="4"/>
  <c r="AN305" i="4"/>
  <c r="AL305" i="4"/>
  <c r="AK305" i="4"/>
  <c r="AI305" i="4"/>
  <c r="AH305" i="4"/>
  <c r="AF305" i="4"/>
  <c r="AE305" i="4"/>
  <c r="AC305" i="4"/>
  <c r="AB305" i="4"/>
  <c r="Z305" i="4"/>
  <c r="Y305" i="4"/>
  <c r="W305" i="4"/>
  <c r="V305" i="4"/>
  <c r="T305" i="4"/>
  <c r="S305" i="4"/>
  <c r="Q305" i="4"/>
  <c r="P305" i="4"/>
  <c r="N305" i="4"/>
  <c r="M305" i="4"/>
  <c r="I305" i="4"/>
  <c r="K305" i="4" s="1"/>
  <c r="H305" i="4"/>
  <c r="AP304" i="4"/>
  <c r="I304" i="4"/>
  <c r="AP303" i="4"/>
  <c r="AO303" i="4"/>
  <c r="AN303" i="4"/>
  <c r="AL303" i="4"/>
  <c r="AK303" i="4"/>
  <c r="AI303" i="4"/>
  <c r="AH303" i="4"/>
  <c r="AF303" i="4"/>
  <c r="AE303" i="4"/>
  <c r="AC303" i="4"/>
  <c r="AB303" i="4"/>
  <c r="Z303" i="4"/>
  <c r="Y303" i="4"/>
  <c r="W303" i="4"/>
  <c r="V303" i="4"/>
  <c r="T303" i="4"/>
  <c r="S303" i="4"/>
  <c r="Q303" i="4"/>
  <c r="P303" i="4"/>
  <c r="N303" i="4"/>
  <c r="M303" i="4"/>
  <c r="I303" i="4"/>
  <c r="K303" i="4" s="1"/>
  <c r="H303" i="4"/>
  <c r="AP302" i="4"/>
  <c r="AO302" i="4"/>
  <c r="AN302" i="4"/>
  <c r="AL302" i="4"/>
  <c r="AK302" i="4"/>
  <c r="AI302" i="4"/>
  <c r="AH302" i="4"/>
  <c r="AF302" i="4"/>
  <c r="AE302" i="4"/>
  <c r="AC302" i="4"/>
  <c r="AB302" i="4"/>
  <c r="Z302" i="4"/>
  <c r="Y302" i="4"/>
  <c r="W302" i="4"/>
  <c r="V302" i="4"/>
  <c r="T302" i="4"/>
  <c r="S302" i="4"/>
  <c r="Q302" i="4"/>
  <c r="P302" i="4"/>
  <c r="N302" i="4"/>
  <c r="M302" i="4"/>
  <c r="I302" i="4"/>
  <c r="J302" i="4" s="1"/>
  <c r="H302" i="4"/>
  <c r="AP301" i="4"/>
  <c r="AO301" i="4"/>
  <c r="AN301" i="4"/>
  <c r="AL301" i="4"/>
  <c r="AK301" i="4"/>
  <c r="AI301" i="4"/>
  <c r="AH301" i="4"/>
  <c r="AF301" i="4"/>
  <c r="AE301" i="4"/>
  <c r="AC301" i="4"/>
  <c r="AB301" i="4"/>
  <c r="Z301" i="4"/>
  <c r="Y301" i="4"/>
  <c r="W301" i="4"/>
  <c r="V301" i="4"/>
  <c r="T301" i="4"/>
  <c r="S301" i="4"/>
  <c r="Q301" i="4"/>
  <c r="P301" i="4"/>
  <c r="N301" i="4"/>
  <c r="M301" i="4"/>
  <c r="I301" i="4"/>
  <c r="K301" i="4" s="1"/>
  <c r="H301" i="4"/>
  <c r="AP300" i="4"/>
  <c r="AR300" i="4" s="1"/>
  <c r="AO300" i="4"/>
  <c r="AN300" i="4"/>
  <c r="AL300" i="4"/>
  <c r="AK300" i="4"/>
  <c r="AI300" i="4"/>
  <c r="AH300" i="4"/>
  <c r="AF300" i="4"/>
  <c r="AE300" i="4"/>
  <c r="AC300" i="4"/>
  <c r="AB300" i="4"/>
  <c r="Z300" i="4"/>
  <c r="Y300" i="4"/>
  <c r="W300" i="4"/>
  <c r="V300" i="4"/>
  <c r="T300" i="4"/>
  <c r="S300" i="4"/>
  <c r="Q300" i="4"/>
  <c r="P300" i="4"/>
  <c r="N300" i="4"/>
  <c r="M300" i="4"/>
  <c r="I300" i="4"/>
  <c r="J300" i="4" s="1"/>
  <c r="H300" i="4"/>
  <c r="AP299" i="4"/>
  <c r="AS299" i="4" s="1"/>
  <c r="AT299" i="4" s="1"/>
  <c r="AO299" i="4"/>
  <c r="AN299" i="4"/>
  <c r="AL299" i="4"/>
  <c r="AK299" i="4"/>
  <c r="AI299" i="4"/>
  <c r="AH299" i="4"/>
  <c r="AF299" i="4"/>
  <c r="AE299" i="4"/>
  <c r="AC299" i="4"/>
  <c r="AB299" i="4"/>
  <c r="Z299" i="4"/>
  <c r="Y299" i="4"/>
  <c r="W299" i="4"/>
  <c r="V299" i="4"/>
  <c r="T299" i="4"/>
  <c r="S299" i="4"/>
  <c r="Q299" i="4"/>
  <c r="P299" i="4"/>
  <c r="N299" i="4"/>
  <c r="M299" i="4"/>
  <c r="I299" i="4"/>
  <c r="K299" i="4" s="1"/>
  <c r="H299" i="4"/>
  <c r="AP298" i="4"/>
  <c r="AR298" i="4" s="1"/>
  <c r="AO298" i="4"/>
  <c r="AN298" i="4"/>
  <c r="AL298" i="4"/>
  <c r="AK298" i="4"/>
  <c r="AI298" i="4"/>
  <c r="AH298" i="4"/>
  <c r="AF298" i="4"/>
  <c r="AE298" i="4"/>
  <c r="AC298" i="4"/>
  <c r="AB298" i="4"/>
  <c r="Z298" i="4"/>
  <c r="Y298" i="4"/>
  <c r="W298" i="4"/>
  <c r="V298" i="4"/>
  <c r="T298" i="4"/>
  <c r="S298" i="4"/>
  <c r="Q298" i="4"/>
  <c r="P298" i="4"/>
  <c r="N298" i="4"/>
  <c r="M298" i="4"/>
  <c r="I298" i="4"/>
  <c r="H298" i="4"/>
  <c r="AP297" i="4"/>
  <c r="AQ297" i="4" s="1"/>
  <c r="AO297" i="4"/>
  <c r="AN297" i="4"/>
  <c r="AL297" i="4"/>
  <c r="AK297" i="4"/>
  <c r="AI297" i="4"/>
  <c r="AH297" i="4"/>
  <c r="AF297" i="4"/>
  <c r="AE297" i="4"/>
  <c r="AC297" i="4"/>
  <c r="AB297" i="4"/>
  <c r="Z297" i="4"/>
  <c r="Y297" i="4"/>
  <c r="W297" i="4"/>
  <c r="V297" i="4"/>
  <c r="T297" i="4"/>
  <c r="S297" i="4"/>
  <c r="Q297" i="4"/>
  <c r="P297" i="4"/>
  <c r="N297" i="4"/>
  <c r="M297" i="4"/>
  <c r="I297" i="4"/>
  <c r="K297" i="4" s="1"/>
  <c r="H297" i="4"/>
  <c r="AP296" i="4"/>
  <c r="I296" i="4"/>
  <c r="AP295" i="4"/>
  <c r="AR295" i="4" s="1"/>
  <c r="AO295" i="4"/>
  <c r="AN295" i="4"/>
  <c r="AL295" i="4"/>
  <c r="AK295" i="4"/>
  <c r="AI295" i="4"/>
  <c r="AH295" i="4"/>
  <c r="AF295" i="4"/>
  <c r="AE295" i="4"/>
  <c r="AC295" i="4"/>
  <c r="AB295" i="4"/>
  <c r="Z295" i="4"/>
  <c r="Y295" i="4"/>
  <c r="W295" i="4"/>
  <c r="V295" i="4"/>
  <c r="T295" i="4"/>
  <c r="S295" i="4"/>
  <c r="Q295" i="4"/>
  <c r="P295" i="4"/>
  <c r="N295" i="4"/>
  <c r="M295" i="4"/>
  <c r="I295" i="4"/>
  <c r="K295" i="4" s="1"/>
  <c r="H295" i="4"/>
  <c r="AP294" i="4"/>
  <c r="AO294" i="4"/>
  <c r="AN294" i="4"/>
  <c r="AL294" i="4"/>
  <c r="AK294" i="4"/>
  <c r="AI294" i="4"/>
  <c r="AH294" i="4"/>
  <c r="AF294" i="4"/>
  <c r="AE294" i="4"/>
  <c r="AC294" i="4"/>
  <c r="AB294" i="4"/>
  <c r="Z294" i="4"/>
  <c r="Y294" i="4"/>
  <c r="W294" i="4"/>
  <c r="V294" i="4"/>
  <c r="T294" i="4"/>
  <c r="S294" i="4"/>
  <c r="Q294" i="4"/>
  <c r="P294" i="4"/>
  <c r="N294" i="4"/>
  <c r="M294" i="4"/>
  <c r="I294" i="4"/>
  <c r="J294" i="4" s="1"/>
  <c r="H294" i="4"/>
  <c r="AP293" i="4"/>
  <c r="AO293" i="4"/>
  <c r="AN293" i="4"/>
  <c r="AL293" i="4"/>
  <c r="AK293" i="4"/>
  <c r="AI293" i="4"/>
  <c r="AH293" i="4"/>
  <c r="AF293" i="4"/>
  <c r="AE293" i="4"/>
  <c r="AC293" i="4"/>
  <c r="AB293" i="4"/>
  <c r="Z293" i="4"/>
  <c r="Y293" i="4"/>
  <c r="W293" i="4"/>
  <c r="V293" i="4"/>
  <c r="T293" i="4"/>
  <c r="S293" i="4"/>
  <c r="Q293" i="4"/>
  <c r="P293" i="4"/>
  <c r="N293" i="4"/>
  <c r="M293" i="4"/>
  <c r="I293" i="4"/>
  <c r="K293" i="4" s="1"/>
  <c r="H293" i="4"/>
  <c r="AP292" i="4"/>
  <c r="AR292" i="4" s="1"/>
  <c r="AO292" i="4"/>
  <c r="AN292" i="4"/>
  <c r="AL292" i="4"/>
  <c r="AK292" i="4"/>
  <c r="AI292" i="4"/>
  <c r="AH292" i="4"/>
  <c r="AF292" i="4"/>
  <c r="AE292" i="4"/>
  <c r="AC292" i="4"/>
  <c r="AB292" i="4"/>
  <c r="Z292" i="4"/>
  <c r="Y292" i="4"/>
  <c r="W292" i="4"/>
  <c r="V292" i="4"/>
  <c r="T292" i="4"/>
  <c r="S292" i="4"/>
  <c r="Q292" i="4"/>
  <c r="P292" i="4"/>
  <c r="N292" i="4"/>
  <c r="M292" i="4"/>
  <c r="I292" i="4"/>
  <c r="J292" i="4" s="1"/>
  <c r="H292" i="4"/>
  <c r="AP291" i="4"/>
  <c r="AQ291" i="4" s="1"/>
  <c r="AO291" i="4"/>
  <c r="AN291" i="4"/>
  <c r="AL291" i="4"/>
  <c r="AK291" i="4"/>
  <c r="AI291" i="4"/>
  <c r="AH291" i="4"/>
  <c r="AF291" i="4"/>
  <c r="AE291" i="4"/>
  <c r="AC291" i="4"/>
  <c r="AB291" i="4"/>
  <c r="Z291" i="4"/>
  <c r="Y291" i="4"/>
  <c r="W291" i="4"/>
  <c r="V291" i="4"/>
  <c r="T291" i="4"/>
  <c r="S291" i="4"/>
  <c r="Q291" i="4"/>
  <c r="P291" i="4"/>
  <c r="N291" i="4"/>
  <c r="M291" i="4"/>
  <c r="I291" i="4"/>
  <c r="K291" i="4" s="1"/>
  <c r="H291" i="4"/>
  <c r="AP290" i="4"/>
  <c r="AR290" i="4" s="1"/>
  <c r="AO290" i="4"/>
  <c r="AN290" i="4"/>
  <c r="AL290" i="4"/>
  <c r="AK290" i="4"/>
  <c r="AI290" i="4"/>
  <c r="AH290" i="4"/>
  <c r="AF290" i="4"/>
  <c r="AE290" i="4"/>
  <c r="AC290" i="4"/>
  <c r="AB290" i="4"/>
  <c r="Z290" i="4"/>
  <c r="Y290" i="4"/>
  <c r="W290" i="4"/>
  <c r="V290" i="4"/>
  <c r="T290" i="4"/>
  <c r="S290" i="4"/>
  <c r="Q290" i="4"/>
  <c r="P290" i="4"/>
  <c r="N290" i="4"/>
  <c r="M290" i="4"/>
  <c r="I290" i="4"/>
  <c r="H290" i="4"/>
  <c r="AP289" i="4"/>
  <c r="AO289" i="4"/>
  <c r="AN289" i="4"/>
  <c r="AL289" i="4"/>
  <c r="AK289" i="4"/>
  <c r="AI289" i="4"/>
  <c r="AH289" i="4"/>
  <c r="AF289" i="4"/>
  <c r="AE289" i="4"/>
  <c r="AC289" i="4"/>
  <c r="AB289" i="4"/>
  <c r="Z289" i="4"/>
  <c r="Y289" i="4"/>
  <c r="W289" i="4"/>
  <c r="V289" i="4"/>
  <c r="T289" i="4"/>
  <c r="S289" i="4"/>
  <c r="Q289" i="4"/>
  <c r="P289" i="4"/>
  <c r="N289" i="4"/>
  <c r="M289" i="4"/>
  <c r="I289" i="4"/>
  <c r="K289" i="4" s="1"/>
  <c r="H289" i="4"/>
  <c r="AP288" i="4"/>
  <c r="AR288" i="4" s="1"/>
  <c r="AO288" i="4"/>
  <c r="AN288" i="4"/>
  <c r="AL288" i="4"/>
  <c r="AK288" i="4"/>
  <c r="AI288" i="4"/>
  <c r="AH288" i="4"/>
  <c r="AF288" i="4"/>
  <c r="AE288" i="4"/>
  <c r="AC288" i="4"/>
  <c r="AB288" i="4"/>
  <c r="Z288" i="4"/>
  <c r="Y288" i="4"/>
  <c r="W288" i="4"/>
  <c r="V288" i="4"/>
  <c r="T288" i="4"/>
  <c r="S288" i="4"/>
  <c r="Q288" i="4"/>
  <c r="P288" i="4"/>
  <c r="N288" i="4"/>
  <c r="M288" i="4"/>
  <c r="I288" i="4"/>
  <c r="J288" i="4" s="1"/>
  <c r="H288" i="4"/>
  <c r="AP287" i="4"/>
  <c r="AO287" i="4"/>
  <c r="AN287" i="4"/>
  <c r="AL287" i="4"/>
  <c r="AK287" i="4"/>
  <c r="AI287" i="4"/>
  <c r="AH287" i="4"/>
  <c r="AF287" i="4"/>
  <c r="AE287" i="4"/>
  <c r="AC287" i="4"/>
  <c r="AB287" i="4"/>
  <c r="Z287" i="4"/>
  <c r="Y287" i="4"/>
  <c r="W287" i="4"/>
  <c r="V287" i="4"/>
  <c r="T287" i="4"/>
  <c r="S287" i="4"/>
  <c r="Q287" i="4"/>
  <c r="P287" i="4"/>
  <c r="N287" i="4"/>
  <c r="M287" i="4"/>
  <c r="I287" i="4"/>
  <c r="K287" i="4" s="1"/>
  <c r="H287" i="4"/>
  <c r="AP286" i="4"/>
  <c r="AO286" i="4"/>
  <c r="AN286" i="4"/>
  <c r="AL286" i="4"/>
  <c r="AK286" i="4"/>
  <c r="AI286" i="4"/>
  <c r="AH286" i="4"/>
  <c r="AF286" i="4"/>
  <c r="AE286" i="4"/>
  <c r="AC286" i="4"/>
  <c r="AB286" i="4"/>
  <c r="Z286" i="4"/>
  <c r="Y286" i="4"/>
  <c r="W286" i="4"/>
  <c r="V286" i="4"/>
  <c r="T286" i="4"/>
  <c r="S286" i="4"/>
  <c r="Q286" i="4"/>
  <c r="P286" i="4"/>
  <c r="N286" i="4"/>
  <c r="M286" i="4"/>
  <c r="I286" i="4"/>
  <c r="J286" i="4" s="1"/>
  <c r="H286" i="4"/>
  <c r="AP285" i="4"/>
  <c r="AO285" i="4"/>
  <c r="AN285" i="4"/>
  <c r="AL285" i="4"/>
  <c r="AK285" i="4"/>
  <c r="AI285" i="4"/>
  <c r="AH285" i="4"/>
  <c r="AF285" i="4"/>
  <c r="AE285" i="4"/>
  <c r="AC285" i="4"/>
  <c r="AB285" i="4"/>
  <c r="Z285" i="4"/>
  <c r="Y285" i="4"/>
  <c r="W285" i="4"/>
  <c r="V285" i="4"/>
  <c r="T285" i="4"/>
  <c r="S285" i="4"/>
  <c r="Q285" i="4"/>
  <c r="P285" i="4"/>
  <c r="N285" i="4"/>
  <c r="M285" i="4"/>
  <c r="I285" i="4"/>
  <c r="K285" i="4" s="1"/>
  <c r="H285" i="4"/>
  <c r="AP284" i="4"/>
  <c r="I284" i="4"/>
  <c r="AP283" i="4"/>
  <c r="AO283" i="4"/>
  <c r="AN283" i="4"/>
  <c r="AL283" i="4"/>
  <c r="AK283" i="4"/>
  <c r="AI283" i="4"/>
  <c r="AH283" i="4"/>
  <c r="AF283" i="4"/>
  <c r="AE283" i="4"/>
  <c r="AC283" i="4"/>
  <c r="AB283" i="4"/>
  <c r="Z283" i="4"/>
  <c r="Y283" i="4"/>
  <c r="W283" i="4"/>
  <c r="V283" i="4"/>
  <c r="T283" i="4"/>
  <c r="S283" i="4"/>
  <c r="Q283" i="4"/>
  <c r="P283" i="4"/>
  <c r="N283" i="4"/>
  <c r="M283" i="4"/>
  <c r="I283" i="4"/>
  <c r="K283" i="4" s="1"/>
  <c r="H283" i="4"/>
  <c r="AP282" i="4"/>
  <c r="AO282" i="4"/>
  <c r="AN282" i="4"/>
  <c r="AL282" i="4"/>
  <c r="AK282" i="4"/>
  <c r="AI282" i="4"/>
  <c r="AH282" i="4"/>
  <c r="AF282" i="4"/>
  <c r="AE282" i="4"/>
  <c r="AC282" i="4"/>
  <c r="AB282" i="4"/>
  <c r="Z282" i="4"/>
  <c r="Y282" i="4"/>
  <c r="W282" i="4"/>
  <c r="V282" i="4"/>
  <c r="T282" i="4"/>
  <c r="S282" i="4"/>
  <c r="Q282" i="4"/>
  <c r="P282" i="4"/>
  <c r="N282" i="4"/>
  <c r="M282" i="4"/>
  <c r="I282" i="4"/>
  <c r="J282" i="4" s="1"/>
  <c r="H282" i="4"/>
  <c r="AP281" i="4"/>
  <c r="AQ281" i="4" s="1"/>
  <c r="AO281" i="4"/>
  <c r="AN281" i="4"/>
  <c r="AL281" i="4"/>
  <c r="AK281" i="4"/>
  <c r="AI281" i="4"/>
  <c r="AH281" i="4"/>
  <c r="AF281" i="4"/>
  <c r="AE281" i="4"/>
  <c r="AC281" i="4"/>
  <c r="AB281" i="4"/>
  <c r="Z281" i="4"/>
  <c r="Y281" i="4"/>
  <c r="W281" i="4"/>
  <c r="V281" i="4"/>
  <c r="T281" i="4"/>
  <c r="S281" i="4"/>
  <c r="Q281" i="4"/>
  <c r="P281" i="4"/>
  <c r="N281" i="4"/>
  <c r="M281" i="4"/>
  <c r="I281" i="4"/>
  <c r="K281" i="4" s="1"/>
  <c r="H281" i="4"/>
  <c r="AP280" i="4"/>
  <c r="AO280" i="4"/>
  <c r="AN280" i="4"/>
  <c r="AL280" i="4"/>
  <c r="AK280" i="4"/>
  <c r="AI280" i="4"/>
  <c r="AH280" i="4"/>
  <c r="AF280" i="4"/>
  <c r="AE280" i="4"/>
  <c r="AC280" i="4"/>
  <c r="AB280" i="4"/>
  <c r="Z280" i="4"/>
  <c r="Y280" i="4"/>
  <c r="W280" i="4"/>
  <c r="V280" i="4"/>
  <c r="T280" i="4"/>
  <c r="S280" i="4"/>
  <c r="Q280" i="4"/>
  <c r="P280" i="4"/>
  <c r="N280" i="4"/>
  <c r="M280" i="4"/>
  <c r="I280" i="4"/>
  <c r="J280" i="4" s="1"/>
  <c r="H280" i="4"/>
  <c r="AP279" i="4"/>
  <c r="I279" i="4"/>
  <c r="AP278" i="4"/>
  <c r="AO278" i="4"/>
  <c r="AN278" i="4"/>
  <c r="AL278" i="4"/>
  <c r="AK278" i="4"/>
  <c r="AI278" i="4"/>
  <c r="AH278" i="4"/>
  <c r="AF278" i="4"/>
  <c r="AE278" i="4"/>
  <c r="AC278" i="4"/>
  <c r="AB278" i="4"/>
  <c r="Z278" i="4"/>
  <c r="Y278" i="4"/>
  <c r="W278" i="4"/>
  <c r="V278" i="4"/>
  <c r="T278" i="4"/>
  <c r="S278" i="4"/>
  <c r="Q278" i="4"/>
  <c r="P278" i="4"/>
  <c r="N278" i="4"/>
  <c r="M278" i="4"/>
  <c r="I278" i="4"/>
  <c r="H278" i="4"/>
  <c r="AP277" i="4"/>
  <c r="AO277" i="4"/>
  <c r="AN277" i="4"/>
  <c r="AL277" i="4"/>
  <c r="AK277" i="4"/>
  <c r="AI277" i="4"/>
  <c r="AH277" i="4"/>
  <c r="AF277" i="4"/>
  <c r="AE277" i="4"/>
  <c r="AC277" i="4"/>
  <c r="AB277" i="4"/>
  <c r="Z277" i="4"/>
  <c r="Y277" i="4"/>
  <c r="W277" i="4"/>
  <c r="V277" i="4"/>
  <c r="T277" i="4"/>
  <c r="S277" i="4"/>
  <c r="Q277" i="4"/>
  <c r="P277" i="4"/>
  <c r="N277" i="4"/>
  <c r="M277" i="4"/>
  <c r="I277" i="4"/>
  <c r="H277" i="4"/>
  <c r="AP276" i="4"/>
  <c r="AQ276" i="4" s="1"/>
  <c r="AO276" i="4"/>
  <c r="AN276" i="4"/>
  <c r="AL276" i="4"/>
  <c r="AK276" i="4"/>
  <c r="AI276" i="4"/>
  <c r="AH276" i="4"/>
  <c r="AF276" i="4"/>
  <c r="AE276" i="4"/>
  <c r="AC276" i="4"/>
  <c r="AB276" i="4"/>
  <c r="Z276" i="4"/>
  <c r="Y276" i="4"/>
  <c r="W276" i="4"/>
  <c r="V276" i="4"/>
  <c r="T276" i="4"/>
  <c r="S276" i="4"/>
  <c r="Q276" i="4"/>
  <c r="P276" i="4"/>
  <c r="N276" i="4"/>
  <c r="M276" i="4"/>
  <c r="I276" i="4"/>
  <c r="J276" i="4" s="1"/>
  <c r="H276" i="4"/>
  <c r="AP275" i="4"/>
  <c r="AQ275" i="4" s="1"/>
  <c r="AO275" i="4"/>
  <c r="AN275" i="4"/>
  <c r="AL275" i="4"/>
  <c r="AK275" i="4"/>
  <c r="AI275" i="4"/>
  <c r="AH275" i="4"/>
  <c r="AF275" i="4"/>
  <c r="AE275" i="4"/>
  <c r="AC275" i="4"/>
  <c r="AB275" i="4"/>
  <c r="Z275" i="4"/>
  <c r="Y275" i="4"/>
  <c r="W275" i="4"/>
  <c r="V275" i="4"/>
  <c r="T275" i="4"/>
  <c r="S275" i="4"/>
  <c r="Q275" i="4"/>
  <c r="P275" i="4"/>
  <c r="N275" i="4"/>
  <c r="M275" i="4"/>
  <c r="I275" i="4"/>
  <c r="J275" i="4" s="1"/>
  <c r="H275" i="4"/>
  <c r="AP274" i="4"/>
  <c r="I274" i="4"/>
  <c r="AP273" i="4"/>
  <c r="AR273" i="4" s="1"/>
  <c r="AO273" i="4"/>
  <c r="AN273" i="4"/>
  <c r="AL273" i="4"/>
  <c r="AK273" i="4"/>
  <c r="AI273" i="4"/>
  <c r="AH273" i="4"/>
  <c r="AF273" i="4"/>
  <c r="AE273" i="4"/>
  <c r="AC273" i="4"/>
  <c r="AB273" i="4"/>
  <c r="Z273" i="4"/>
  <c r="Y273" i="4"/>
  <c r="W273" i="4"/>
  <c r="V273" i="4"/>
  <c r="T273" i="4"/>
  <c r="S273" i="4"/>
  <c r="Q273" i="4"/>
  <c r="P273" i="4"/>
  <c r="N273" i="4"/>
  <c r="M273" i="4"/>
  <c r="I273" i="4"/>
  <c r="J273" i="4" s="1"/>
  <c r="H273" i="4"/>
  <c r="AP272" i="4"/>
  <c r="AR272" i="4" s="1"/>
  <c r="AO272" i="4"/>
  <c r="AN272" i="4"/>
  <c r="AL272" i="4"/>
  <c r="AK272" i="4"/>
  <c r="AI272" i="4"/>
  <c r="AH272" i="4"/>
  <c r="AF272" i="4"/>
  <c r="AE272" i="4"/>
  <c r="AC272" i="4"/>
  <c r="AB272" i="4"/>
  <c r="Z272" i="4"/>
  <c r="Y272" i="4"/>
  <c r="W272" i="4"/>
  <c r="V272" i="4"/>
  <c r="T272" i="4"/>
  <c r="S272" i="4"/>
  <c r="Q272" i="4"/>
  <c r="P272" i="4"/>
  <c r="N272" i="4"/>
  <c r="M272" i="4"/>
  <c r="I272" i="4"/>
  <c r="J272" i="4" s="1"/>
  <c r="H272" i="4"/>
  <c r="AP271" i="4"/>
  <c r="AS271" i="4" s="1"/>
  <c r="AT271" i="4" s="1"/>
  <c r="AO271" i="4"/>
  <c r="AN271" i="4"/>
  <c r="AL271" i="4"/>
  <c r="AK271" i="4"/>
  <c r="AI271" i="4"/>
  <c r="AH271" i="4"/>
  <c r="AF271" i="4"/>
  <c r="AE271" i="4"/>
  <c r="AC271" i="4"/>
  <c r="AB271" i="4"/>
  <c r="Z271" i="4"/>
  <c r="Y271" i="4"/>
  <c r="W271" i="4"/>
  <c r="V271" i="4"/>
  <c r="T271" i="4"/>
  <c r="S271" i="4"/>
  <c r="Q271" i="4"/>
  <c r="P271" i="4"/>
  <c r="N271" i="4"/>
  <c r="M271" i="4"/>
  <c r="I271" i="4"/>
  <c r="H271" i="4"/>
  <c r="AP270" i="4"/>
  <c r="AO270" i="4"/>
  <c r="AN270" i="4"/>
  <c r="AL270" i="4"/>
  <c r="AK270" i="4"/>
  <c r="AI270" i="4"/>
  <c r="AH270" i="4"/>
  <c r="AF270" i="4"/>
  <c r="AE270" i="4"/>
  <c r="AC270" i="4"/>
  <c r="AB270" i="4"/>
  <c r="Z270" i="4"/>
  <c r="Y270" i="4"/>
  <c r="W270" i="4"/>
  <c r="V270" i="4"/>
  <c r="T270" i="4"/>
  <c r="S270" i="4"/>
  <c r="Q270" i="4"/>
  <c r="P270" i="4"/>
  <c r="N270" i="4"/>
  <c r="M270" i="4"/>
  <c r="I270" i="4"/>
  <c r="J270" i="4" s="1"/>
  <c r="H270" i="4"/>
  <c r="AP269" i="4"/>
  <c r="AO269" i="4"/>
  <c r="AN269" i="4"/>
  <c r="AL269" i="4"/>
  <c r="AK269" i="4"/>
  <c r="AI269" i="4"/>
  <c r="AH269" i="4"/>
  <c r="AF269" i="4"/>
  <c r="AE269" i="4"/>
  <c r="AC269" i="4"/>
  <c r="AB269" i="4"/>
  <c r="Z269" i="4"/>
  <c r="Y269" i="4"/>
  <c r="W269" i="4"/>
  <c r="V269" i="4"/>
  <c r="T269" i="4"/>
  <c r="S269" i="4"/>
  <c r="Q269" i="4"/>
  <c r="P269" i="4"/>
  <c r="N269" i="4"/>
  <c r="M269" i="4"/>
  <c r="I269" i="4"/>
  <c r="J269" i="4" s="1"/>
  <c r="H269" i="4"/>
  <c r="AP268" i="4"/>
  <c r="AO268" i="4"/>
  <c r="AN268" i="4"/>
  <c r="AL268" i="4"/>
  <c r="AK268" i="4"/>
  <c r="AI268" i="4"/>
  <c r="AH268" i="4"/>
  <c r="AF268" i="4"/>
  <c r="AE268" i="4"/>
  <c r="AC268" i="4"/>
  <c r="AB268" i="4"/>
  <c r="Z268" i="4"/>
  <c r="Y268" i="4"/>
  <c r="W268" i="4"/>
  <c r="V268" i="4"/>
  <c r="T268" i="4"/>
  <c r="S268" i="4"/>
  <c r="Q268" i="4"/>
  <c r="P268" i="4"/>
  <c r="N268" i="4"/>
  <c r="M268" i="4"/>
  <c r="I268" i="4"/>
  <c r="H268" i="4"/>
  <c r="AP267" i="4"/>
  <c r="AO267" i="4"/>
  <c r="AN267" i="4"/>
  <c r="AL267" i="4"/>
  <c r="AK267" i="4"/>
  <c r="AI267" i="4"/>
  <c r="AH267" i="4"/>
  <c r="AF267" i="4"/>
  <c r="AE267" i="4"/>
  <c r="AC267" i="4"/>
  <c r="AB267" i="4"/>
  <c r="Z267" i="4"/>
  <c r="Y267" i="4"/>
  <c r="W267" i="4"/>
  <c r="V267" i="4"/>
  <c r="T267" i="4"/>
  <c r="S267" i="4"/>
  <c r="Q267" i="4"/>
  <c r="P267" i="4"/>
  <c r="N267" i="4"/>
  <c r="M267" i="4"/>
  <c r="I267" i="4"/>
  <c r="J267" i="4" s="1"/>
  <c r="H267" i="4"/>
  <c r="AP266" i="4"/>
  <c r="AO266" i="4"/>
  <c r="AN266" i="4"/>
  <c r="AL266" i="4"/>
  <c r="AK266" i="4"/>
  <c r="AI266" i="4"/>
  <c r="AH266" i="4"/>
  <c r="AF266" i="4"/>
  <c r="AE266" i="4"/>
  <c r="AC266" i="4"/>
  <c r="AB266" i="4"/>
  <c r="Z266" i="4"/>
  <c r="Y266" i="4"/>
  <c r="W266" i="4"/>
  <c r="V266" i="4"/>
  <c r="T266" i="4"/>
  <c r="S266" i="4"/>
  <c r="Q266" i="4"/>
  <c r="P266" i="4"/>
  <c r="N266" i="4"/>
  <c r="M266" i="4"/>
  <c r="I266" i="4"/>
  <c r="J266" i="4" s="1"/>
  <c r="H266" i="4"/>
  <c r="AP265" i="4"/>
  <c r="I265" i="4"/>
  <c r="AP264" i="4"/>
  <c r="AO264" i="4"/>
  <c r="AN264" i="4"/>
  <c r="AL264" i="4"/>
  <c r="AK264" i="4"/>
  <c r="AI264" i="4"/>
  <c r="AH264" i="4"/>
  <c r="AF264" i="4"/>
  <c r="AE264" i="4"/>
  <c r="AC264" i="4"/>
  <c r="AB264" i="4"/>
  <c r="Z264" i="4"/>
  <c r="Y264" i="4"/>
  <c r="W264" i="4"/>
  <c r="V264" i="4"/>
  <c r="T264" i="4"/>
  <c r="S264" i="4"/>
  <c r="Q264" i="4"/>
  <c r="P264" i="4"/>
  <c r="N264" i="4"/>
  <c r="M264" i="4"/>
  <c r="I264" i="4"/>
  <c r="J264" i="4" s="1"/>
  <c r="H264" i="4"/>
  <c r="AP263" i="4"/>
  <c r="AO263" i="4"/>
  <c r="AN263" i="4"/>
  <c r="AL263" i="4"/>
  <c r="AK263" i="4"/>
  <c r="AI263" i="4"/>
  <c r="AH263" i="4"/>
  <c r="AF263" i="4"/>
  <c r="AE263" i="4"/>
  <c r="AC263" i="4"/>
  <c r="AB263" i="4"/>
  <c r="Z263" i="4"/>
  <c r="Y263" i="4"/>
  <c r="W263" i="4"/>
  <c r="V263" i="4"/>
  <c r="T263" i="4"/>
  <c r="S263" i="4"/>
  <c r="Q263" i="4"/>
  <c r="P263" i="4"/>
  <c r="N263" i="4"/>
  <c r="M263" i="4"/>
  <c r="I263" i="4"/>
  <c r="J263" i="4" s="1"/>
  <c r="H263" i="4"/>
  <c r="AP262" i="4"/>
  <c r="AO262" i="4"/>
  <c r="AN262" i="4"/>
  <c r="AL262" i="4"/>
  <c r="AK262" i="4"/>
  <c r="AI262" i="4"/>
  <c r="AH262" i="4"/>
  <c r="AF262" i="4"/>
  <c r="AE262" i="4"/>
  <c r="AC262" i="4"/>
  <c r="AB262" i="4"/>
  <c r="Z262" i="4"/>
  <c r="Y262" i="4"/>
  <c r="W262" i="4"/>
  <c r="V262" i="4"/>
  <c r="T262" i="4"/>
  <c r="S262" i="4"/>
  <c r="Q262" i="4"/>
  <c r="P262" i="4"/>
  <c r="N262" i="4"/>
  <c r="M262" i="4"/>
  <c r="I262" i="4"/>
  <c r="H262" i="4"/>
  <c r="AP261" i="4"/>
  <c r="I261" i="4"/>
  <c r="AP260" i="4"/>
  <c r="AS260" i="4" s="1"/>
  <c r="AO260" i="4"/>
  <c r="AN260" i="4"/>
  <c r="AN259" i="4" s="1"/>
  <c r="AL260" i="4"/>
  <c r="AK260" i="4"/>
  <c r="AK259" i="4" s="1"/>
  <c r="AI260" i="4"/>
  <c r="AH260" i="4"/>
  <c r="AH259" i="4" s="1"/>
  <c r="AF260" i="4"/>
  <c r="AE260" i="4"/>
  <c r="AE259" i="4" s="1"/>
  <c r="AC260" i="4"/>
  <c r="AB260" i="4"/>
  <c r="AB259" i="4" s="1"/>
  <c r="Z260" i="4"/>
  <c r="Y260" i="4"/>
  <c r="Y259" i="4" s="1"/>
  <c r="W260" i="4"/>
  <c r="V260" i="4"/>
  <c r="V259" i="4" s="1"/>
  <c r="T260" i="4"/>
  <c r="S260" i="4"/>
  <c r="S259" i="4" s="1"/>
  <c r="Q260" i="4"/>
  <c r="P260" i="4"/>
  <c r="P259" i="4" s="1"/>
  <c r="N260" i="4"/>
  <c r="M260" i="4"/>
  <c r="M259" i="4" s="1"/>
  <c r="I260" i="4"/>
  <c r="J260" i="4" s="1"/>
  <c r="J259" i="4" s="1"/>
  <c r="H260" i="4"/>
  <c r="H259" i="4" s="1"/>
  <c r="AP259" i="4"/>
  <c r="I259" i="4"/>
  <c r="AP258" i="4"/>
  <c r="I258" i="4"/>
  <c r="AS257" i="4"/>
  <c r="AR257" i="4"/>
  <c r="AQ257" i="4"/>
  <c r="AO257" i="4"/>
  <c r="AN257" i="4"/>
  <c r="AL257" i="4"/>
  <c r="AK257" i="4"/>
  <c r="AI257" i="4"/>
  <c r="AH257" i="4"/>
  <c r="AF257" i="4"/>
  <c r="AE257" i="4"/>
  <c r="AC257" i="4"/>
  <c r="AB257" i="4"/>
  <c r="Z257" i="4"/>
  <c r="Y257" i="4"/>
  <c r="W257" i="4"/>
  <c r="V257" i="4"/>
  <c r="T257" i="4"/>
  <c r="S257" i="4"/>
  <c r="Q257" i="4"/>
  <c r="P257" i="4"/>
  <c r="N257" i="4"/>
  <c r="M257" i="4"/>
  <c r="I257" i="4"/>
  <c r="H257" i="4"/>
  <c r="AP256" i="4"/>
  <c r="AR256" i="4" s="1"/>
  <c r="AO256" i="4"/>
  <c r="AN256" i="4"/>
  <c r="AL256" i="4"/>
  <c r="AK256" i="4"/>
  <c r="AI256" i="4"/>
  <c r="AH256" i="4"/>
  <c r="AF256" i="4"/>
  <c r="AE256" i="4"/>
  <c r="AC256" i="4"/>
  <c r="AB256" i="4"/>
  <c r="Z256" i="4"/>
  <c r="Y256" i="4"/>
  <c r="W256" i="4"/>
  <c r="V256" i="4"/>
  <c r="T256" i="4"/>
  <c r="S256" i="4"/>
  <c r="Q256" i="4"/>
  <c r="P256" i="4"/>
  <c r="N256" i="4"/>
  <c r="M256" i="4"/>
  <c r="I256" i="4"/>
  <c r="J256" i="4" s="1"/>
  <c r="H256" i="4"/>
  <c r="AP255" i="4"/>
  <c r="AO255" i="4"/>
  <c r="AN255" i="4"/>
  <c r="AL255" i="4"/>
  <c r="AK255" i="4"/>
  <c r="AI255" i="4"/>
  <c r="AH255" i="4"/>
  <c r="AF255" i="4"/>
  <c r="AE255" i="4"/>
  <c r="AC255" i="4"/>
  <c r="AB255" i="4"/>
  <c r="Z255" i="4"/>
  <c r="Y255" i="4"/>
  <c r="W255" i="4"/>
  <c r="V255" i="4"/>
  <c r="T255" i="4"/>
  <c r="S255" i="4"/>
  <c r="Q255" i="4"/>
  <c r="P255" i="4"/>
  <c r="N255" i="4"/>
  <c r="M255" i="4"/>
  <c r="I255" i="4"/>
  <c r="K255" i="4" s="1"/>
  <c r="H255" i="4"/>
  <c r="AP254" i="4"/>
  <c r="AR254" i="4" s="1"/>
  <c r="AO254" i="4"/>
  <c r="AN254" i="4"/>
  <c r="AL254" i="4"/>
  <c r="AK254" i="4"/>
  <c r="AI254" i="4"/>
  <c r="AH254" i="4"/>
  <c r="AF254" i="4"/>
  <c r="AE254" i="4"/>
  <c r="AC254" i="4"/>
  <c r="AB254" i="4"/>
  <c r="Z254" i="4"/>
  <c r="Y254" i="4"/>
  <c r="W254" i="4"/>
  <c r="V254" i="4"/>
  <c r="T254" i="4"/>
  <c r="S254" i="4"/>
  <c r="Q254" i="4"/>
  <c r="P254" i="4"/>
  <c r="N254" i="4"/>
  <c r="M254" i="4"/>
  <c r="I254" i="4"/>
  <c r="K254" i="4" s="1"/>
  <c r="H254" i="4"/>
  <c r="AP253" i="4"/>
  <c r="I253" i="4"/>
  <c r="AP252" i="4"/>
  <c r="AR252" i="4" s="1"/>
  <c r="AO252" i="4"/>
  <c r="AN252" i="4"/>
  <c r="AL252" i="4"/>
  <c r="AK252" i="4"/>
  <c r="AI252" i="4"/>
  <c r="AH252" i="4"/>
  <c r="AF252" i="4"/>
  <c r="AE252" i="4"/>
  <c r="AC252" i="4"/>
  <c r="AB252" i="4"/>
  <c r="Z252" i="4"/>
  <c r="Y252" i="4"/>
  <c r="W252" i="4"/>
  <c r="V252" i="4"/>
  <c r="T252" i="4"/>
  <c r="S252" i="4"/>
  <c r="Q252" i="4"/>
  <c r="P252" i="4"/>
  <c r="N252" i="4"/>
  <c r="M252" i="4"/>
  <c r="I252" i="4"/>
  <c r="J252" i="4" s="1"/>
  <c r="H252" i="4"/>
  <c r="AP251" i="4"/>
  <c r="AO251" i="4"/>
  <c r="AN251" i="4"/>
  <c r="AL251" i="4"/>
  <c r="AK251" i="4"/>
  <c r="AI251" i="4"/>
  <c r="AH251" i="4"/>
  <c r="AF251" i="4"/>
  <c r="AE251" i="4"/>
  <c r="AC251" i="4"/>
  <c r="AB251" i="4"/>
  <c r="Z251" i="4"/>
  <c r="Y251" i="4"/>
  <c r="W251" i="4"/>
  <c r="V251" i="4"/>
  <c r="T251" i="4"/>
  <c r="S251" i="4"/>
  <c r="Q251" i="4"/>
  <c r="P251" i="4"/>
  <c r="N251" i="4"/>
  <c r="M251" i="4"/>
  <c r="I251" i="4"/>
  <c r="K251" i="4" s="1"/>
  <c r="H251" i="4"/>
  <c r="AP250" i="4"/>
  <c r="AR250" i="4" s="1"/>
  <c r="AO250" i="4"/>
  <c r="AN250" i="4"/>
  <c r="AL250" i="4"/>
  <c r="AK250" i="4"/>
  <c r="AI250" i="4"/>
  <c r="AH250" i="4"/>
  <c r="AF250" i="4"/>
  <c r="AE250" i="4"/>
  <c r="AC250" i="4"/>
  <c r="AB250" i="4"/>
  <c r="Z250" i="4"/>
  <c r="Y250" i="4"/>
  <c r="W250" i="4"/>
  <c r="V250" i="4"/>
  <c r="T250" i="4"/>
  <c r="S250" i="4"/>
  <c r="Q250" i="4"/>
  <c r="P250" i="4"/>
  <c r="N250" i="4"/>
  <c r="M250" i="4"/>
  <c r="I250" i="4"/>
  <c r="K250" i="4" s="1"/>
  <c r="H250" i="4"/>
  <c r="AP249" i="4"/>
  <c r="I249" i="4"/>
  <c r="AP248" i="4"/>
  <c r="AR248" i="4" s="1"/>
  <c r="AO248" i="4"/>
  <c r="AN248" i="4"/>
  <c r="AL248" i="4"/>
  <c r="AK248" i="4"/>
  <c r="AI248" i="4"/>
  <c r="AH248" i="4"/>
  <c r="AF248" i="4"/>
  <c r="AE248" i="4"/>
  <c r="AC248" i="4"/>
  <c r="AB248" i="4"/>
  <c r="Z248" i="4"/>
  <c r="Y248" i="4"/>
  <c r="W248" i="4"/>
  <c r="V248" i="4"/>
  <c r="T248" i="4"/>
  <c r="S248" i="4"/>
  <c r="Q248" i="4"/>
  <c r="P248" i="4"/>
  <c r="N248" i="4"/>
  <c r="M248" i="4"/>
  <c r="I248" i="4"/>
  <c r="H248" i="4"/>
  <c r="AP247" i="4"/>
  <c r="AO247" i="4"/>
  <c r="AN247" i="4"/>
  <c r="AL247" i="4"/>
  <c r="AK247" i="4"/>
  <c r="AI247" i="4"/>
  <c r="AH247" i="4"/>
  <c r="AF247" i="4"/>
  <c r="AE247" i="4"/>
  <c r="AC247" i="4"/>
  <c r="AB247" i="4"/>
  <c r="Z247" i="4"/>
  <c r="Y247" i="4"/>
  <c r="W247" i="4"/>
  <c r="V247" i="4"/>
  <c r="T247" i="4"/>
  <c r="S247" i="4"/>
  <c r="Q247" i="4"/>
  <c r="P247" i="4"/>
  <c r="N247" i="4"/>
  <c r="M247" i="4"/>
  <c r="I247" i="4"/>
  <c r="K247" i="4" s="1"/>
  <c r="H247" i="4"/>
  <c r="AP246" i="4"/>
  <c r="I246" i="4"/>
  <c r="AP245" i="4"/>
  <c r="AR245" i="4" s="1"/>
  <c r="AO245" i="4"/>
  <c r="AN245" i="4"/>
  <c r="AL245" i="4"/>
  <c r="AK245" i="4"/>
  <c r="AI245" i="4"/>
  <c r="AH245" i="4"/>
  <c r="AF245" i="4"/>
  <c r="AE245" i="4"/>
  <c r="AC245" i="4"/>
  <c r="AB245" i="4"/>
  <c r="Z245" i="4"/>
  <c r="Y245" i="4"/>
  <c r="W245" i="4"/>
  <c r="V245" i="4"/>
  <c r="T245" i="4"/>
  <c r="S245" i="4"/>
  <c r="Q245" i="4"/>
  <c r="P245" i="4"/>
  <c r="N245" i="4"/>
  <c r="M245" i="4"/>
  <c r="I245" i="4"/>
  <c r="K245" i="4" s="1"/>
  <c r="H245" i="4"/>
  <c r="AP244" i="4"/>
  <c r="AO244" i="4"/>
  <c r="AN244" i="4"/>
  <c r="AL244" i="4"/>
  <c r="AK244" i="4"/>
  <c r="AI244" i="4"/>
  <c r="AH244" i="4"/>
  <c r="AF244" i="4"/>
  <c r="AE244" i="4"/>
  <c r="AC244" i="4"/>
  <c r="AB244" i="4"/>
  <c r="Z244" i="4"/>
  <c r="Y244" i="4"/>
  <c r="W244" i="4"/>
  <c r="V244" i="4"/>
  <c r="T244" i="4"/>
  <c r="S244" i="4"/>
  <c r="Q244" i="4"/>
  <c r="P244" i="4"/>
  <c r="N244" i="4"/>
  <c r="M244" i="4"/>
  <c r="I244" i="4"/>
  <c r="K244" i="4" s="1"/>
  <c r="H244" i="4"/>
  <c r="AP243" i="4"/>
  <c r="AS243" i="4" s="1"/>
  <c r="AU243" i="4" s="1"/>
  <c r="AO243" i="4"/>
  <c r="AN243" i="4"/>
  <c r="AL243" i="4"/>
  <c r="AK243" i="4"/>
  <c r="AI243" i="4"/>
  <c r="AH243" i="4"/>
  <c r="AF243" i="4"/>
  <c r="AE243" i="4"/>
  <c r="AC243" i="4"/>
  <c r="AB243" i="4"/>
  <c r="Z243" i="4"/>
  <c r="Y243" i="4"/>
  <c r="W243" i="4"/>
  <c r="V243" i="4"/>
  <c r="T243" i="4"/>
  <c r="S243" i="4"/>
  <c r="Q243" i="4"/>
  <c r="P243" i="4"/>
  <c r="N243" i="4"/>
  <c r="M243" i="4"/>
  <c r="I243" i="4"/>
  <c r="K243" i="4" s="1"/>
  <c r="H243" i="4"/>
  <c r="AP242" i="4"/>
  <c r="AQ242" i="4" s="1"/>
  <c r="AO242" i="4"/>
  <c r="AN242" i="4"/>
  <c r="AL242" i="4"/>
  <c r="AK242" i="4"/>
  <c r="AI242" i="4"/>
  <c r="AH242" i="4"/>
  <c r="AF242" i="4"/>
  <c r="AE242" i="4"/>
  <c r="AC242" i="4"/>
  <c r="AB242" i="4"/>
  <c r="Z242" i="4"/>
  <c r="Y242" i="4"/>
  <c r="W242" i="4"/>
  <c r="V242" i="4"/>
  <c r="T242" i="4"/>
  <c r="S242" i="4"/>
  <c r="Q242" i="4"/>
  <c r="P242" i="4"/>
  <c r="N242" i="4"/>
  <c r="M242" i="4"/>
  <c r="I242" i="4"/>
  <c r="K242" i="4" s="1"/>
  <c r="H242" i="4"/>
  <c r="AP241" i="4"/>
  <c r="I241" i="4"/>
  <c r="AP240" i="4"/>
  <c r="AO240" i="4"/>
  <c r="AN240" i="4"/>
  <c r="AL240" i="4"/>
  <c r="AK240" i="4"/>
  <c r="AI240" i="4"/>
  <c r="AH240" i="4"/>
  <c r="AF240" i="4"/>
  <c r="AE240" i="4"/>
  <c r="AC240" i="4"/>
  <c r="AB240" i="4"/>
  <c r="Z240" i="4"/>
  <c r="Y240" i="4"/>
  <c r="W240" i="4"/>
  <c r="V240" i="4"/>
  <c r="T240" i="4"/>
  <c r="S240" i="4"/>
  <c r="Q240" i="4"/>
  <c r="P240" i="4"/>
  <c r="N240" i="4"/>
  <c r="M240" i="4"/>
  <c r="I240" i="4"/>
  <c r="K240" i="4" s="1"/>
  <c r="H240" i="4"/>
  <c r="AP239" i="4"/>
  <c r="AS239" i="4" s="1"/>
  <c r="AO239" i="4"/>
  <c r="AN239" i="4"/>
  <c r="AL239" i="4"/>
  <c r="AK239" i="4"/>
  <c r="AI239" i="4"/>
  <c r="AH239" i="4"/>
  <c r="AF239" i="4"/>
  <c r="AE239" i="4"/>
  <c r="AC239" i="4"/>
  <c r="AB239" i="4"/>
  <c r="Z239" i="4"/>
  <c r="Y239" i="4"/>
  <c r="W239" i="4"/>
  <c r="V239" i="4"/>
  <c r="T239" i="4"/>
  <c r="S239" i="4"/>
  <c r="Q239" i="4"/>
  <c r="P239" i="4"/>
  <c r="N239" i="4"/>
  <c r="M239" i="4"/>
  <c r="I239" i="4"/>
  <c r="K239" i="4" s="1"/>
  <c r="H239" i="4"/>
  <c r="AP238" i="4"/>
  <c r="AO238" i="4"/>
  <c r="AN238" i="4"/>
  <c r="AL238" i="4"/>
  <c r="AK238" i="4"/>
  <c r="AI238" i="4"/>
  <c r="AH238" i="4"/>
  <c r="AF238" i="4"/>
  <c r="AE238" i="4"/>
  <c r="AC238" i="4"/>
  <c r="AB238" i="4"/>
  <c r="Z238" i="4"/>
  <c r="Y238" i="4"/>
  <c r="W238" i="4"/>
  <c r="V238" i="4"/>
  <c r="T238" i="4"/>
  <c r="S238" i="4"/>
  <c r="Q238" i="4"/>
  <c r="P238" i="4"/>
  <c r="N238" i="4"/>
  <c r="M238" i="4"/>
  <c r="I238" i="4"/>
  <c r="J238" i="4" s="1"/>
  <c r="H238" i="4"/>
  <c r="AP237" i="4"/>
  <c r="AS237" i="4" s="1"/>
  <c r="AO237" i="4"/>
  <c r="AN237" i="4"/>
  <c r="AL237" i="4"/>
  <c r="AK237" i="4"/>
  <c r="AI237" i="4"/>
  <c r="AH237" i="4"/>
  <c r="AF237" i="4"/>
  <c r="AE237" i="4"/>
  <c r="AC237" i="4"/>
  <c r="AB237" i="4"/>
  <c r="Z237" i="4"/>
  <c r="Y237" i="4"/>
  <c r="W237" i="4"/>
  <c r="V237" i="4"/>
  <c r="T237" i="4"/>
  <c r="S237" i="4"/>
  <c r="Q237" i="4"/>
  <c r="P237" i="4"/>
  <c r="N237" i="4"/>
  <c r="M237" i="4"/>
  <c r="I237" i="4"/>
  <c r="K237" i="4" s="1"/>
  <c r="H237" i="4"/>
  <c r="AP236" i="4"/>
  <c r="AO236" i="4"/>
  <c r="AN236" i="4"/>
  <c r="AL236" i="4"/>
  <c r="AK236" i="4"/>
  <c r="AI236" i="4"/>
  <c r="AH236" i="4"/>
  <c r="AF236" i="4"/>
  <c r="AE236" i="4"/>
  <c r="AC236" i="4"/>
  <c r="AB236" i="4"/>
  <c r="Z236" i="4"/>
  <c r="Y236" i="4"/>
  <c r="W236" i="4"/>
  <c r="V236" i="4"/>
  <c r="T236" i="4"/>
  <c r="S236" i="4"/>
  <c r="Q236" i="4"/>
  <c r="P236" i="4"/>
  <c r="N236" i="4"/>
  <c r="M236" i="4"/>
  <c r="I236" i="4"/>
  <c r="K236" i="4" s="1"/>
  <c r="H236" i="4"/>
  <c r="AP235" i="4"/>
  <c r="AS235" i="4" s="1"/>
  <c r="AO235" i="4"/>
  <c r="AN235" i="4"/>
  <c r="AL235" i="4"/>
  <c r="AK235" i="4"/>
  <c r="AI235" i="4"/>
  <c r="AH235" i="4"/>
  <c r="AF235" i="4"/>
  <c r="AE235" i="4"/>
  <c r="AC235" i="4"/>
  <c r="AB235" i="4"/>
  <c r="Z235" i="4"/>
  <c r="Y235" i="4"/>
  <c r="W235" i="4"/>
  <c r="V235" i="4"/>
  <c r="T235" i="4"/>
  <c r="S235" i="4"/>
  <c r="Q235" i="4"/>
  <c r="P235" i="4"/>
  <c r="N235" i="4"/>
  <c r="M235" i="4"/>
  <c r="I235" i="4"/>
  <c r="K235" i="4" s="1"/>
  <c r="H235" i="4"/>
  <c r="AP234" i="4"/>
  <c r="AO234" i="4"/>
  <c r="AN234" i="4"/>
  <c r="AL234" i="4"/>
  <c r="AK234" i="4"/>
  <c r="AI234" i="4"/>
  <c r="AH234" i="4"/>
  <c r="AF234" i="4"/>
  <c r="AE234" i="4"/>
  <c r="AC234" i="4"/>
  <c r="AB234" i="4"/>
  <c r="Z234" i="4"/>
  <c r="Y234" i="4"/>
  <c r="W234" i="4"/>
  <c r="V234" i="4"/>
  <c r="T234" i="4"/>
  <c r="S234" i="4"/>
  <c r="Q234" i="4"/>
  <c r="P234" i="4"/>
  <c r="N234" i="4"/>
  <c r="M234" i="4"/>
  <c r="I234" i="4"/>
  <c r="J234" i="4" s="1"/>
  <c r="H234" i="4"/>
  <c r="AP233" i="4"/>
  <c r="I233" i="4"/>
  <c r="AP232" i="4"/>
  <c r="AO232" i="4"/>
  <c r="AN232" i="4"/>
  <c r="AL232" i="4"/>
  <c r="AK232" i="4"/>
  <c r="AI232" i="4"/>
  <c r="AH232" i="4"/>
  <c r="AF232" i="4"/>
  <c r="AE232" i="4"/>
  <c r="AC232" i="4"/>
  <c r="AB232" i="4"/>
  <c r="Z232" i="4"/>
  <c r="Y232" i="4"/>
  <c r="W232" i="4"/>
  <c r="V232" i="4"/>
  <c r="T232" i="4"/>
  <c r="S232" i="4"/>
  <c r="Q232" i="4"/>
  <c r="P232" i="4"/>
  <c r="N232" i="4"/>
  <c r="M232" i="4"/>
  <c r="I232" i="4"/>
  <c r="H232" i="4"/>
  <c r="AP231" i="4"/>
  <c r="AS231" i="4" s="1"/>
  <c r="AO231" i="4"/>
  <c r="AN231" i="4"/>
  <c r="AL231" i="4"/>
  <c r="AK231" i="4"/>
  <c r="AI231" i="4"/>
  <c r="AH231" i="4"/>
  <c r="AF231" i="4"/>
  <c r="AE231" i="4"/>
  <c r="AC231" i="4"/>
  <c r="AB231" i="4"/>
  <c r="Z231" i="4"/>
  <c r="Y231" i="4"/>
  <c r="W231" i="4"/>
  <c r="V231" i="4"/>
  <c r="T231" i="4"/>
  <c r="S231" i="4"/>
  <c r="Q231" i="4"/>
  <c r="P231" i="4"/>
  <c r="N231" i="4"/>
  <c r="M231" i="4"/>
  <c r="I231" i="4"/>
  <c r="H231" i="4"/>
  <c r="AP230" i="4"/>
  <c r="AQ230" i="4" s="1"/>
  <c r="AO230" i="4"/>
  <c r="AN230" i="4"/>
  <c r="AL230" i="4"/>
  <c r="AK230" i="4"/>
  <c r="AI230" i="4"/>
  <c r="AH230" i="4"/>
  <c r="AF230" i="4"/>
  <c r="AE230" i="4"/>
  <c r="AC230" i="4"/>
  <c r="AB230" i="4"/>
  <c r="Z230" i="4"/>
  <c r="Y230" i="4"/>
  <c r="W230" i="4"/>
  <c r="V230" i="4"/>
  <c r="T230" i="4"/>
  <c r="S230" i="4"/>
  <c r="Q230" i="4"/>
  <c r="P230" i="4"/>
  <c r="N230" i="4"/>
  <c r="M230" i="4"/>
  <c r="I230" i="4"/>
  <c r="H230" i="4"/>
  <c r="AP229" i="4"/>
  <c r="AS229" i="4" s="1"/>
  <c r="AO229" i="4"/>
  <c r="AN229" i="4"/>
  <c r="AL229" i="4"/>
  <c r="AK229" i="4"/>
  <c r="AI229" i="4"/>
  <c r="AH229" i="4"/>
  <c r="AF229" i="4"/>
  <c r="AE229" i="4"/>
  <c r="AC229" i="4"/>
  <c r="AB229" i="4"/>
  <c r="Z229" i="4"/>
  <c r="Y229" i="4"/>
  <c r="W229" i="4"/>
  <c r="V229" i="4"/>
  <c r="T229" i="4"/>
  <c r="S229" i="4"/>
  <c r="Q229" i="4"/>
  <c r="P229" i="4"/>
  <c r="N229" i="4"/>
  <c r="M229" i="4"/>
  <c r="I229" i="4"/>
  <c r="K229" i="4" s="1"/>
  <c r="H229" i="4"/>
  <c r="AP228" i="4"/>
  <c r="I228" i="4"/>
  <c r="AP227" i="4"/>
  <c r="AS227" i="4" s="1"/>
  <c r="AO227" i="4"/>
  <c r="AN227" i="4"/>
  <c r="AN226" i="4" s="1"/>
  <c r="AL227" i="4"/>
  <c r="AK227" i="4"/>
  <c r="AK226" i="4" s="1"/>
  <c r="AI227" i="4"/>
  <c r="AH227" i="4"/>
  <c r="AH226" i="4" s="1"/>
  <c r="AF227" i="4"/>
  <c r="AE227" i="4"/>
  <c r="AE226" i="4" s="1"/>
  <c r="AC227" i="4"/>
  <c r="AB227" i="4"/>
  <c r="AB226" i="4" s="1"/>
  <c r="Z227" i="4"/>
  <c r="Y227" i="4"/>
  <c r="Y226" i="4" s="1"/>
  <c r="W227" i="4"/>
  <c r="V227" i="4"/>
  <c r="V226" i="4" s="1"/>
  <c r="T227" i="4"/>
  <c r="S227" i="4"/>
  <c r="S226" i="4" s="1"/>
  <c r="Q227" i="4"/>
  <c r="P227" i="4"/>
  <c r="P226" i="4" s="1"/>
  <c r="N227" i="4"/>
  <c r="M227" i="4"/>
  <c r="M226" i="4" s="1"/>
  <c r="I227" i="4"/>
  <c r="H227" i="4"/>
  <c r="H226" i="4" s="1"/>
  <c r="AP226" i="4"/>
  <c r="I226" i="4"/>
  <c r="AP225" i="4"/>
  <c r="I225" i="4"/>
  <c r="AP224" i="4"/>
  <c r="AQ224" i="4" s="1"/>
  <c r="AO224" i="4"/>
  <c r="AN224" i="4"/>
  <c r="AL224" i="4"/>
  <c r="AK224" i="4"/>
  <c r="AI224" i="4"/>
  <c r="AH224" i="4"/>
  <c r="AF224" i="4"/>
  <c r="AE224" i="4"/>
  <c r="AC224" i="4"/>
  <c r="AB224" i="4"/>
  <c r="Z224" i="4"/>
  <c r="Y224" i="4"/>
  <c r="W224" i="4"/>
  <c r="V224" i="4"/>
  <c r="T224" i="4"/>
  <c r="S224" i="4"/>
  <c r="Q224" i="4"/>
  <c r="P224" i="4"/>
  <c r="N224" i="4"/>
  <c r="M224" i="4"/>
  <c r="I224" i="4"/>
  <c r="H224" i="4"/>
  <c r="AP223" i="4"/>
  <c r="AS223" i="4" s="1"/>
  <c r="AO223" i="4"/>
  <c r="AN223" i="4"/>
  <c r="AL223" i="4"/>
  <c r="AK223" i="4"/>
  <c r="AI223" i="4"/>
  <c r="AH223" i="4"/>
  <c r="AF223" i="4"/>
  <c r="AE223" i="4"/>
  <c r="AC223" i="4"/>
  <c r="AB223" i="4"/>
  <c r="Z223" i="4"/>
  <c r="Y223" i="4"/>
  <c r="W223" i="4"/>
  <c r="V223" i="4"/>
  <c r="T223" i="4"/>
  <c r="S223" i="4"/>
  <c r="Q223" i="4"/>
  <c r="P223" i="4"/>
  <c r="N223" i="4"/>
  <c r="M223" i="4"/>
  <c r="I223" i="4"/>
  <c r="K223" i="4" s="1"/>
  <c r="H223" i="4"/>
  <c r="AP222" i="4"/>
  <c r="I222" i="4"/>
  <c r="AP221" i="4"/>
  <c r="AS221" i="4" s="1"/>
  <c r="AO221" i="4"/>
  <c r="AN221" i="4"/>
  <c r="AL221" i="4"/>
  <c r="AK221" i="4"/>
  <c r="AI221" i="4"/>
  <c r="AH221" i="4"/>
  <c r="AF221" i="4"/>
  <c r="AE221" i="4"/>
  <c r="AC221" i="4"/>
  <c r="AB221" i="4"/>
  <c r="Z221" i="4"/>
  <c r="Y221" i="4"/>
  <c r="W221" i="4"/>
  <c r="V221" i="4"/>
  <c r="T221" i="4"/>
  <c r="S221" i="4"/>
  <c r="Q221" i="4"/>
  <c r="P221" i="4"/>
  <c r="N221" i="4"/>
  <c r="M221" i="4"/>
  <c r="I221" i="4"/>
  <c r="H221" i="4"/>
  <c r="AP220" i="4"/>
  <c r="AQ220" i="4" s="1"/>
  <c r="AO220" i="4"/>
  <c r="AN220" i="4"/>
  <c r="AL220" i="4"/>
  <c r="AK220" i="4"/>
  <c r="AI220" i="4"/>
  <c r="AH220" i="4"/>
  <c r="AF220" i="4"/>
  <c r="AE220" i="4"/>
  <c r="AC220" i="4"/>
  <c r="AB220" i="4"/>
  <c r="Z220" i="4"/>
  <c r="Y220" i="4"/>
  <c r="W220" i="4"/>
  <c r="V220" i="4"/>
  <c r="T220" i="4"/>
  <c r="S220" i="4"/>
  <c r="Q220" i="4"/>
  <c r="P220" i="4"/>
  <c r="N220" i="4"/>
  <c r="M220" i="4"/>
  <c r="I220" i="4"/>
  <c r="K220" i="4" s="1"/>
  <c r="H220" i="4"/>
  <c r="AP219" i="4"/>
  <c r="AS219" i="4" s="1"/>
  <c r="AO219" i="4"/>
  <c r="AN219" i="4"/>
  <c r="AL219" i="4"/>
  <c r="AK219" i="4"/>
  <c r="AI219" i="4"/>
  <c r="AH219" i="4"/>
  <c r="AF219" i="4"/>
  <c r="AE219" i="4"/>
  <c r="AC219" i="4"/>
  <c r="AB219" i="4"/>
  <c r="Z219" i="4"/>
  <c r="Y219" i="4"/>
  <c r="W219" i="4"/>
  <c r="V219" i="4"/>
  <c r="T219" i="4"/>
  <c r="S219" i="4"/>
  <c r="Q219" i="4"/>
  <c r="P219" i="4"/>
  <c r="N219" i="4"/>
  <c r="M219" i="4"/>
  <c r="I219" i="4"/>
  <c r="K219" i="4" s="1"/>
  <c r="H219" i="4"/>
  <c r="AP218" i="4"/>
  <c r="I218" i="4"/>
  <c r="AP217" i="4"/>
  <c r="I217" i="4"/>
  <c r="AP216" i="4"/>
  <c r="AR216" i="4" s="1"/>
  <c r="AO216" i="4"/>
  <c r="AN216" i="4"/>
  <c r="AL216" i="4"/>
  <c r="AK216" i="4"/>
  <c r="AI216" i="4"/>
  <c r="AH216" i="4"/>
  <c r="AF216" i="4"/>
  <c r="AE216" i="4"/>
  <c r="AC216" i="4"/>
  <c r="AB216" i="4"/>
  <c r="Z216" i="4"/>
  <c r="Y216" i="4"/>
  <c r="W216" i="4"/>
  <c r="V216" i="4"/>
  <c r="T216" i="4"/>
  <c r="S216" i="4"/>
  <c r="Q216" i="4"/>
  <c r="P216" i="4"/>
  <c r="N216" i="4"/>
  <c r="M216" i="4"/>
  <c r="I216" i="4"/>
  <c r="K216" i="4" s="1"/>
  <c r="H216" i="4"/>
  <c r="AP215" i="4"/>
  <c r="AS215" i="4" s="1"/>
  <c r="AO215" i="4"/>
  <c r="AN215" i="4"/>
  <c r="AL215" i="4"/>
  <c r="AK215" i="4"/>
  <c r="AI215" i="4"/>
  <c r="AH215" i="4"/>
  <c r="AF215" i="4"/>
  <c r="AE215" i="4"/>
  <c r="AC215" i="4"/>
  <c r="AB215" i="4"/>
  <c r="Z215" i="4"/>
  <c r="Y215" i="4"/>
  <c r="W215" i="4"/>
  <c r="V215" i="4"/>
  <c r="T215" i="4"/>
  <c r="S215" i="4"/>
  <c r="Q215" i="4"/>
  <c r="P215" i="4"/>
  <c r="N215" i="4"/>
  <c r="M215" i="4"/>
  <c r="I215" i="4"/>
  <c r="K215" i="4" s="1"/>
  <c r="H215" i="4"/>
  <c r="AP214" i="4"/>
  <c r="AR214" i="4" s="1"/>
  <c r="AO214" i="4"/>
  <c r="AN214" i="4"/>
  <c r="AL214" i="4"/>
  <c r="AK214" i="4"/>
  <c r="AI214" i="4"/>
  <c r="AH214" i="4"/>
  <c r="AF214" i="4"/>
  <c r="AE214" i="4"/>
  <c r="AC214" i="4"/>
  <c r="AB214" i="4"/>
  <c r="Z214" i="4"/>
  <c r="Y214" i="4"/>
  <c r="W214" i="4"/>
  <c r="V214" i="4"/>
  <c r="T214" i="4"/>
  <c r="S214" i="4"/>
  <c r="Q214" i="4"/>
  <c r="P214" i="4"/>
  <c r="N214" i="4"/>
  <c r="M214" i="4"/>
  <c r="I214" i="4"/>
  <c r="K214" i="4" s="1"/>
  <c r="H214" i="4"/>
  <c r="AP213" i="4"/>
  <c r="AP212" i="4"/>
  <c r="AR212" i="4" s="1"/>
  <c r="AO212" i="4"/>
  <c r="AN212" i="4"/>
  <c r="AL212" i="4"/>
  <c r="AK212" i="4"/>
  <c r="AI212" i="4"/>
  <c r="AH212" i="4"/>
  <c r="AF212" i="4"/>
  <c r="AE212" i="4"/>
  <c r="AC212" i="4"/>
  <c r="AB212" i="4"/>
  <c r="Z212" i="4"/>
  <c r="Y212" i="4"/>
  <c r="W212" i="4"/>
  <c r="V212" i="4"/>
  <c r="T212" i="4"/>
  <c r="S212" i="4"/>
  <c r="Q212" i="4"/>
  <c r="P212" i="4"/>
  <c r="N212" i="4"/>
  <c r="M212" i="4"/>
  <c r="I212" i="4"/>
  <c r="K212" i="4" s="1"/>
  <c r="H212" i="4"/>
  <c r="AP211" i="4"/>
  <c r="AR211" i="4" s="1"/>
  <c r="AO211" i="4"/>
  <c r="AN211" i="4"/>
  <c r="AL211" i="4"/>
  <c r="AK211" i="4"/>
  <c r="AI211" i="4"/>
  <c r="AH211" i="4"/>
  <c r="AF211" i="4"/>
  <c r="AE211" i="4"/>
  <c r="AC211" i="4"/>
  <c r="AB211" i="4"/>
  <c r="Z211" i="4"/>
  <c r="Y211" i="4"/>
  <c r="W211" i="4"/>
  <c r="V211" i="4"/>
  <c r="T211" i="4"/>
  <c r="S211" i="4"/>
  <c r="Q211" i="4"/>
  <c r="P211" i="4"/>
  <c r="N211" i="4"/>
  <c r="M211" i="4"/>
  <c r="I211" i="4"/>
  <c r="K211" i="4" s="1"/>
  <c r="H211" i="4"/>
  <c r="AP210" i="4"/>
  <c r="AP209" i="4"/>
  <c r="AP208" i="4"/>
  <c r="AO208" i="4"/>
  <c r="AN208" i="4"/>
  <c r="AN207" i="4" s="1"/>
  <c r="AL208" i="4"/>
  <c r="AK208" i="4"/>
  <c r="AK207" i="4" s="1"/>
  <c r="AI208" i="4"/>
  <c r="AH208" i="4"/>
  <c r="AH207" i="4" s="1"/>
  <c r="AF208" i="4"/>
  <c r="AE208" i="4"/>
  <c r="AE207" i="4" s="1"/>
  <c r="AC208" i="4"/>
  <c r="AB208" i="4"/>
  <c r="AB207" i="4" s="1"/>
  <c r="Z208" i="4"/>
  <c r="Y208" i="4"/>
  <c r="Y207" i="4" s="1"/>
  <c r="W208" i="4"/>
  <c r="V208" i="4"/>
  <c r="V207" i="4" s="1"/>
  <c r="T208" i="4"/>
  <c r="S208" i="4"/>
  <c r="S207" i="4" s="1"/>
  <c r="Q208" i="4"/>
  <c r="P208" i="4"/>
  <c r="P207" i="4" s="1"/>
  <c r="N208" i="4"/>
  <c r="M208" i="4"/>
  <c r="M207" i="4" s="1"/>
  <c r="I208" i="4"/>
  <c r="K208" i="4" s="1"/>
  <c r="H208" i="4"/>
  <c r="H207" i="4" s="1"/>
  <c r="AP207" i="4"/>
  <c r="AP206" i="4"/>
  <c r="AR206" i="4" s="1"/>
  <c r="AO206" i="4"/>
  <c r="AN206" i="4"/>
  <c r="AL206" i="4"/>
  <c r="AK206" i="4"/>
  <c r="AI206" i="4"/>
  <c r="AH206" i="4"/>
  <c r="AF206" i="4"/>
  <c r="AE206" i="4"/>
  <c r="AC206" i="4"/>
  <c r="AB206" i="4"/>
  <c r="Z206" i="4"/>
  <c r="Y206" i="4"/>
  <c r="W206" i="4"/>
  <c r="V206" i="4"/>
  <c r="T206" i="4"/>
  <c r="S206" i="4"/>
  <c r="Q206" i="4"/>
  <c r="P206" i="4"/>
  <c r="N206" i="4"/>
  <c r="M206" i="4"/>
  <c r="I206" i="4"/>
  <c r="K206" i="4" s="1"/>
  <c r="H206" i="4"/>
  <c r="AP205" i="4"/>
  <c r="AO205" i="4"/>
  <c r="AN205" i="4"/>
  <c r="AL205" i="4"/>
  <c r="AK205" i="4"/>
  <c r="AI205" i="4"/>
  <c r="AH205" i="4"/>
  <c r="AF205" i="4"/>
  <c r="AE205" i="4"/>
  <c r="AC205" i="4"/>
  <c r="AB205" i="4"/>
  <c r="Z205" i="4"/>
  <c r="Y205" i="4"/>
  <c r="W205" i="4"/>
  <c r="V205" i="4"/>
  <c r="T205" i="4"/>
  <c r="S205" i="4"/>
  <c r="Q205" i="4"/>
  <c r="P205" i="4"/>
  <c r="N205" i="4"/>
  <c r="M205" i="4"/>
  <c r="I205" i="4"/>
  <c r="H205" i="4"/>
  <c r="AP204" i="4"/>
  <c r="AP203" i="4"/>
  <c r="AQ203" i="4" s="1"/>
  <c r="AQ202" i="4" s="1"/>
  <c r="AO203" i="4"/>
  <c r="AN203" i="4"/>
  <c r="AN202" i="4" s="1"/>
  <c r="AL203" i="4"/>
  <c r="AK203" i="4"/>
  <c r="AK202" i="4" s="1"/>
  <c r="AI203" i="4"/>
  <c r="AH203" i="4"/>
  <c r="AH202" i="4" s="1"/>
  <c r="AF203" i="4"/>
  <c r="AE203" i="4"/>
  <c r="AE202" i="4" s="1"/>
  <c r="AC203" i="4"/>
  <c r="AB203" i="4"/>
  <c r="AB202" i="4" s="1"/>
  <c r="Z203" i="4"/>
  <c r="Y203" i="4"/>
  <c r="Y202" i="4" s="1"/>
  <c r="W203" i="4"/>
  <c r="V203" i="4"/>
  <c r="V202" i="4" s="1"/>
  <c r="T203" i="4"/>
  <c r="S203" i="4"/>
  <c r="S202" i="4" s="1"/>
  <c r="Q203" i="4"/>
  <c r="P203" i="4"/>
  <c r="P202" i="4" s="1"/>
  <c r="N203" i="4"/>
  <c r="M203" i="4"/>
  <c r="M202" i="4" s="1"/>
  <c r="I203" i="4"/>
  <c r="K203" i="4" s="1"/>
  <c r="H203" i="4"/>
  <c r="H202" i="4" s="1"/>
  <c r="AP202" i="4"/>
  <c r="AP201" i="4"/>
  <c r="AP200" i="4"/>
  <c r="AO200" i="4"/>
  <c r="AN200" i="4"/>
  <c r="AN199" i="4" s="1"/>
  <c r="AL200" i="4"/>
  <c r="AK200" i="4"/>
  <c r="AK199" i="4" s="1"/>
  <c r="AI200" i="4"/>
  <c r="AH200" i="4"/>
  <c r="AH199" i="4" s="1"/>
  <c r="AF200" i="4"/>
  <c r="AE200" i="4"/>
  <c r="AE199" i="4" s="1"/>
  <c r="AC200" i="4"/>
  <c r="AB200" i="4"/>
  <c r="AB199" i="4" s="1"/>
  <c r="Z200" i="4"/>
  <c r="Y200" i="4"/>
  <c r="Y199" i="4" s="1"/>
  <c r="W200" i="4"/>
  <c r="V200" i="4"/>
  <c r="V199" i="4" s="1"/>
  <c r="T200" i="4"/>
  <c r="S200" i="4"/>
  <c r="S199" i="4" s="1"/>
  <c r="Q200" i="4"/>
  <c r="P200" i="4"/>
  <c r="P199" i="4" s="1"/>
  <c r="N200" i="4"/>
  <c r="M200" i="4"/>
  <c r="M199" i="4" s="1"/>
  <c r="I200" i="4"/>
  <c r="K200" i="4" s="1"/>
  <c r="H200" i="4"/>
  <c r="H199" i="4" s="1"/>
  <c r="AP199" i="4"/>
  <c r="AP198" i="4"/>
  <c r="AR198" i="4" s="1"/>
  <c r="AO198" i="4"/>
  <c r="AN198" i="4"/>
  <c r="AL198" i="4"/>
  <c r="AK198" i="4"/>
  <c r="AI198" i="4"/>
  <c r="AH198" i="4"/>
  <c r="AF198" i="4"/>
  <c r="AE198" i="4"/>
  <c r="AC198" i="4"/>
  <c r="AB198" i="4"/>
  <c r="Z198" i="4"/>
  <c r="Y198" i="4"/>
  <c r="W198" i="4"/>
  <c r="V198" i="4"/>
  <c r="T198" i="4"/>
  <c r="S198" i="4"/>
  <c r="Q198" i="4"/>
  <c r="P198" i="4"/>
  <c r="N198" i="4"/>
  <c r="M198" i="4"/>
  <c r="I198" i="4"/>
  <c r="K198" i="4" s="1"/>
  <c r="H198" i="4"/>
  <c r="AP197" i="4"/>
  <c r="AO197" i="4"/>
  <c r="AN197" i="4"/>
  <c r="AL197" i="4"/>
  <c r="AK197" i="4"/>
  <c r="AI197" i="4"/>
  <c r="AH197" i="4"/>
  <c r="AF197" i="4"/>
  <c r="AE197" i="4"/>
  <c r="AC197" i="4"/>
  <c r="AB197" i="4"/>
  <c r="Z197" i="4"/>
  <c r="Y197" i="4"/>
  <c r="W197" i="4"/>
  <c r="V197" i="4"/>
  <c r="T197" i="4"/>
  <c r="S197" i="4"/>
  <c r="Q197" i="4"/>
  <c r="P197" i="4"/>
  <c r="N197" i="4"/>
  <c r="M197" i="4"/>
  <c r="I197" i="4"/>
  <c r="K197" i="4" s="1"/>
  <c r="H197" i="4"/>
  <c r="AP196" i="4"/>
  <c r="AS195" i="4"/>
  <c r="AT195" i="4" s="1"/>
  <c r="AT194" i="4" s="1"/>
  <c r="AQ195" i="4"/>
  <c r="AQ194" i="4" s="1"/>
  <c r="AN195" i="4"/>
  <c r="AN194" i="4" s="1"/>
  <c r="AK195" i="4"/>
  <c r="AK194" i="4" s="1"/>
  <c r="AH195" i="4"/>
  <c r="AH194" i="4" s="1"/>
  <c r="AE195" i="4"/>
  <c r="AE194" i="4" s="1"/>
  <c r="AB195" i="4"/>
  <c r="AB194" i="4" s="1"/>
  <c r="Y195" i="4"/>
  <c r="Y194" i="4" s="1"/>
  <c r="V195" i="4"/>
  <c r="V194" i="4" s="1"/>
  <c r="S195" i="4"/>
  <c r="S194" i="4" s="1"/>
  <c r="P195" i="4"/>
  <c r="P194" i="4" s="1"/>
  <c r="M195" i="4"/>
  <c r="M194" i="4" s="1"/>
  <c r="I195" i="4"/>
  <c r="J195" i="4" s="1"/>
  <c r="J194" i="4" s="1"/>
  <c r="H195" i="4"/>
  <c r="H194" i="4" s="1"/>
  <c r="AS193" i="4"/>
  <c r="AT193" i="4" s="1"/>
  <c r="AT192" i="4" s="1"/>
  <c r="AQ193" i="4"/>
  <c r="AQ192" i="4" s="1"/>
  <c r="AN193" i="4"/>
  <c r="AN192" i="4" s="1"/>
  <c r="AK193" i="4"/>
  <c r="AK192" i="4" s="1"/>
  <c r="AH193" i="4"/>
  <c r="AH192" i="4" s="1"/>
  <c r="AE193" i="4"/>
  <c r="AE192" i="4" s="1"/>
  <c r="AB193" i="4"/>
  <c r="AB192" i="4" s="1"/>
  <c r="Y193" i="4"/>
  <c r="Y192" i="4" s="1"/>
  <c r="V193" i="4"/>
  <c r="V192" i="4" s="1"/>
  <c r="S193" i="4"/>
  <c r="S192" i="4" s="1"/>
  <c r="P193" i="4"/>
  <c r="P192" i="4" s="1"/>
  <c r="M193" i="4"/>
  <c r="M192" i="4" s="1"/>
  <c r="I193" i="4"/>
  <c r="J193" i="4" s="1"/>
  <c r="J192" i="4" s="1"/>
  <c r="H193" i="4"/>
  <c r="H192" i="4" s="1"/>
  <c r="AS190" i="4"/>
  <c r="AT190" i="4" s="1"/>
  <c r="AT189" i="4" s="1"/>
  <c r="AQ190" i="4"/>
  <c r="AQ189" i="4" s="1"/>
  <c r="AN190" i="4"/>
  <c r="AN189" i="4" s="1"/>
  <c r="AK190" i="4"/>
  <c r="AK189" i="4" s="1"/>
  <c r="AH190" i="4"/>
  <c r="AH189" i="4" s="1"/>
  <c r="AE190" i="4"/>
  <c r="AE189" i="4" s="1"/>
  <c r="AB190" i="4"/>
  <c r="AB189" i="4" s="1"/>
  <c r="Y190" i="4"/>
  <c r="Y189" i="4" s="1"/>
  <c r="V190" i="4"/>
  <c r="V189" i="4" s="1"/>
  <c r="S190" i="4"/>
  <c r="S189" i="4" s="1"/>
  <c r="P190" i="4"/>
  <c r="P189" i="4" s="1"/>
  <c r="M190" i="4"/>
  <c r="M189" i="4" s="1"/>
  <c r="I190" i="4"/>
  <c r="J190" i="4" s="1"/>
  <c r="J189" i="4" s="1"/>
  <c r="H190" i="4"/>
  <c r="H189" i="4" s="1"/>
  <c r="AS188" i="4"/>
  <c r="AT188" i="4" s="1"/>
  <c r="AT187" i="4" s="1"/>
  <c r="AQ188" i="4"/>
  <c r="AQ187" i="4" s="1"/>
  <c r="AN188" i="4"/>
  <c r="AN187" i="4" s="1"/>
  <c r="AK188" i="4"/>
  <c r="AK187" i="4" s="1"/>
  <c r="AH188" i="4"/>
  <c r="AH187" i="4" s="1"/>
  <c r="AE188" i="4"/>
  <c r="AE187" i="4" s="1"/>
  <c r="AB188" i="4"/>
  <c r="AB187" i="4" s="1"/>
  <c r="Y188" i="4"/>
  <c r="Y187" i="4" s="1"/>
  <c r="V188" i="4"/>
  <c r="V187" i="4" s="1"/>
  <c r="S188" i="4"/>
  <c r="S187" i="4" s="1"/>
  <c r="P188" i="4"/>
  <c r="P187" i="4" s="1"/>
  <c r="M188" i="4"/>
  <c r="M187" i="4" s="1"/>
  <c r="I188" i="4"/>
  <c r="J188" i="4" s="1"/>
  <c r="J187" i="4" s="1"/>
  <c r="H188" i="4"/>
  <c r="H187" i="4" s="1"/>
  <c r="AS186" i="4"/>
  <c r="AT186" i="4" s="1"/>
  <c r="AQ186" i="4"/>
  <c r="AN186" i="4"/>
  <c r="AK186" i="4"/>
  <c r="AH186" i="4"/>
  <c r="AE186" i="4"/>
  <c r="AB186" i="4"/>
  <c r="Y186" i="4"/>
  <c r="V186" i="4"/>
  <c r="S186" i="4"/>
  <c r="P186" i="4"/>
  <c r="M186" i="4"/>
  <c r="I186" i="4"/>
  <c r="J186" i="4" s="1"/>
  <c r="H186" i="4"/>
  <c r="AS185" i="4"/>
  <c r="AT185" i="4" s="1"/>
  <c r="AQ185" i="4"/>
  <c r="AN185" i="4"/>
  <c r="AK185" i="4"/>
  <c r="AH185" i="4"/>
  <c r="AE185" i="4"/>
  <c r="AB185" i="4"/>
  <c r="Y185" i="4"/>
  <c r="V185" i="4"/>
  <c r="S185" i="4"/>
  <c r="P185" i="4"/>
  <c r="M185" i="4"/>
  <c r="I185" i="4"/>
  <c r="J185" i="4" s="1"/>
  <c r="H185" i="4"/>
  <c r="AS182" i="4"/>
  <c r="AT182" i="4" s="1"/>
  <c r="AQ182" i="4"/>
  <c r="AN182" i="4"/>
  <c r="AK182" i="4"/>
  <c r="AH182" i="4"/>
  <c r="AE182" i="4"/>
  <c r="AB182" i="4"/>
  <c r="Y182" i="4"/>
  <c r="V182" i="4"/>
  <c r="S182" i="4"/>
  <c r="P182" i="4"/>
  <c r="M182" i="4"/>
  <c r="I182" i="4"/>
  <c r="J182" i="4" s="1"/>
  <c r="H182" i="4"/>
  <c r="AS181" i="4"/>
  <c r="AT181" i="4" s="1"/>
  <c r="AQ181" i="4"/>
  <c r="AN181" i="4"/>
  <c r="AK181" i="4"/>
  <c r="AH181" i="4"/>
  <c r="AE181" i="4"/>
  <c r="AB181" i="4"/>
  <c r="Y181" i="4"/>
  <c r="V181" i="4"/>
  <c r="S181" i="4"/>
  <c r="P181" i="4"/>
  <c r="M181" i="4"/>
  <c r="I181" i="4"/>
  <c r="J181" i="4" s="1"/>
  <c r="H181" i="4"/>
  <c r="AS180" i="4"/>
  <c r="AT180" i="4" s="1"/>
  <c r="AQ180" i="4"/>
  <c r="AN180" i="4"/>
  <c r="AK180" i="4"/>
  <c r="AH180" i="4"/>
  <c r="AE180" i="4"/>
  <c r="AB180" i="4"/>
  <c r="Y180" i="4"/>
  <c r="V180" i="4"/>
  <c r="S180" i="4"/>
  <c r="P180" i="4"/>
  <c r="M180" i="4"/>
  <c r="I180" i="4"/>
  <c r="J180" i="4" s="1"/>
  <c r="H180" i="4"/>
  <c r="AS178" i="4"/>
  <c r="AT178" i="4" s="1"/>
  <c r="AQ178" i="4"/>
  <c r="AN178" i="4"/>
  <c r="AK178" i="4"/>
  <c r="AH178" i="4"/>
  <c r="AE178" i="4"/>
  <c r="AB178" i="4"/>
  <c r="Y178" i="4"/>
  <c r="V178" i="4"/>
  <c r="S178" i="4"/>
  <c r="P178" i="4"/>
  <c r="M178" i="4"/>
  <c r="I178" i="4"/>
  <c r="J178" i="4" s="1"/>
  <c r="H178" i="4"/>
  <c r="AS177" i="4"/>
  <c r="AT177" i="4" s="1"/>
  <c r="AQ177" i="4"/>
  <c r="AN177" i="4"/>
  <c r="AK177" i="4"/>
  <c r="AH177" i="4"/>
  <c r="AE177" i="4"/>
  <c r="AB177" i="4"/>
  <c r="Y177" i="4"/>
  <c r="V177" i="4"/>
  <c r="S177" i="4"/>
  <c r="P177" i="4"/>
  <c r="M177" i="4"/>
  <c r="I177" i="4"/>
  <c r="J177" i="4" s="1"/>
  <c r="H177" i="4"/>
  <c r="AS176" i="4"/>
  <c r="AT176" i="4" s="1"/>
  <c r="AQ176" i="4"/>
  <c r="AN176" i="4"/>
  <c r="AK176" i="4"/>
  <c r="AH176" i="4"/>
  <c r="AE176" i="4"/>
  <c r="AB176" i="4"/>
  <c r="Y176" i="4"/>
  <c r="V176" i="4"/>
  <c r="S176" i="4"/>
  <c r="P176" i="4"/>
  <c r="M176" i="4"/>
  <c r="I176" i="4"/>
  <c r="J176" i="4" s="1"/>
  <c r="H176" i="4"/>
  <c r="AS174" i="4"/>
  <c r="AT174" i="4" s="1"/>
  <c r="AQ174" i="4"/>
  <c r="AN174" i="4"/>
  <c r="AK174" i="4"/>
  <c r="AH174" i="4"/>
  <c r="AE174" i="4"/>
  <c r="AB174" i="4"/>
  <c r="Y174" i="4"/>
  <c r="V174" i="4"/>
  <c r="S174" i="4"/>
  <c r="P174" i="4"/>
  <c r="M174" i="4"/>
  <c r="I174" i="4"/>
  <c r="J174" i="4" s="1"/>
  <c r="H174" i="4"/>
  <c r="AS173" i="4"/>
  <c r="AT173" i="4" s="1"/>
  <c r="AQ173" i="4"/>
  <c r="AN173" i="4"/>
  <c r="AK173" i="4"/>
  <c r="AH173" i="4"/>
  <c r="AE173" i="4"/>
  <c r="AB173" i="4"/>
  <c r="Y173" i="4"/>
  <c r="V173" i="4"/>
  <c r="S173" i="4"/>
  <c r="P173" i="4"/>
  <c r="M173" i="4"/>
  <c r="I173" i="4"/>
  <c r="J173" i="4" s="1"/>
  <c r="H173" i="4"/>
  <c r="AS172" i="4"/>
  <c r="AT172" i="4" s="1"/>
  <c r="AQ172" i="4"/>
  <c r="AN172" i="4"/>
  <c r="AK172" i="4"/>
  <c r="AH172" i="4"/>
  <c r="AE172" i="4"/>
  <c r="AB172" i="4"/>
  <c r="Y172" i="4"/>
  <c r="V172" i="4"/>
  <c r="S172" i="4"/>
  <c r="P172" i="4"/>
  <c r="M172" i="4"/>
  <c r="I172" i="4"/>
  <c r="J172" i="4" s="1"/>
  <c r="H172" i="4"/>
  <c r="AS171" i="4"/>
  <c r="AT171" i="4" s="1"/>
  <c r="AQ171" i="4"/>
  <c r="AN171" i="4"/>
  <c r="AK171" i="4"/>
  <c r="AH171" i="4"/>
  <c r="AE171" i="4"/>
  <c r="AB171" i="4"/>
  <c r="Y171" i="4"/>
  <c r="V171" i="4"/>
  <c r="S171" i="4"/>
  <c r="P171" i="4"/>
  <c r="M171" i="4"/>
  <c r="I171" i="4"/>
  <c r="J171" i="4" s="1"/>
  <c r="H171" i="4"/>
  <c r="AS170" i="4"/>
  <c r="AT170" i="4" s="1"/>
  <c r="AQ170" i="4"/>
  <c r="AN170" i="4"/>
  <c r="AK170" i="4"/>
  <c r="AH170" i="4"/>
  <c r="AE170" i="4"/>
  <c r="AB170" i="4"/>
  <c r="Y170" i="4"/>
  <c r="V170" i="4"/>
  <c r="S170" i="4"/>
  <c r="P170" i="4"/>
  <c r="M170" i="4"/>
  <c r="I170" i="4"/>
  <c r="J170" i="4" s="1"/>
  <c r="H170" i="4"/>
  <c r="AS169" i="4"/>
  <c r="AT169" i="4" s="1"/>
  <c r="AQ169" i="4"/>
  <c r="AN169" i="4"/>
  <c r="AK169" i="4"/>
  <c r="AH169" i="4"/>
  <c r="AE169" i="4"/>
  <c r="AB169" i="4"/>
  <c r="Y169" i="4"/>
  <c r="V169" i="4"/>
  <c r="S169" i="4"/>
  <c r="P169" i="4"/>
  <c r="M169" i="4"/>
  <c r="I169" i="4"/>
  <c r="J169" i="4" s="1"/>
  <c r="H169" i="4"/>
  <c r="AS167" i="4"/>
  <c r="AT167" i="4" s="1"/>
  <c r="AQ167" i="4"/>
  <c r="AN167" i="4"/>
  <c r="AK167" i="4"/>
  <c r="AH167" i="4"/>
  <c r="AE167" i="4"/>
  <c r="AB167" i="4"/>
  <c r="Y167" i="4"/>
  <c r="V167" i="4"/>
  <c r="S167" i="4"/>
  <c r="P167" i="4"/>
  <c r="M167" i="4"/>
  <c r="I167" i="4"/>
  <c r="J167" i="4" s="1"/>
  <c r="H167" i="4"/>
  <c r="AS166" i="4"/>
  <c r="AT166" i="4" s="1"/>
  <c r="AQ166" i="4"/>
  <c r="AN166" i="4"/>
  <c r="AK166" i="4"/>
  <c r="AH166" i="4"/>
  <c r="AE166" i="4"/>
  <c r="AB166" i="4"/>
  <c r="Y166" i="4"/>
  <c r="V166" i="4"/>
  <c r="S166" i="4"/>
  <c r="P166" i="4"/>
  <c r="M166" i="4"/>
  <c r="I166" i="4"/>
  <c r="J166" i="4" s="1"/>
  <c r="H166" i="4"/>
  <c r="AS165" i="4"/>
  <c r="AT165" i="4" s="1"/>
  <c r="AQ165" i="4"/>
  <c r="AN165" i="4"/>
  <c r="AK165" i="4"/>
  <c r="AH165" i="4"/>
  <c r="AE165" i="4"/>
  <c r="AB165" i="4"/>
  <c r="Y165" i="4"/>
  <c r="V165" i="4"/>
  <c r="S165" i="4"/>
  <c r="P165" i="4"/>
  <c r="M165" i="4"/>
  <c r="I165" i="4"/>
  <c r="J165" i="4" s="1"/>
  <c r="H165" i="4"/>
  <c r="AS163" i="4"/>
  <c r="AT163" i="4" s="1"/>
  <c r="AQ163" i="4"/>
  <c r="AN163" i="4"/>
  <c r="AK163" i="4"/>
  <c r="AH163" i="4"/>
  <c r="AE163" i="4"/>
  <c r="AB163" i="4"/>
  <c r="Y163" i="4"/>
  <c r="V163" i="4"/>
  <c r="S163" i="4"/>
  <c r="P163" i="4"/>
  <c r="M163" i="4"/>
  <c r="I163" i="4"/>
  <c r="J163" i="4" s="1"/>
  <c r="H163" i="4"/>
  <c r="AS162" i="4"/>
  <c r="AT162" i="4" s="1"/>
  <c r="AQ162" i="4"/>
  <c r="AN162" i="4"/>
  <c r="AK162" i="4"/>
  <c r="AH162" i="4"/>
  <c r="AE162" i="4"/>
  <c r="AB162" i="4"/>
  <c r="Y162" i="4"/>
  <c r="V162" i="4"/>
  <c r="S162" i="4"/>
  <c r="P162" i="4"/>
  <c r="M162" i="4"/>
  <c r="I162" i="4"/>
  <c r="J162" i="4" s="1"/>
  <c r="H162" i="4"/>
  <c r="AS161" i="4"/>
  <c r="AT161" i="4" s="1"/>
  <c r="AQ161" i="4"/>
  <c r="AN161" i="4"/>
  <c r="AK161" i="4"/>
  <c r="AH161" i="4"/>
  <c r="AE161" i="4"/>
  <c r="AB161" i="4"/>
  <c r="Y161" i="4"/>
  <c r="V161" i="4"/>
  <c r="S161" i="4"/>
  <c r="P161" i="4"/>
  <c r="M161" i="4"/>
  <c r="I161" i="4"/>
  <c r="J161" i="4" s="1"/>
  <c r="H161" i="4"/>
  <c r="AS160" i="4"/>
  <c r="AT160" i="4" s="1"/>
  <c r="AQ160" i="4"/>
  <c r="AN160" i="4"/>
  <c r="AK160" i="4"/>
  <c r="AH160" i="4"/>
  <c r="AE160" i="4"/>
  <c r="AB160" i="4"/>
  <c r="Y160" i="4"/>
  <c r="V160" i="4"/>
  <c r="S160" i="4"/>
  <c r="P160" i="4"/>
  <c r="M160" i="4"/>
  <c r="I160" i="4"/>
  <c r="J160" i="4" s="1"/>
  <c r="H160" i="4"/>
  <c r="AS158" i="4"/>
  <c r="AT158" i="4" s="1"/>
  <c r="AT157" i="4" s="1"/>
  <c r="AQ158" i="4"/>
  <c r="AQ157" i="4" s="1"/>
  <c r="AN158" i="4"/>
  <c r="AN157" i="4" s="1"/>
  <c r="AK158" i="4"/>
  <c r="AK157" i="4" s="1"/>
  <c r="AH158" i="4"/>
  <c r="AH157" i="4" s="1"/>
  <c r="AE158" i="4"/>
  <c r="AE157" i="4" s="1"/>
  <c r="AB158" i="4"/>
  <c r="AB157" i="4" s="1"/>
  <c r="Y158" i="4"/>
  <c r="Y157" i="4" s="1"/>
  <c r="V158" i="4"/>
  <c r="V157" i="4" s="1"/>
  <c r="S158" i="4"/>
  <c r="S157" i="4" s="1"/>
  <c r="P158" i="4"/>
  <c r="P157" i="4" s="1"/>
  <c r="M158" i="4"/>
  <c r="M157" i="4" s="1"/>
  <c r="I158" i="4"/>
  <c r="J158" i="4" s="1"/>
  <c r="J157" i="4" s="1"/>
  <c r="H158" i="4"/>
  <c r="H157" i="4" s="1"/>
  <c r="AS156" i="4"/>
  <c r="AT156" i="4" s="1"/>
  <c r="AT155" i="4" s="1"/>
  <c r="AQ156" i="4"/>
  <c r="AQ155" i="4" s="1"/>
  <c r="AN156" i="4"/>
  <c r="AN155" i="4" s="1"/>
  <c r="AK156" i="4"/>
  <c r="AK155" i="4" s="1"/>
  <c r="AH156" i="4"/>
  <c r="AH155" i="4" s="1"/>
  <c r="AE156" i="4"/>
  <c r="AE155" i="4" s="1"/>
  <c r="AB156" i="4"/>
  <c r="AB155" i="4" s="1"/>
  <c r="Y156" i="4"/>
  <c r="Y155" i="4" s="1"/>
  <c r="V156" i="4"/>
  <c r="V155" i="4" s="1"/>
  <c r="S156" i="4"/>
  <c r="S155" i="4" s="1"/>
  <c r="P156" i="4"/>
  <c r="P155" i="4" s="1"/>
  <c r="M156" i="4"/>
  <c r="M155" i="4" s="1"/>
  <c r="I156" i="4"/>
  <c r="J156" i="4" s="1"/>
  <c r="J155" i="4" s="1"/>
  <c r="H156" i="4"/>
  <c r="H155" i="4" s="1"/>
  <c r="AS153" i="4"/>
  <c r="AT153" i="4" s="1"/>
  <c r="AT152" i="4" s="1"/>
  <c r="AQ153" i="4"/>
  <c r="AQ152" i="4" s="1"/>
  <c r="AN153" i="4"/>
  <c r="AN152" i="4" s="1"/>
  <c r="AK153" i="4"/>
  <c r="AK152" i="4" s="1"/>
  <c r="AH153" i="4"/>
  <c r="AH152" i="4" s="1"/>
  <c r="AE153" i="4"/>
  <c r="AE152" i="4" s="1"/>
  <c r="AB153" i="4"/>
  <c r="AB152" i="4" s="1"/>
  <c r="Y153" i="4"/>
  <c r="Y152" i="4" s="1"/>
  <c r="V153" i="4"/>
  <c r="V152" i="4" s="1"/>
  <c r="S153" i="4"/>
  <c r="S152" i="4" s="1"/>
  <c r="P153" i="4"/>
  <c r="P152" i="4" s="1"/>
  <c r="M153" i="4"/>
  <c r="M152" i="4" s="1"/>
  <c r="I153" i="4"/>
  <c r="J153" i="4" s="1"/>
  <c r="J152" i="4" s="1"/>
  <c r="H153" i="4"/>
  <c r="H152" i="4" s="1"/>
  <c r="AS151" i="4"/>
  <c r="AT151" i="4" s="1"/>
  <c r="AQ151" i="4"/>
  <c r="AN151" i="4"/>
  <c r="AK151" i="4"/>
  <c r="AH151" i="4"/>
  <c r="AE151" i="4"/>
  <c r="AB151" i="4"/>
  <c r="Y151" i="4"/>
  <c r="V151" i="4"/>
  <c r="S151" i="4"/>
  <c r="P151" i="4"/>
  <c r="M151" i="4"/>
  <c r="I151" i="4"/>
  <c r="J151" i="4" s="1"/>
  <c r="H151" i="4"/>
  <c r="AP150" i="4"/>
  <c r="AR150" i="4" s="1"/>
  <c r="AO150" i="4"/>
  <c r="AN150" i="4"/>
  <c r="AL150" i="4"/>
  <c r="AK150" i="4"/>
  <c r="AI150" i="4"/>
  <c r="AH150" i="4"/>
  <c r="AF150" i="4"/>
  <c r="AE150" i="4"/>
  <c r="AC150" i="4"/>
  <c r="AB150" i="4"/>
  <c r="Z150" i="4"/>
  <c r="Y150" i="4"/>
  <c r="W150" i="4"/>
  <c r="V150" i="4"/>
  <c r="T150" i="4"/>
  <c r="S150" i="4"/>
  <c r="Q150" i="4"/>
  <c r="P150" i="4"/>
  <c r="N150" i="4"/>
  <c r="M150" i="4"/>
  <c r="I150" i="4"/>
  <c r="J150" i="4" s="1"/>
  <c r="H150" i="4"/>
  <c r="AS149" i="4"/>
  <c r="AT149" i="4" s="1"/>
  <c r="AQ149" i="4"/>
  <c r="AN149" i="4"/>
  <c r="AK149" i="4"/>
  <c r="AH149" i="4"/>
  <c r="AE149" i="4"/>
  <c r="AB149" i="4"/>
  <c r="Y149" i="4"/>
  <c r="V149" i="4"/>
  <c r="S149" i="4"/>
  <c r="P149" i="4"/>
  <c r="M149" i="4"/>
  <c r="I149" i="4"/>
  <c r="J149" i="4" s="1"/>
  <c r="H149" i="4"/>
  <c r="AS148" i="4"/>
  <c r="AT148" i="4" s="1"/>
  <c r="AQ148" i="4"/>
  <c r="AN148" i="4"/>
  <c r="AK148" i="4"/>
  <c r="AH148" i="4"/>
  <c r="AE148" i="4"/>
  <c r="AB148" i="4"/>
  <c r="Y148" i="4"/>
  <c r="V148" i="4"/>
  <c r="S148" i="4"/>
  <c r="P148" i="4"/>
  <c r="M148" i="4"/>
  <c r="I148" i="4"/>
  <c r="J148" i="4" s="1"/>
  <c r="H148" i="4"/>
  <c r="AP147" i="4"/>
  <c r="AS147" i="4" s="1"/>
  <c r="AO147" i="4"/>
  <c r="AN147" i="4"/>
  <c r="AL147" i="4"/>
  <c r="AK147" i="4"/>
  <c r="AI147" i="4"/>
  <c r="AH147" i="4"/>
  <c r="AF147" i="4"/>
  <c r="AE147" i="4"/>
  <c r="AC147" i="4"/>
  <c r="AB147" i="4"/>
  <c r="Z147" i="4"/>
  <c r="Y147" i="4"/>
  <c r="W147" i="4"/>
  <c r="V147" i="4"/>
  <c r="T147" i="4"/>
  <c r="S147" i="4"/>
  <c r="Q147" i="4"/>
  <c r="P147" i="4"/>
  <c r="N147" i="4"/>
  <c r="M147" i="4"/>
  <c r="I147" i="4"/>
  <c r="J147" i="4" s="1"/>
  <c r="H147" i="4"/>
  <c r="AP146" i="4"/>
  <c r="AO146" i="4"/>
  <c r="AN146" i="4"/>
  <c r="AL146" i="4"/>
  <c r="AK146" i="4"/>
  <c r="AI146" i="4"/>
  <c r="AH146" i="4"/>
  <c r="AF146" i="4"/>
  <c r="AE146" i="4"/>
  <c r="AC146" i="4"/>
  <c r="AB146" i="4"/>
  <c r="Z146" i="4"/>
  <c r="Y146" i="4"/>
  <c r="W146" i="4"/>
  <c r="V146" i="4"/>
  <c r="T146" i="4"/>
  <c r="S146" i="4"/>
  <c r="Q146" i="4"/>
  <c r="P146" i="4"/>
  <c r="N146" i="4"/>
  <c r="M146" i="4"/>
  <c r="I146" i="4"/>
  <c r="J146" i="4" s="1"/>
  <c r="H146" i="4"/>
  <c r="AP145" i="4"/>
  <c r="AP144" i="4"/>
  <c r="AS144" i="4" s="1"/>
  <c r="AO144" i="4"/>
  <c r="AN144" i="4"/>
  <c r="AL144" i="4"/>
  <c r="AK144" i="4"/>
  <c r="AI144" i="4"/>
  <c r="AH144" i="4"/>
  <c r="AF144" i="4"/>
  <c r="AE144" i="4"/>
  <c r="AC144" i="4"/>
  <c r="AB144" i="4"/>
  <c r="Z144" i="4"/>
  <c r="Y144" i="4"/>
  <c r="W144" i="4"/>
  <c r="V144" i="4"/>
  <c r="T144" i="4"/>
  <c r="S144" i="4"/>
  <c r="Q144" i="4"/>
  <c r="P144" i="4"/>
  <c r="N144" i="4"/>
  <c r="M144" i="4"/>
  <c r="I144" i="4"/>
  <c r="K144" i="4" s="1"/>
  <c r="H144" i="4"/>
  <c r="AP143" i="4"/>
  <c r="AR143" i="4" s="1"/>
  <c r="AO143" i="4"/>
  <c r="AN143" i="4"/>
  <c r="AL143" i="4"/>
  <c r="AK143" i="4"/>
  <c r="AI143" i="4"/>
  <c r="AH143" i="4"/>
  <c r="AF143" i="4"/>
  <c r="AE143" i="4"/>
  <c r="AC143" i="4"/>
  <c r="AB143" i="4"/>
  <c r="Z143" i="4"/>
  <c r="Y143" i="4"/>
  <c r="W143" i="4"/>
  <c r="V143" i="4"/>
  <c r="T143" i="4"/>
  <c r="S143" i="4"/>
  <c r="Q143" i="4"/>
  <c r="P143" i="4"/>
  <c r="N143" i="4"/>
  <c r="M143" i="4"/>
  <c r="I143" i="4"/>
  <c r="J143" i="4" s="1"/>
  <c r="H143" i="4"/>
  <c r="AP142" i="4"/>
  <c r="AS142" i="4" s="1"/>
  <c r="AO142" i="4"/>
  <c r="AN142" i="4"/>
  <c r="AL142" i="4"/>
  <c r="AK142" i="4"/>
  <c r="AI142" i="4"/>
  <c r="AH142" i="4"/>
  <c r="AF142" i="4"/>
  <c r="AE142" i="4"/>
  <c r="AC142" i="4"/>
  <c r="AB142" i="4"/>
  <c r="Z142" i="4"/>
  <c r="Y142" i="4"/>
  <c r="W142" i="4"/>
  <c r="V142" i="4"/>
  <c r="T142" i="4"/>
  <c r="S142" i="4"/>
  <c r="Q142" i="4"/>
  <c r="P142" i="4"/>
  <c r="N142" i="4"/>
  <c r="M142" i="4"/>
  <c r="I142" i="4"/>
  <c r="H142" i="4"/>
  <c r="AP141" i="4"/>
  <c r="AR141" i="4" s="1"/>
  <c r="AO141" i="4"/>
  <c r="AN141" i="4"/>
  <c r="AL141" i="4"/>
  <c r="AK141" i="4"/>
  <c r="AI141" i="4"/>
  <c r="AH141" i="4"/>
  <c r="AF141" i="4"/>
  <c r="AE141" i="4"/>
  <c r="AC141" i="4"/>
  <c r="AB141" i="4"/>
  <c r="Z141" i="4"/>
  <c r="Y141" i="4"/>
  <c r="W141" i="4"/>
  <c r="V141" i="4"/>
  <c r="T141" i="4"/>
  <c r="S141" i="4"/>
  <c r="Q141" i="4"/>
  <c r="P141" i="4"/>
  <c r="N141" i="4"/>
  <c r="M141" i="4"/>
  <c r="I141" i="4"/>
  <c r="K141" i="4" s="1"/>
  <c r="H141" i="4"/>
  <c r="AP140" i="4"/>
  <c r="AS140" i="4" s="1"/>
  <c r="AO140" i="4"/>
  <c r="AN140" i="4"/>
  <c r="AL140" i="4"/>
  <c r="AK140" i="4"/>
  <c r="AI140" i="4"/>
  <c r="AH140" i="4"/>
  <c r="AF140" i="4"/>
  <c r="AE140" i="4"/>
  <c r="AC140" i="4"/>
  <c r="AB140" i="4"/>
  <c r="Z140" i="4"/>
  <c r="Y140" i="4"/>
  <c r="W140" i="4"/>
  <c r="V140" i="4"/>
  <c r="T140" i="4"/>
  <c r="S140" i="4"/>
  <c r="Q140" i="4"/>
  <c r="P140" i="4"/>
  <c r="N140" i="4"/>
  <c r="M140" i="4"/>
  <c r="I140" i="4"/>
  <c r="K140" i="4" s="1"/>
  <c r="H140" i="4"/>
  <c r="AP139" i="4"/>
  <c r="AR139" i="4" s="1"/>
  <c r="AO139" i="4"/>
  <c r="AN139" i="4"/>
  <c r="AL139" i="4"/>
  <c r="AK139" i="4"/>
  <c r="AI139" i="4"/>
  <c r="AH139" i="4"/>
  <c r="AF139" i="4"/>
  <c r="AE139" i="4"/>
  <c r="AC139" i="4"/>
  <c r="AB139" i="4"/>
  <c r="Z139" i="4"/>
  <c r="Y139" i="4"/>
  <c r="W139" i="4"/>
  <c r="V139" i="4"/>
  <c r="T139" i="4"/>
  <c r="S139" i="4"/>
  <c r="Q139" i="4"/>
  <c r="P139" i="4"/>
  <c r="N139" i="4"/>
  <c r="M139" i="4"/>
  <c r="I139" i="4"/>
  <c r="K139" i="4" s="1"/>
  <c r="H139" i="4"/>
  <c r="AP138" i="4"/>
  <c r="AS138" i="4" s="1"/>
  <c r="AO138" i="4"/>
  <c r="AN138" i="4"/>
  <c r="AL138" i="4"/>
  <c r="AK138" i="4"/>
  <c r="AI138" i="4"/>
  <c r="AH138" i="4"/>
  <c r="AF138" i="4"/>
  <c r="AE138" i="4"/>
  <c r="AC138" i="4"/>
  <c r="AB138" i="4"/>
  <c r="Z138" i="4"/>
  <c r="Y138" i="4"/>
  <c r="W138" i="4"/>
  <c r="V138" i="4"/>
  <c r="T138" i="4"/>
  <c r="S138" i="4"/>
  <c r="Q138" i="4"/>
  <c r="P138" i="4"/>
  <c r="N138" i="4"/>
  <c r="M138" i="4"/>
  <c r="I138" i="4"/>
  <c r="K138" i="4" s="1"/>
  <c r="H138" i="4"/>
  <c r="AP137" i="4"/>
  <c r="AR137" i="4" s="1"/>
  <c r="AO137" i="4"/>
  <c r="AN137" i="4"/>
  <c r="AL137" i="4"/>
  <c r="AK137" i="4"/>
  <c r="AI137" i="4"/>
  <c r="AH137" i="4"/>
  <c r="AF137" i="4"/>
  <c r="AE137" i="4"/>
  <c r="AC137" i="4"/>
  <c r="AB137" i="4"/>
  <c r="Z137" i="4"/>
  <c r="Y137" i="4"/>
  <c r="W137" i="4"/>
  <c r="V137" i="4"/>
  <c r="T137" i="4"/>
  <c r="S137" i="4"/>
  <c r="Q137" i="4"/>
  <c r="P137" i="4"/>
  <c r="N137" i="4"/>
  <c r="M137" i="4"/>
  <c r="I137" i="4"/>
  <c r="K137" i="4" s="1"/>
  <c r="H137" i="4"/>
  <c r="AP136" i="4"/>
  <c r="AS136" i="4" s="1"/>
  <c r="AO136" i="4"/>
  <c r="AN136" i="4"/>
  <c r="AL136" i="4"/>
  <c r="AK136" i="4"/>
  <c r="AI136" i="4"/>
  <c r="AH136" i="4"/>
  <c r="AF136" i="4"/>
  <c r="AE136" i="4"/>
  <c r="AC136" i="4"/>
  <c r="AB136" i="4"/>
  <c r="Z136" i="4"/>
  <c r="Y136" i="4"/>
  <c r="W136" i="4"/>
  <c r="V136" i="4"/>
  <c r="T136" i="4"/>
  <c r="S136" i="4"/>
  <c r="Q136" i="4"/>
  <c r="P136" i="4"/>
  <c r="N136" i="4"/>
  <c r="M136" i="4"/>
  <c r="I136" i="4"/>
  <c r="K136" i="4" s="1"/>
  <c r="H136" i="4"/>
  <c r="AP135" i="4"/>
  <c r="AP134" i="4"/>
  <c r="AP133" i="4"/>
  <c r="AS133" i="4" s="1"/>
  <c r="AO133" i="4"/>
  <c r="AN133" i="4"/>
  <c r="AL133" i="4"/>
  <c r="AK133" i="4"/>
  <c r="AI133" i="4"/>
  <c r="AH133" i="4"/>
  <c r="AF133" i="4"/>
  <c r="AE133" i="4"/>
  <c r="AC133" i="4"/>
  <c r="AB133" i="4"/>
  <c r="Z133" i="4"/>
  <c r="Y133" i="4"/>
  <c r="W133" i="4"/>
  <c r="V133" i="4"/>
  <c r="T133" i="4"/>
  <c r="S133" i="4"/>
  <c r="Q133" i="4"/>
  <c r="P133" i="4"/>
  <c r="N133" i="4"/>
  <c r="M133" i="4"/>
  <c r="I133" i="4"/>
  <c r="K133" i="4" s="1"/>
  <c r="H133" i="4"/>
  <c r="AO132" i="4"/>
  <c r="AN132" i="4"/>
  <c r="AL132" i="4"/>
  <c r="AK132" i="4"/>
  <c r="AI132" i="4"/>
  <c r="AH132" i="4"/>
  <c r="AF132" i="4"/>
  <c r="AE132" i="4"/>
  <c r="AC132" i="4"/>
  <c r="AB132" i="4"/>
  <c r="Z132" i="4"/>
  <c r="Y132" i="4"/>
  <c r="W132" i="4"/>
  <c r="V132" i="4"/>
  <c r="R132" i="4"/>
  <c r="T132" i="4" s="1"/>
  <c r="Q132" i="4"/>
  <c r="P132" i="4"/>
  <c r="N132" i="4"/>
  <c r="M132" i="4"/>
  <c r="I132" i="4"/>
  <c r="K132" i="4" s="1"/>
  <c r="H132" i="4"/>
  <c r="AP131" i="4"/>
  <c r="AP130" i="4"/>
  <c r="AR130" i="4" s="1"/>
  <c r="AO130" i="4"/>
  <c r="AN130" i="4"/>
  <c r="AL130" i="4"/>
  <c r="AK130" i="4"/>
  <c r="AI130" i="4"/>
  <c r="AH130" i="4"/>
  <c r="AF130" i="4"/>
  <c r="AE130" i="4"/>
  <c r="AC130" i="4"/>
  <c r="AB130" i="4"/>
  <c r="Z130" i="4"/>
  <c r="Y130" i="4"/>
  <c r="W130" i="4"/>
  <c r="V130" i="4"/>
  <c r="T130" i="4"/>
  <c r="S130" i="4"/>
  <c r="Q130" i="4"/>
  <c r="P130" i="4"/>
  <c r="N130" i="4"/>
  <c r="M130" i="4"/>
  <c r="I130" i="4"/>
  <c r="K130" i="4" s="1"/>
  <c r="H130" i="4"/>
  <c r="AP129" i="4"/>
  <c r="AO129" i="4"/>
  <c r="AN129" i="4"/>
  <c r="AL129" i="4"/>
  <c r="AK129" i="4"/>
  <c r="AI129" i="4"/>
  <c r="AH129" i="4"/>
  <c r="AF129" i="4"/>
  <c r="AE129" i="4"/>
  <c r="AC129" i="4"/>
  <c r="AB129" i="4"/>
  <c r="Z129" i="4"/>
  <c r="Y129" i="4"/>
  <c r="W129" i="4"/>
  <c r="V129" i="4"/>
  <c r="T129" i="4"/>
  <c r="S129" i="4"/>
  <c r="Q129" i="4"/>
  <c r="P129" i="4"/>
  <c r="N129" i="4"/>
  <c r="M129" i="4"/>
  <c r="I129" i="4"/>
  <c r="K129" i="4" s="1"/>
  <c r="H129" i="4"/>
  <c r="AP128" i="4"/>
  <c r="AR128" i="4" s="1"/>
  <c r="AO128" i="4"/>
  <c r="AN128" i="4"/>
  <c r="AL128" i="4"/>
  <c r="AK128" i="4"/>
  <c r="AI128" i="4"/>
  <c r="AH128" i="4"/>
  <c r="AF128" i="4"/>
  <c r="AE128" i="4"/>
  <c r="AC128" i="4"/>
  <c r="AB128" i="4"/>
  <c r="Z128" i="4"/>
  <c r="Y128" i="4"/>
  <c r="W128" i="4"/>
  <c r="V128" i="4"/>
  <c r="T128" i="4"/>
  <c r="S128" i="4"/>
  <c r="Q128" i="4"/>
  <c r="P128" i="4"/>
  <c r="N128" i="4"/>
  <c r="M128" i="4"/>
  <c r="I128" i="4"/>
  <c r="J128" i="4" s="1"/>
  <c r="H128" i="4"/>
  <c r="AP127" i="4"/>
  <c r="AO126" i="4"/>
  <c r="AN126" i="4"/>
  <c r="AN125" i="4" s="1"/>
  <c r="AL126" i="4"/>
  <c r="AK126" i="4"/>
  <c r="AK125" i="4" s="1"/>
  <c r="AI126" i="4"/>
  <c r="AH126" i="4"/>
  <c r="AH125" i="4" s="1"/>
  <c r="AF126" i="4"/>
  <c r="AE126" i="4"/>
  <c r="AE125" i="4" s="1"/>
  <c r="AC126" i="4"/>
  <c r="AB126" i="4"/>
  <c r="AB125" i="4" s="1"/>
  <c r="Z126" i="4"/>
  <c r="Y126" i="4"/>
  <c r="Y125" i="4" s="1"/>
  <c r="W126" i="4"/>
  <c r="V126" i="4"/>
  <c r="V125" i="4" s="1"/>
  <c r="R126" i="4"/>
  <c r="T126" i="4" s="1"/>
  <c r="Q126" i="4"/>
  <c r="P126" i="4"/>
  <c r="P125" i="4" s="1"/>
  <c r="N126" i="4"/>
  <c r="M126" i="4"/>
  <c r="M125" i="4" s="1"/>
  <c r="I126" i="4"/>
  <c r="K126" i="4" s="1"/>
  <c r="H126" i="4"/>
  <c r="H125" i="4" s="1"/>
  <c r="AP125" i="4"/>
  <c r="AO124" i="4"/>
  <c r="AN124" i="4"/>
  <c r="AN123" i="4" s="1"/>
  <c r="AL124" i="4"/>
  <c r="AK124" i="4"/>
  <c r="AK123" i="4" s="1"/>
  <c r="AI124" i="4"/>
  <c r="AH124" i="4"/>
  <c r="AH123" i="4" s="1"/>
  <c r="AF124" i="4"/>
  <c r="AE124" i="4"/>
  <c r="AE123" i="4" s="1"/>
  <c r="AC124" i="4"/>
  <c r="AB124" i="4"/>
  <c r="AB123" i="4" s="1"/>
  <c r="Z124" i="4"/>
  <c r="Y124" i="4"/>
  <c r="Y123" i="4" s="1"/>
  <c r="W124" i="4"/>
  <c r="V124" i="4"/>
  <c r="V123" i="4" s="1"/>
  <c r="R124" i="4"/>
  <c r="T124" i="4" s="1"/>
  <c r="Q124" i="4"/>
  <c r="P124" i="4"/>
  <c r="P123" i="4" s="1"/>
  <c r="N124" i="4"/>
  <c r="M124" i="4"/>
  <c r="M123" i="4" s="1"/>
  <c r="I124" i="4"/>
  <c r="J124" i="4" s="1"/>
  <c r="J123" i="4" s="1"/>
  <c r="H124" i="4"/>
  <c r="H123" i="4" s="1"/>
  <c r="AP123" i="4"/>
  <c r="AP122" i="4"/>
  <c r="AR122" i="4" s="1"/>
  <c r="AO122" i="4"/>
  <c r="AN122" i="4"/>
  <c r="AN121" i="4" s="1"/>
  <c r="AL122" i="4"/>
  <c r="AK122" i="4"/>
  <c r="AK121" i="4" s="1"/>
  <c r="AI122" i="4"/>
  <c r="AH122" i="4"/>
  <c r="AH121" i="4" s="1"/>
  <c r="AF122" i="4"/>
  <c r="AE122" i="4"/>
  <c r="AE121" i="4" s="1"/>
  <c r="AC122" i="4"/>
  <c r="AB122" i="4"/>
  <c r="AB121" i="4" s="1"/>
  <c r="Z122" i="4"/>
  <c r="Y122" i="4"/>
  <c r="Y121" i="4" s="1"/>
  <c r="W122" i="4"/>
  <c r="V122" i="4"/>
  <c r="V121" i="4" s="1"/>
  <c r="T122" i="4"/>
  <c r="S122" i="4"/>
  <c r="S121" i="4" s="1"/>
  <c r="Q122" i="4"/>
  <c r="P122" i="4"/>
  <c r="P121" i="4" s="1"/>
  <c r="N122" i="4"/>
  <c r="M122" i="4"/>
  <c r="M121" i="4" s="1"/>
  <c r="I122" i="4"/>
  <c r="J122" i="4" s="1"/>
  <c r="J121" i="4" s="1"/>
  <c r="H122" i="4"/>
  <c r="H121" i="4" s="1"/>
  <c r="AP121" i="4"/>
  <c r="AP120" i="4"/>
  <c r="AS120" i="4" s="1"/>
  <c r="AO120" i="4"/>
  <c r="AN120" i="4"/>
  <c r="AN119" i="4" s="1"/>
  <c r="AL120" i="4"/>
  <c r="AK120" i="4"/>
  <c r="AK119" i="4" s="1"/>
  <c r="AI120" i="4"/>
  <c r="AH120" i="4"/>
  <c r="AH119" i="4" s="1"/>
  <c r="AF120" i="4"/>
  <c r="AE120" i="4"/>
  <c r="AE119" i="4" s="1"/>
  <c r="AC120" i="4"/>
  <c r="AB120" i="4"/>
  <c r="AB119" i="4" s="1"/>
  <c r="Z120" i="4"/>
  <c r="Y120" i="4"/>
  <c r="Y119" i="4" s="1"/>
  <c r="W120" i="4"/>
  <c r="V120" i="4"/>
  <c r="V119" i="4" s="1"/>
  <c r="T120" i="4"/>
  <c r="S120" i="4"/>
  <c r="S119" i="4" s="1"/>
  <c r="Q120" i="4"/>
  <c r="P120" i="4"/>
  <c r="P119" i="4" s="1"/>
  <c r="N120" i="4"/>
  <c r="M120" i="4"/>
  <c r="M119" i="4" s="1"/>
  <c r="I120" i="4"/>
  <c r="K120" i="4" s="1"/>
  <c r="H120" i="4"/>
  <c r="H119" i="4" s="1"/>
  <c r="AP119" i="4"/>
  <c r="AP118" i="4"/>
  <c r="AP117" i="4"/>
  <c r="AS117" i="4" s="1"/>
  <c r="AO117" i="4"/>
  <c r="AN117" i="4"/>
  <c r="AL117" i="4"/>
  <c r="AK117" i="4"/>
  <c r="AI117" i="4"/>
  <c r="AH117" i="4"/>
  <c r="AF117" i="4"/>
  <c r="AE117" i="4"/>
  <c r="AC117" i="4"/>
  <c r="AB117" i="4"/>
  <c r="Z117" i="4"/>
  <c r="Y117" i="4"/>
  <c r="W117" i="4"/>
  <c r="V117" i="4"/>
  <c r="T117" i="4"/>
  <c r="S117" i="4"/>
  <c r="Q117" i="4"/>
  <c r="P117" i="4"/>
  <c r="N117" i="4"/>
  <c r="M117" i="4"/>
  <c r="I117" i="4"/>
  <c r="K117" i="4" s="1"/>
  <c r="H117" i="4"/>
  <c r="AP116" i="4"/>
  <c r="AR116" i="4" s="1"/>
  <c r="AO116" i="4"/>
  <c r="AN116" i="4"/>
  <c r="AL116" i="4"/>
  <c r="AK116" i="4"/>
  <c r="AI116" i="4"/>
  <c r="AH116" i="4"/>
  <c r="AF116" i="4"/>
  <c r="AE116" i="4"/>
  <c r="AC116" i="4"/>
  <c r="AB116" i="4"/>
  <c r="Z116" i="4"/>
  <c r="Y116" i="4"/>
  <c r="W116" i="4"/>
  <c r="V116" i="4"/>
  <c r="T116" i="4"/>
  <c r="S116" i="4"/>
  <c r="Q116" i="4"/>
  <c r="P116" i="4"/>
  <c r="N116" i="4"/>
  <c r="M116" i="4"/>
  <c r="I116" i="4"/>
  <c r="K116" i="4" s="1"/>
  <c r="H116" i="4"/>
  <c r="AP115" i="4"/>
  <c r="AS115" i="4" s="1"/>
  <c r="AO115" i="4"/>
  <c r="AN115" i="4"/>
  <c r="AL115" i="4"/>
  <c r="AK115" i="4"/>
  <c r="AI115" i="4"/>
  <c r="AH115" i="4"/>
  <c r="AF115" i="4"/>
  <c r="AE115" i="4"/>
  <c r="AC115" i="4"/>
  <c r="AB115" i="4"/>
  <c r="Z115" i="4"/>
  <c r="Y115" i="4"/>
  <c r="W115" i="4"/>
  <c r="V115" i="4"/>
  <c r="T115" i="4"/>
  <c r="S115" i="4"/>
  <c r="Q115" i="4"/>
  <c r="P115" i="4"/>
  <c r="N115" i="4"/>
  <c r="M115" i="4"/>
  <c r="I115" i="4"/>
  <c r="K115" i="4" s="1"/>
  <c r="H115" i="4"/>
  <c r="AP114" i="4"/>
  <c r="AR114" i="4" s="1"/>
  <c r="AO114" i="4"/>
  <c r="AN114" i="4"/>
  <c r="AL114" i="4"/>
  <c r="AK114" i="4"/>
  <c r="AI114" i="4"/>
  <c r="AH114" i="4"/>
  <c r="AF114" i="4"/>
  <c r="AE114" i="4"/>
  <c r="AC114" i="4"/>
  <c r="AB114" i="4"/>
  <c r="Z114" i="4"/>
  <c r="Y114" i="4"/>
  <c r="W114" i="4"/>
  <c r="V114" i="4"/>
  <c r="T114" i="4"/>
  <c r="S114" i="4"/>
  <c r="Q114" i="4"/>
  <c r="P114" i="4"/>
  <c r="N114" i="4"/>
  <c r="M114" i="4"/>
  <c r="I114" i="4"/>
  <c r="K114" i="4" s="1"/>
  <c r="H114" i="4"/>
  <c r="AP113" i="4"/>
  <c r="AP112" i="4"/>
  <c r="AR112" i="4" s="1"/>
  <c r="AO112" i="4"/>
  <c r="AN112" i="4"/>
  <c r="AL112" i="4"/>
  <c r="AK112" i="4"/>
  <c r="AI112" i="4"/>
  <c r="AH112" i="4"/>
  <c r="AF112" i="4"/>
  <c r="AE112" i="4"/>
  <c r="AC112" i="4"/>
  <c r="AB112" i="4"/>
  <c r="Z112" i="4"/>
  <c r="Y112" i="4"/>
  <c r="W112" i="4"/>
  <c r="V112" i="4"/>
  <c r="T112" i="4"/>
  <c r="S112" i="4"/>
  <c r="Q112" i="4"/>
  <c r="P112" i="4"/>
  <c r="N112" i="4"/>
  <c r="M112" i="4"/>
  <c r="I112" i="4"/>
  <c r="J112" i="4" s="1"/>
  <c r="H112" i="4"/>
  <c r="AP111" i="4"/>
  <c r="AR111" i="4" s="1"/>
  <c r="AO111" i="4"/>
  <c r="AN111" i="4"/>
  <c r="AL111" i="4"/>
  <c r="AK111" i="4"/>
  <c r="AI111" i="4"/>
  <c r="AH111" i="4"/>
  <c r="AF111" i="4"/>
  <c r="AE111" i="4"/>
  <c r="AC111" i="4"/>
  <c r="AB111" i="4"/>
  <c r="Z111" i="4"/>
  <c r="Y111" i="4"/>
  <c r="W111" i="4"/>
  <c r="V111" i="4"/>
  <c r="T111" i="4"/>
  <c r="S111" i="4"/>
  <c r="Q111" i="4"/>
  <c r="P111" i="4"/>
  <c r="N111" i="4"/>
  <c r="M111" i="4"/>
  <c r="I111" i="4"/>
  <c r="K111" i="4" s="1"/>
  <c r="H111" i="4"/>
  <c r="AP110" i="4"/>
  <c r="AP109" i="4"/>
  <c r="AR109" i="4" s="1"/>
  <c r="AO109" i="4"/>
  <c r="AN109" i="4"/>
  <c r="AL109" i="4"/>
  <c r="AK109" i="4"/>
  <c r="AI109" i="4"/>
  <c r="AH109" i="4"/>
  <c r="AF109" i="4"/>
  <c r="AE109" i="4"/>
  <c r="AC109" i="4"/>
  <c r="AB109" i="4"/>
  <c r="Z109" i="4"/>
  <c r="Y109" i="4"/>
  <c r="W109" i="4"/>
  <c r="V109" i="4"/>
  <c r="T109" i="4"/>
  <c r="S109" i="4"/>
  <c r="Q109" i="4"/>
  <c r="P109" i="4"/>
  <c r="N109" i="4"/>
  <c r="M109" i="4"/>
  <c r="I109" i="4"/>
  <c r="K109" i="4" s="1"/>
  <c r="H109" i="4"/>
  <c r="AP108" i="4"/>
  <c r="AS108" i="4" s="1"/>
  <c r="AO108" i="4"/>
  <c r="AN108" i="4"/>
  <c r="AL108" i="4"/>
  <c r="AK108" i="4"/>
  <c r="AI108" i="4"/>
  <c r="AH108" i="4"/>
  <c r="AF108" i="4"/>
  <c r="AE108" i="4"/>
  <c r="AC108" i="4"/>
  <c r="AB108" i="4"/>
  <c r="Z108" i="4"/>
  <c r="Y108" i="4"/>
  <c r="W108" i="4"/>
  <c r="V108" i="4"/>
  <c r="T108" i="4"/>
  <c r="S108" i="4"/>
  <c r="Q108" i="4"/>
  <c r="P108" i="4"/>
  <c r="N108" i="4"/>
  <c r="M108" i="4"/>
  <c r="I108" i="4"/>
  <c r="K108" i="4" s="1"/>
  <c r="H108" i="4"/>
  <c r="AP107" i="4"/>
  <c r="AR107" i="4" s="1"/>
  <c r="AO107" i="4"/>
  <c r="AN107" i="4"/>
  <c r="AL107" i="4"/>
  <c r="AK107" i="4"/>
  <c r="AI107" i="4"/>
  <c r="AH107" i="4"/>
  <c r="AF107" i="4"/>
  <c r="AE107" i="4"/>
  <c r="AC107" i="4"/>
  <c r="AB107" i="4"/>
  <c r="Z107" i="4"/>
  <c r="Y107" i="4"/>
  <c r="W107" i="4"/>
  <c r="V107" i="4"/>
  <c r="T107" i="4"/>
  <c r="S107" i="4"/>
  <c r="Q107" i="4"/>
  <c r="P107" i="4"/>
  <c r="N107" i="4"/>
  <c r="M107" i="4"/>
  <c r="I107" i="4"/>
  <c r="K107" i="4" s="1"/>
  <c r="H107" i="4"/>
  <c r="AP106" i="4"/>
  <c r="AP105" i="4"/>
  <c r="AR105" i="4" s="1"/>
  <c r="AO105" i="4"/>
  <c r="AN105" i="4"/>
  <c r="AL105" i="4"/>
  <c r="AK105" i="4"/>
  <c r="AI105" i="4"/>
  <c r="AH105" i="4"/>
  <c r="AF105" i="4"/>
  <c r="AE105" i="4"/>
  <c r="AC105" i="4"/>
  <c r="AB105" i="4"/>
  <c r="Z105" i="4"/>
  <c r="Y105" i="4"/>
  <c r="W105" i="4"/>
  <c r="V105" i="4"/>
  <c r="T105" i="4"/>
  <c r="S105" i="4"/>
  <c r="Q105" i="4"/>
  <c r="P105" i="4"/>
  <c r="N105" i="4"/>
  <c r="M105" i="4"/>
  <c r="I105" i="4"/>
  <c r="J105" i="4" s="1"/>
  <c r="H105" i="4"/>
  <c r="AP104" i="4"/>
  <c r="AR104" i="4" s="1"/>
  <c r="AO104" i="4"/>
  <c r="AN104" i="4"/>
  <c r="AL104" i="4"/>
  <c r="AK104" i="4"/>
  <c r="AI104" i="4"/>
  <c r="AH104" i="4"/>
  <c r="AF104" i="4"/>
  <c r="AE104" i="4"/>
  <c r="AC104" i="4"/>
  <c r="AB104" i="4"/>
  <c r="Z104" i="4"/>
  <c r="Y104" i="4"/>
  <c r="W104" i="4"/>
  <c r="V104" i="4"/>
  <c r="T104" i="4"/>
  <c r="S104" i="4"/>
  <c r="Q104" i="4"/>
  <c r="P104" i="4"/>
  <c r="N104" i="4"/>
  <c r="M104" i="4"/>
  <c r="I104" i="4"/>
  <c r="K104" i="4" s="1"/>
  <c r="H104" i="4"/>
  <c r="AP103" i="4"/>
  <c r="AP102" i="4"/>
  <c r="AR102" i="4" s="1"/>
  <c r="AO102" i="4"/>
  <c r="AN102" i="4"/>
  <c r="AN101" i="4" s="1"/>
  <c r="AL102" i="4"/>
  <c r="AK102" i="4"/>
  <c r="AK101" i="4" s="1"/>
  <c r="AI102" i="4"/>
  <c r="AH102" i="4"/>
  <c r="AH101" i="4" s="1"/>
  <c r="AF102" i="4"/>
  <c r="AE102" i="4"/>
  <c r="AE101" i="4" s="1"/>
  <c r="AC102" i="4"/>
  <c r="AB102" i="4"/>
  <c r="AB101" i="4" s="1"/>
  <c r="Z102" i="4"/>
  <c r="Y102" i="4"/>
  <c r="Y101" i="4" s="1"/>
  <c r="W102" i="4"/>
  <c r="V102" i="4"/>
  <c r="V101" i="4" s="1"/>
  <c r="T102" i="4"/>
  <c r="S102" i="4"/>
  <c r="S101" i="4" s="1"/>
  <c r="Q102" i="4"/>
  <c r="P102" i="4"/>
  <c r="P101" i="4" s="1"/>
  <c r="N102" i="4"/>
  <c r="M102" i="4"/>
  <c r="M101" i="4" s="1"/>
  <c r="I102" i="4"/>
  <c r="K102" i="4" s="1"/>
  <c r="H102" i="4"/>
  <c r="H101" i="4" s="1"/>
  <c r="AP101" i="4"/>
  <c r="AP100" i="4"/>
  <c r="AR100" i="4" s="1"/>
  <c r="AO100" i="4"/>
  <c r="AN100" i="4"/>
  <c r="AL100" i="4"/>
  <c r="AK100" i="4"/>
  <c r="AI100" i="4"/>
  <c r="AH100" i="4"/>
  <c r="AF100" i="4"/>
  <c r="AE100" i="4"/>
  <c r="AC100" i="4"/>
  <c r="AB100" i="4"/>
  <c r="Z100" i="4"/>
  <c r="Y100" i="4"/>
  <c r="W100" i="4"/>
  <c r="V100" i="4"/>
  <c r="T100" i="4"/>
  <c r="S100" i="4"/>
  <c r="Q100" i="4"/>
  <c r="P100" i="4"/>
  <c r="N100" i="4"/>
  <c r="M100" i="4"/>
  <c r="I100" i="4"/>
  <c r="J100" i="4" s="1"/>
  <c r="H100" i="4"/>
  <c r="AP99" i="4"/>
  <c r="AR99" i="4" s="1"/>
  <c r="AO99" i="4"/>
  <c r="AN99" i="4"/>
  <c r="AL99" i="4"/>
  <c r="AK99" i="4"/>
  <c r="AI99" i="4"/>
  <c r="AH99" i="4"/>
  <c r="AF99" i="4"/>
  <c r="AE99" i="4"/>
  <c r="AC99" i="4"/>
  <c r="AB99" i="4"/>
  <c r="Z99" i="4"/>
  <c r="Y99" i="4"/>
  <c r="W99" i="4"/>
  <c r="V99" i="4"/>
  <c r="T99" i="4"/>
  <c r="S99" i="4"/>
  <c r="Q99" i="4"/>
  <c r="P99" i="4"/>
  <c r="N99" i="4"/>
  <c r="M99" i="4"/>
  <c r="I99" i="4"/>
  <c r="K99" i="4" s="1"/>
  <c r="H99" i="4"/>
  <c r="AP98" i="4"/>
  <c r="AR98" i="4" s="1"/>
  <c r="AO98" i="4"/>
  <c r="AN98" i="4"/>
  <c r="AL98" i="4"/>
  <c r="AK98" i="4"/>
  <c r="AI98" i="4"/>
  <c r="AH98" i="4"/>
  <c r="AF98" i="4"/>
  <c r="AE98" i="4"/>
  <c r="AC98" i="4"/>
  <c r="AB98" i="4"/>
  <c r="Z98" i="4"/>
  <c r="Y98" i="4"/>
  <c r="W98" i="4"/>
  <c r="V98" i="4"/>
  <c r="T98" i="4"/>
  <c r="S98" i="4"/>
  <c r="Q98" i="4"/>
  <c r="P98" i="4"/>
  <c r="N98" i="4"/>
  <c r="M98" i="4"/>
  <c r="I98" i="4"/>
  <c r="J98" i="4" s="1"/>
  <c r="H98" i="4"/>
  <c r="AP97" i="4"/>
  <c r="AR97" i="4" s="1"/>
  <c r="AO97" i="4"/>
  <c r="AN97" i="4"/>
  <c r="AL97" i="4"/>
  <c r="AK97" i="4"/>
  <c r="AI97" i="4"/>
  <c r="AH97" i="4"/>
  <c r="AF97" i="4"/>
  <c r="AE97" i="4"/>
  <c r="AC97" i="4"/>
  <c r="AB97" i="4"/>
  <c r="Z97" i="4"/>
  <c r="Y97" i="4"/>
  <c r="W97" i="4"/>
  <c r="V97" i="4"/>
  <c r="T97" i="4"/>
  <c r="S97" i="4"/>
  <c r="Q97" i="4"/>
  <c r="P97" i="4"/>
  <c r="N97" i="4"/>
  <c r="M97" i="4"/>
  <c r="I97" i="4"/>
  <c r="K97" i="4" s="1"/>
  <c r="H97" i="4"/>
  <c r="AP96" i="4"/>
  <c r="AR96" i="4" s="1"/>
  <c r="AO96" i="4"/>
  <c r="AN96" i="4"/>
  <c r="AL96" i="4"/>
  <c r="AK96" i="4"/>
  <c r="AI96" i="4"/>
  <c r="AH96" i="4"/>
  <c r="AF96" i="4"/>
  <c r="AE96" i="4"/>
  <c r="AC96" i="4"/>
  <c r="AB96" i="4"/>
  <c r="Z96" i="4"/>
  <c r="Y96" i="4"/>
  <c r="W96" i="4"/>
  <c r="V96" i="4"/>
  <c r="T96" i="4"/>
  <c r="S96" i="4"/>
  <c r="Q96" i="4"/>
  <c r="P96" i="4"/>
  <c r="N96" i="4"/>
  <c r="M96" i="4"/>
  <c r="I96" i="4"/>
  <c r="J96" i="4" s="1"/>
  <c r="H96" i="4"/>
  <c r="AP95" i="4"/>
  <c r="AR95" i="4" s="1"/>
  <c r="AO95" i="4"/>
  <c r="AN95" i="4"/>
  <c r="AL95" i="4"/>
  <c r="AK95" i="4"/>
  <c r="AI95" i="4"/>
  <c r="AH95" i="4"/>
  <c r="AF95" i="4"/>
  <c r="AE95" i="4"/>
  <c r="AC95" i="4"/>
  <c r="AB95" i="4"/>
  <c r="Z95" i="4"/>
  <c r="Y95" i="4"/>
  <c r="W95" i="4"/>
  <c r="V95" i="4"/>
  <c r="T95" i="4"/>
  <c r="S95" i="4"/>
  <c r="Q95" i="4"/>
  <c r="P95" i="4"/>
  <c r="N95" i="4"/>
  <c r="M95" i="4"/>
  <c r="I95" i="4"/>
  <c r="K95" i="4" s="1"/>
  <c r="H95" i="4"/>
  <c r="AP94" i="4"/>
  <c r="AP93" i="4"/>
  <c r="AR93" i="4" s="1"/>
  <c r="AO93" i="4"/>
  <c r="AN93" i="4"/>
  <c r="AL93" i="4"/>
  <c r="AK93" i="4"/>
  <c r="AI93" i="4"/>
  <c r="AH93" i="4"/>
  <c r="AF93" i="4"/>
  <c r="AE93" i="4"/>
  <c r="AC93" i="4"/>
  <c r="AB93" i="4"/>
  <c r="Z93" i="4"/>
  <c r="Y93" i="4"/>
  <c r="W93" i="4"/>
  <c r="V93" i="4"/>
  <c r="T93" i="4"/>
  <c r="S93" i="4"/>
  <c r="Q93" i="4"/>
  <c r="P93" i="4"/>
  <c r="N93" i="4"/>
  <c r="M93" i="4"/>
  <c r="I93" i="4"/>
  <c r="K93" i="4" s="1"/>
  <c r="H93" i="4"/>
  <c r="AP92" i="4"/>
  <c r="AS92" i="4" s="1"/>
  <c r="AO92" i="4"/>
  <c r="AN92" i="4"/>
  <c r="AL92" i="4"/>
  <c r="AK92" i="4"/>
  <c r="AI92" i="4"/>
  <c r="AH92" i="4"/>
  <c r="AF92" i="4"/>
  <c r="AE92" i="4"/>
  <c r="AC92" i="4"/>
  <c r="AB92" i="4"/>
  <c r="Z92" i="4"/>
  <c r="Y92" i="4"/>
  <c r="W92" i="4"/>
  <c r="V92" i="4"/>
  <c r="T92" i="4"/>
  <c r="S92" i="4"/>
  <c r="Q92" i="4"/>
  <c r="P92" i="4"/>
  <c r="N92" i="4"/>
  <c r="M92" i="4"/>
  <c r="I92" i="4"/>
  <c r="K92" i="4" s="1"/>
  <c r="H92" i="4"/>
  <c r="AP91" i="4"/>
  <c r="AR91" i="4" s="1"/>
  <c r="AO91" i="4"/>
  <c r="AN91" i="4"/>
  <c r="AL91" i="4"/>
  <c r="AK91" i="4"/>
  <c r="AI91" i="4"/>
  <c r="AH91" i="4"/>
  <c r="AF91" i="4"/>
  <c r="AE91" i="4"/>
  <c r="AC91" i="4"/>
  <c r="AB91" i="4"/>
  <c r="Z91" i="4"/>
  <c r="Y91" i="4"/>
  <c r="W91" i="4"/>
  <c r="V91" i="4"/>
  <c r="T91" i="4"/>
  <c r="S91" i="4"/>
  <c r="Q91" i="4"/>
  <c r="P91" i="4"/>
  <c r="N91" i="4"/>
  <c r="M91" i="4"/>
  <c r="I91" i="4"/>
  <c r="K91" i="4" s="1"/>
  <c r="H91" i="4"/>
  <c r="AP90" i="4"/>
  <c r="AS90" i="4" s="1"/>
  <c r="AO90" i="4"/>
  <c r="AN90" i="4"/>
  <c r="AL90" i="4"/>
  <c r="AK90" i="4"/>
  <c r="AI90" i="4"/>
  <c r="AH90" i="4"/>
  <c r="AF90" i="4"/>
  <c r="AE90" i="4"/>
  <c r="AC90" i="4"/>
  <c r="AB90" i="4"/>
  <c r="Z90" i="4"/>
  <c r="Y90" i="4"/>
  <c r="W90" i="4"/>
  <c r="V90" i="4"/>
  <c r="T90" i="4"/>
  <c r="S90" i="4"/>
  <c r="Q90" i="4"/>
  <c r="P90" i="4"/>
  <c r="N90" i="4"/>
  <c r="M90" i="4"/>
  <c r="I90" i="4"/>
  <c r="K90" i="4" s="1"/>
  <c r="H90" i="4"/>
  <c r="AP89" i="4"/>
  <c r="AR89" i="4" s="1"/>
  <c r="AO89" i="4"/>
  <c r="AN89" i="4"/>
  <c r="AL89" i="4"/>
  <c r="AK89" i="4"/>
  <c r="AI89" i="4"/>
  <c r="AH89" i="4"/>
  <c r="AF89" i="4"/>
  <c r="AE89" i="4"/>
  <c r="AC89" i="4"/>
  <c r="AB89" i="4"/>
  <c r="Z89" i="4"/>
  <c r="Y89" i="4"/>
  <c r="W89" i="4"/>
  <c r="V89" i="4"/>
  <c r="T89" i="4"/>
  <c r="S89" i="4"/>
  <c r="Q89" i="4"/>
  <c r="P89" i="4"/>
  <c r="N89" i="4"/>
  <c r="M89" i="4"/>
  <c r="I89" i="4"/>
  <c r="K89" i="4" s="1"/>
  <c r="H89" i="4"/>
  <c r="AP88" i="4"/>
  <c r="AS88" i="4" s="1"/>
  <c r="AO88" i="4"/>
  <c r="AN88" i="4"/>
  <c r="AL88" i="4"/>
  <c r="AK88" i="4"/>
  <c r="AI88" i="4"/>
  <c r="AH88" i="4"/>
  <c r="AF88" i="4"/>
  <c r="AE88" i="4"/>
  <c r="AC88" i="4"/>
  <c r="AB88" i="4"/>
  <c r="Z88" i="4"/>
  <c r="Y88" i="4"/>
  <c r="W88" i="4"/>
  <c r="V88" i="4"/>
  <c r="T88" i="4"/>
  <c r="S88" i="4"/>
  <c r="Q88" i="4"/>
  <c r="P88" i="4"/>
  <c r="N88" i="4"/>
  <c r="M88" i="4"/>
  <c r="I88" i="4"/>
  <c r="K88" i="4" s="1"/>
  <c r="H88" i="4"/>
  <c r="AP87" i="4"/>
  <c r="AR87" i="4" s="1"/>
  <c r="AO87" i="4"/>
  <c r="AN87" i="4"/>
  <c r="AL87" i="4"/>
  <c r="AK87" i="4"/>
  <c r="AI87" i="4"/>
  <c r="AH87" i="4"/>
  <c r="AF87" i="4"/>
  <c r="AE87" i="4"/>
  <c r="AC87" i="4"/>
  <c r="AB87" i="4"/>
  <c r="Z87" i="4"/>
  <c r="Y87" i="4"/>
  <c r="W87" i="4"/>
  <c r="V87" i="4"/>
  <c r="T87" i="4"/>
  <c r="S87" i="4"/>
  <c r="Q87" i="4"/>
  <c r="P87" i="4"/>
  <c r="N87" i="4"/>
  <c r="M87" i="4"/>
  <c r="I87" i="4"/>
  <c r="K87" i="4" s="1"/>
  <c r="H87" i="4"/>
  <c r="AP86" i="4"/>
  <c r="AP85" i="4"/>
  <c r="AP84" i="4"/>
  <c r="AR84" i="4" s="1"/>
  <c r="AO84" i="4"/>
  <c r="AN84" i="4"/>
  <c r="AN83" i="4" s="1"/>
  <c r="AL84" i="4"/>
  <c r="AK84" i="4"/>
  <c r="AK83" i="4" s="1"/>
  <c r="AI84" i="4"/>
  <c r="AH84" i="4"/>
  <c r="AH83" i="4" s="1"/>
  <c r="AF84" i="4"/>
  <c r="AE84" i="4"/>
  <c r="AE83" i="4" s="1"/>
  <c r="AC84" i="4"/>
  <c r="AB84" i="4"/>
  <c r="AB83" i="4" s="1"/>
  <c r="Z84" i="4"/>
  <c r="Y84" i="4"/>
  <c r="Y83" i="4" s="1"/>
  <c r="W84" i="4"/>
  <c r="V84" i="4"/>
  <c r="V83" i="4" s="1"/>
  <c r="T84" i="4"/>
  <c r="S84" i="4"/>
  <c r="S83" i="4" s="1"/>
  <c r="Q84" i="4"/>
  <c r="P84" i="4"/>
  <c r="P83" i="4" s="1"/>
  <c r="N84" i="4"/>
  <c r="M84" i="4"/>
  <c r="M83" i="4" s="1"/>
  <c r="I84" i="4"/>
  <c r="K84" i="4" s="1"/>
  <c r="H84" i="4"/>
  <c r="H83" i="4" s="1"/>
  <c r="AP83" i="4"/>
  <c r="AP82" i="4"/>
  <c r="AR82" i="4" s="1"/>
  <c r="AO82" i="4"/>
  <c r="AN82" i="4"/>
  <c r="AL82" i="4"/>
  <c r="AK82" i="4"/>
  <c r="AI82" i="4"/>
  <c r="AH82" i="4"/>
  <c r="AF82" i="4"/>
  <c r="AE82" i="4"/>
  <c r="AC82" i="4"/>
  <c r="AB82" i="4"/>
  <c r="Z82" i="4"/>
  <c r="Y82" i="4"/>
  <c r="W82" i="4"/>
  <c r="V82" i="4"/>
  <c r="T82" i="4"/>
  <c r="S82" i="4"/>
  <c r="Q82" i="4"/>
  <c r="P82" i="4"/>
  <c r="N82" i="4"/>
  <c r="M82" i="4"/>
  <c r="I82" i="4"/>
  <c r="J82" i="4" s="1"/>
  <c r="H82" i="4"/>
  <c r="AP81" i="4"/>
  <c r="AR81" i="4" s="1"/>
  <c r="AO81" i="4"/>
  <c r="AN81" i="4"/>
  <c r="AL81" i="4"/>
  <c r="AK81" i="4"/>
  <c r="AI81" i="4"/>
  <c r="AH81" i="4"/>
  <c r="AF81" i="4"/>
  <c r="AE81" i="4"/>
  <c r="AC81" i="4"/>
  <c r="AB81" i="4"/>
  <c r="Z81" i="4"/>
  <c r="Y81" i="4"/>
  <c r="W81" i="4"/>
  <c r="V81" i="4"/>
  <c r="T81" i="4"/>
  <c r="S81" i="4"/>
  <c r="Q81" i="4"/>
  <c r="P81" i="4"/>
  <c r="N81" i="4"/>
  <c r="M81" i="4"/>
  <c r="I81" i="4"/>
  <c r="K81" i="4" s="1"/>
  <c r="H81" i="4"/>
  <c r="AP80" i="4"/>
  <c r="AP79" i="4"/>
  <c r="AR79" i="4" s="1"/>
  <c r="AO79" i="4"/>
  <c r="AN79" i="4"/>
  <c r="AN78" i="4" s="1"/>
  <c r="AL79" i="4"/>
  <c r="AK79" i="4"/>
  <c r="AK78" i="4" s="1"/>
  <c r="AI79" i="4"/>
  <c r="AH79" i="4"/>
  <c r="AH78" i="4" s="1"/>
  <c r="AF79" i="4"/>
  <c r="AE79" i="4"/>
  <c r="AE78" i="4" s="1"/>
  <c r="AC79" i="4"/>
  <c r="AB79" i="4"/>
  <c r="AB78" i="4" s="1"/>
  <c r="Z79" i="4"/>
  <c r="Y79" i="4"/>
  <c r="Y78" i="4" s="1"/>
  <c r="W79" i="4"/>
  <c r="V79" i="4"/>
  <c r="V78" i="4" s="1"/>
  <c r="T79" i="4"/>
  <c r="S79" i="4"/>
  <c r="S78" i="4" s="1"/>
  <c r="Q79" i="4"/>
  <c r="P79" i="4"/>
  <c r="P78" i="4" s="1"/>
  <c r="N79" i="4"/>
  <c r="M79" i="4"/>
  <c r="M78" i="4" s="1"/>
  <c r="I79" i="4"/>
  <c r="K79" i="4" s="1"/>
  <c r="H79" i="4"/>
  <c r="H78" i="4" s="1"/>
  <c r="AP78" i="4"/>
  <c r="AP77" i="4"/>
  <c r="AP76" i="4"/>
  <c r="AR76" i="4" s="1"/>
  <c r="AO76" i="4"/>
  <c r="AN76" i="4"/>
  <c r="AL76" i="4"/>
  <c r="AK76" i="4"/>
  <c r="AI76" i="4"/>
  <c r="AH76" i="4"/>
  <c r="AF76" i="4"/>
  <c r="AE76" i="4"/>
  <c r="AC76" i="4"/>
  <c r="AB76" i="4"/>
  <c r="Z76" i="4"/>
  <c r="Y76" i="4"/>
  <c r="W76" i="4"/>
  <c r="V76" i="4"/>
  <c r="T76" i="4"/>
  <c r="S76" i="4"/>
  <c r="Q76" i="4"/>
  <c r="P76" i="4"/>
  <c r="N76" i="4"/>
  <c r="M76" i="4"/>
  <c r="I76" i="4"/>
  <c r="K76" i="4" s="1"/>
  <c r="H76" i="4"/>
  <c r="AP75" i="4"/>
  <c r="AS75" i="4" s="1"/>
  <c r="AO75" i="4"/>
  <c r="AN75" i="4"/>
  <c r="AL75" i="4"/>
  <c r="AK75" i="4"/>
  <c r="AI75" i="4"/>
  <c r="AH75" i="4"/>
  <c r="AF75" i="4"/>
  <c r="AE75" i="4"/>
  <c r="AC75" i="4"/>
  <c r="AB75" i="4"/>
  <c r="Z75" i="4"/>
  <c r="Y75" i="4"/>
  <c r="W75" i="4"/>
  <c r="V75" i="4"/>
  <c r="T75" i="4"/>
  <c r="S75" i="4"/>
  <c r="Q75" i="4"/>
  <c r="P75" i="4"/>
  <c r="N75" i="4"/>
  <c r="M75" i="4"/>
  <c r="I75" i="4"/>
  <c r="K75" i="4" s="1"/>
  <c r="H75" i="4"/>
  <c r="AP74" i="4"/>
  <c r="AP73" i="4"/>
  <c r="AR73" i="4" s="1"/>
  <c r="AO73" i="4"/>
  <c r="AN73" i="4"/>
  <c r="AL73" i="4"/>
  <c r="AK73" i="4"/>
  <c r="AI73" i="4"/>
  <c r="AH73" i="4"/>
  <c r="AF73" i="4"/>
  <c r="AE73" i="4"/>
  <c r="AC73" i="4"/>
  <c r="AB73" i="4"/>
  <c r="Z73" i="4"/>
  <c r="Y73" i="4"/>
  <c r="W73" i="4"/>
  <c r="V73" i="4"/>
  <c r="T73" i="4"/>
  <c r="S73" i="4"/>
  <c r="Q73" i="4"/>
  <c r="P73" i="4"/>
  <c r="N73" i="4"/>
  <c r="M73" i="4"/>
  <c r="I73" i="4"/>
  <c r="K73" i="4" s="1"/>
  <c r="H73" i="4"/>
  <c r="AP72" i="4"/>
  <c r="AR72" i="4" s="1"/>
  <c r="AO72" i="4"/>
  <c r="AN72" i="4"/>
  <c r="AL72" i="4"/>
  <c r="AK72" i="4"/>
  <c r="AI72" i="4"/>
  <c r="AH72" i="4"/>
  <c r="AF72" i="4"/>
  <c r="AE72" i="4"/>
  <c r="AC72" i="4"/>
  <c r="AB72" i="4"/>
  <c r="Z72" i="4"/>
  <c r="Y72" i="4"/>
  <c r="W72" i="4"/>
  <c r="V72" i="4"/>
  <c r="T72" i="4"/>
  <c r="S72" i="4"/>
  <c r="Q72" i="4"/>
  <c r="P72" i="4"/>
  <c r="N72" i="4"/>
  <c r="M72" i="4"/>
  <c r="I72" i="4"/>
  <c r="J72" i="4" s="1"/>
  <c r="H72" i="4"/>
  <c r="AP71" i="4"/>
  <c r="AR71" i="4" s="1"/>
  <c r="AO71" i="4"/>
  <c r="AN71" i="4"/>
  <c r="AL71" i="4"/>
  <c r="AK71" i="4"/>
  <c r="AI71" i="4"/>
  <c r="AH71" i="4"/>
  <c r="AF71" i="4"/>
  <c r="AE71" i="4"/>
  <c r="AC71" i="4"/>
  <c r="AB71" i="4"/>
  <c r="Z71" i="4"/>
  <c r="Y71" i="4"/>
  <c r="W71" i="4"/>
  <c r="V71" i="4"/>
  <c r="T71" i="4"/>
  <c r="S71" i="4"/>
  <c r="Q71" i="4"/>
  <c r="P71" i="4"/>
  <c r="N71" i="4"/>
  <c r="M71" i="4"/>
  <c r="I71" i="4"/>
  <c r="K71" i="4" s="1"/>
  <c r="H71" i="4"/>
  <c r="AP70" i="4"/>
  <c r="AP69" i="4"/>
  <c r="AR69" i="4" s="1"/>
  <c r="AO69" i="4"/>
  <c r="AN69" i="4"/>
  <c r="AL69" i="4"/>
  <c r="AK69" i="4"/>
  <c r="AI69" i="4"/>
  <c r="AH69" i="4"/>
  <c r="AF69" i="4"/>
  <c r="AE69" i="4"/>
  <c r="AC69" i="4"/>
  <c r="AB69" i="4"/>
  <c r="Z69" i="4"/>
  <c r="Y69" i="4"/>
  <c r="W69" i="4"/>
  <c r="V69" i="4"/>
  <c r="T69" i="4"/>
  <c r="S69" i="4"/>
  <c r="Q69" i="4"/>
  <c r="P69" i="4"/>
  <c r="N69" i="4"/>
  <c r="M69" i="4"/>
  <c r="I69" i="4"/>
  <c r="K69" i="4" s="1"/>
  <c r="H69" i="4"/>
  <c r="AP68" i="4"/>
  <c r="AS68" i="4" s="1"/>
  <c r="AO68" i="4"/>
  <c r="AN68" i="4"/>
  <c r="AL68" i="4"/>
  <c r="AK68" i="4"/>
  <c r="AI68" i="4"/>
  <c r="AH68" i="4"/>
  <c r="AF68" i="4"/>
  <c r="AE68" i="4"/>
  <c r="AC68" i="4"/>
  <c r="AB68" i="4"/>
  <c r="Z68" i="4"/>
  <c r="Y68" i="4"/>
  <c r="W68" i="4"/>
  <c r="V68" i="4"/>
  <c r="T68" i="4"/>
  <c r="S68" i="4"/>
  <c r="Q68" i="4"/>
  <c r="P68" i="4"/>
  <c r="N68" i="4"/>
  <c r="M68" i="4"/>
  <c r="I68" i="4"/>
  <c r="H68" i="4"/>
  <c r="AP67" i="4"/>
  <c r="AR67" i="4" s="1"/>
  <c r="AO67" i="4"/>
  <c r="AN67" i="4"/>
  <c r="AL67" i="4"/>
  <c r="AK67" i="4"/>
  <c r="AI67" i="4"/>
  <c r="AH67" i="4"/>
  <c r="AF67" i="4"/>
  <c r="AE67" i="4"/>
  <c r="AC67" i="4"/>
  <c r="AB67" i="4"/>
  <c r="Z67" i="4"/>
  <c r="Y67" i="4"/>
  <c r="W67" i="4"/>
  <c r="V67" i="4"/>
  <c r="T67" i="4"/>
  <c r="S67" i="4"/>
  <c r="Q67" i="4"/>
  <c r="P67" i="4"/>
  <c r="N67" i="4"/>
  <c r="M67" i="4"/>
  <c r="I67" i="4"/>
  <c r="H67" i="4"/>
  <c r="AP66" i="4"/>
  <c r="AS66" i="4" s="1"/>
  <c r="AO66" i="4"/>
  <c r="AN66" i="4"/>
  <c r="AL66" i="4"/>
  <c r="AK66" i="4"/>
  <c r="AI66" i="4"/>
  <c r="AH66" i="4"/>
  <c r="AF66" i="4"/>
  <c r="AE66" i="4"/>
  <c r="AC66" i="4"/>
  <c r="AB66" i="4"/>
  <c r="Z66" i="4"/>
  <c r="Y66" i="4"/>
  <c r="W66" i="4"/>
  <c r="V66" i="4"/>
  <c r="T66" i="4"/>
  <c r="S66" i="4"/>
  <c r="Q66" i="4"/>
  <c r="P66" i="4"/>
  <c r="N66" i="4"/>
  <c r="M66" i="4"/>
  <c r="I66" i="4"/>
  <c r="K66" i="4" s="1"/>
  <c r="H66" i="4"/>
  <c r="AP65" i="4"/>
  <c r="AR65" i="4" s="1"/>
  <c r="AO65" i="4"/>
  <c r="AN65" i="4"/>
  <c r="AL65" i="4"/>
  <c r="AK65" i="4"/>
  <c r="AI65" i="4"/>
  <c r="AH65" i="4"/>
  <c r="AF65" i="4"/>
  <c r="AE65" i="4"/>
  <c r="AC65" i="4"/>
  <c r="AB65" i="4"/>
  <c r="Z65" i="4"/>
  <c r="Y65" i="4"/>
  <c r="W65" i="4"/>
  <c r="V65" i="4"/>
  <c r="T65" i="4"/>
  <c r="S65" i="4"/>
  <c r="Q65" i="4"/>
  <c r="P65" i="4"/>
  <c r="N65" i="4"/>
  <c r="M65" i="4"/>
  <c r="I65" i="4"/>
  <c r="K65" i="4" s="1"/>
  <c r="H65" i="4"/>
  <c r="AP64" i="4"/>
  <c r="AS64" i="4" s="1"/>
  <c r="AO64" i="4"/>
  <c r="AN64" i="4"/>
  <c r="AL64" i="4"/>
  <c r="AK64" i="4"/>
  <c r="AI64" i="4"/>
  <c r="AH64" i="4"/>
  <c r="AF64" i="4"/>
  <c r="AE64" i="4"/>
  <c r="AC64" i="4"/>
  <c r="AB64" i="4"/>
  <c r="Z64" i="4"/>
  <c r="Y64" i="4"/>
  <c r="W64" i="4"/>
  <c r="V64" i="4"/>
  <c r="T64" i="4"/>
  <c r="S64" i="4"/>
  <c r="Q64" i="4"/>
  <c r="P64" i="4"/>
  <c r="N64" i="4"/>
  <c r="M64" i="4"/>
  <c r="I64" i="4"/>
  <c r="K64" i="4" s="1"/>
  <c r="H64" i="4"/>
  <c r="AP63" i="4"/>
  <c r="AR63" i="4" s="1"/>
  <c r="AO63" i="4"/>
  <c r="AN63" i="4"/>
  <c r="AL63" i="4"/>
  <c r="AK63" i="4"/>
  <c r="AI63" i="4"/>
  <c r="AH63" i="4"/>
  <c r="AF63" i="4"/>
  <c r="AE63" i="4"/>
  <c r="AC63" i="4"/>
  <c r="AB63" i="4"/>
  <c r="Z63" i="4"/>
  <c r="Y63" i="4"/>
  <c r="W63" i="4"/>
  <c r="V63" i="4"/>
  <c r="T63" i="4"/>
  <c r="S63" i="4"/>
  <c r="Q63" i="4"/>
  <c r="P63" i="4"/>
  <c r="N63" i="4"/>
  <c r="M63" i="4"/>
  <c r="I63" i="4"/>
  <c r="J63" i="4" s="1"/>
  <c r="H63" i="4"/>
  <c r="AP62" i="4"/>
  <c r="AS62" i="4" s="1"/>
  <c r="AO62" i="4"/>
  <c r="AN62" i="4"/>
  <c r="AL62" i="4"/>
  <c r="AK62" i="4"/>
  <c r="AI62" i="4"/>
  <c r="AH62" i="4"/>
  <c r="AF62" i="4"/>
  <c r="AE62" i="4"/>
  <c r="AC62" i="4"/>
  <c r="AB62" i="4"/>
  <c r="Z62" i="4"/>
  <c r="Y62" i="4"/>
  <c r="W62" i="4"/>
  <c r="V62" i="4"/>
  <c r="T62" i="4"/>
  <c r="S62" i="4"/>
  <c r="Q62" i="4"/>
  <c r="P62" i="4"/>
  <c r="N62" i="4"/>
  <c r="M62" i="4"/>
  <c r="I62" i="4"/>
  <c r="K62" i="4" s="1"/>
  <c r="H62" i="4"/>
  <c r="AP61" i="4"/>
  <c r="AR61" i="4" s="1"/>
  <c r="AO61" i="4"/>
  <c r="AN61" i="4"/>
  <c r="AL61" i="4"/>
  <c r="AK61" i="4"/>
  <c r="AI61" i="4"/>
  <c r="AH61" i="4"/>
  <c r="AF61" i="4"/>
  <c r="AE61" i="4"/>
  <c r="AC61" i="4"/>
  <c r="AB61" i="4"/>
  <c r="Z61" i="4"/>
  <c r="Y61" i="4"/>
  <c r="W61" i="4"/>
  <c r="V61" i="4"/>
  <c r="T61" i="4"/>
  <c r="S61" i="4"/>
  <c r="Q61" i="4"/>
  <c r="P61" i="4"/>
  <c r="N61" i="4"/>
  <c r="M61" i="4"/>
  <c r="I61" i="4"/>
  <c r="K61" i="4" s="1"/>
  <c r="H61" i="4"/>
  <c r="AP60" i="4"/>
  <c r="AS60" i="4" s="1"/>
  <c r="AO60" i="4"/>
  <c r="AN60" i="4"/>
  <c r="AL60" i="4"/>
  <c r="AK60" i="4"/>
  <c r="AI60" i="4"/>
  <c r="AH60" i="4"/>
  <c r="AF60" i="4"/>
  <c r="AE60" i="4"/>
  <c r="AC60" i="4"/>
  <c r="AB60" i="4"/>
  <c r="Z60" i="4"/>
  <c r="Y60" i="4"/>
  <c r="W60" i="4"/>
  <c r="V60" i="4"/>
  <c r="T60" i="4"/>
  <c r="S60" i="4"/>
  <c r="Q60" i="4"/>
  <c r="P60" i="4"/>
  <c r="N60" i="4"/>
  <c r="M60" i="4"/>
  <c r="I60" i="4"/>
  <c r="K60" i="4" s="1"/>
  <c r="H60" i="4"/>
  <c r="AP59" i="4"/>
  <c r="AR59" i="4" s="1"/>
  <c r="AO59" i="4"/>
  <c r="AN59" i="4"/>
  <c r="AL59" i="4"/>
  <c r="AK59" i="4"/>
  <c r="AI59" i="4"/>
  <c r="AH59" i="4"/>
  <c r="AF59" i="4"/>
  <c r="AE59" i="4"/>
  <c r="AC59" i="4"/>
  <c r="AB59" i="4"/>
  <c r="Z59" i="4"/>
  <c r="Y59" i="4"/>
  <c r="W59" i="4"/>
  <c r="V59" i="4"/>
  <c r="T59" i="4"/>
  <c r="S59" i="4"/>
  <c r="Q59" i="4"/>
  <c r="P59" i="4"/>
  <c r="N59" i="4"/>
  <c r="M59" i="4"/>
  <c r="I59" i="4"/>
  <c r="K59" i="4" s="1"/>
  <c r="H59" i="4"/>
  <c r="AP58" i="4"/>
  <c r="AS58" i="4" s="1"/>
  <c r="AO58" i="4"/>
  <c r="AN58" i="4"/>
  <c r="AL58" i="4"/>
  <c r="AK58" i="4"/>
  <c r="AI58" i="4"/>
  <c r="AH58" i="4"/>
  <c r="AF58" i="4"/>
  <c r="AE58" i="4"/>
  <c r="AC58" i="4"/>
  <c r="AB58" i="4"/>
  <c r="Z58" i="4"/>
  <c r="Y58" i="4"/>
  <c r="W58" i="4"/>
  <c r="V58" i="4"/>
  <c r="T58" i="4"/>
  <c r="S58" i="4"/>
  <c r="Q58" i="4"/>
  <c r="P58" i="4"/>
  <c r="N58" i="4"/>
  <c r="M58" i="4"/>
  <c r="I58" i="4"/>
  <c r="K58" i="4" s="1"/>
  <c r="H58" i="4"/>
  <c r="AP57" i="4"/>
  <c r="AP56" i="4"/>
  <c r="AR56" i="4" s="1"/>
  <c r="AO56" i="4"/>
  <c r="AN56" i="4"/>
  <c r="AL56" i="4"/>
  <c r="AK56" i="4"/>
  <c r="AI56" i="4"/>
  <c r="AH56" i="4"/>
  <c r="AF56" i="4"/>
  <c r="AE56" i="4"/>
  <c r="AC56" i="4"/>
  <c r="AB56" i="4"/>
  <c r="Z56" i="4"/>
  <c r="Y56" i="4"/>
  <c r="W56" i="4"/>
  <c r="V56" i="4"/>
  <c r="T56" i="4"/>
  <c r="S56" i="4"/>
  <c r="Q56" i="4"/>
  <c r="P56" i="4"/>
  <c r="N56" i="4"/>
  <c r="M56" i="4"/>
  <c r="I56" i="4"/>
  <c r="K56" i="4" s="1"/>
  <c r="H56" i="4"/>
  <c r="AP55" i="4"/>
  <c r="AR55" i="4" s="1"/>
  <c r="AO55" i="4"/>
  <c r="AN55" i="4"/>
  <c r="AL55" i="4"/>
  <c r="AK55" i="4"/>
  <c r="AI55" i="4"/>
  <c r="AH55" i="4"/>
  <c r="AF55" i="4"/>
  <c r="AE55" i="4"/>
  <c r="AC55" i="4"/>
  <c r="AB55" i="4"/>
  <c r="Z55" i="4"/>
  <c r="Y55" i="4"/>
  <c r="W55" i="4"/>
  <c r="V55" i="4"/>
  <c r="T55" i="4"/>
  <c r="S55" i="4"/>
  <c r="Q55" i="4"/>
  <c r="P55" i="4"/>
  <c r="N55" i="4"/>
  <c r="M55" i="4"/>
  <c r="I55" i="4"/>
  <c r="J55" i="4" s="1"/>
  <c r="H55" i="4"/>
  <c r="AP54" i="4"/>
  <c r="AO54" i="4"/>
  <c r="AN54" i="4"/>
  <c r="AL54" i="4"/>
  <c r="AK54" i="4"/>
  <c r="AI54" i="4"/>
  <c r="AH54" i="4"/>
  <c r="AF54" i="4"/>
  <c r="AE54" i="4"/>
  <c r="AC54" i="4"/>
  <c r="AB54" i="4"/>
  <c r="Z54" i="4"/>
  <c r="Y54" i="4"/>
  <c r="W54" i="4"/>
  <c r="V54" i="4"/>
  <c r="T54" i="4"/>
  <c r="S54" i="4"/>
  <c r="Q54" i="4"/>
  <c r="P54" i="4"/>
  <c r="N54" i="4"/>
  <c r="M54" i="4"/>
  <c r="I54" i="4"/>
  <c r="K54" i="4" s="1"/>
  <c r="H54" i="4"/>
  <c r="AP53" i="4"/>
  <c r="AR53" i="4" s="1"/>
  <c r="AO53" i="4"/>
  <c r="AN53" i="4"/>
  <c r="AL53" i="4"/>
  <c r="AK53" i="4"/>
  <c r="AI53" i="4"/>
  <c r="AH53" i="4"/>
  <c r="AF53" i="4"/>
  <c r="AE53" i="4"/>
  <c r="AC53" i="4"/>
  <c r="AB53" i="4"/>
  <c r="Z53" i="4"/>
  <c r="Y53" i="4"/>
  <c r="W53" i="4"/>
  <c r="V53" i="4"/>
  <c r="T53" i="4"/>
  <c r="S53" i="4"/>
  <c r="Q53" i="4"/>
  <c r="P53" i="4"/>
  <c r="N53" i="4"/>
  <c r="M53" i="4"/>
  <c r="I53" i="4"/>
  <c r="J53" i="4" s="1"/>
  <c r="H53" i="4"/>
  <c r="AP52" i="4"/>
  <c r="AP51" i="4"/>
  <c r="AP50" i="4"/>
  <c r="AR50" i="4" s="1"/>
  <c r="AO50" i="4"/>
  <c r="AN50" i="4"/>
  <c r="AL50" i="4"/>
  <c r="AK50" i="4"/>
  <c r="AI50" i="4"/>
  <c r="AH50" i="4"/>
  <c r="AF50" i="4"/>
  <c r="AE50" i="4"/>
  <c r="AC50" i="4"/>
  <c r="AB50" i="4"/>
  <c r="Z50" i="4"/>
  <c r="Y50" i="4"/>
  <c r="W50" i="4"/>
  <c r="V50" i="4"/>
  <c r="T50" i="4"/>
  <c r="S50" i="4"/>
  <c r="Q50" i="4"/>
  <c r="P50" i="4"/>
  <c r="N50" i="4"/>
  <c r="M50" i="4"/>
  <c r="I50" i="4"/>
  <c r="J50" i="4" s="1"/>
  <c r="H50" i="4"/>
  <c r="AP49" i="4"/>
  <c r="AR49" i="4" s="1"/>
  <c r="AO49" i="4"/>
  <c r="AN49" i="4"/>
  <c r="AL49" i="4"/>
  <c r="AK49" i="4"/>
  <c r="AI49" i="4"/>
  <c r="AH49" i="4"/>
  <c r="AF49" i="4"/>
  <c r="AE49" i="4"/>
  <c r="AC49" i="4"/>
  <c r="AB49" i="4"/>
  <c r="Z49" i="4"/>
  <c r="Y49" i="4"/>
  <c r="W49" i="4"/>
  <c r="V49" i="4"/>
  <c r="T49" i="4"/>
  <c r="S49" i="4"/>
  <c r="Q49" i="4"/>
  <c r="P49" i="4"/>
  <c r="N49" i="4"/>
  <c r="M49" i="4"/>
  <c r="I49" i="4"/>
  <c r="J49" i="4" s="1"/>
  <c r="H49" i="4"/>
  <c r="AP48" i="4"/>
  <c r="AP47" i="4"/>
  <c r="AR47" i="4" s="1"/>
  <c r="AO47" i="4"/>
  <c r="AN47" i="4"/>
  <c r="AL47" i="4"/>
  <c r="AK47" i="4"/>
  <c r="AI47" i="4"/>
  <c r="AH47" i="4"/>
  <c r="AF47" i="4"/>
  <c r="AE47" i="4"/>
  <c r="AC47" i="4"/>
  <c r="AB47" i="4"/>
  <c r="Z47" i="4"/>
  <c r="Y47" i="4"/>
  <c r="W47" i="4"/>
  <c r="V47" i="4"/>
  <c r="T47" i="4"/>
  <c r="S47" i="4"/>
  <c r="Q47" i="4"/>
  <c r="P47" i="4"/>
  <c r="N47" i="4"/>
  <c r="M47" i="4"/>
  <c r="I47" i="4"/>
  <c r="K47" i="4" s="1"/>
  <c r="H47" i="4"/>
  <c r="AP46" i="4"/>
  <c r="AR46" i="4" s="1"/>
  <c r="AO46" i="4"/>
  <c r="AN46" i="4"/>
  <c r="AL46" i="4"/>
  <c r="AK46" i="4"/>
  <c r="AI46" i="4"/>
  <c r="AH46" i="4"/>
  <c r="AF46" i="4"/>
  <c r="AE46" i="4"/>
  <c r="AC46" i="4"/>
  <c r="AB46" i="4"/>
  <c r="Z46" i="4"/>
  <c r="Y46" i="4"/>
  <c r="W46" i="4"/>
  <c r="V46" i="4"/>
  <c r="T46" i="4"/>
  <c r="S46" i="4"/>
  <c r="Q46" i="4"/>
  <c r="P46" i="4"/>
  <c r="N46" i="4"/>
  <c r="M46" i="4"/>
  <c r="I46" i="4"/>
  <c r="K46" i="4" s="1"/>
  <c r="H46" i="4"/>
  <c r="AP45" i="4"/>
  <c r="AP44" i="4"/>
  <c r="AR44" i="4" s="1"/>
  <c r="AO44" i="4"/>
  <c r="AN44" i="4"/>
  <c r="AN43" i="4" s="1"/>
  <c r="AL44" i="4"/>
  <c r="AK44" i="4"/>
  <c r="AK43" i="4" s="1"/>
  <c r="AI44" i="4"/>
  <c r="AH44" i="4"/>
  <c r="AH43" i="4" s="1"/>
  <c r="AF44" i="4"/>
  <c r="AE44" i="4"/>
  <c r="AE43" i="4" s="1"/>
  <c r="AC44" i="4"/>
  <c r="AB44" i="4"/>
  <c r="AB43" i="4" s="1"/>
  <c r="Z44" i="4"/>
  <c r="Y44" i="4"/>
  <c r="Y43" i="4" s="1"/>
  <c r="W44" i="4"/>
  <c r="V44" i="4"/>
  <c r="V43" i="4" s="1"/>
  <c r="T44" i="4"/>
  <c r="S44" i="4"/>
  <c r="S43" i="4" s="1"/>
  <c r="Q44" i="4"/>
  <c r="P44" i="4"/>
  <c r="P43" i="4" s="1"/>
  <c r="N44" i="4"/>
  <c r="M44" i="4"/>
  <c r="M43" i="4" s="1"/>
  <c r="I44" i="4"/>
  <c r="K44" i="4" s="1"/>
  <c r="H44" i="4"/>
  <c r="H43" i="4" s="1"/>
  <c r="AP43" i="4"/>
  <c r="AP42" i="4"/>
  <c r="AR42" i="4" s="1"/>
  <c r="AO42" i="4"/>
  <c r="AN42" i="4"/>
  <c r="AL42" i="4"/>
  <c r="AK42" i="4"/>
  <c r="AI42" i="4"/>
  <c r="AH42" i="4"/>
  <c r="AF42" i="4"/>
  <c r="AE42" i="4"/>
  <c r="AC42" i="4"/>
  <c r="AB42" i="4"/>
  <c r="Z42" i="4"/>
  <c r="Y42" i="4"/>
  <c r="W42" i="4"/>
  <c r="V42" i="4"/>
  <c r="T42" i="4"/>
  <c r="S42" i="4"/>
  <c r="Q42" i="4"/>
  <c r="P42" i="4"/>
  <c r="N42" i="4"/>
  <c r="M42" i="4"/>
  <c r="I42" i="4"/>
  <c r="K42" i="4" s="1"/>
  <c r="H42" i="4"/>
  <c r="AP41" i="4"/>
  <c r="AS41" i="4" s="1"/>
  <c r="AO41" i="4"/>
  <c r="AN41" i="4"/>
  <c r="AL41" i="4"/>
  <c r="AK41" i="4"/>
  <c r="AI41" i="4"/>
  <c r="AH41" i="4"/>
  <c r="AF41" i="4"/>
  <c r="AE41" i="4"/>
  <c r="AC41" i="4"/>
  <c r="AB41" i="4"/>
  <c r="Z41" i="4"/>
  <c r="Y41" i="4"/>
  <c r="W41" i="4"/>
  <c r="V41" i="4"/>
  <c r="T41" i="4"/>
  <c r="S41" i="4"/>
  <c r="Q41" i="4"/>
  <c r="P41" i="4"/>
  <c r="N41" i="4"/>
  <c r="M41" i="4"/>
  <c r="I41" i="4"/>
  <c r="K41" i="4" s="1"/>
  <c r="H41" i="4"/>
  <c r="AP40" i="4"/>
  <c r="AR40" i="4" s="1"/>
  <c r="AO40" i="4"/>
  <c r="AN40" i="4"/>
  <c r="AL40" i="4"/>
  <c r="AK40" i="4"/>
  <c r="AI40" i="4"/>
  <c r="AH40" i="4"/>
  <c r="AF40" i="4"/>
  <c r="AE40" i="4"/>
  <c r="AC40" i="4"/>
  <c r="AB40" i="4"/>
  <c r="Z40" i="4"/>
  <c r="Y40" i="4"/>
  <c r="W40" i="4"/>
  <c r="V40" i="4"/>
  <c r="T40" i="4"/>
  <c r="S40" i="4"/>
  <c r="Q40" i="4"/>
  <c r="P40" i="4"/>
  <c r="N40" i="4"/>
  <c r="M40" i="4"/>
  <c r="I40" i="4"/>
  <c r="K40" i="4" s="1"/>
  <c r="H40" i="4"/>
  <c r="AP39" i="4"/>
  <c r="AS39" i="4" s="1"/>
  <c r="AO39" i="4"/>
  <c r="AN39" i="4"/>
  <c r="AL39" i="4"/>
  <c r="AK39" i="4"/>
  <c r="AI39" i="4"/>
  <c r="AH39" i="4"/>
  <c r="AF39" i="4"/>
  <c r="AE39" i="4"/>
  <c r="AC39" i="4"/>
  <c r="AB39" i="4"/>
  <c r="Z39" i="4"/>
  <c r="Y39" i="4"/>
  <c r="W39" i="4"/>
  <c r="V39" i="4"/>
  <c r="T39" i="4"/>
  <c r="S39" i="4"/>
  <c r="Q39" i="4"/>
  <c r="P39" i="4"/>
  <c r="N39" i="4"/>
  <c r="M39" i="4"/>
  <c r="I39" i="4"/>
  <c r="K39" i="4" s="1"/>
  <c r="H39" i="4"/>
  <c r="AP38" i="4"/>
  <c r="AR38" i="4" s="1"/>
  <c r="AO38" i="4"/>
  <c r="AN38" i="4"/>
  <c r="AL38" i="4"/>
  <c r="AK38" i="4"/>
  <c r="AI38" i="4"/>
  <c r="AH38" i="4"/>
  <c r="AF38" i="4"/>
  <c r="AE38" i="4"/>
  <c r="AC38" i="4"/>
  <c r="AB38" i="4"/>
  <c r="Z38" i="4"/>
  <c r="Y38" i="4"/>
  <c r="W38" i="4"/>
  <c r="V38" i="4"/>
  <c r="T38" i="4"/>
  <c r="S38" i="4"/>
  <c r="Q38" i="4"/>
  <c r="P38" i="4"/>
  <c r="N38" i="4"/>
  <c r="M38" i="4"/>
  <c r="I38" i="4"/>
  <c r="K38" i="4" s="1"/>
  <c r="H38" i="4"/>
  <c r="AP37" i="4"/>
  <c r="AS37" i="4" s="1"/>
  <c r="AO37" i="4"/>
  <c r="AN37" i="4"/>
  <c r="AL37" i="4"/>
  <c r="AK37" i="4"/>
  <c r="AI37" i="4"/>
  <c r="AH37" i="4"/>
  <c r="AF37" i="4"/>
  <c r="AE37" i="4"/>
  <c r="AC37" i="4"/>
  <c r="AB37" i="4"/>
  <c r="Z37" i="4"/>
  <c r="Y37" i="4"/>
  <c r="W37" i="4"/>
  <c r="V37" i="4"/>
  <c r="T37" i="4"/>
  <c r="S37" i="4"/>
  <c r="Q37" i="4"/>
  <c r="P37" i="4"/>
  <c r="N37" i="4"/>
  <c r="M37" i="4"/>
  <c r="I37" i="4"/>
  <c r="K37" i="4" s="1"/>
  <c r="H37" i="4"/>
  <c r="AP36" i="4"/>
  <c r="AR36" i="4" s="1"/>
  <c r="AO36" i="4"/>
  <c r="AN36" i="4"/>
  <c r="AL36" i="4"/>
  <c r="AK36" i="4"/>
  <c r="AI36" i="4"/>
  <c r="AH36" i="4"/>
  <c r="AF36" i="4"/>
  <c r="AE36" i="4"/>
  <c r="AC36" i="4"/>
  <c r="AB36" i="4"/>
  <c r="Z36" i="4"/>
  <c r="Y36" i="4"/>
  <c r="W36" i="4"/>
  <c r="V36" i="4"/>
  <c r="T36" i="4"/>
  <c r="S36" i="4"/>
  <c r="Q36" i="4"/>
  <c r="P36" i="4"/>
  <c r="N36" i="4"/>
  <c r="M36" i="4"/>
  <c r="I36" i="4"/>
  <c r="K36" i="4" s="1"/>
  <c r="H36" i="4"/>
  <c r="AP35" i="4"/>
  <c r="AS35" i="4" s="1"/>
  <c r="AO35" i="4"/>
  <c r="AN35" i="4"/>
  <c r="AL35" i="4"/>
  <c r="AK35" i="4"/>
  <c r="AI35" i="4"/>
  <c r="AH35" i="4"/>
  <c r="AF35" i="4"/>
  <c r="AE35" i="4"/>
  <c r="AC35" i="4"/>
  <c r="AB35" i="4"/>
  <c r="Z35" i="4"/>
  <c r="Y35" i="4"/>
  <c r="W35" i="4"/>
  <c r="V35" i="4"/>
  <c r="T35" i="4"/>
  <c r="S35" i="4"/>
  <c r="Q35" i="4"/>
  <c r="P35" i="4"/>
  <c r="N35" i="4"/>
  <c r="M35" i="4"/>
  <c r="I35" i="4"/>
  <c r="K35" i="4" s="1"/>
  <c r="H35" i="4"/>
  <c r="AP34" i="4"/>
  <c r="AR34" i="4" s="1"/>
  <c r="AO34" i="4"/>
  <c r="AN34" i="4"/>
  <c r="AL34" i="4"/>
  <c r="AK34" i="4"/>
  <c r="AI34" i="4"/>
  <c r="AH34" i="4"/>
  <c r="AF34" i="4"/>
  <c r="AE34" i="4"/>
  <c r="AC34" i="4"/>
  <c r="AB34" i="4"/>
  <c r="Z34" i="4"/>
  <c r="Y34" i="4"/>
  <c r="W34" i="4"/>
  <c r="V34" i="4"/>
  <c r="T34" i="4"/>
  <c r="S34" i="4"/>
  <c r="Q34" i="4"/>
  <c r="P34" i="4"/>
  <c r="N34" i="4"/>
  <c r="M34" i="4"/>
  <c r="I34" i="4"/>
  <c r="J34" i="4" s="1"/>
  <c r="H34" i="4"/>
  <c r="AP33" i="4"/>
  <c r="AS33" i="4" s="1"/>
  <c r="AO33" i="4"/>
  <c r="AN33" i="4"/>
  <c r="AL33" i="4"/>
  <c r="AK33" i="4"/>
  <c r="AI33" i="4"/>
  <c r="AH33" i="4"/>
  <c r="AF33" i="4"/>
  <c r="AE33" i="4"/>
  <c r="AC33" i="4"/>
  <c r="AB33" i="4"/>
  <c r="Z33" i="4"/>
  <c r="Y33" i="4"/>
  <c r="W33" i="4"/>
  <c r="V33" i="4"/>
  <c r="T33" i="4"/>
  <c r="S33" i="4"/>
  <c r="Q33" i="4"/>
  <c r="P33" i="4"/>
  <c r="N33" i="4"/>
  <c r="M33" i="4"/>
  <c r="I33" i="4"/>
  <c r="K33" i="4" s="1"/>
  <c r="H33" i="4"/>
  <c r="AP32" i="4"/>
  <c r="AR32" i="4" s="1"/>
  <c r="AO32" i="4"/>
  <c r="AN32" i="4"/>
  <c r="AL32" i="4"/>
  <c r="AK32" i="4"/>
  <c r="AI32" i="4"/>
  <c r="AH32" i="4"/>
  <c r="AF32" i="4"/>
  <c r="AE32" i="4"/>
  <c r="AC32" i="4"/>
  <c r="AB32" i="4"/>
  <c r="Z32" i="4"/>
  <c r="Y32" i="4"/>
  <c r="W32" i="4"/>
  <c r="V32" i="4"/>
  <c r="T32" i="4"/>
  <c r="S32" i="4"/>
  <c r="Q32" i="4"/>
  <c r="P32" i="4"/>
  <c r="N32" i="4"/>
  <c r="M32" i="4"/>
  <c r="I32" i="4"/>
  <c r="K32" i="4" s="1"/>
  <c r="H32" i="4"/>
  <c r="AP31" i="4"/>
  <c r="AS31" i="4" s="1"/>
  <c r="AO31" i="4"/>
  <c r="AN31" i="4"/>
  <c r="AL31" i="4"/>
  <c r="AK31" i="4"/>
  <c r="AI31" i="4"/>
  <c r="AH31" i="4"/>
  <c r="AF31" i="4"/>
  <c r="AE31" i="4"/>
  <c r="AC31" i="4"/>
  <c r="AB31" i="4"/>
  <c r="Z31" i="4"/>
  <c r="Y31" i="4"/>
  <c r="W31" i="4"/>
  <c r="V31" i="4"/>
  <c r="T31" i="4"/>
  <c r="S31" i="4"/>
  <c r="Q31" i="4"/>
  <c r="P31" i="4"/>
  <c r="N31" i="4"/>
  <c r="M31" i="4"/>
  <c r="I31" i="4"/>
  <c r="K31" i="4" s="1"/>
  <c r="H31" i="4"/>
  <c r="AP30" i="4"/>
  <c r="AR30" i="4" s="1"/>
  <c r="AO30" i="4"/>
  <c r="AN30" i="4"/>
  <c r="AL30" i="4"/>
  <c r="AK30" i="4"/>
  <c r="AI30" i="4"/>
  <c r="AH30" i="4"/>
  <c r="AF30" i="4"/>
  <c r="AE30" i="4"/>
  <c r="AC30" i="4"/>
  <c r="AB30" i="4"/>
  <c r="Z30" i="4"/>
  <c r="Y30" i="4"/>
  <c r="W30" i="4"/>
  <c r="V30" i="4"/>
  <c r="T30" i="4"/>
  <c r="S30" i="4"/>
  <c r="Q30" i="4"/>
  <c r="P30" i="4"/>
  <c r="N30" i="4"/>
  <c r="M30" i="4"/>
  <c r="I30" i="4"/>
  <c r="K30" i="4" s="1"/>
  <c r="H30" i="4"/>
  <c r="AP29" i="4"/>
  <c r="AS29" i="4" s="1"/>
  <c r="AO29" i="4"/>
  <c r="AN29" i="4"/>
  <c r="AL29" i="4"/>
  <c r="AK29" i="4"/>
  <c r="AI29" i="4"/>
  <c r="AH29" i="4"/>
  <c r="AF29" i="4"/>
  <c r="AE29" i="4"/>
  <c r="AC29" i="4"/>
  <c r="AB29" i="4"/>
  <c r="Z29" i="4"/>
  <c r="Y29" i="4"/>
  <c r="W29" i="4"/>
  <c r="V29" i="4"/>
  <c r="T29" i="4"/>
  <c r="S29" i="4"/>
  <c r="Q29" i="4"/>
  <c r="P29" i="4"/>
  <c r="N29" i="4"/>
  <c r="M29" i="4"/>
  <c r="I29" i="4"/>
  <c r="K29" i="4" s="1"/>
  <c r="H29" i="4"/>
  <c r="AP28" i="4"/>
  <c r="AR28" i="4" s="1"/>
  <c r="AO28" i="4"/>
  <c r="AN28" i="4"/>
  <c r="AL28" i="4"/>
  <c r="AK28" i="4"/>
  <c r="AI28" i="4"/>
  <c r="AH28" i="4"/>
  <c r="AF28" i="4"/>
  <c r="AE28" i="4"/>
  <c r="AC28" i="4"/>
  <c r="AB28" i="4"/>
  <c r="Z28" i="4"/>
  <c r="Y28" i="4"/>
  <c r="W28" i="4"/>
  <c r="V28" i="4"/>
  <c r="T28" i="4"/>
  <c r="S28" i="4"/>
  <c r="Q28" i="4"/>
  <c r="P28" i="4"/>
  <c r="N28" i="4"/>
  <c r="M28" i="4"/>
  <c r="I28" i="4"/>
  <c r="K28" i="4" s="1"/>
  <c r="H28" i="4"/>
  <c r="AP27" i="4"/>
  <c r="AS27" i="4" s="1"/>
  <c r="AO27" i="4"/>
  <c r="AN27" i="4"/>
  <c r="AL27" i="4"/>
  <c r="AK27" i="4"/>
  <c r="AI27" i="4"/>
  <c r="AH27" i="4"/>
  <c r="AF27" i="4"/>
  <c r="AE27" i="4"/>
  <c r="AC27" i="4"/>
  <c r="AB27" i="4"/>
  <c r="Z27" i="4"/>
  <c r="Y27" i="4"/>
  <c r="W27" i="4"/>
  <c r="V27" i="4"/>
  <c r="T27" i="4"/>
  <c r="S27" i="4"/>
  <c r="Q27" i="4"/>
  <c r="P27" i="4"/>
  <c r="N27" i="4"/>
  <c r="M27" i="4"/>
  <c r="I27" i="4"/>
  <c r="K27" i="4" s="1"/>
  <c r="H27" i="4"/>
  <c r="AP26" i="4"/>
  <c r="AR26" i="4" s="1"/>
  <c r="AO26" i="4"/>
  <c r="AN26" i="4"/>
  <c r="AL26" i="4"/>
  <c r="AK26" i="4"/>
  <c r="AI26" i="4"/>
  <c r="AH26" i="4"/>
  <c r="AF26" i="4"/>
  <c r="AE26" i="4"/>
  <c r="AC26" i="4"/>
  <c r="AB26" i="4"/>
  <c r="Z26" i="4"/>
  <c r="Y26" i="4"/>
  <c r="W26" i="4"/>
  <c r="V26" i="4"/>
  <c r="T26" i="4"/>
  <c r="S26" i="4"/>
  <c r="Q26" i="4"/>
  <c r="P26" i="4"/>
  <c r="N26" i="4"/>
  <c r="M26" i="4"/>
  <c r="I26" i="4"/>
  <c r="J26" i="4" s="1"/>
  <c r="H26" i="4"/>
  <c r="AP25" i="4"/>
  <c r="AS25" i="4" s="1"/>
  <c r="AO25" i="4"/>
  <c r="AN25" i="4"/>
  <c r="AL25" i="4"/>
  <c r="AK25" i="4"/>
  <c r="AI25" i="4"/>
  <c r="AH25" i="4"/>
  <c r="AF25" i="4"/>
  <c r="AE25" i="4"/>
  <c r="AC25" i="4"/>
  <c r="AB25" i="4"/>
  <c r="Z25" i="4"/>
  <c r="Y25" i="4"/>
  <c r="W25" i="4"/>
  <c r="V25" i="4"/>
  <c r="T25" i="4"/>
  <c r="S25" i="4"/>
  <c r="Q25" i="4"/>
  <c r="P25" i="4"/>
  <c r="N25" i="4"/>
  <c r="M25" i="4"/>
  <c r="I25" i="4"/>
  <c r="K25" i="4" s="1"/>
  <c r="H25" i="4"/>
  <c r="AP24" i="4"/>
  <c r="AR24" i="4" s="1"/>
  <c r="AO24" i="4"/>
  <c r="AN24" i="4"/>
  <c r="AL24" i="4"/>
  <c r="AK24" i="4"/>
  <c r="AI24" i="4"/>
  <c r="AH24" i="4"/>
  <c r="AF24" i="4"/>
  <c r="AE24" i="4"/>
  <c r="AC24" i="4"/>
  <c r="AB24" i="4"/>
  <c r="Z24" i="4"/>
  <c r="Y24" i="4"/>
  <c r="W24" i="4"/>
  <c r="V24" i="4"/>
  <c r="T24" i="4"/>
  <c r="S24" i="4"/>
  <c r="Q24" i="4"/>
  <c r="P24" i="4"/>
  <c r="N24" i="4"/>
  <c r="M24" i="4"/>
  <c r="I24" i="4"/>
  <c r="K24" i="4" s="1"/>
  <c r="H24" i="4"/>
  <c r="AP23" i="4"/>
  <c r="AS23" i="4" s="1"/>
  <c r="AO23" i="4"/>
  <c r="AN23" i="4"/>
  <c r="AL23" i="4"/>
  <c r="AK23" i="4"/>
  <c r="AI23" i="4"/>
  <c r="AH23" i="4"/>
  <c r="AF23" i="4"/>
  <c r="AE23" i="4"/>
  <c r="AC23" i="4"/>
  <c r="AB23" i="4"/>
  <c r="Z23" i="4"/>
  <c r="Y23" i="4"/>
  <c r="W23" i="4"/>
  <c r="V23" i="4"/>
  <c r="T23" i="4"/>
  <c r="S23" i="4"/>
  <c r="Q23" i="4"/>
  <c r="P23" i="4"/>
  <c r="N23" i="4"/>
  <c r="M23" i="4"/>
  <c r="I23" i="4"/>
  <c r="K23" i="4" s="1"/>
  <c r="H23" i="4"/>
  <c r="AP22" i="4"/>
  <c r="AR22" i="4" s="1"/>
  <c r="AO22" i="4"/>
  <c r="AN22" i="4"/>
  <c r="AL22" i="4"/>
  <c r="AK22" i="4"/>
  <c r="AI22" i="4"/>
  <c r="AH22" i="4"/>
  <c r="AF22" i="4"/>
  <c r="AE22" i="4"/>
  <c r="AC22" i="4"/>
  <c r="AB22" i="4"/>
  <c r="Z22" i="4"/>
  <c r="Y22" i="4"/>
  <c r="W22" i="4"/>
  <c r="V22" i="4"/>
  <c r="T22" i="4"/>
  <c r="S22" i="4"/>
  <c r="Q22" i="4"/>
  <c r="P22" i="4"/>
  <c r="N22" i="4"/>
  <c r="M22" i="4"/>
  <c r="I22" i="4"/>
  <c r="J22" i="4" s="1"/>
  <c r="H22" i="4"/>
  <c r="AP21" i="4"/>
  <c r="AS21" i="4" s="1"/>
  <c r="AO21" i="4"/>
  <c r="AN21" i="4"/>
  <c r="AL21" i="4"/>
  <c r="AK21" i="4"/>
  <c r="AI21" i="4"/>
  <c r="AH21" i="4"/>
  <c r="AF21" i="4"/>
  <c r="AE21" i="4"/>
  <c r="AC21" i="4"/>
  <c r="AB21" i="4"/>
  <c r="Z21" i="4"/>
  <c r="Y21" i="4"/>
  <c r="W21" i="4"/>
  <c r="V21" i="4"/>
  <c r="T21" i="4"/>
  <c r="S21" i="4"/>
  <c r="Q21" i="4"/>
  <c r="P21" i="4"/>
  <c r="N21" i="4"/>
  <c r="M21" i="4"/>
  <c r="I21" i="4"/>
  <c r="K21" i="4" s="1"/>
  <c r="H21" i="4"/>
  <c r="AP20" i="4"/>
  <c r="AR20" i="4" s="1"/>
  <c r="AO20" i="4"/>
  <c r="AN20" i="4"/>
  <c r="AL20" i="4"/>
  <c r="AK20" i="4"/>
  <c r="AI20" i="4"/>
  <c r="AH20" i="4"/>
  <c r="AF20" i="4"/>
  <c r="AE20" i="4"/>
  <c r="AC20" i="4"/>
  <c r="AB20" i="4"/>
  <c r="Z20" i="4"/>
  <c r="Y20" i="4"/>
  <c r="W20" i="4"/>
  <c r="V20" i="4"/>
  <c r="T20" i="4"/>
  <c r="S20" i="4"/>
  <c r="Q20" i="4"/>
  <c r="P20" i="4"/>
  <c r="N20" i="4"/>
  <c r="M20" i="4"/>
  <c r="I20" i="4"/>
  <c r="K20" i="4" s="1"/>
  <c r="H20" i="4"/>
  <c r="AP19" i="4"/>
  <c r="AS19" i="4" s="1"/>
  <c r="AO19" i="4"/>
  <c r="AN19" i="4"/>
  <c r="AL19" i="4"/>
  <c r="AK19" i="4"/>
  <c r="AI19" i="4"/>
  <c r="AH19" i="4"/>
  <c r="AF19" i="4"/>
  <c r="AE19" i="4"/>
  <c r="AC19" i="4"/>
  <c r="AB19" i="4"/>
  <c r="Z19" i="4"/>
  <c r="Y19" i="4"/>
  <c r="W19" i="4"/>
  <c r="V19" i="4"/>
  <c r="T19" i="4"/>
  <c r="S19" i="4"/>
  <c r="Q19" i="4"/>
  <c r="P19" i="4"/>
  <c r="N19" i="4"/>
  <c r="M19" i="4"/>
  <c r="I19" i="4"/>
  <c r="K19" i="4" s="1"/>
  <c r="H19" i="4"/>
  <c r="AP18" i="4"/>
  <c r="AR18" i="4" s="1"/>
  <c r="AO18" i="4"/>
  <c r="AN18" i="4"/>
  <c r="AL18" i="4"/>
  <c r="AK18" i="4"/>
  <c r="AI18" i="4"/>
  <c r="AH18" i="4"/>
  <c r="AF18" i="4"/>
  <c r="AE18" i="4"/>
  <c r="AC18" i="4"/>
  <c r="AB18" i="4"/>
  <c r="Z18" i="4"/>
  <c r="Y18" i="4"/>
  <c r="W18" i="4"/>
  <c r="V18" i="4"/>
  <c r="T18" i="4"/>
  <c r="S18" i="4"/>
  <c r="Q18" i="4"/>
  <c r="P18" i="4"/>
  <c r="N18" i="4"/>
  <c r="M18" i="4"/>
  <c r="I18" i="4"/>
  <c r="K18" i="4" s="1"/>
  <c r="H18" i="4"/>
  <c r="AP17" i="4"/>
  <c r="AS17" i="4" s="1"/>
  <c r="AO17" i="4"/>
  <c r="AN17" i="4"/>
  <c r="AL17" i="4"/>
  <c r="AK17" i="4"/>
  <c r="AI17" i="4"/>
  <c r="AH17" i="4"/>
  <c r="AF17" i="4"/>
  <c r="AE17" i="4"/>
  <c r="AC17" i="4"/>
  <c r="AB17" i="4"/>
  <c r="Z17" i="4"/>
  <c r="Y17" i="4"/>
  <c r="W17" i="4"/>
  <c r="V17" i="4"/>
  <c r="T17" i="4"/>
  <c r="S17" i="4"/>
  <c r="Q17" i="4"/>
  <c r="P17" i="4"/>
  <c r="N17" i="4"/>
  <c r="M17" i="4"/>
  <c r="I17" i="4"/>
  <c r="K17" i="4" s="1"/>
  <c r="H17" i="4"/>
  <c r="AP16" i="4"/>
  <c r="AR16" i="4" s="1"/>
  <c r="AO16" i="4"/>
  <c r="AN16" i="4"/>
  <c r="AL16" i="4"/>
  <c r="AK16" i="4"/>
  <c r="AI16" i="4"/>
  <c r="AH16" i="4"/>
  <c r="AF16" i="4"/>
  <c r="AE16" i="4"/>
  <c r="AC16" i="4"/>
  <c r="AB16" i="4"/>
  <c r="Z16" i="4"/>
  <c r="Y16" i="4"/>
  <c r="W16" i="4"/>
  <c r="V16" i="4"/>
  <c r="T16" i="4"/>
  <c r="S16" i="4"/>
  <c r="Q16" i="4"/>
  <c r="P16" i="4"/>
  <c r="N16" i="4"/>
  <c r="M16" i="4"/>
  <c r="I16" i="4"/>
  <c r="K16" i="4" s="1"/>
  <c r="H16" i="4"/>
  <c r="AP15" i="4"/>
  <c r="AS15" i="4" s="1"/>
  <c r="AO15" i="4"/>
  <c r="AN15" i="4"/>
  <c r="AL15" i="4"/>
  <c r="AK15" i="4"/>
  <c r="AI15" i="4"/>
  <c r="AH15" i="4"/>
  <c r="AF15" i="4"/>
  <c r="AE15" i="4"/>
  <c r="AC15" i="4"/>
  <c r="AB15" i="4"/>
  <c r="Z15" i="4"/>
  <c r="Y15" i="4"/>
  <c r="W15" i="4"/>
  <c r="V15" i="4"/>
  <c r="T15" i="4"/>
  <c r="S15" i="4"/>
  <c r="Q15" i="4"/>
  <c r="P15" i="4"/>
  <c r="N15" i="4"/>
  <c r="M15" i="4"/>
  <c r="I15" i="4"/>
  <c r="K15" i="4" s="1"/>
  <c r="H15" i="4"/>
  <c r="AP14" i="4"/>
  <c r="AQ14" i="4" s="1"/>
  <c r="AO14" i="4"/>
  <c r="AN14" i="4"/>
  <c r="AL14" i="4"/>
  <c r="AK14" i="4"/>
  <c r="AI14" i="4"/>
  <c r="AH14" i="4"/>
  <c r="AF14" i="4"/>
  <c r="AE14" i="4"/>
  <c r="AC14" i="4"/>
  <c r="AB14" i="4"/>
  <c r="Z14" i="4"/>
  <c r="Y14" i="4"/>
  <c r="W14" i="4"/>
  <c r="V14" i="4"/>
  <c r="T14" i="4"/>
  <c r="S14" i="4"/>
  <c r="Q14" i="4"/>
  <c r="P14" i="4"/>
  <c r="N14" i="4"/>
  <c r="M14" i="4"/>
  <c r="I14" i="4"/>
  <c r="J14" i="4" s="1"/>
  <c r="H14" i="4"/>
  <c r="AP13" i="4"/>
  <c r="AS13" i="4" s="1"/>
  <c r="AO13" i="4"/>
  <c r="AN13" i="4"/>
  <c r="AL13" i="4"/>
  <c r="AK13" i="4"/>
  <c r="AI13" i="4"/>
  <c r="AH13" i="4"/>
  <c r="AF13" i="4"/>
  <c r="AE13" i="4"/>
  <c r="AC13" i="4"/>
  <c r="AB13" i="4"/>
  <c r="Z13" i="4"/>
  <c r="Y13" i="4"/>
  <c r="W13" i="4"/>
  <c r="V13" i="4"/>
  <c r="T13" i="4"/>
  <c r="S13" i="4"/>
  <c r="Q13" i="4"/>
  <c r="P13" i="4"/>
  <c r="N13" i="4"/>
  <c r="M13" i="4"/>
  <c r="I13" i="4"/>
  <c r="K13" i="4" s="1"/>
  <c r="H13" i="4"/>
  <c r="AP12" i="4"/>
  <c r="AQ12" i="4" s="1"/>
  <c r="AO12" i="4"/>
  <c r="AN12" i="4"/>
  <c r="AL12" i="4"/>
  <c r="AK12" i="4"/>
  <c r="AI12" i="4"/>
  <c r="AH12" i="4"/>
  <c r="AF12" i="4"/>
  <c r="AE12" i="4"/>
  <c r="AC12" i="4"/>
  <c r="AB12" i="4"/>
  <c r="Z12" i="4"/>
  <c r="Y12" i="4"/>
  <c r="W12" i="4"/>
  <c r="V12" i="4"/>
  <c r="T12" i="4"/>
  <c r="S12" i="4"/>
  <c r="Q12" i="4"/>
  <c r="P12" i="4"/>
  <c r="N12" i="4"/>
  <c r="M12" i="4"/>
  <c r="I12" i="4"/>
  <c r="K12" i="4" s="1"/>
  <c r="H12" i="4"/>
  <c r="AP11" i="4"/>
  <c r="AS11" i="4" s="1"/>
  <c r="AO11" i="4"/>
  <c r="AN11" i="4"/>
  <c r="AL11" i="4"/>
  <c r="AK11" i="4"/>
  <c r="AI11" i="4"/>
  <c r="AH11" i="4"/>
  <c r="AF11" i="4"/>
  <c r="AE11" i="4"/>
  <c r="AC11" i="4"/>
  <c r="AB11" i="4"/>
  <c r="Z11" i="4"/>
  <c r="Y11" i="4"/>
  <c r="W11" i="4"/>
  <c r="V11" i="4"/>
  <c r="T11" i="4"/>
  <c r="S11" i="4"/>
  <c r="Q11" i="4"/>
  <c r="P11" i="4"/>
  <c r="N11" i="4"/>
  <c r="M11" i="4"/>
  <c r="I11" i="4"/>
  <c r="K11" i="4" s="1"/>
  <c r="H11" i="4"/>
  <c r="AP10" i="4"/>
  <c r="AS10" i="4" s="1"/>
  <c r="AP9" i="4"/>
  <c r="AS9" i="4" s="1"/>
  <c r="AB103" i="4" l="1"/>
  <c r="V106" i="4"/>
  <c r="AE625" i="4"/>
  <c r="AH625" i="4"/>
  <c r="M662" i="4"/>
  <c r="M661" i="4" s="1"/>
  <c r="AK662" i="4"/>
  <c r="AK661" i="4" s="1"/>
  <c r="P662" i="4"/>
  <c r="AN662" i="4"/>
  <c r="S662" i="4"/>
  <c r="S661" i="4" s="1"/>
  <c r="AK80" i="4"/>
  <c r="P210" i="4"/>
  <c r="H103" i="4"/>
  <c r="H222" i="4"/>
  <c r="P311" i="4"/>
  <c r="AN311" i="4"/>
  <c r="AE218" i="4"/>
  <c r="AB249" i="4"/>
  <c r="AE653" i="4"/>
  <c r="M204" i="4"/>
  <c r="AS663" i="4"/>
  <c r="V662" i="4"/>
  <c r="S80" i="4"/>
  <c r="AB184" i="4"/>
  <c r="Y80" i="4"/>
  <c r="Y77" i="4" s="1"/>
  <c r="AE210" i="4"/>
  <c r="AE222" i="4"/>
  <c r="V625" i="4"/>
  <c r="Y662" i="4"/>
  <c r="Y661" i="4" s="1"/>
  <c r="AR157" i="4"/>
  <c r="Q199" i="4"/>
  <c r="AS73" i="4"/>
  <c r="AT73" i="4" s="1"/>
  <c r="Y210" i="4"/>
  <c r="AS486" i="4"/>
  <c r="AU486" i="4" s="1"/>
  <c r="AC635" i="4"/>
  <c r="AI78" i="4"/>
  <c r="AN249" i="4"/>
  <c r="AK601" i="4"/>
  <c r="AK131" i="4"/>
  <c r="H311" i="4"/>
  <c r="AH311" i="4"/>
  <c r="K399" i="4"/>
  <c r="H625" i="4"/>
  <c r="AE314" i="4"/>
  <c r="AQ429" i="4"/>
  <c r="M653" i="4"/>
  <c r="AK653" i="4"/>
  <c r="AS470" i="4"/>
  <c r="AT470" i="4" s="1"/>
  <c r="AR429" i="4"/>
  <c r="AB80" i="4"/>
  <c r="K482" i="4"/>
  <c r="S74" i="4"/>
  <c r="M210" i="4"/>
  <c r="AK210" i="4"/>
  <c r="S641" i="4"/>
  <c r="AE80" i="4"/>
  <c r="AE77" i="4" s="1"/>
  <c r="Y625" i="4"/>
  <c r="H228" i="4"/>
  <c r="K467" i="4"/>
  <c r="AH45" i="4"/>
  <c r="J76" i="4"/>
  <c r="Y74" i="4"/>
  <c r="P629" i="4"/>
  <c r="M74" i="4"/>
  <c r="AK74" i="4"/>
  <c r="V103" i="4"/>
  <c r="M110" i="4"/>
  <c r="AK110" i="4"/>
  <c r="AC202" i="4"/>
  <c r="AQ387" i="4"/>
  <c r="K477" i="4"/>
  <c r="AS480" i="4"/>
  <c r="AT480" i="4" s="1"/>
  <c r="K600" i="4"/>
  <c r="M641" i="4"/>
  <c r="AK641" i="4"/>
  <c r="AN647" i="4"/>
  <c r="H662" i="4"/>
  <c r="H661" i="4" s="1"/>
  <c r="AH662" i="4"/>
  <c r="AH661" i="4" s="1"/>
  <c r="K473" i="4"/>
  <c r="M10" i="4"/>
  <c r="AB45" i="4"/>
  <c r="S52" i="4"/>
  <c r="V80" i="4"/>
  <c r="Z125" i="4"/>
  <c r="AE131" i="4"/>
  <c r="AS592" i="4"/>
  <c r="AU592" i="4" s="1"/>
  <c r="H653" i="4"/>
  <c r="M314" i="4"/>
  <c r="AQ439" i="4"/>
  <c r="AR487" i="4"/>
  <c r="M131" i="4"/>
  <c r="H430" i="4"/>
  <c r="K557" i="4"/>
  <c r="K626" i="4"/>
  <c r="K536" i="4"/>
  <c r="K421" i="4"/>
  <c r="AK314" i="4"/>
  <c r="AK625" i="4"/>
  <c r="S653" i="4"/>
  <c r="Y110" i="4"/>
  <c r="J347" i="4"/>
  <c r="J359" i="4"/>
  <c r="Y641" i="4"/>
  <c r="P45" i="4"/>
  <c r="AN45" i="4"/>
  <c r="H80" i="4"/>
  <c r="AH80" i="4"/>
  <c r="J197" i="4"/>
  <c r="AQ292" i="4"/>
  <c r="V311" i="4"/>
  <c r="S314" i="4"/>
  <c r="AR582" i="4"/>
  <c r="K409" i="4"/>
  <c r="AQ531" i="4"/>
  <c r="N157" i="4"/>
  <c r="V179" i="4"/>
  <c r="AQ312" i="4"/>
  <c r="AQ500" i="4"/>
  <c r="P222" i="4"/>
  <c r="AN222" i="4"/>
  <c r="H591" i="4"/>
  <c r="S210" i="4"/>
  <c r="S218" i="4"/>
  <c r="M601" i="4"/>
  <c r="S625" i="4"/>
  <c r="Y653" i="4"/>
  <c r="AN48" i="4"/>
  <c r="AE74" i="4"/>
  <c r="AE110" i="4"/>
  <c r="AQ112" i="4"/>
  <c r="J144" i="4"/>
  <c r="AR497" i="4"/>
  <c r="AE641" i="4"/>
  <c r="AR643" i="4"/>
  <c r="AB662" i="4"/>
  <c r="AB311" i="4"/>
  <c r="AC311" i="4" s="1"/>
  <c r="Y314" i="4"/>
  <c r="AS212" i="4"/>
  <c r="AU212" i="4" s="1"/>
  <c r="K320" i="4"/>
  <c r="AS582" i="4"/>
  <c r="AU582" i="4" s="1"/>
  <c r="H196" i="4"/>
  <c r="AE601" i="4"/>
  <c r="M625" i="4"/>
  <c r="M80" i="4"/>
  <c r="V45" i="4"/>
  <c r="Y131" i="4"/>
  <c r="S196" i="4"/>
  <c r="AB228" i="4"/>
  <c r="S246" i="4"/>
  <c r="J558" i="4"/>
  <c r="J627" i="4"/>
  <c r="J625" i="4" s="1"/>
  <c r="AE662" i="4"/>
  <c r="AE661" i="4" s="1"/>
  <c r="K68" i="4"/>
  <c r="J68" i="4"/>
  <c r="K63" i="4"/>
  <c r="K67" i="4"/>
  <c r="J67" i="4"/>
  <c r="AC101" i="4"/>
  <c r="S103" i="4"/>
  <c r="J62" i="4"/>
  <c r="AS81" i="4"/>
  <c r="AT81" i="4" s="1"/>
  <c r="AQ82" i="4"/>
  <c r="AR54" i="4"/>
  <c r="AQ54" i="4"/>
  <c r="AS54" i="4"/>
  <c r="AT54" i="4" s="1"/>
  <c r="J224" i="4"/>
  <c r="K224" i="4"/>
  <c r="AS269" i="4"/>
  <c r="AT269" i="4" s="1"/>
  <c r="AQ269" i="4"/>
  <c r="V175" i="4"/>
  <c r="W202" i="4"/>
  <c r="V204" i="4"/>
  <c r="AH204" i="4"/>
  <c r="AH201" i="4" s="1"/>
  <c r="V233" i="4"/>
  <c r="AH10" i="4"/>
  <c r="AK10" i="4"/>
  <c r="AN70" i="4"/>
  <c r="S94" i="4"/>
  <c r="AS97" i="4"/>
  <c r="AQ98" i="4"/>
  <c r="Z119" i="4"/>
  <c r="N119" i="4"/>
  <c r="S168" i="4"/>
  <c r="AE168" i="4"/>
  <c r="AQ168" i="4"/>
  <c r="P168" i="4"/>
  <c r="AB168" i="4"/>
  <c r="AN168" i="4"/>
  <c r="M184" i="4"/>
  <c r="M183" i="4" s="1"/>
  <c r="AK184" i="4"/>
  <c r="AK183" i="4" s="1"/>
  <c r="M196" i="4"/>
  <c r="M191" i="4" s="1"/>
  <c r="H218" i="4"/>
  <c r="AQ272" i="4"/>
  <c r="AS279" i="4"/>
  <c r="AR291" i="4"/>
  <c r="AQ377" i="4"/>
  <c r="K455" i="4"/>
  <c r="AQ461" i="4"/>
  <c r="AQ528" i="4"/>
  <c r="J584" i="4"/>
  <c r="M591" i="4"/>
  <c r="S591" i="4"/>
  <c r="Y591" i="4"/>
  <c r="AE591" i="4"/>
  <c r="AK591" i="4"/>
  <c r="AS291" i="4"/>
  <c r="AT291" i="4" s="1"/>
  <c r="Y464" i="4"/>
  <c r="P641" i="4"/>
  <c r="P628" i="4" s="1"/>
  <c r="P204" i="4"/>
  <c r="K397" i="4"/>
  <c r="K574" i="4"/>
  <c r="AQ576" i="4"/>
  <c r="M595" i="4"/>
  <c r="Y595" i="4"/>
  <c r="AU599" i="4"/>
  <c r="AR616" i="4"/>
  <c r="K630" i="4"/>
  <c r="AQ646" i="4"/>
  <c r="AQ645" i="4" s="1"/>
  <c r="AR645" i="4" s="1"/>
  <c r="AN135" i="4"/>
  <c r="H204" i="4"/>
  <c r="AB204" i="4"/>
  <c r="AN204" i="4"/>
  <c r="Y45" i="4"/>
  <c r="P48" i="4"/>
  <c r="AB48" i="4"/>
  <c r="AB106" i="4"/>
  <c r="H110" i="4"/>
  <c r="P110" i="4"/>
  <c r="V110" i="4"/>
  <c r="AB110" i="4"/>
  <c r="AN110" i="4"/>
  <c r="AO110" i="4" s="1"/>
  <c r="AQ179" i="4"/>
  <c r="P184" i="4"/>
  <c r="AN184" i="4"/>
  <c r="S204" i="4"/>
  <c r="AE204" i="4"/>
  <c r="AE201" i="4" s="1"/>
  <c r="AK204" i="4"/>
  <c r="H213" i="4"/>
  <c r="P213" i="4"/>
  <c r="P209" i="4" s="1"/>
  <c r="V213" i="4"/>
  <c r="AB213" i="4"/>
  <c r="AH213" i="4"/>
  <c r="AN213" i="4"/>
  <c r="M228" i="4"/>
  <c r="M246" i="4"/>
  <c r="Y246" i="4"/>
  <c r="AE246" i="4"/>
  <c r="AK246" i="4"/>
  <c r="P249" i="4"/>
  <c r="V249" i="4"/>
  <c r="AH249" i="4"/>
  <c r="K252" i="4"/>
  <c r="AB253" i="4"/>
  <c r="K256" i="4"/>
  <c r="M279" i="4"/>
  <c r="S279" i="4"/>
  <c r="Y279" i="4"/>
  <c r="AE279" i="4"/>
  <c r="AK279" i="4"/>
  <c r="AR281" i="4"/>
  <c r="K288" i="4"/>
  <c r="AS290" i="4"/>
  <c r="AU290" i="4" s="1"/>
  <c r="AS295" i="4"/>
  <c r="AT295" i="4" s="1"/>
  <c r="AQ299" i="4"/>
  <c r="AR307" i="4"/>
  <c r="AR329" i="4"/>
  <c r="AS335" i="4"/>
  <c r="AT335" i="4" s="1"/>
  <c r="K349" i="4"/>
  <c r="K357" i="4"/>
  <c r="AQ369" i="4"/>
  <c r="AR425" i="4"/>
  <c r="J429" i="4"/>
  <c r="AQ445" i="4"/>
  <c r="AR474" i="4"/>
  <c r="AQ475" i="4"/>
  <c r="AS538" i="4"/>
  <c r="AS570" i="4"/>
  <c r="AT570" i="4" s="1"/>
  <c r="V629" i="4"/>
  <c r="AB629" i="4"/>
  <c r="AN629" i="4"/>
  <c r="K122" i="4"/>
  <c r="P127" i="4"/>
  <c r="AB127" i="4"/>
  <c r="AN127" i="4"/>
  <c r="H131" i="4"/>
  <c r="AL131" i="4" s="1"/>
  <c r="V131" i="4"/>
  <c r="AB131" i="4"/>
  <c r="AH131" i="4"/>
  <c r="AN131" i="4"/>
  <c r="P135" i="4"/>
  <c r="AN145" i="4"/>
  <c r="N152" i="4"/>
  <c r="K152" i="4"/>
  <c r="W152" i="4"/>
  <c r="AI152" i="4"/>
  <c r="AU152" i="4"/>
  <c r="P175" i="4"/>
  <c r="AB175" i="4"/>
  <c r="AN175" i="4"/>
  <c r="J179" i="4"/>
  <c r="S184" i="4"/>
  <c r="S183" i="4" s="1"/>
  <c r="AE184" i="4"/>
  <c r="AQ184" i="4"/>
  <c r="AQ183" i="4" s="1"/>
  <c r="K192" i="4"/>
  <c r="W192" i="4"/>
  <c r="AI192" i="4"/>
  <c r="AS199" i="4"/>
  <c r="AB210" i="4"/>
  <c r="AN210" i="4"/>
  <c r="AN209" i="4" s="1"/>
  <c r="J219" i="4"/>
  <c r="J220" i="4"/>
  <c r="AB218" i="4"/>
  <c r="AB217" i="4" s="1"/>
  <c r="AQ232" i="4"/>
  <c r="AR232" i="4"/>
  <c r="AS321" i="4"/>
  <c r="AT321" i="4" s="1"/>
  <c r="AR321" i="4"/>
  <c r="AS343" i="4"/>
  <c r="AR343" i="4"/>
  <c r="AS367" i="4"/>
  <c r="AU367" i="4" s="1"/>
  <c r="AR367" i="4"/>
  <c r="K417" i="4"/>
  <c r="J417" i="4"/>
  <c r="AQ448" i="4"/>
  <c r="AS448" i="4"/>
  <c r="AU448" i="4" s="1"/>
  <c r="H573" i="4"/>
  <c r="P86" i="4"/>
  <c r="V86" i="4"/>
  <c r="AN86" i="4"/>
  <c r="AS111" i="4"/>
  <c r="AT111" i="4" s="1"/>
  <c r="Q43" i="4"/>
  <c r="H48" i="4"/>
  <c r="V48" i="4"/>
  <c r="W48" i="4" s="1"/>
  <c r="AH48" i="4"/>
  <c r="H52" i="4"/>
  <c r="AQ55" i="4"/>
  <c r="AE52" i="4"/>
  <c r="J58" i="4"/>
  <c r="J59" i="4"/>
  <c r="AC83" i="4"/>
  <c r="H106" i="4"/>
  <c r="W106" i="4" s="1"/>
  <c r="P106" i="4"/>
  <c r="AN106" i="4"/>
  <c r="AS112" i="4"/>
  <c r="AR115" i="4"/>
  <c r="AL119" i="4"/>
  <c r="M127" i="4"/>
  <c r="S127" i="4"/>
  <c r="Y127" i="4"/>
  <c r="AE127" i="4"/>
  <c r="AE118" i="4" s="1"/>
  <c r="AK127" i="4"/>
  <c r="AR133" i="4"/>
  <c r="Z152" i="4"/>
  <c r="K157" i="4"/>
  <c r="W157" i="4"/>
  <c r="AI157" i="4"/>
  <c r="AU157" i="4"/>
  <c r="M164" i="4"/>
  <c r="Y164" i="4"/>
  <c r="AK164" i="4"/>
  <c r="M179" i="4"/>
  <c r="Y179" i="4"/>
  <c r="AK179" i="4"/>
  <c r="N192" i="4"/>
  <c r="Z192" i="4"/>
  <c r="AL192" i="4"/>
  <c r="W199" i="4"/>
  <c r="AC199" i="4"/>
  <c r="J223" i="4"/>
  <c r="V222" i="4"/>
  <c r="AB222" i="4"/>
  <c r="AH222" i="4"/>
  <c r="J230" i="4"/>
  <c r="K230" i="4"/>
  <c r="P246" i="4"/>
  <c r="V246" i="4"/>
  <c r="AB246" i="4"/>
  <c r="AH246" i="4"/>
  <c r="AN246" i="4"/>
  <c r="J248" i="4"/>
  <c r="K248" i="4"/>
  <c r="P265" i="4"/>
  <c r="J268" i="4"/>
  <c r="K268" i="4"/>
  <c r="M304" i="4"/>
  <c r="S304" i="4"/>
  <c r="AE304" i="4"/>
  <c r="AK304" i="4"/>
  <c r="AS319" i="4"/>
  <c r="AS347" i="4"/>
  <c r="AT347" i="4" s="1"/>
  <c r="AR347" i="4"/>
  <c r="J365" i="4"/>
  <c r="K365" i="4"/>
  <c r="AR375" i="4"/>
  <c r="AS375" i="4"/>
  <c r="AT375" i="4" s="1"/>
  <c r="J413" i="4"/>
  <c r="K413" i="4"/>
  <c r="AS463" i="4"/>
  <c r="AS469" i="4"/>
  <c r="AT469" i="4" s="1"/>
  <c r="AR469" i="4"/>
  <c r="AQ469" i="4"/>
  <c r="J570" i="4"/>
  <c r="K570" i="4"/>
  <c r="Y10" i="4"/>
  <c r="AS55" i="4"/>
  <c r="AU55" i="4" s="1"/>
  <c r="S57" i="4"/>
  <c r="Y57" i="4"/>
  <c r="AK57" i="4"/>
  <c r="AL157" i="4"/>
  <c r="T259" i="4"/>
  <c r="AF259" i="4"/>
  <c r="AI259" i="4"/>
  <c r="AR308" i="4"/>
  <c r="AQ308" i="4"/>
  <c r="AS330" i="4"/>
  <c r="AQ330" i="4"/>
  <c r="AS354" i="4"/>
  <c r="AU354" i="4" s="1"/>
  <c r="AQ354" i="4"/>
  <c r="AQ361" i="4"/>
  <c r="AS361" i="4"/>
  <c r="AT361" i="4" s="1"/>
  <c r="AR361" i="4"/>
  <c r="J373" i="4"/>
  <c r="K373" i="4"/>
  <c r="AS385" i="4"/>
  <c r="AU385" i="4" s="1"/>
  <c r="AR385" i="4"/>
  <c r="AQ385" i="4"/>
  <c r="AS457" i="4"/>
  <c r="AS485" i="4"/>
  <c r="AU485" i="4" s="1"/>
  <c r="AR485" i="4"/>
  <c r="AQ485" i="4"/>
  <c r="J494" i="4"/>
  <c r="K494" i="4"/>
  <c r="M57" i="4"/>
  <c r="AE57" i="4"/>
  <c r="Z157" i="4"/>
  <c r="V10" i="4"/>
  <c r="J47" i="4"/>
  <c r="AR66" i="4"/>
  <c r="Y70" i="4"/>
  <c r="AE70" i="4"/>
  <c r="P70" i="4"/>
  <c r="AS82" i="4"/>
  <c r="AU82" i="4" s="1"/>
  <c r="M94" i="4"/>
  <c r="Y94" i="4"/>
  <c r="AE94" i="4"/>
  <c r="AK94" i="4"/>
  <c r="V94" i="4"/>
  <c r="AS98" i="4"/>
  <c r="AU98" i="4" s="1"/>
  <c r="P103" i="4"/>
  <c r="Q103" i="4" s="1"/>
  <c r="AH103" i="4"/>
  <c r="AN103" i="4"/>
  <c r="AO103" i="4" s="1"/>
  <c r="M106" i="4"/>
  <c r="S106" i="4"/>
  <c r="Y106" i="4"/>
  <c r="AE106" i="4"/>
  <c r="AK106" i="4"/>
  <c r="AS110" i="4"/>
  <c r="AQ111" i="4"/>
  <c r="AB113" i="4"/>
  <c r="AH113" i="4"/>
  <c r="AS131" i="4"/>
  <c r="S132" i="4"/>
  <c r="S131" i="4" s="1"/>
  <c r="J136" i="4"/>
  <c r="J137" i="4"/>
  <c r="T192" i="4"/>
  <c r="AF192" i="4"/>
  <c r="AR192" i="4"/>
  <c r="AO194" i="4"/>
  <c r="M201" i="4"/>
  <c r="S222" i="4"/>
  <c r="AS364" i="4"/>
  <c r="AQ364" i="4"/>
  <c r="AR449" i="4"/>
  <c r="AQ449" i="4"/>
  <c r="AT536" i="4"/>
  <c r="AU536" i="4"/>
  <c r="J549" i="4"/>
  <c r="K549" i="4"/>
  <c r="AS566" i="4"/>
  <c r="AQ566" i="4"/>
  <c r="AK595" i="4"/>
  <c r="AC657" i="4"/>
  <c r="M249" i="4"/>
  <c r="S249" i="4"/>
  <c r="Y249" i="4"/>
  <c r="AE249" i="4"/>
  <c r="AK249" i="4"/>
  <c r="K259" i="4"/>
  <c r="V261" i="4"/>
  <c r="H279" i="4"/>
  <c r="H284" i="4"/>
  <c r="AE284" i="4"/>
  <c r="Y296" i="4"/>
  <c r="AS307" i="4"/>
  <c r="AT307" i="4" s="1"/>
  <c r="AS329" i="4"/>
  <c r="AR377" i="4"/>
  <c r="AR500" i="4"/>
  <c r="AR528" i="4"/>
  <c r="M560" i="4"/>
  <c r="H595" i="4"/>
  <c r="H601" i="4"/>
  <c r="AS606" i="4"/>
  <c r="AU606" i="4" s="1"/>
  <c r="J612" i="4"/>
  <c r="J634" i="4"/>
  <c r="J638" i="4"/>
  <c r="J637" i="4" s="1"/>
  <c r="K637" i="4" s="1"/>
  <c r="K648" i="4"/>
  <c r="J649" i="4"/>
  <c r="P647" i="4"/>
  <c r="AB647" i="4"/>
  <c r="AH647" i="4"/>
  <c r="J651" i="4"/>
  <c r="AQ654" i="4"/>
  <c r="AS655" i="4"/>
  <c r="AU655" i="4" s="1"/>
  <c r="AQ656" i="4"/>
  <c r="S228" i="4"/>
  <c r="Y228" i="4"/>
  <c r="AE228" i="4"/>
  <c r="AK228" i="4"/>
  <c r="P253" i="4"/>
  <c r="AH253" i="4"/>
  <c r="AN253" i="4"/>
  <c r="H274" i="4"/>
  <c r="AR297" i="4"/>
  <c r="AS317" i="4"/>
  <c r="AT317" i="4" s="1"/>
  <c r="AS318" i="4"/>
  <c r="AU318" i="4" s="1"/>
  <c r="P319" i="4"/>
  <c r="V319" i="4"/>
  <c r="AB319" i="4"/>
  <c r="AH319" i="4"/>
  <c r="AN319" i="4"/>
  <c r="AQ323" i="4"/>
  <c r="AS324" i="4"/>
  <c r="AU324" i="4" s="1"/>
  <c r="AR355" i="4"/>
  <c r="AS359" i="4"/>
  <c r="AT359" i="4" s="1"/>
  <c r="H384" i="4"/>
  <c r="P384" i="4"/>
  <c r="V384" i="4"/>
  <c r="W384" i="4" s="1"/>
  <c r="AB384" i="4"/>
  <c r="AH384" i="4"/>
  <c r="AN384" i="4"/>
  <c r="K411" i="4"/>
  <c r="AS418" i="4"/>
  <c r="AU418" i="4" s="1"/>
  <c r="AQ425" i="4"/>
  <c r="AQ427" i="4"/>
  <c r="AT442" i="4"/>
  <c r="H452" i="4"/>
  <c r="AB457" i="4"/>
  <c r="H464" i="4"/>
  <c r="AS493" i="4"/>
  <c r="AT493" i="4" s="1"/>
  <c r="K547" i="4"/>
  <c r="P560" i="4"/>
  <c r="V560" i="4"/>
  <c r="AH560" i="4"/>
  <c r="AS564" i="4"/>
  <c r="AT564" i="4" s="1"/>
  <c r="J594" i="4"/>
  <c r="S601" i="4"/>
  <c r="Y601" i="4"/>
  <c r="AR610" i="4"/>
  <c r="AQ616" i="4"/>
  <c r="AR618" i="4"/>
  <c r="AH629" i="4"/>
  <c r="AQ633" i="4"/>
  <c r="P653" i="4"/>
  <c r="V653" i="4"/>
  <c r="AB653" i="4"/>
  <c r="AC653" i="4" s="1"/>
  <c r="AH653" i="4"/>
  <c r="AI653" i="4" s="1"/>
  <c r="AN653" i="4"/>
  <c r="AR242" i="4"/>
  <c r="K280" i="4"/>
  <c r="AS297" i="4"/>
  <c r="AT297" i="4" s="1"/>
  <c r="AS298" i="4"/>
  <c r="AS300" i="4"/>
  <c r="AU300" i="4" s="1"/>
  <c r="AS315" i="4"/>
  <c r="AT315" i="4" s="1"/>
  <c r="M464" i="4"/>
  <c r="S464" i="4"/>
  <c r="AE464" i="4"/>
  <c r="AK464" i="4"/>
  <c r="AL464" i="4" s="1"/>
  <c r="AS610" i="4"/>
  <c r="H647" i="4"/>
  <c r="AO647" i="4" s="1"/>
  <c r="AB86" i="4"/>
  <c r="AN134" i="4"/>
  <c r="S201" i="4"/>
  <c r="W204" i="4"/>
  <c r="W226" i="4"/>
  <c r="AI226" i="4"/>
  <c r="J262" i="4"/>
  <c r="K262" i="4"/>
  <c r="K608" i="4"/>
  <c r="J608" i="4"/>
  <c r="Q639" i="4"/>
  <c r="AO639" i="4"/>
  <c r="T645" i="4"/>
  <c r="Z645" i="4"/>
  <c r="J16" i="4"/>
  <c r="J20" i="4"/>
  <c r="J24" i="4"/>
  <c r="J28" i="4"/>
  <c r="J32" i="4"/>
  <c r="J36" i="4"/>
  <c r="J40" i="4"/>
  <c r="M45" i="4"/>
  <c r="AK45" i="4"/>
  <c r="AQ49" i="4"/>
  <c r="M48" i="4"/>
  <c r="S48" i="4"/>
  <c r="Y48" i="4"/>
  <c r="AE48" i="4"/>
  <c r="AK48" i="4"/>
  <c r="AL48" i="4" s="1"/>
  <c r="AQ56" i="4"/>
  <c r="AR60" i="4"/>
  <c r="AR64" i="4"/>
  <c r="P80" i="4"/>
  <c r="AN80" i="4"/>
  <c r="AN77" i="4" s="1"/>
  <c r="J87" i="4"/>
  <c r="AH86" i="4"/>
  <c r="J91" i="4"/>
  <c r="AS94" i="4"/>
  <c r="AQ95" i="4"/>
  <c r="AQ99" i="4"/>
  <c r="M103" i="4"/>
  <c r="Y103" i="4"/>
  <c r="Z103" i="4" s="1"/>
  <c r="AE103" i="4"/>
  <c r="AF103" i="4" s="1"/>
  <c r="AK103" i="4"/>
  <c r="AQ105" i="4"/>
  <c r="AH106" i="4"/>
  <c r="AH110" i="4"/>
  <c r="AI110" i="4" s="1"/>
  <c r="H113" i="4"/>
  <c r="P113" i="4"/>
  <c r="V113" i="4"/>
  <c r="AN113" i="4"/>
  <c r="AS118" i="4"/>
  <c r="AR120" i="4"/>
  <c r="AS121" i="4"/>
  <c r="K124" i="4"/>
  <c r="Q125" i="4"/>
  <c r="S135" i="4"/>
  <c r="AE135" i="4"/>
  <c r="AR146" i="4"/>
  <c r="AQ146" i="4"/>
  <c r="AH164" i="4"/>
  <c r="J184" i="4"/>
  <c r="J183" i="4" s="1"/>
  <c r="Q194" i="4"/>
  <c r="AO199" i="4"/>
  <c r="AS202" i="4"/>
  <c r="AR208" i="4"/>
  <c r="AQ208" i="4"/>
  <c r="AQ207" i="4" s="1"/>
  <c r="AR207" i="4" s="1"/>
  <c r="H210" i="4"/>
  <c r="V210" i="4"/>
  <c r="AH210" i="4"/>
  <c r="M213" i="4"/>
  <c r="M209" i="4" s="1"/>
  <c r="S213" i="4"/>
  <c r="T213" i="4" s="1"/>
  <c r="Y213" i="4"/>
  <c r="AE213" i="4"/>
  <c r="AK213" i="4"/>
  <c r="Z226" i="4"/>
  <c r="M233" i="4"/>
  <c r="S233" i="4"/>
  <c r="Y233" i="4"/>
  <c r="AE233" i="4"/>
  <c r="AK233" i="4"/>
  <c r="J339" i="4"/>
  <c r="K339" i="4"/>
  <c r="AR441" i="4"/>
  <c r="AQ441" i="4"/>
  <c r="J444" i="4"/>
  <c r="K444" i="4"/>
  <c r="J12" i="4"/>
  <c r="AR11" i="4"/>
  <c r="J13" i="4"/>
  <c r="AR15" i="4"/>
  <c r="J17" i="4"/>
  <c r="AR19" i="4"/>
  <c r="J21" i="4"/>
  <c r="AR23" i="4"/>
  <c r="J25" i="4"/>
  <c r="AR27" i="4"/>
  <c r="J29" i="4"/>
  <c r="AR31" i="4"/>
  <c r="J33" i="4"/>
  <c r="AR35" i="4"/>
  <c r="J37" i="4"/>
  <c r="AR39" i="4"/>
  <c r="J41" i="4"/>
  <c r="AS43" i="4"/>
  <c r="AS49" i="4"/>
  <c r="AT49" i="4" s="1"/>
  <c r="AQ53" i="4"/>
  <c r="M52" i="4"/>
  <c r="N52" i="4" s="1"/>
  <c r="Y52" i="4"/>
  <c r="AK52" i="4"/>
  <c r="AS56" i="4"/>
  <c r="AT56" i="4" s="1"/>
  <c r="AS70" i="4"/>
  <c r="AQ71" i="4"/>
  <c r="K72" i="4"/>
  <c r="W78" i="4"/>
  <c r="AC78" i="4"/>
  <c r="J88" i="4"/>
  <c r="AR90" i="4"/>
  <c r="J92" i="4"/>
  <c r="H94" i="4"/>
  <c r="AB94" i="4"/>
  <c r="AH94" i="4"/>
  <c r="AS95" i="4"/>
  <c r="AT95" i="4" s="1"/>
  <c r="AQ96" i="4"/>
  <c r="AS99" i="4"/>
  <c r="AT99" i="4" s="1"/>
  <c r="AQ100" i="4"/>
  <c r="AI103" i="4"/>
  <c r="AS105" i="4"/>
  <c r="AU105" i="4" s="1"/>
  <c r="J107" i="4"/>
  <c r="J108" i="4"/>
  <c r="J109" i="4"/>
  <c r="S110" i="4"/>
  <c r="T110" i="4" s="1"/>
  <c r="J116" i="4"/>
  <c r="J117" i="4"/>
  <c r="J120" i="4"/>
  <c r="J119" i="4" s="1"/>
  <c r="K119" i="4" s="1"/>
  <c r="K128" i="4"/>
  <c r="AS129" i="4"/>
  <c r="AR129" i="4"/>
  <c r="AS146" i="4"/>
  <c r="P159" i="4"/>
  <c r="AB159" i="4"/>
  <c r="AN159" i="4"/>
  <c r="AT164" i="4"/>
  <c r="AN164" i="4"/>
  <c r="V164" i="4"/>
  <c r="M168" i="4"/>
  <c r="AK168" i="4"/>
  <c r="H175" i="4"/>
  <c r="AO175" i="4" s="1"/>
  <c r="S175" i="4"/>
  <c r="AE175" i="4"/>
  <c r="AQ175" i="4"/>
  <c r="AO202" i="4"/>
  <c r="Y204" i="4"/>
  <c r="Y201" i="4" s="1"/>
  <c r="AS205" i="4"/>
  <c r="AT205" i="4" s="1"/>
  <c r="AR205" i="4"/>
  <c r="AS207" i="4"/>
  <c r="AS208" i="4"/>
  <c r="AT208" i="4" s="1"/>
  <c r="AT207" i="4" s="1"/>
  <c r="AU207" i="4" s="1"/>
  <c r="V241" i="4"/>
  <c r="H10" i="4"/>
  <c r="P10" i="4"/>
  <c r="AB10" i="4"/>
  <c r="AN10" i="4"/>
  <c r="S10" i="4"/>
  <c r="AE10" i="4"/>
  <c r="AO43" i="4"/>
  <c r="P52" i="4"/>
  <c r="V52" i="4"/>
  <c r="AB52" i="4"/>
  <c r="AH52" i="4"/>
  <c r="AN52" i="4"/>
  <c r="AS53" i="4"/>
  <c r="AU53" i="4" s="1"/>
  <c r="J69" i="4"/>
  <c r="H70" i="4"/>
  <c r="V70" i="4"/>
  <c r="AB70" i="4"/>
  <c r="AH70" i="4"/>
  <c r="AS71" i="4"/>
  <c r="M70" i="4"/>
  <c r="S70" i="4"/>
  <c r="AK70" i="4"/>
  <c r="AQ73" i="4"/>
  <c r="H74" i="4"/>
  <c r="AS77" i="4"/>
  <c r="AS80" i="4"/>
  <c r="AQ81" i="4"/>
  <c r="AQ80" i="4" s="1"/>
  <c r="M86" i="4"/>
  <c r="S86" i="4"/>
  <c r="Y86" i="4"/>
  <c r="AE86" i="4"/>
  <c r="AK86" i="4"/>
  <c r="P94" i="4"/>
  <c r="AN94" i="4"/>
  <c r="AS96" i="4"/>
  <c r="AQ97" i="4"/>
  <c r="AS100" i="4"/>
  <c r="AU100" i="4" s="1"/>
  <c r="W123" i="4"/>
  <c r="AI123" i="4"/>
  <c r="AL125" i="4"/>
  <c r="AB135" i="4"/>
  <c r="K142" i="4"/>
  <c r="J142" i="4"/>
  <c r="K143" i="4"/>
  <c r="H145" i="4"/>
  <c r="P145" i="4"/>
  <c r="P134" i="4" s="1"/>
  <c r="V145" i="4"/>
  <c r="AB145" i="4"/>
  <c r="AC145" i="4" s="1"/>
  <c r="AH145" i="4"/>
  <c r="S179" i="4"/>
  <c r="AE179" i="4"/>
  <c r="AI187" i="4"/>
  <c r="AL207" i="4"/>
  <c r="Q207" i="4"/>
  <c r="AQ236" i="4"/>
  <c r="AR236" i="4"/>
  <c r="AQ240" i="4"/>
  <c r="AS240" i="4"/>
  <c r="AU240" i="4" s="1"/>
  <c r="M135" i="4"/>
  <c r="Y135" i="4"/>
  <c r="AK135" i="4"/>
  <c r="H159" i="4"/>
  <c r="S159" i="4"/>
  <c r="AE159" i="4"/>
  <c r="AQ159" i="4"/>
  <c r="M159" i="4"/>
  <c r="Y159" i="4"/>
  <c r="AK159" i="4"/>
  <c r="H184" i="4"/>
  <c r="AF184" i="4" s="1"/>
  <c r="W187" i="4"/>
  <c r="AC194" i="4"/>
  <c r="M218" i="4"/>
  <c r="Y218" i="4"/>
  <c r="AK218" i="4"/>
  <c r="M222" i="4"/>
  <c r="N222" i="4" s="1"/>
  <c r="Y222" i="4"/>
  <c r="AK222" i="4"/>
  <c r="AH241" i="4"/>
  <c r="H241" i="4"/>
  <c r="W259" i="4"/>
  <c r="AS263" i="4"/>
  <c r="AR263" i="4"/>
  <c r="AQ263" i="4"/>
  <c r="AQ289" i="4"/>
  <c r="AS289" i="4"/>
  <c r="AT289" i="4" s="1"/>
  <c r="AR289" i="4"/>
  <c r="AR303" i="4"/>
  <c r="AS303" i="4"/>
  <c r="AT303" i="4" s="1"/>
  <c r="P395" i="4"/>
  <c r="AS415" i="4"/>
  <c r="J420" i="4"/>
  <c r="K420" i="4"/>
  <c r="AS423" i="4"/>
  <c r="AU423" i="4" s="1"/>
  <c r="AR423" i="4"/>
  <c r="AQ423" i="4"/>
  <c r="AR435" i="4"/>
  <c r="AQ435" i="4"/>
  <c r="AR451" i="4"/>
  <c r="AQ451" i="4"/>
  <c r="K459" i="4"/>
  <c r="J459" i="4"/>
  <c r="AS488" i="4"/>
  <c r="AQ488" i="4"/>
  <c r="AS494" i="4"/>
  <c r="AU494" i="4" s="1"/>
  <c r="AQ494" i="4"/>
  <c r="AS521" i="4"/>
  <c r="AU521" i="4" s="1"/>
  <c r="AQ521" i="4"/>
  <c r="K562" i="4"/>
  <c r="J562" i="4"/>
  <c r="K580" i="4"/>
  <c r="J580" i="4"/>
  <c r="K588" i="4"/>
  <c r="J588" i="4"/>
  <c r="N226" i="4"/>
  <c r="P228" i="4"/>
  <c r="AN228" i="4"/>
  <c r="P233" i="4"/>
  <c r="H249" i="4"/>
  <c r="AR266" i="4"/>
  <c r="AS266" i="4"/>
  <c r="AT266" i="4" s="1"/>
  <c r="AQ277" i="4"/>
  <c r="AS277" i="4"/>
  <c r="AR277" i="4"/>
  <c r="AS283" i="4"/>
  <c r="AT283" i="4" s="1"/>
  <c r="AR283" i="4"/>
  <c r="AQ283" i="4"/>
  <c r="AR287" i="4"/>
  <c r="AS287" i="4"/>
  <c r="AT287" i="4" s="1"/>
  <c r="S284" i="4"/>
  <c r="AS389" i="4"/>
  <c r="AU389" i="4" s="1"/>
  <c r="AR389" i="4"/>
  <c r="AQ389" i="4"/>
  <c r="J401" i="4"/>
  <c r="K401" i="4"/>
  <c r="AB415" i="4"/>
  <c r="K425" i="4"/>
  <c r="J425" i="4"/>
  <c r="J442" i="4"/>
  <c r="K442" i="4"/>
  <c r="J458" i="4"/>
  <c r="K458" i="4"/>
  <c r="W125" i="4"/>
  <c r="AI125" i="4"/>
  <c r="V127" i="4"/>
  <c r="V118" i="4" s="1"/>
  <c r="AH127" i="4"/>
  <c r="V135" i="4"/>
  <c r="AH135" i="4"/>
  <c r="T152" i="4"/>
  <c r="AF152" i="4"/>
  <c r="AR152" i="4"/>
  <c r="P164" i="4"/>
  <c r="H164" i="4"/>
  <c r="AU164" i="4" s="1"/>
  <c r="J168" i="4"/>
  <c r="Y168" i="4"/>
  <c r="AH175" i="4"/>
  <c r="AH179" i="4"/>
  <c r="AT179" i="4"/>
  <c r="V184" i="4"/>
  <c r="AH184" i="4"/>
  <c r="AH183" i="4" s="1"/>
  <c r="Y184" i="4"/>
  <c r="Y183" i="4" s="1"/>
  <c r="AF189" i="4"/>
  <c r="W194" i="4"/>
  <c r="Y196" i="4"/>
  <c r="Z196" i="4" s="1"/>
  <c r="AE196" i="4"/>
  <c r="AE191" i="4" s="1"/>
  <c r="AK196" i="4"/>
  <c r="AS211" i="4"/>
  <c r="AU211" i="4" s="1"/>
  <c r="AQ212" i="4"/>
  <c r="J214" i="4"/>
  <c r="J215" i="4"/>
  <c r="J216" i="4"/>
  <c r="P218" i="4"/>
  <c r="P217" i="4" s="1"/>
  <c r="AN218" i="4"/>
  <c r="J229" i="4"/>
  <c r="K234" i="4"/>
  <c r="J235" i="4"/>
  <c r="J236" i="4"/>
  <c r="K238" i="4"/>
  <c r="J239" i="4"/>
  <c r="J240" i="4"/>
  <c r="AE274" i="4"/>
  <c r="AR282" i="4"/>
  <c r="AS282" i="4"/>
  <c r="AU282" i="4" s="1"/>
  <c r="AK296" i="4"/>
  <c r="Y304" i="4"/>
  <c r="AQ305" i="4"/>
  <c r="AS305" i="4"/>
  <c r="AT305" i="4" s="1"/>
  <c r="AR305" i="4"/>
  <c r="J316" i="4"/>
  <c r="K316" i="4"/>
  <c r="AS342" i="4"/>
  <c r="AU342" i="4" s="1"/>
  <c r="AQ342" i="4"/>
  <c r="AS374" i="4"/>
  <c r="AT374" i="4" s="1"/>
  <c r="AQ374" i="4"/>
  <c r="J381" i="4"/>
  <c r="K381" i="4"/>
  <c r="AS395" i="4"/>
  <c r="AS421" i="4"/>
  <c r="AR421" i="4"/>
  <c r="K445" i="4"/>
  <c r="J445" i="4"/>
  <c r="J446" i="4"/>
  <c r="K446" i="4"/>
  <c r="J456" i="4"/>
  <c r="J452" i="4" s="1"/>
  <c r="K452" i="4" s="1"/>
  <c r="K456" i="4"/>
  <c r="AR269" i="4"/>
  <c r="AS272" i="4"/>
  <c r="AT272" i="4" s="1"/>
  <c r="M274" i="4"/>
  <c r="S274" i="4"/>
  <c r="Y274" i="4"/>
  <c r="AK274" i="4"/>
  <c r="P279" i="4"/>
  <c r="V279" i="4"/>
  <c r="AB279" i="4"/>
  <c r="AH279" i="4"/>
  <c r="AN279" i="4"/>
  <c r="AS281" i="4"/>
  <c r="AU281" i="4" s="1"/>
  <c r="AS292" i="4"/>
  <c r="AU292" i="4" s="1"/>
  <c r="AR299" i="4"/>
  <c r="AS308" i="4"/>
  <c r="AS312" i="4"/>
  <c r="AU312" i="4" s="1"/>
  <c r="AR323" i="4"/>
  <c r="P351" i="4"/>
  <c r="AH351" i="4"/>
  <c r="AR369" i="4"/>
  <c r="AR387" i="4"/>
  <c r="S384" i="4"/>
  <c r="AE384" i="4"/>
  <c r="S430" i="4"/>
  <c r="T430" i="4" s="1"/>
  <c r="AR439" i="4"/>
  <c r="P443" i="4"/>
  <c r="V443" i="4"/>
  <c r="AH443" i="4"/>
  <c r="AN443" i="4"/>
  <c r="AR445" i="4"/>
  <c r="AH457" i="4"/>
  <c r="AS473" i="4"/>
  <c r="AU473" i="4" s="1"/>
  <c r="AQ473" i="4"/>
  <c r="AS482" i="4"/>
  <c r="AU482" i="4" s="1"/>
  <c r="AQ482" i="4"/>
  <c r="J490" i="4"/>
  <c r="K490" i="4"/>
  <c r="J501" i="4"/>
  <c r="K501" i="4"/>
  <c r="AS532" i="4"/>
  <c r="AT532" i="4" s="1"/>
  <c r="AQ532" i="4"/>
  <c r="J541" i="4"/>
  <c r="K541" i="4"/>
  <c r="J551" i="4"/>
  <c r="K551" i="4"/>
  <c r="P601" i="4"/>
  <c r="V601" i="4"/>
  <c r="W601" i="4" s="1"/>
  <c r="AB601" i="4"/>
  <c r="AH601" i="4"/>
  <c r="AN601" i="4"/>
  <c r="AS611" i="4"/>
  <c r="AQ611" i="4"/>
  <c r="H641" i="4"/>
  <c r="Z641" i="4" s="1"/>
  <c r="AN641" i="4"/>
  <c r="J655" i="4"/>
  <c r="K655" i="4"/>
  <c r="H253" i="4"/>
  <c r="P261" i="4"/>
  <c r="AB261" i="4"/>
  <c r="AH261" i="4"/>
  <c r="AN261" i="4"/>
  <c r="H265" i="4"/>
  <c r="V265" i="4"/>
  <c r="AB265" i="4"/>
  <c r="AH265" i="4"/>
  <c r="AN265" i="4"/>
  <c r="AQ300" i="4"/>
  <c r="M296" i="4"/>
  <c r="S296" i="4"/>
  <c r="AE296" i="4"/>
  <c r="AS306" i="4"/>
  <c r="AU306" i="4" s="1"/>
  <c r="AR317" i="4"/>
  <c r="K334" i="4"/>
  <c r="K383" i="4"/>
  <c r="K403" i="4"/>
  <c r="K405" i="4"/>
  <c r="K407" i="4"/>
  <c r="P415" i="4"/>
  <c r="V415" i="4"/>
  <c r="AH415" i="4"/>
  <c r="AN415" i="4"/>
  <c r="M443" i="4"/>
  <c r="S443" i="4"/>
  <c r="Y443" i="4"/>
  <c r="AE443" i="4"/>
  <c r="AK443" i="4"/>
  <c r="AQ447" i="4"/>
  <c r="AS465" i="4"/>
  <c r="AU465" i="4" s="1"/>
  <c r="AR465" i="4"/>
  <c r="AS477" i="4"/>
  <c r="AU477" i="4" s="1"/>
  <c r="AQ477" i="4"/>
  <c r="J486" i="4"/>
  <c r="K486" i="4"/>
  <c r="J564" i="4"/>
  <c r="K564" i="4"/>
  <c r="Y573" i="4"/>
  <c r="J582" i="4"/>
  <c r="K582" i="4"/>
  <c r="J598" i="4"/>
  <c r="K598" i="4"/>
  <c r="K602" i="4"/>
  <c r="J602" i="4"/>
  <c r="AS614" i="4"/>
  <c r="AU614" i="4" s="1"/>
  <c r="AR614" i="4"/>
  <c r="W635" i="4"/>
  <c r="AI635" i="4"/>
  <c r="H314" i="4"/>
  <c r="T314" i="4" s="1"/>
  <c r="AB395" i="4"/>
  <c r="AH395" i="4"/>
  <c r="AN395" i="4"/>
  <c r="K453" i="4"/>
  <c r="K454" i="4"/>
  <c r="K460" i="4"/>
  <c r="K470" i="4"/>
  <c r="J492" i="4"/>
  <c r="K492" i="4"/>
  <c r="AS526" i="4"/>
  <c r="AT526" i="4" s="1"/>
  <c r="AR526" i="4"/>
  <c r="AQ526" i="4"/>
  <c r="AS540" i="4"/>
  <c r="AU540" i="4" s="1"/>
  <c r="AQ540" i="4"/>
  <c r="AS586" i="4"/>
  <c r="AU586" i="4" s="1"/>
  <c r="AQ586" i="4"/>
  <c r="K618" i="4"/>
  <c r="J618" i="4"/>
  <c r="K623" i="4"/>
  <c r="J623" i="4"/>
  <c r="Q657" i="4"/>
  <c r="W657" i="4"/>
  <c r="AI657" i="4"/>
  <c r="AO657" i="4"/>
  <c r="AN471" i="4"/>
  <c r="H522" i="4"/>
  <c r="P522" i="4"/>
  <c r="V522" i="4"/>
  <c r="AB522" i="4"/>
  <c r="AH522" i="4"/>
  <c r="AN522" i="4"/>
  <c r="S522" i="4"/>
  <c r="AE522" i="4"/>
  <c r="M568" i="4"/>
  <c r="S568" i="4"/>
  <c r="Y568" i="4"/>
  <c r="AE568" i="4"/>
  <c r="AK568" i="4"/>
  <c r="M573" i="4"/>
  <c r="S573" i="4"/>
  <c r="AE573" i="4"/>
  <c r="AK573" i="4"/>
  <c r="P607" i="4"/>
  <c r="V607" i="4"/>
  <c r="AB607" i="4"/>
  <c r="AH607" i="4"/>
  <c r="AN607" i="4"/>
  <c r="T625" i="4"/>
  <c r="AF625" i="4"/>
  <c r="H629" i="4"/>
  <c r="M629" i="4"/>
  <c r="S629" i="4"/>
  <c r="Y629" i="4"/>
  <c r="Y628" i="4" s="1"/>
  <c r="AE629" i="4"/>
  <c r="AE628" i="4" s="1"/>
  <c r="AK629" i="4"/>
  <c r="AI639" i="4"/>
  <c r="K639" i="4"/>
  <c r="V641" i="4"/>
  <c r="V628" i="4" s="1"/>
  <c r="AB641" i="4"/>
  <c r="AH641" i="4"/>
  <c r="Q645" i="4"/>
  <c r="AQ493" i="4"/>
  <c r="AQ495" i="4"/>
  <c r="K528" i="4"/>
  <c r="AQ536" i="4"/>
  <c r="AR537" i="4"/>
  <c r="K544" i="4"/>
  <c r="K553" i="4"/>
  <c r="J554" i="4"/>
  <c r="J556" i="4"/>
  <c r="J566" i="4"/>
  <c r="AQ570" i="4"/>
  <c r="J572" i="4"/>
  <c r="K592" i="4"/>
  <c r="S595" i="4"/>
  <c r="T595" i="4" s="1"/>
  <c r="AE595" i="4"/>
  <c r="AF595" i="4" s="1"/>
  <c r="AQ604" i="4"/>
  <c r="J614" i="4"/>
  <c r="P613" i="4"/>
  <c r="V613" i="4"/>
  <c r="AB613" i="4"/>
  <c r="AH613" i="4"/>
  <c r="AN613" i="4"/>
  <c r="AQ617" i="4"/>
  <c r="J624" i="4"/>
  <c r="W625" i="4"/>
  <c r="AQ627" i="4"/>
  <c r="J633" i="4"/>
  <c r="K640" i="4"/>
  <c r="J642" i="4"/>
  <c r="AS644" i="4"/>
  <c r="K646" i="4"/>
  <c r="AS653" i="4"/>
  <c r="N657" i="4"/>
  <c r="T657" i="4"/>
  <c r="Z657" i="4"/>
  <c r="AF657" i="4"/>
  <c r="AL657" i="4"/>
  <c r="AU657" i="4"/>
  <c r="AS471" i="4"/>
  <c r="K484" i="4"/>
  <c r="AQ490" i="4"/>
  <c r="AS560" i="4"/>
  <c r="S560" i="4"/>
  <c r="AS578" i="4"/>
  <c r="AQ596" i="4"/>
  <c r="AQ599" i="4"/>
  <c r="AQ605" i="4"/>
  <c r="H607" i="4"/>
  <c r="AQ621" i="4"/>
  <c r="AQ623" i="4"/>
  <c r="AR627" i="4"/>
  <c r="AL645" i="4"/>
  <c r="V647" i="4"/>
  <c r="V644" i="4" s="1"/>
  <c r="AQ663" i="4"/>
  <c r="AT147" i="4"/>
  <c r="AU147" i="4"/>
  <c r="Z43" i="4"/>
  <c r="AS57" i="4"/>
  <c r="AC187" i="4"/>
  <c r="T187" i="4"/>
  <c r="AF187" i="4"/>
  <c r="AR187" i="4"/>
  <c r="AR200" i="4"/>
  <c r="AS200" i="4"/>
  <c r="AS209" i="4"/>
  <c r="AS246" i="4"/>
  <c r="AT260" i="4"/>
  <c r="AT259" i="4" s="1"/>
  <c r="AU259" i="4" s="1"/>
  <c r="AU260" i="4"/>
  <c r="AR366" i="4"/>
  <c r="AS366" i="4"/>
  <c r="AQ366" i="4"/>
  <c r="AR368" i="4"/>
  <c r="AS368" i="4"/>
  <c r="AQ368" i="4"/>
  <c r="AS533" i="4"/>
  <c r="AT533" i="4" s="1"/>
  <c r="AQ533" i="4"/>
  <c r="AR533" i="4"/>
  <c r="T43" i="4"/>
  <c r="AL43" i="4"/>
  <c r="AS51" i="4"/>
  <c r="AO121" i="4"/>
  <c r="P131" i="4"/>
  <c r="S145" i="4"/>
  <c r="S134" i="4" s="1"/>
  <c r="J30" i="4"/>
  <c r="J38" i="4"/>
  <c r="J42" i="4"/>
  <c r="J64" i="4"/>
  <c r="AR75" i="4"/>
  <c r="J89" i="4"/>
  <c r="AS103" i="4"/>
  <c r="AS123" i="4"/>
  <c r="J138" i="4"/>
  <c r="J139" i="4"/>
  <c r="K146" i="4"/>
  <c r="AQ147" i="4"/>
  <c r="J159" i="4"/>
  <c r="AB164" i="4"/>
  <c r="V168" i="4"/>
  <c r="AH168" i="4"/>
  <c r="AT175" i="4"/>
  <c r="Q187" i="4"/>
  <c r="K187" i="4"/>
  <c r="AU187" i="4"/>
  <c r="T194" i="4"/>
  <c r="AF194" i="4"/>
  <c r="AR194" i="4"/>
  <c r="AQ200" i="4"/>
  <c r="AQ199" i="4" s="1"/>
  <c r="AR199" i="4" s="1"/>
  <c r="AL202" i="4"/>
  <c r="K205" i="4"/>
  <c r="J205" i="4"/>
  <c r="Q226" i="4"/>
  <c r="AC226" i="4"/>
  <c r="AO226" i="4"/>
  <c r="K232" i="4"/>
  <c r="J232" i="4"/>
  <c r="AS233" i="4"/>
  <c r="AQ234" i="4"/>
  <c r="AR234" i="4"/>
  <c r="AQ238" i="4"/>
  <c r="AR238" i="4"/>
  <c r="P241" i="4"/>
  <c r="AB241" i="4"/>
  <c r="AN241" i="4"/>
  <c r="M253" i="4"/>
  <c r="S253" i="4"/>
  <c r="Y253" i="4"/>
  <c r="Z253" i="4" s="1"/>
  <c r="AE253" i="4"/>
  <c r="AK253" i="4"/>
  <c r="AL253" i="4" s="1"/>
  <c r="AT257" i="4"/>
  <c r="AU257" i="4"/>
  <c r="AS341" i="4"/>
  <c r="AR341" i="4"/>
  <c r="AQ341" i="4"/>
  <c r="AR346" i="4"/>
  <c r="AQ346" i="4"/>
  <c r="AS351" i="4"/>
  <c r="N43" i="4"/>
  <c r="AF43" i="4"/>
  <c r="AS86" i="4"/>
  <c r="AS106" i="4"/>
  <c r="J18" i="4"/>
  <c r="AQ44" i="4"/>
  <c r="AQ43" i="4" s="1"/>
  <c r="AR43" i="4" s="1"/>
  <c r="AQ50" i="4"/>
  <c r="K55" i="4"/>
  <c r="H57" i="4"/>
  <c r="J60" i="4"/>
  <c r="J79" i="4"/>
  <c r="J78" i="4" s="1"/>
  <c r="K78" i="4" s="1"/>
  <c r="K82" i="4"/>
  <c r="H86" i="4"/>
  <c r="AC86" i="4" s="1"/>
  <c r="J93" i="4"/>
  <c r="K98" i="4"/>
  <c r="AR108" i="4"/>
  <c r="K112" i="4"/>
  <c r="AS119" i="4"/>
  <c r="J126" i="4"/>
  <c r="J125" i="4" s="1"/>
  <c r="AS127" i="4"/>
  <c r="J129" i="4"/>
  <c r="J133" i="4"/>
  <c r="AS135" i="4"/>
  <c r="J11" i="4"/>
  <c r="AR13" i="4"/>
  <c r="K14" i="4"/>
  <c r="J15" i="4"/>
  <c r="AR17" i="4"/>
  <c r="J19" i="4"/>
  <c r="AR21" i="4"/>
  <c r="K22" i="4"/>
  <c r="J23" i="4"/>
  <c r="AR25" i="4"/>
  <c r="K26" i="4"/>
  <c r="J27" i="4"/>
  <c r="AR29" i="4"/>
  <c r="J31" i="4"/>
  <c r="AR33" i="4"/>
  <c r="K34" i="4"/>
  <c r="J35" i="4"/>
  <c r="AR37" i="4"/>
  <c r="J39" i="4"/>
  <c r="AR41" i="4"/>
  <c r="AS44" i="4"/>
  <c r="J46" i="4"/>
  <c r="AS48" i="4"/>
  <c r="AS50" i="4"/>
  <c r="AU50" i="4" s="1"/>
  <c r="AS52" i="4"/>
  <c r="AU56" i="4"/>
  <c r="P57" i="4"/>
  <c r="V57" i="4"/>
  <c r="AB57" i="4"/>
  <c r="AH57" i="4"/>
  <c r="AN57" i="4"/>
  <c r="J61" i="4"/>
  <c r="J65" i="4"/>
  <c r="J66" i="4"/>
  <c r="AQ72" i="4"/>
  <c r="J75" i="4"/>
  <c r="J74" i="4" s="1"/>
  <c r="P74" i="4"/>
  <c r="V74" i="4"/>
  <c r="AB74" i="4"/>
  <c r="AH74" i="4"/>
  <c r="AN74" i="4"/>
  <c r="AS78" i="4"/>
  <c r="N78" i="4"/>
  <c r="T78" i="4"/>
  <c r="Z78" i="4"/>
  <c r="AF78" i="4"/>
  <c r="AL78" i="4"/>
  <c r="J84" i="4"/>
  <c r="J83" i="4" s="1"/>
  <c r="K83" i="4" s="1"/>
  <c r="AR88" i="4"/>
  <c r="J90" i="4"/>
  <c r="AR92" i="4"/>
  <c r="AU95" i="4"/>
  <c r="J102" i="4"/>
  <c r="J101" i="4" s="1"/>
  <c r="K101" i="4" s="1"/>
  <c r="AS104" i="4"/>
  <c r="K105" i="4"/>
  <c r="AU111" i="4"/>
  <c r="J114" i="4"/>
  <c r="J115" i="4"/>
  <c r="AQ122" i="4"/>
  <c r="AQ121" i="4" s="1"/>
  <c r="AR121" i="4" s="1"/>
  <c r="AF125" i="4"/>
  <c r="AS125" i="4"/>
  <c r="H127" i="4"/>
  <c r="J130" i="4"/>
  <c r="AP132" i="4"/>
  <c r="AR132" i="4" s="1"/>
  <c r="H135" i="4"/>
  <c r="J140" i="4"/>
  <c r="J141" i="4"/>
  <c r="AS145" i="4"/>
  <c r="AR147" i="4"/>
  <c r="M145" i="4"/>
  <c r="AQ150" i="4"/>
  <c r="AL152" i="4"/>
  <c r="N189" i="4"/>
  <c r="J198" i="4"/>
  <c r="Q202" i="4"/>
  <c r="W207" i="4"/>
  <c r="AS210" i="4"/>
  <c r="V218" i="4"/>
  <c r="AH218" i="4"/>
  <c r="K221" i="4"/>
  <c r="J221" i="4"/>
  <c r="AS225" i="4"/>
  <c r="K227" i="4"/>
  <c r="J227" i="4"/>
  <c r="J226" i="4" s="1"/>
  <c r="K226" i="4" s="1"/>
  <c r="V228" i="4"/>
  <c r="AH228" i="4"/>
  <c r="K231" i="4"/>
  <c r="J231" i="4"/>
  <c r="H233" i="4"/>
  <c r="AF233" i="4" s="1"/>
  <c r="J242" i="4"/>
  <c r="S241" i="4"/>
  <c r="AQ244" i="4"/>
  <c r="AR244" i="4"/>
  <c r="K257" i="4"/>
  <c r="J257" i="4"/>
  <c r="AQ267" i="4"/>
  <c r="AS267" i="4"/>
  <c r="AR267" i="4"/>
  <c r="J271" i="4"/>
  <c r="K271" i="4"/>
  <c r="J278" i="4"/>
  <c r="K278" i="4"/>
  <c r="AS379" i="4"/>
  <c r="AU379" i="4" s="1"/>
  <c r="AR379" i="4"/>
  <c r="AQ379" i="4"/>
  <c r="AT380" i="4"/>
  <c r="AU380" i="4"/>
  <c r="K49" i="4"/>
  <c r="K53" i="4"/>
  <c r="AR58" i="4"/>
  <c r="AR62" i="4"/>
  <c r="AR68" i="4"/>
  <c r="AS85" i="4"/>
  <c r="K96" i="4"/>
  <c r="K100" i="4"/>
  <c r="AQ104" i="4"/>
  <c r="AR117" i="4"/>
  <c r="AS134" i="4"/>
  <c r="AS45" i="4"/>
  <c r="S45" i="4"/>
  <c r="AE45" i="4"/>
  <c r="AS72" i="4"/>
  <c r="AU72" i="4" s="1"/>
  <c r="AS74" i="4"/>
  <c r="AS83" i="4"/>
  <c r="AS101" i="4"/>
  <c r="AS113" i="4"/>
  <c r="M113" i="4"/>
  <c r="N113" i="4" s="1"/>
  <c r="S113" i="4"/>
  <c r="T113" i="4" s="1"/>
  <c r="Y113" i="4"/>
  <c r="Z113" i="4" s="1"/>
  <c r="AE113" i="4"/>
  <c r="AK113" i="4"/>
  <c r="K121" i="4"/>
  <c r="AS122" i="4"/>
  <c r="AU122" i="4" s="1"/>
  <c r="J145" i="4"/>
  <c r="AS150" i="4"/>
  <c r="AT150" i="4" s="1"/>
  <c r="Q152" i="4"/>
  <c r="AO187" i="4"/>
  <c r="AI194" i="4"/>
  <c r="AS196" i="4"/>
  <c r="AS197" i="4"/>
  <c r="AR197" i="4"/>
  <c r="AN201" i="4"/>
  <c r="V201" i="4"/>
  <c r="AI202" i="4"/>
  <c r="AR203" i="4"/>
  <c r="AS203" i="4"/>
  <c r="AS213" i="4"/>
  <c r="AS218" i="4"/>
  <c r="AS222" i="4"/>
  <c r="AL226" i="4"/>
  <c r="AS228" i="4"/>
  <c r="V253" i="4"/>
  <c r="W253" i="4" s="1"/>
  <c r="K389" i="4"/>
  <c r="J389" i="4"/>
  <c r="AR403" i="4"/>
  <c r="AQ403" i="4"/>
  <c r="AS403" i="4"/>
  <c r="K441" i="4"/>
  <c r="J441" i="4"/>
  <c r="H246" i="4"/>
  <c r="AI246" i="4" s="1"/>
  <c r="AR264" i="4"/>
  <c r="AQ264" i="4"/>
  <c r="AR270" i="4"/>
  <c r="AQ270" i="4"/>
  <c r="AS274" i="4"/>
  <c r="J290" i="4"/>
  <c r="K290" i="4"/>
  <c r="AS293" i="4"/>
  <c r="AR293" i="4"/>
  <c r="AQ293" i="4"/>
  <c r="AR294" i="4"/>
  <c r="AS294" i="4"/>
  <c r="AQ294" i="4"/>
  <c r="J298" i="4"/>
  <c r="K298" i="4"/>
  <c r="AS301" i="4"/>
  <c r="AR301" i="4"/>
  <c r="AQ301" i="4"/>
  <c r="AR302" i="4"/>
  <c r="AS302" i="4"/>
  <c r="AU302" i="4" s="1"/>
  <c r="AQ302" i="4"/>
  <c r="J306" i="4"/>
  <c r="K306" i="4"/>
  <c r="AS309" i="4"/>
  <c r="AR309" i="4"/>
  <c r="AQ309" i="4"/>
  <c r="AR310" i="4"/>
  <c r="AS310" i="4"/>
  <c r="AU310" i="4" s="1"/>
  <c r="AQ310" i="4"/>
  <c r="J318" i="4"/>
  <c r="K318" i="4"/>
  <c r="AS337" i="4"/>
  <c r="AR337" i="4"/>
  <c r="AQ337" i="4"/>
  <c r="AR340" i="4"/>
  <c r="AN351" i="4"/>
  <c r="K355" i="4"/>
  <c r="J355" i="4"/>
  <c r="J362" i="4"/>
  <c r="K362" i="4"/>
  <c r="AS371" i="4"/>
  <c r="AU371" i="4" s="1"/>
  <c r="AR371" i="4"/>
  <c r="AQ371" i="4"/>
  <c r="AT372" i="4"/>
  <c r="AU372" i="4"/>
  <c r="J375" i="4"/>
  <c r="K375" i="4"/>
  <c r="M384" i="4"/>
  <c r="N384" i="4" s="1"/>
  <c r="Y384" i="4"/>
  <c r="AK384" i="4"/>
  <c r="J391" i="4"/>
  <c r="K391" i="4"/>
  <c r="J440" i="4"/>
  <c r="K440" i="4"/>
  <c r="AS452" i="4"/>
  <c r="M452" i="4"/>
  <c r="N452" i="4" s="1"/>
  <c r="AK452" i="4"/>
  <c r="AL452" i="4" s="1"/>
  <c r="AS453" i="4"/>
  <c r="AR453" i="4"/>
  <c r="AQ453" i="4"/>
  <c r="AR460" i="4"/>
  <c r="AS460" i="4"/>
  <c r="AR462" i="4"/>
  <c r="AS462" i="4"/>
  <c r="AU462" i="4" s="1"/>
  <c r="AQ462" i="4"/>
  <c r="T157" i="4"/>
  <c r="AF157" i="4"/>
  <c r="V159" i="4"/>
  <c r="AH159" i="4"/>
  <c r="AT159" i="4"/>
  <c r="S164" i="4"/>
  <c r="AE164" i="4"/>
  <c r="AQ164" i="4"/>
  <c r="M175" i="4"/>
  <c r="Y175" i="4"/>
  <c r="AK175" i="4"/>
  <c r="H179" i="4"/>
  <c r="W179" i="4" s="1"/>
  <c r="P179" i="4"/>
  <c r="AB179" i="4"/>
  <c r="AN179" i="4"/>
  <c r="N187" i="4"/>
  <c r="Z187" i="4"/>
  <c r="AL187" i="4"/>
  <c r="K194" i="4"/>
  <c r="AS201" i="4"/>
  <c r="AS241" i="4"/>
  <c r="J244" i="4"/>
  <c r="J250" i="4"/>
  <c r="J254" i="4"/>
  <c r="K260" i="4"/>
  <c r="AS261" i="4"/>
  <c r="M261" i="4"/>
  <c r="S261" i="4"/>
  <c r="Y261" i="4"/>
  <c r="Z261" i="4" s="1"/>
  <c r="AE261" i="4"/>
  <c r="AK261" i="4"/>
  <c r="AR262" i="4"/>
  <c r="AS262" i="4"/>
  <c r="AT263" i="4"/>
  <c r="AU263" i="4"/>
  <c r="AS264" i="4"/>
  <c r="AT264" i="4" s="1"/>
  <c r="AS265" i="4"/>
  <c r="M265" i="4"/>
  <c r="S265" i="4"/>
  <c r="Y265" i="4"/>
  <c r="AE265" i="4"/>
  <c r="AK265" i="4"/>
  <c r="AR268" i="4"/>
  <c r="AS268" i="4"/>
  <c r="AU269" i="4"/>
  <c r="AS270" i="4"/>
  <c r="AT270" i="4" s="1"/>
  <c r="AQ271" i="4"/>
  <c r="K272" i="4"/>
  <c r="AQ273" i="4"/>
  <c r="AR275" i="4"/>
  <c r="AR278" i="4"/>
  <c r="AQ278" i="4"/>
  <c r="M284" i="4"/>
  <c r="Y284" i="4"/>
  <c r="AK284" i="4"/>
  <c r="AS285" i="4"/>
  <c r="AR285" i="4"/>
  <c r="AQ285" i="4"/>
  <c r="AR286" i="4"/>
  <c r="AS286" i="4"/>
  <c r="AU286" i="4" s="1"/>
  <c r="AQ286" i="4"/>
  <c r="AS313" i="4"/>
  <c r="AR313" i="4"/>
  <c r="AQ313" i="4"/>
  <c r="J328" i="4"/>
  <c r="K328" i="4"/>
  <c r="AS331" i="4"/>
  <c r="AR331" i="4"/>
  <c r="AQ331" i="4"/>
  <c r="AR332" i="4"/>
  <c r="AS332" i="4"/>
  <c r="AU332" i="4" s="1"/>
  <c r="AQ332" i="4"/>
  <c r="AT333" i="4"/>
  <c r="AU333" i="4"/>
  <c r="AT339" i="4"/>
  <c r="AU339" i="4"/>
  <c r="AR350" i="4"/>
  <c r="AS350" i="4"/>
  <c r="AQ350" i="4"/>
  <c r="AS353" i="4"/>
  <c r="AT353" i="4" s="1"/>
  <c r="AR353" i="4"/>
  <c r="AQ353" i="4"/>
  <c r="AS363" i="4"/>
  <c r="AR363" i="4"/>
  <c r="AQ363" i="4"/>
  <c r="K385" i="4"/>
  <c r="J385" i="4"/>
  <c r="AR393" i="4"/>
  <c r="AS393" i="4"/>
  <c r="AU393" i="4" s="1"/>
  <c r="AQ393" i="4"/>
  <c r="AR411" i="4"/>
  <c r="AQ411" i="4"/>
  <c r="AS411" i="4"/>
  <c r="AS436" i="4"/>
  <c r="AQ436" i="4"/>
  <c r="J504" i="4"/>
  <c r="K504" i="4"/>
  <c r="AS505" i="4"/>
  <c r="AQ505" i="4"/>
  <c r="AR505" i="4"/>
  <c r="J509" i="4"/>
  <c r="K509" i="4"/>
  <c r="AS510" i="4"/>
  <c r="AQ510" i="4"/>
  <c r="AR510" i="4"/>
  <c r="J513" i="4"/>
  <c r="K513" i="4"/>
  <c r="AS514" i="4"/>
  <c r="AQ514" i="4"/>
  <c r="AR514" i="4"/>
  <c r="J517" i="4"/>
  <c r="K517" i="4"/>
  <c r="AS518" i="4"/>
  <c r="AQ518" i="4"/>
  <c r="AR518" i="4"/>
  <c r="AC152" i="4"/>
  <c r="AO152" i="4"/>
  <c r="AO157" i="4"/>
  <c r="H168" i="4"/>
  <c r="AO168" i="4" s="1"/>
  <c r="N194" i="4"/>
  <c r="Z194" i="4"/>
  <c r="AL194" i="4"/>
  <c r="AU194" i="4"/>
  <c r="P196" i="4"/>
  <c r="P191" i="4" s="1"/>
  <c r="V196" i="4"/>
  <c r="V191" i="4" s="1"/>
  <c r="AB196" i="4"/>
  <c r="AH196" i="4"/>
  <c r="AH191" i="4" s="1"/>
  <c r="AN196" i="4"/>
  <c r="AO196" i="4" s="1"/>
  <c r="AL199" i="4"/>
  <c r="AI199" i="4"/>
  <c r="AS204" i="4"/>
  <c r="J206" i="4"/>
  <c r="AQ211" i="4"/>
  <c r="AS217" i="4"/>
  <c r="AR220" i="4"/>
  <c r="AR224" i="4"/>
  <c r="T226" i="4"/>
  <c r="AF226" i="4"/>
  <c r="AS226" i="4"/>
  <c r="AR230" i="4"/>
  <c r="AB233" i="4"/>
  <c r="AH233" i="4"/>
  <c r="AN233" i="4"/>
  <c r="J237" i="4"/>
  <c r="Y241" i="4"/>
  <c r="M241" i="4"/>
  <c r="AE241" i="4"/>
  <c r="AK241" i="4"/>
  <c r="J247" i="4"/>
  <c r="J246" i="4" s="1"/>
  <c r="AS249" i="4"/>
  <c r="J251" i="4"/>
  <c r="AS253" i="4"/>
  <c r="J255" i="4"/>
  <c r="AS258" i="4"/>
  <c r="AS259" i="4"/>
  <c r="AR260" i="4"/>
  <c r="AQ260" i="4"/>
  <c r="AQ259" i="4" s="1"/>
  <c r="H261" i="4"/>
  <c r="AQ262" i="4"/>
  <c r="AQ266" i="4"/>
  <c r="K267" i="4"/>
  <c r="AQ268" i="4"/>
  <c r="AR271" i="4"/>
  <c r="AS273" i="4"/>
  <c r="P274" i="4"/>
  <c r="V274" i="4"/>
  <c r="AB274" i="4"/>
  <c r="AH274" i="4"/>
  <c r="AN274" i="4"/>
  <c r="AS275" i="4"/>
  <c r="AR276" i="4"/>
  <c r="AS276" i="4"/>
  <c r="AT276" i="4" s="1"/>
  <c r="AS278" i="4"/>
  <c r="AT278" i="4" s="1"/>
  <c r="AR280" i="4"/>
  <c r="AS280" i="4"/>
  <c r="AQ280" i="4"/>
  <c r="K282" i="4"/>
  <c r="AS284" i="4"/>
  <c r="H296" i="4"/>
  <c r="P296" i="4"/>
  <c r="V296" i="4"/>
  <c r="AB296" i="4"/>
  <c r="AH296" i="4"/>
  <c r="AN296" i="4"/>
  <c r="H304" i="4"/>
  <c r="P304" i="4"/>
  <c r="V304" i="4"/>
  <c r="AB304" i="4"/>
  <c r="AH304" i="4"/>
  <c r="AN304" i="4"/>
  <c r="J322" i="4"/>
  <c r="K322" i="4"/>
  <c r="AS325" i="4"/>
  <c r="AR325" i="4"/>
  <c r="AQ325" i="4"/>
  <c r="K343" i="4"/>
  <c r="J343" i="4"/>
  <c r="M351" i="4"/>
  <c r="S351" i="4"/>
  <c r="Y351" i="4"/>
  <c r="AE351" i="4"/>
  <c r="AK351" i="4"/>
  <c r="AR352" i="4"/>
  <c r="AS352" i="4"/>
  <c r="AU352" i="4" s="1"/>
  <c r="AB351" i="4"/>
  <c r="AR358" i="4"/>
  <c r="AQ358" i="4"/>
  <c r="AT362" i="4"/>
  <c r="AU362" i="4"/>
  <c r="AR376" i="4"/>
  <c r="AS376" i="4"/>
  <c r="AQ376" i="4"/>
  <c r="K387" i="4"/>
  <c r="J387" i="4"/>
  <c r="H415" i="4"/>
  <c r="AR417" i="4"/>
  <c r="AQ417" i="4"/>
  <c r="AS417" i="4"/>
  <c r="AU417" i="4" s="1"/>
  <c r="AS443" i="4"/>
  <c r="AR456" i="4"/>
  <c r="AS456" i="4"/>
  <c r="J475" i="4"/>
  <c r="K475" i="4"/>
  <c r="J480" i="4"/>
  <c r="K480" i="4"/>
  <c r="AR484" i="4"/>
  <c r="AS484" i="4"/>
  <c r="AU484" i="4" s="1"/>
  <c r="AQ484" i="4"/>
  <c r="M319" i="4"/>
  <c r="S319" i="4"/>
  <c r="Y319" i="4"/>
  <c r="AE319" i="4"/>
  <c r="AK319" i="4"/>
  <c r="AR320" i="4"/>
  <c r="AR334" i="4"/>
  <c r="AR336" i="4"/>
  <c r="AR344" i="4"/>
  <c r="AR348" i="4"/>
  <c r="AR356" i="4"/>
  <c r="AR360" i="4"/>
  <c r="AR370" i="4"/>
  <c r="AR378" i="4"/>
  <c r="AS384" i="4"/>
  <c r="AS386" i="4"/>
  <c r="AS388" i="4"/>
  <c r="AS390" i="4"/>
  <c r="AT390" i="4" s="1"/>
  <c r="AR397" i="4"/>
  <c r="AQ397" i="4"/>
  <c r="AR405" i="4"/>
  <c r="AQ405" i="4"/>
  <c r="AR413" i="4"/>
  <c r="AQ413" i="4"/>
  <c r="AS419" i="4"/>
  <c r="AR419" i="4"/>
  <c r="AQ424" i="4"/>
  <c r="AR444" i="4"/>
  <c r="AR446" i="4"/>
  <c r="AS446" i="4"/>
  <c r="AS466" i="4"/>
  <c r="AR466" i="4"/>
  <c r="AQ466" i="4"/>
  <c r="P471" i="4"/>
  <c r="AB471" i="4"/>
  <c r="AH471" i="4"/>
  <c r="AS499" i="4"/>
  <c r="AU499" i="4" s="1"/>
  <c r="AR499" i="4"/>
  <c r="P284" i="4"/>
  <c r="V284" i="4"/>
  <c r="AB284" i="4"/>
  <c r="AH284" i="4"/>
  <c r="AN284" i="4"/>
  <c r="AQ287" i="4"/>
  <c r="AQ288" i="4"/>
  <c r="K292" i="4"/>
  <c r="AQ295" i="4"/>
  <c r="K300" i="4"/>
  <c r="AQ303" i="4"/>
  <c r="K308" i="4"/>
  <c r="K312" i="4"/>
  <c r="AS314" i="4"/>
  <c r="AQ315" i="4"/>
  <c r="AQ316" i="4"/>
  <c r="H319" i="4"/>
  <c r="AQ320" i="4"/>
  <c r="AU321" i="4"/>
  <c r="AR322" i="4"/>
  <c r="K324" i="4"/>
  <c r="AS327" i="4"/>
  <c r="M327" i="4"/>
  <c r="S327" i="4"/>
  <c r="Y327" i="4"/>
  <c r="AE327" i="4"/>
  <c r="AK327" i="4"/>
  <c r="AR328" i="4"/>
  <c r="K330" i="4"/>
  <c r="AQ333" i="4"/>
  <c r="AQ334" i="4"/>
  <c r="AU335" i="4"/>
  <c r="K338" i="4"/>
  <c r="AQ339" i="4"/>
  <c r="K342" i="4"/>
  <c r="AS344" i="4"/>
  <c r="AU344" i="4" s="1"/>
  <c r="AQ345" i="4"/>
  <c r="AU347" i="4"/>
  <c r="AQ349" i="4"/>
  <c r="V351" i="4"/>
  <c r="K354" i="4"/>
  <c r="AU355" i="4"/>
  <c r="AQ357" i="4"/>
  <c r="AQ360" i="4"/>
  <c r="K361" i="4"/>
  <c r="AR362" i="4"/>
  <c r="AQ365" i="4"/>
  <c r="K369" i="4"/>
  <c r="AQ370" i="4"/>
  <c r="AR372" i="4"/>
  <c r="AQ373" i="4"/>
  <c r="K377" i="4"/>
  <c r="AQ378" i="4"/>
  <c r="AR380" i="4"/>
  <c r="AQ381" i="4"/>
  <c r="AQ383" i="4"/>
  <c r="AQ386" i="4"/>
  <c r="AQ388" i="4"/>
  <c r="AQ390" i="4"/>
  <c r="AR391" i="4"/>
  <c r="H395" i="4"/>
  <c r="V395" i="4"/>
  <c r="AS397" i="4"/>
  <c r="AU397" i="4" s="1"/>
  <c r="AR399" i="4"/>
  <c r="AQ399" i="4"/>
  <c r="AS405" i="4"/>
  <c r="AR407" i="4"/>
  <c r="AQ407" i="4"/>
  <c r="AS413" i="4"/>
  <c r="AU413" i="4" s="1"/>
  <c r="AQ419" i="4"/>
  <c r="K422" i="4"/>
  <c r="J423" i="4"/>
  <c r="J427" i="4"/>
  <c r="K431" i="4"/>
  <c r="J431" i="4"/>
  <c r="K433" i="4"/>
  <c r="J433" i="4"/>
  <c r="J435" i="4"/>
  <c r="K437" i="4"/>
  <c r="J437" i="4"/>
  <c r="K439" i="4"/>
  <c r="AT439" i="4"/>
  <c r="AU439" i="4"/>
  <c r="J451" i="4"/>
  <c r="K451" i="4"/>
  <c r="S452" i="4"/>
  <c r="T452" i="4" s="1"/>
  <c r="Y452" i="4"/>
  <c r="Z452" i="4" s="1"/>
  <c r="AE452" i="4"/>
  <c r="AF452" i="4" s="1"/>
  <c r="AR454" i="4"/>
  <c r="M457" i="4"/>
  <c r="S457" i="4"/>
  <c r="Y457" i="4"/>
  <c r="AE457" i="4"/>
  <c r="AK457" i="4"/>
  <c r="AR458" i="4"/>
  <c r="K461" i="4"/>
  <c r="J461" i="4"/>
  <c r="AR467" i="4"/>
  <c r="AS467" i="4"/>
  <c r="AU467" i="4" s="1"/>
  <c r="AQ467" i="4"/>
  <c r="V471" i="4"/>
  <c r="AT485" i="4"/>
  <c r="AS491" i="4"/>
  <c r="AR491" i="4"/>
  <c r="AQ491" i="4"/>
  <c r="J496" i="4"/>
  <c r="K496" i="4"/>
  <c r="AS502" i="4"/>
  <c r="AQ502" i="4"/>
  <c r="AR502" i="4"/>
  <c r="J506" i="4"/>
  <c r="K506" i="4"/>
  <c r="AS507" i="4"/>
  <c r="AQ507" i="4"/>
  <c r="AR507" i="4"/>
  <c r="J511" i="4"/>
  <c r="K511" i="4"/>
  <c r="AS512" i="4"/>
  <c r="AQ512" i="4"/>
  <c r="AR512" i="4"/>
  <c r="J515" i="4"/>
  <c r="K515" i="4"/>
  <c r="AS516" i="4"/>
  <c r="AQ516" i="4"/>
  <c r="AR516" i="4"/>
  <c r="J519" i="4"/>
  <c r="K519" i="4"/>
  <c r="AR520" i="4"/>
  <c r="AQ520" i="4"/>
  <c r="AS520" i="4"/>
  <c r="AU520" i="4" s="1"/>
  <c r="AQ282" i="4"/>
  <c r="K286" i="4"/>
  <c r="AS288" i="4"/>
  <c r="AU288" i="4" s="1"/>
  <c r="AQ290" i="4"/>
  <c r="K294" i="4"/>
  <c r="AS296" i="4"/>
  <c r="AQ298" i="4"/>
  <c r="AU299" i="4"/>
  <c r="K302" i="4"/>
  <c r="AS304" i="4"/>
  <c r="AQ306" i="4"/>
  <c r="K310" i="4"/>
  <c r="AS311" i="4"/>
  <c r="M311" i="4"/>
  <c r="S311" i="4"/>
  <c r="Y311" i="4"/>
  <c r="AE311" i="4"/>
  <c r="AK311" i="4"/>
  <c r="P314" i="4"/>
  <c r="V314" i="4"/>
  <c r="W314" i="4" s="1"/>
  <c r="AB314" i="4"/>
  <c r="AH314" i="4"/>
  <c r="AN314" i="4"/>
  <c r="AS316" i="4"/>
  <c r="AU316" i="4" s="1"/>
  <c r="AQ318" i="4"/>
  <c r="AS320" i="4"/>
  <c r="AU320" i="4" s="1"/>
  <c r="AQ321" i="4"/>
  <c r="AQ322" i="4"/>
  <c r="AU323" i="4"/>
  <c r="AR324" i="4"/>
  <c r="AS326" i="4"/>
  <c r="H327" i="4"/>
  <c r="Z327" i="4" s="1"/>
  <c r="AQ328" i="4"/>
  <c r="AR330" i="4"/>
  <c r="K332" i="4"/>
  <c r="AR333" i="4"/>
  <c r="AS334" i="4"/>
  <c r="AU334" i="4" s="1"/>
  <c r="AQ335" i="4"/>
  <c r="AR338" i="4"/>
  <c r="P327" i="4"/>
  <c r="V327" i="4"/>
  <c r="AB327" i="4"/>
  <c r="AH327" i="4"/>
  <c r="AN327" i="4"/>
  <c r="AR339" i="4"/>
  <c r="K341" i="4"/>
  <c r="AR342" i="4"/>
  <c r="AQ343" i="4"/>
  <c r="AR345" i="4"/>
  <c r="K346" i="4"/>
  <c r="AQ347" i="4"/>
  <c r="AR349" i="4"/>
  <c r="K350" i="4"/>
  <c r="AR354" i="4"/>
  <c r="AQ355" i="4"/>
  <c r="AR357" i="4"/>
  <c r="K358" i="4"/>
  <c r="AQ359" i="4"/>
  <c r="AS360" i="4"/>
  <c r="AT360" i="4" s="1"/>
  <c r="AQ362" i="4"/>
  <c r="AR364" i="4"/>
  <c r="AR365" i="4"/>
  <c r="K366" i="4"/>
  <c r="AQ367" i="4"/>
  <c r="AS370" i="4"/>
  <c r="K371" i="4"/>
  <c r="AQ372" i="4"/>
  <c r="AR373" i="4"/>
  <c r="AR374" i="4"/>
  <c r="AQ375" i="4"/>
  <c r="AS378" i="4"/>
  <c r="K379" i="4"/>
  <c r="AQ380" i="4"/>
  <c r="AR381" i="4"/>
  <c r="AS382" i="4"/>
  <c r="AU382" i="4" s="1"/>
  <c r="AR383" i="4"/>
  <c r="AQ391" i="4"/>
  <c r="K393" i="4"/>
  <c r="AR401" i="4"/>
  <c r="AQ401" i="4"/>
  <c r="AR409" i="4"/>
  <c r="AQ409" i="4"/>
  <c r="AR420" i="4"/>
  <c r="AT421" i="4"/>
  <c r="AU421" i="4"/>
  <c r="AQ426" i="4"/>
  <c r="AE430" i="4"/>
  <c r="AF430" i="4" s="1"/>
  <c r="AS431" i="4"/>
  <c r="AR431" i="4"/>
  <c r="AS433" i="4"/>
  <c r="AT433" i="4" s="1"/>
  <c r="AR433" i="4"/>
  <c r="AQ437" i="4"/>
  <c r="AS437" i="4"/>
  <c r="AT437" i="4" s="1"/>
  <c r="AR438" i="4"/>
  <c r="AQ438" i="4"/>
  <c r="AB443" i="4"/>
  <c r="K447" i="4"/>
  <c r="J447" i="4"/>
  <c r="AR455" i="4"/>
  <c r="AQ455" i="4"/>
  <c r="AS464" i="4"/>
  <c r="AS478" i="4"/>
  <c r="AR478" i="4"/>
  <c r="AQ478" i="4"/>
  <c r="AS483" i="4"/>
  <c r="AR483" i="4"/>
  <c r="AQ483" i="4"/>
  <c r="J488" i="4"/>
  <c r="K488" i="4"/>
  <c r="AR492" i="4"/>
  <c r="AS492" i="4"/>
  <c r="AQ492" i="4"/>
  <c r="J498" i="4"/>
  <c r="K498" i="4"/>
  <c r="AT500" i="4"/>
  <c r="AU500" i="4"/>
  <c r="M522" i="4"/>
  <c r="Y522" i="4"/>
  <c r="AK522" i="4"/>
  <c r="AS461" i="4"/>
  <c r="AT461" i="4" s="1"/>
  <c r="AS468" i="4"/>
  <c r="AU468" i="4" s="1"/>
  <c r="AR470" i="4"/>
  <c r="M471" i="4"/>
  <c r="S471" i="4"/>
  <c r="Y471" i="4"/>
  <c r="AE471" i="4"/>
  <c r="AK471" i="4"/>
  <c r="AR473" i="4"/>
  <c r="AS474" i="4"/>
  <c r="AR476" i="4"/>
  <c r="AS479" i="4"/>
  <c r="AU479" i="4" s="1"/>
  <c r="AR481" i="4"/>
  <c r="AR486" i="4"/>
  <c r="AS487" i="4"/>
  <c r="AR489" i="4"/>
  <c r="AR494" i="4"/>
  <c r="AS495" i="4"/>
  <c r="AS497" i="4"/>
  <c r="AR501" i="4"/>
  <c r="AS501" i="4"/>
  <c r="AU501" i="4" s="1"/>
  <c r="AR504" i="4"/>
  <c r="AS504" i="4"/>
  <c r="AU504" i="4" s="1"/>
  <c r="AR506" i="4"/>
  <c r="AS506" i="4"/>
  <c r="AU506" i="4" s="1"/>
  <c r="AR509" i="4"/>
  <c r="AS509" i="4"/>
  <c r="AU509" i="4" s="1"/>
  <c r="AR511" i="4"/>
  <c r="AS511" i="4"/>
  <c r="AU511" i="4" s="1"/>
  <c r="AR513" i="4"/>
  <c r="AS513" i="4"/>
  <c r="AU513" i="4" s="1"/>
  <c r="AR515" i="4"/>
  <c r="AS515" i="4"/>
  <c r="AU515" i="4" s="1"/>
  <c r="AR517" i="4"/>
  <c r="AS517" i="4"/>
  <c r="AU517" i="4" s="1"/>
  <c r="AR519" i="4"/>
  <c r="AS519" i="4"/>
  <c r="AU519" i="4" s="1"/>
  <c r="AT538" i="4"/>
  <c r="AU538" i="4"/>
  <c r="AR422" i="4"/>
  <c r="AS427" i="4"/>
  <c r="AU427" i="4" s="1"/>
  <c r="M430" i="4"/>
  <c r="N430" i="4" s="1"/>
  <c r="Y430" i="4"/>
  <c r="Z430" i="4" s="1"/>
  <c r="AK430" i="4"/>
  <c r="AL430" i="4" s="1"/>
  <c r="AS435" i="4"/>
  <c r="AU435" i="4" s="1"/>
  <c r="AR440" i="4"/>
  <c r="AS441" i="4"/>
  <c r="AT441" i="4" s="1"/>
  <c r="AR442" i="4"/>
  <c r="AS447" i="4"/>
  <c r="AR448" i="4"/>
  <c r="AS449" i="4"/>
  <c r="AR450" i="4"/>
  <c r="AS451" i="4"/>
  <c r="AQ459" i="4"/>
  <c r="P464" i="4"/>
  <c r="V464" i="4"/>
  <c r="AB464" i="4"/>
  <c r="AH464" i="4"/>
  <c r="AN464" i="4"/>
  <c r="H471" i="4"/>
  <c r="AI471" i="4" s="1"/>
  <c r="AR475" i="4"/>
  <c r="AS476" i="4"/>
  <c r="AR480" i="4"/>
  <c r="AS481" i="4"/>
  <c r="AR488" i="4"/>
  <c r="AS489" i="4"/>
  <c r="AR496" i="4"/>
  <c r="AR498" i="4"/>
  <c r="AS503" i="4"/>
  <c r="AU503" i="4" s="1"/>
  <c r="AS508" i="4"/>
  <c r="AU508" i="4" s="1"/>
  <c r="AR530" i="4"/>
  <c r="AQ530" i="4"/>
  <c r="AS562" i="4"/>
  <c r="AR562" i="4"/>
  <c r="AQ562" i="4"/>
  <c r="AS392" i="4"/>
  <c r="AU392" i="4" s="1"/>
  <c r="AS394" i="4"/>
  <c r="AU394" i="4" s="1"/>
  <c r="M395" i="4"/>
  <c r="S395" i="4"/>
  <c r="Y395" i="4"/>
  <c r="AE395" i="4"/>
  <c r="AK395" i="4"/>
  <c r="AS396" i="4"/>
  <c r="AT396" i="4" s="1"/>
  <c r="AS398" i="4"/>
  <c r="AU398" i="4" s="1"/>
  <c r="AS400" i="4"/>
  <c r="AT400" i="4" s="1"/>
  <c r="AS402" i="4"/>
  <c r="AU402" i="4" s="1"/>
  <c r="AS404" i="4"/>
  <c r="AT404" i="4" s="1"/>
  <c r="AS406" i="4"/>
  <c r="AT406" i="4" s="1"/>
  <c r="AS408" i="4"/>
  <c r="AU408" i="4" s="1"/>
  <c r="AS410" i="4"/>
  <c r="AU410" i="4" s="1"/>
  <c r="AS412" i="4"/>
  <c r="AT412" i="4" s="1"/>
  <c r="AS414" i="4"/>
  <c r="AT414" i="4" s="1"/>
  <c r="M415" i="4"/>
  <c r="S415" i="4"/>
  <c r="Y415" i="4"/>
  <c r="AE415" i="4"/>
  <c r="AK415" i="4"/>
  <c r="AS416" i="4"/>
  <c r="AU416" i="4" s="1"/>
  <c r="AR418" i="4"/>
  <c r="AQ421" i="4"/>
  <c r="AS430" i="4"/>
  <c r="P457" i="4"/>
  <c r="V457" i="4"/>
  <c r="AN457" i="4"/>
  <c r="AR459" i="4"/>
  <c r="AS472" i="4"/>
  <c r="AU472" i="4" s="1"/>
  <c r="AR477" i="4"/>
  <c r="AR482" i="4"/>
  <c r="AR490" i="4"/>
  <c r="AS522" i="4"/>
  <c r="AR523" i="4"/>
  <c r="AS524" i="4"/>
  <c r="AT524" i="4" s="1"/>
  <c r="AQ524" i="4"/>
  <c r="AR525" i="4"/>
  <c r="AQ525" i="4"/>
  <c r="J535" i="4"/>
  <c r="K535" i="4"/>
  <c r="K555" i="4"/>
  <c r="J555" i="4"/>
  <c r="AR534" i="4"/>
  <c r="AQ534" i="4"/>
  <c r="AS535" i="4"/>
  <c r="AT535" i="4" s="1"/>
  <c r="AQ535" i="4"/>
  <c r="AR539" i="4"/>
  <c r="AQ539" i="4"/>
  <c r="AS543" i="4"/>
  <c r="AU543" i="4" s="1"/>
  <c r="J561" i="4"/>
  <c r="K561" i="4"/>
  <c r="AS585" i="4"/>
  <c r="AS591" i="4"/>
  <c r="AS597" i="4"/>
  <c r="AQ597" i="4"/>
  <c r="K610" i="4"/>
  <c r="J610" i="4"/>
  <c r="AR612" i="4"/>
  <c r="AQ612" i="4"/>
  <c r="AS612" i="4"/>
  <c r="AU612" i="4" s="1"/>
  <c r="AR527" i="4"/>
  <c r="AR541" i="4"/>
  <c r="AS542" i="4"/>
  <c r="AR544" i="4"/>
  <c r="AS545" i="4"/>
  <c r="AT545" i="4" s="1"/>
  <c r="AR547" i="4"/>
  <c r="AS548" i="4"/>
  <c r="AR549" i="4"/>
  <c r="AS550" i="4"/>
  <c r="AR551" i="4"/>
  <c r="AS552" i="4"/>
  <c r="AR553" i="4"/>
  <c r="AS554" i="4"/>
  <c r="AT554" i="4" s="1"/>
  <c r="AR557" i="4"/>
  <c r="AS558" i="4"/>
  <c r="AR564" i="4"/>
  <c r="K565" i="4"/>
  <c r="AR566" i="4"/>
  <c r="AS568" i="4"/>
  <c r="AQ572" i="4"/>
  <c r="AQ574" i="4"/>
  <c r="J576" i="4"/>
  <c r="AR576" i="4"/>
  <c r="AQ577" i="4"/>
  <c r="H578" i="4"/>
  <c r="AQ580" i="4"/>
  <c r="AS584" i="4"/>
  <c r="AU584" i="4" s="1"/>
  <c r="AQ585" i="4"/>
  <c r="J586" i="4"/>
  <c r="AR586" i="4"/>
  <c r="AS587" i="4"/>
  <c r="AQ588" i="4"/>
  <c r="AS594" i="4"/>
  <c r="AU594" i="4" s="1"/>
  <c r="J596" i="4"/>
  <c r="P595" i="4"/>
  <c r="Q595" i="4" s="1"/>
  <c r="V595" i="4"/>
  <c r="W595" i="4" s="1"/>
  <c r="AB595" i="4"/>
  <c r="AC595" i="4" s="1"/>
  <c r="AH595" i="4"/>
  <c r="AI595" i="4" s="1"/>
  <c r="AN595" i="4"/>
  <c r="AO595" i="4" s="1"/>
  <c r="AR598" i="4"/>
  <c r="AQ600" i="4"/>
  <c r="AS601" i="4"/>
  <c r="AQ602" i="4"/>
  <c r="AS602" i="4"/>
  <c r="AU602" i="4" s="1"/>
  <c r="AS603" i="4"/>
  <c r="AQ603" i="4"/>
  <c r="K604" i="4"/>
  <c r="K616" i="4"/>
  <c r="J616" i="4"/>
  <c r="AS559" i="4"/>
  <c r="AR561" i="4"/>
  <c r="AB560" i="4"/>
  <c r="AN560" i="4"/>
  <c r="AR565" i="4"/>
  <c r="AQ567" i="4"/>
  <c r="AR572" i="4"/>
  <c r="P573" i="4"/>
  <c r="V573" i="4"/>
  <c r="AB573" i="4"/>
  <c r="AH573" i="4"/>
  <c r="AN573" i="4"/>
  <c r="AR574" i="4"/>
  <c r="P578" i="4"/>
  <c r="V578" i="4"/>
  <c r="AB578" i="4"/>
  <c r="AH578" i="4"/>
  <c r="AN578" i="4"/>
  <c r="AR580" i="4"/>
  <c r="AS581" i="4"/>
  <c r="AR588" i="4"/>
  <c r="AS589" i="4"/>
  <c r="AS595" i="4"/>
  <c r="M607" i="4"/>
  <c r="S607" i="4"/>
  <c r="Y607" i="4"/>
  <c r="AE607" i="4"/>
  <c r="AK607" i="4"/>
  <c r="AS609" i="4"/>
  <c r="AQ609" i="4"/>
  <c r="AR521" i="4"/>
  <c r="AS527" i="4"/>
  <c r="AT527" i="4" s="1"/>
  <c r="AS529" i="4"/>
  <c r="AU529" i="4" s="1"/>
  <c r="AR531" i="4"/>
  <c r="AR532" i="4"/>
  <c r="AR536" i="4"/>
  <c r="AR538" i="4"/>
  <c r="AR540" i="4"/>
  <c r="AR542" i="4"/>
  <c r="AR545" i="4"/>
  <c r="AS546" i="4"/>
  <c r="AU546" i="4" s="1"/>
  <c r="AR548" i="4"/>
  <c r="AR550" i="4"/>
  <c r="AR552" i="4"/>
  <c r="AR555" i="4"/>
  <c r="AS556" i="4"/>
  <c r="AT556" i="4" s="1"/>
  <c r="H560" i="4"/>
  <c r="AQ561" i="4"/>
  <c r="AR563" i="4"/>
  <c r="AQ565" i="4"/>
  <c r="P568" i="4"/>
  <c r="V568" i="4"/>
  <c r="AB568" i="4"/>
  <c r="AH568" i="4"/>
  <c r="AN568" i="4"/>
  <c r="AQ571" i="4"/>
  <c r="AS572" i="4"/>
  <c r="AU572" i="4" s="1"/>
  <c r="AS573" i="4"/>
  <c r="AS574" i="4"/>
  <c r="AT574" i="4" s="1"/>
  <c r="M578" i="4"/>
  <c r="S578" i="4"/>
  <c r="Y578" i="4"/>
  <c r="AE578" i="4"/>
  <c r="AK578" i="4"/>
  <c r="AS580" i="4"/>
  <c r="AU580" i="4" s="1"/>
  <c r="AQ581" i="4"/>
  <c r="AS583" i="4"/>
  <c r="AQ584" i="4"/>
  <c r="AS588" i="4"/>
  <c r="AQ589" i="4"/>
  <c r="AS590" i="4"/>
  <c r="P591" i="4"/>
  <c r="V591" i="4"/>
  <c r="AB591" i="4"/>
  <c r="AC591" i="4" s="1"/>
  <c r="AH591" i="4"/>
  <c r="AN591" i="4"/>
  <c r="AR592" i="4"/>
  <c r="AS593" i="4"/>
  <c r="AQ594" i="4"/>
  <c r="AQ591" i="4" s="1"/>
  <c r="AS596" i="4"/>
  <c r="AU596" i="4" s="1"/>
  <c r="AS598" i="4"/>
  <c r="AU598" i="4" s="1"/>
  <c r="AS600" i="4"/>
  <c r="AU600" i="4" s="1"/>
  <c r="AI601" i="4"/>
  <c r="K606" i="4"/>
  <c r="AS615" i="4"/>
  <c r="AQ615" i="4"/>
  <c r="AR604" i="4"/>
  <c r="AR606" i="4"/>
  <c r="AQ608" i="4"/>
  <c r="AQ614" i="4"/>
  <c r="AU617" i="4"/>
  <c r="AS618" i="4"/>
  <c r="AU618" i="4" s="1"/>
  <c r="AQ619" i="4"/>
  <c r="J620" i="4"/>
  <c r="AR620" i="4"/>
  <c r="J622" i="4"/>
  <c r="AS626" i="4"/>
  <c r="AU626" i="4" s="1"/>
  <c r="AQ631" i="4"/>
  <c r="J632" i="4"/>
  <c r="AR633" i="4"/>
  <c r="Q635" i="4"/>
  <c r="AO635" i="4"/>
  <c r="J636" i="4"/>
  <c r="J635" i="4" s="1"/>
  <c r="K635" i="4" s="1"/>
  <c r="J643" i="4"/>
  <c r="AS646" i="4"/>
  <c r="AQ649" i="4"/>
  <c r="AQ651" i="4"/>
  <c r="AS657" i="4"/>
  <c r="AQ658" i="4"/>
  <c r="AQ657" i="4" s="1"/>
  <c r="AR657" i="4" s="1"/>
  <c r="AS659" i="4"/>
  <c r="AQ660" i="4"/>
  <c r="AQ659" i="4" s="1"/>
  <c r="AR659" i="4" s="1"/>
  <c r="AS661" i="4"/>
  <c r="J663" i="4"/>
  <c r="AU619" i="4"/>
  <c r="AS620" i="4"/>
  <c r="AU620" i="4" s="1"/>
  <c r="AI625" i="4"/>
  <c r="AR631" i="4"/>
  <c r="AC645" i="4"/>
  <c r="AR649" i="4"/>
  <c r="AR651" i="4"/>
  <c r="AU660" i="4"/>
  <c r="AQ664" i="4"/>
  <c r="AQ662" i="4" s="1"/>
  <c r="AQ661" i="4" s="1"/>
  <c r="AR661" i="4" s="1"/>
  <c r="AS608" i="4"/>
  <c r="AT608" i="4" s="1"/>
  <c r="M613" i="4"/>
  <c r="S613" i="4"/>
  <c r="Y613" i="4"/>
  <c r="AE613" i="4"/>
  <c r="AK613" i="4"/>
  <c r="P625" i="4"/>
  <c r="Q625" i="4" s="1"/>
  <c r="AB625" i="4"/>
  <c r="AC625" i="4" s="1"/>
  <c r="AN625" i="4"/>
  <c r="AO625" i="4" s="1"/>
  <c r="J631" i="4"/>
  <c r="AQ643" i="4"/>
  <c r="N645" i="4"/>
  <c r="W645" i="4"/>
  <c r="AF645" i="4"/>
  <c r="AO645" i="4"/>
  <c r="AS647" i="4"/>
  <c r="M647" i="4"/>
  <c r="N647" i="4" s="1"/>
  <c r="S647" i="4"/>
  <c r="Y647" i="4"/>
  <c r="Z647" i="4" s="1"/>
  <c r="AE647" i="4"/>
  <c r="AK647" i="4"/>
  <c r="AK644" i="4" s="1"/>
  <c r="AQ650" i="4"/>
  <c r="AS651" i="4"/>
  <c r="AU651" i="4" s="1"/>
  <c r="AQ652" i="4"/>
  <c r="AR655" i="4"/>
  <c r="N625" i="4"/>
  <c r="AT11" i="4"/>
  <c r="AU11" i="4"/>
  <c r="AU15" i="4"/>
  <c r="AT15" i="4"/>
  <c r="AT19" i="4"/>
  <c r="AU19" i="4"/>
  <c r="AT23" i="4"/>
  <c r="AU23" i="4"/>
  <c r="AT27" i="4"/>
  <c r="AU27" i="4"/>
  <c r="AT31" i="4"/>
  <c r="AU31" i="4"/>
  <c r="AT35" i="4"/>
  <c r="AU35" i="4"/>
  <c r="AT39" i="4"/>
  <c r="AU39" i="4"/>
  <c r="Z10" i="4"/>
  <c r="AU13" i="4"/>
  <c r="AT13" i="4"/>
  <c r="AT17" i="4"/>
  <c r="AU17" i="4"/>
  <c r="AT21" i="4"/>
  <c r="AU21" i="4"/>
  <c r="AT25" i="4"/>
  <c r="AU25" i="4"/>
  <c r="AT29" i="4"/>
  <c r="AU29" i="4"/>
  <c r="AT33" i="4"/>
  <c r="AU33" i="4"/>
  <c r="AT37" i="4"/>
  <c r="AU37" i="4"/>
  <c r="AT41" i="4"/>
  <c r="AU41" i="4"/>
  <c r="AR12" i="4"/>
  <c r="AR14" i="4"/>
  <c r="Q10" i="4"/>
  <c r="W10" i="4"/>
  <c r="AQ11" i="4"/>
  <c r="AS12" i="4"/>
  <c r="AQ13" i="4"/>
  <c r="AS14" i="4"/>
  <c r="AQ15" i="4"/>
  <c r="AS16" i="4"/>
  <c r="AQ17" i="4"/>
  <c r="AS18" i="4"/>
  <c r="AQ19" i="4"/>
  <c r="AS20" i="4"/>
  <c r="AQ21" i="4"/>
  <c r="AS22" i="4"/>
  <c r="AQ23" i="4"/>
  <c r="AS24" i="4"/>
  <c r="AQ25" i="4"/>
  <c r="AS26" i="4"/>
  <c r="AQ27" i="4"/>
  <c r="AS28" i="4"/>
  <c r="AQ29" i="4"/>
  <c r="AS30" i="4"/>
  <c r="AQ31" i="4"/>
  <c r="AS32" i="4"/>
  <c r="AQ33" i="4"/>
  <c r="AS34" i="4"/>
  <c r="AQ35" i="4"/>
  <c r="AS36" i="4"/>
  <c r="AQ37" i="4"/>
  <c r="AS38" i="4"/>
  <c r="AQ39" i="4"/>
  <c r="AS40" i="4"/>
  <c r="AQ41" i="4"/>
  <c r="AS42" i="4"/>
  <c r="AS46" i="4"/>
  <c r="AQ46" i="4"/>
  <c r="N48" i="4"/>
  <c r="J48" i="4"/>
  <c r="K50" i="4"/>
  <c r="AT66" i="4"/>
  <c r="AU66" i="4"/>
  <c r="W83" i="4"/>
  <c r="N83" i="4"/>
  <c r="S77" i="4"/>
  <c r="T83" i="4"/>
  <c r="Z83" i="4"/>
  <c r="AF83" i="4"/>
  <c r="AK77" i="4"/>
  <c r="AL83" i="4"/>
  <c r="AT90" i="4"/>
  <c r="AU90" i="4"/>
  <c r="W101" i="4"/>
  <c r="N101" i="4"/>
  <c r="T101" i="4"/>
  <c r="Z101" i="4"/>
  <c r="AF101" i="4"/>
  <c r="AL101" i="4"/>
  <c r="AF113" i="4"/>
  <c r="AL113" i="4"/>
  <c r="AT115" i="4"/>
  <c r="AU115" i="4"/>
  <c r="AF119" i="4"/>
  <c r="Z123" i="4"/>
  <c r="AL123" i="4"/>
  <c r="N125" i="4"/>
  <c r="N127" i="4"/>
  <c r="AT140" i="4"/>
  <c r="AU140" i="4"/>
  <c r="W43" i="4"/>
  <c r="AC43" i="4"/>
  <c r="AI43" i="4"/>
  <c r="H45" i="4"/>
  <c r="T45" i="4" s="1"/>
  <c r="AT58" i="4"/>
  <c r="AU58" i="4"/>
  <c r="AT62" i="4"/>
  <c r="AU62" i="4"/>
  <c r="AT68" i="4"/>
  <c r="AU68" i="4"/>
  <c r="AT75" i="4"/>
  <c r="AU75" i="4"/>
  <c r="AT108" i="4"/>
  <c r="AU108" i="4"/>
  <c r="AT117" i="4"/>
  <c r="AU117" i="4"/>
  <c r="Q119" i="4"/>
  <c r="W119" i="4"/>
  <c r="AC119" i="4"/>
  <c r="AI119" i="4"/>
  <c r="AO119" i="4"/>
  <c r="K123" i="4"/>
  <c r="AC123" i="4"/>
  <c r="AO123" i="4"/>
  <c r="AT142" i="4"/>
  <c r="AU142" i="4"/>
  <c r="K155" i="4"/>
  <c r="W155" i="4"/>
  <c r="AI155" i="4"/>
  <c r="AU155" i="4"/>
  <c r="AQ16" i="4"/>
  <c r="AQ18" i="4"/>
  <c r="AQ20" i="4"/>
  <c r="AQ22" i="4"/>
  <c r="AQ24" i="4"/>
  <c r="AQ26" i="4"/>
  <c r="AQ28" i="4"/>
  <c r="AQ30" i="4"/>
  <c r="AQ32" i="4"/>
  <c r="AQ34" i="4"/>
  <c r="AQ36" i="4"/>
  <c r="AQ38" i="4"/>
  <c r="AQ40" i="4"/>
  <c r="AQ42" i="4"/>
  <c r="J44" i="4"/>
  <c r="J43" i="4" s="1"/>
  <c r="K43" i="4" s="1"/>
  <c r="AQ47" i="4"/>
  <c r="AS47" i="4"/>
  <c r="Q78" i="4"/>
  <c r="AO78" i="4"/>
  <c r="AI83" i="4"/>
  <c r="AT88" i="4"/>
  <c r="AU88" i="4"/>
  <c r="AT92" i="4"/>
  <c r="AU92" i="4"/>
  <c r="AI101" i="4"/>
  <c r="T119" i="4"/>
  <c r="Q123" i="4"/>
  <c r="AF123" i="4"/>
  <c r="K125" i="4"/>
  <c r="AC125" i="4"/>
  <c r="AO125" i="4"/>
  <c r="AF127" i="4"/>
  <c r="AT136" i="4"/>
  <c r="AU136" i="4"/>
  <c r="AT144" i="4"/>
  <c r="AU144" i="4"/>
  <c r="AT50" i="4"/>
  <c r="AT48" i="4" s="1"/>
  <c r="AT60" i="4"/>
  <c r="AU60" i="4"/>
  <c r="AT64" i="4"/>
  <c r="AU64" i="4"/>
  <c r="Q83" i="4"/>
  <c r="AO83" i="4"/>
  <c r="Q101" i="4"/>
  <c r="AO101" i="4"/>
  <c r="AT120" i="4"/>
  <c r="AT119" i="4" s="1"/>
  <c r="AU120" i="4"/>
  <c r="N123" i="4"/>
  <c r="AT129" i="4"/>
  <c r="AU129" i="4"/>
  <c r="AT133" i="4"/>
  <c r="AU133" i="4"/>
  <c r="AT138" i="4"/>
  <c r="AU138" i="4"/>
  <c r="Q155" i="4"/>
  <c r="AC155" i="4"/>
  <c r="AO155" i="4"/>
  <c r="AQ58" i="4"/>
  <c r="AS59" i="4"/>
  <c r="AQ60" i="4"/>
  <c r="AS61" i="4"/>
  <c r="AQ62" i="4"/>
  <c r="AS63" i="4"/>
  <c r="AQ64" i="4"/>
  <c r="AS65" i="4"/>
  <c r="AQ66" i="4"/>
  <c r="AS67" i="4"/>
  <c r="AQ68" i="4"/>
  <c r="AS69" i="4"/>
  <c r="AQ75" i="4"/>
  <c r="AS76" i="4"/>
  <c r="P77" i="4"/>
  <c r="V77" i="4"/>
  <c r="AH77" i="4"/>
  <c r="AS79" i="4"/>
  <c r="AS84" i="4"/>
  <c r="AS87" i="4"/>
  <c r="AQ88" i="4"/>
  <c r="AS89" i="4"/>
  <c r="AQ90" i="4"/>
  <c r="AS91" i="4"/>
  <c r="AQ92" i="4"/>
  <c r="AS93" i="4"/>
  <c r="AS102" i="4"/>
  <c r="AS107" i="4"/>
  <c r="AQ108" i="4"/>
  <c r="AS109" i="4"/>
  <c r="AS114" i="4"/>
  <c r="AQ115" i="4"/>
  <c r="AS116" i="4"/>
  <c r="AQ117" i="4"/>
  <c r="AQ120" i="4"/>
  <c r="AQ119" i="4" s="1"/>
  <c r="AS128" i="4"/>
  <c r="AQ129" i="4"/>
  <c r="AS130" i="4"/>
  <c r="AQ133" i="4"/>
  <c r="AQ136" i="4"/>
  <c r="AS137" i="4"/>
  <c r="AQ138" i="4"/>
  <c r="AS139" i="4"/>
  <c r="AQ140" i="4"/>
  <c r="AS141" i="4"/>
  <c r="AQ142" i="4"/>
  <c r="AS143" i="4"/>
  <c r="AQ144" i="4"/>
  <c r="AE145" i="4"/>
  <c r="K150" i="4"/>
  <c r="AC157" i="4"/>
  <c r="AC168" i="4"/>
  <c r="AT168" i="4"/>
  <c r="AU168" i="4" s="1"/>
  <c r="J175" i="4"/>
  <c r="K175" i="4" s="1"/>
  <c r="AT184" i="4"/>
  <c r="T189" i="4"/>
  <c r="AI189" i="4"/>
  <c r="Q192" i="4"/>
  <c r="AC192" i="4"/>
  <c r="AO192" i="4"/>
  <c r="AU192" i="4"/>
  <c r="T196" i="4"/>
  <c r="AT197" i="4"/>
  <c r="AU197" i="4"/>
  <c r="N204" i="4"/>
  <c r="Z204" i="4"/>
  <c r="AT215" i="4"/>
  <c r="AU215" i="4"/>
  <c r="AT219" i="4"/>
  <c r="AU219" i="4"/>
  <c r="AT223" i="4"/>
  <c r="AU223" i="4"/>
  <c r="AT229" i="4"/>
  <c r="AU229" i="4"/>
  <c r="AR259" i="4"/>
  <c r="N121" i="4"/>
  <c r="T121" i="4"/>
  <c r="Z121" i="4"/>
  <c r="AF121" i="4"/>
  <c r="AL121" i="4"/>
  <c r="AR136" i="4"/>
  <c r="AR138" i="4"/>
  <c r="AR140" i="4"/>
  <c r="AR142" i="4"/>
  <c r="AR144" i="4"/>
  <c r="T155" i="4"/>
  <c r="AF155" i="4"/>
  <c r="AR155" i="4"/>
  <c r="W164" i="4"/>
  <c r="W189" i="4"/>
  <c r="AL189" i="4"/>
  <c r="AU189" i="4"/>
  <c r="AO204" i="4"/>
  <c r="AT235" i="4"/>
  <c r="AU235" i="4"/>
  <c r="AT239" i="4"/>
  <c r="AU239" i="4"/>
  <c r="AT53" i="4"/>
  <c r="J54" i="4"/>
  <c r="J56" i="4"/>
  <c r="AQ59" i="4"/>
  <c r="AQ61" i="4"/>
  <c r="AQ63" i="4"/>
  <c r="AQ65" i="4"/>
  <c r="AQ67" i="4"/>
  <c r="AQ69" i="4"/>
  <c r="J71" i="4"/>
  <c r="J73" i="4"/>
  <c r="AQ76" i="4"/>
  <c r="AQ79" i="4"/>
  <c r="AQ78" i="4" s="1"/>
  <c r="AR78" i="4" s="1"/>
  <c r="J81" i="4"/>
  <c r="J80" i="4" s="1"/>
  <c r="AT82" i="4"/>
  <c r="AQ84" i="4"/>
  <c r="AQ83" i="4" s="1"/>
  <c r="AR83" i="4" s="1"/>
  <c r="AQ87" i="4"/>
  <c r="AQ89" i="4"/>
  <c r="AQ91" i="4"/>
  <c r="AQ93" i="4"/>
  <c r="J95" i="4"/>
  <c r="J97" i="4"/>
  <c r="J99" i="4"/>
  <c r="AQ102" i="4"/>
  <c r="AQ101" i="4" s="1"/>
  <c r="AR101" i="4" s="1"/>
  <c r="J104" i="4"/>
  <c r="J103" i="4" s="1"/>
  <c r="K103" i="4" s="1"/>
  <c r="AT105" i="4"/>
  <c r="AQ107" i="4"/>
  <c r="AQ109" i="4"/>
  <c r="J111" i="4"/>
  <c r="J110" i="4" s="1"/>
  <c r="K110" i="4" s="1"/>
  <c r="AQ114" i="4"/>
  <c r="AQ116" i="4"/>
  <c r="AT122" i="4"/>
  <c r="AT121" i="4" s="1"/>
  <c r="AU121" i="4" s="1"/>
  <c r="S124" i="4"/>
  <c r="S123" i="4" s="1"/>
  <c r="T123" i="4" s="1"/>
  <c r="AP124" i="4"/>
  <c r="S126" i="4"/>
  <c r="S125" i="4" s="1"/>
  <c r="T125" i="4" s="1"/>
  <c r="AP126" i="4"/>
  <c r="AQ128" i="4"/>
  <c r="AQ130" i="4"/>
  <c r="J132" i="4"/>
  <c r="AQ137" i="4"/>
  <c r="AQ139" i="4"/>
  <c r="AQ141" i="4"/>
  <c r="AQ143" i="4"/>
  <c r="K147" i="4"/>
  <c r="Y145" i="4"/>
  <c r="AK145" i="4"/>
  <c r="AL145" i="4" s="1"/>
  <c r="Q157" i="4"/>
  <c r="J164" i="4"/>
  <c r="H183" i="4"/>
  <c r="K189" i="4"/>
  <c r="Z189" i="4"/>
  <c r="AR189" i="4"/>
  <c r="H191" i="4"/>
  <c r="AF196" i="4"/>
  <c r="AC196" i="4"/>
  <c r="AI196" i="4"/>
  <c r="T204" i="4"/>
  <c r="AF204" i="4"/>
  <c r="N213" i="4"/>
  <c r="AL213" i="4"/>
  <c r="AT221" i="4"/>
  <c r="AU221" i="4"/>
  <c r="AT227" i="4"/>
  <c r="AT226" i="4" s="1"/>
  <c r="AU227" i="4"/>
  <c r="AT231" i="4"/>
  <c r="AU231" i="4"/>
  <c r="N103" i="4"/>
  <c r="N110" i="4"/>
  <c r="Z110" i="4"/>
  <c r="Q121" i="4"/>
  <c r="W121" i="4"/>
  <c r="AC121" i="4"/>
  <c r="AI121" i="4"/>
  <c r="N155" i="4"/>
  <c r="Z155" i="4"/>
  <c r="AL155" i="4"/>
  <c r="Q189" i="4"/>
  <c r="AC189" i="4"/>
  <c r="AO189" i="4"/>
  <c r="AT237" i="4"/>
  <c r="AU237" i="4"/>
  <c r="AE183" i="4"/>
  <c r="S191" i="4"/>
  <c r="AQ197" i="4"/>
  <c r="AS198" i="4"/>
  <c r="AR202" i="4"/>
  <c r="AQ205" i="4"/>
  <c r="AS206" i="4"/>
  <c r="J212" i="4"/>
  <c r="AS214" i="4"/>
  <c r="AQ215" i="4"/>
  <c r="AS216" i="4"/>
  <c r="AQ219" i="4"/>
  <c r="AS220" i="4"/>
  <c r="AQ221" i="4"/>
  <c r="AQ223" i="4"/>
  <c r="AQ222" i="4" s="1"/>
  <c r="AS224" i="4"/>
  <c r="AQ227" i="4"/>
  <c r="AQ226" i="4" s="1"/>
  <c r="AQ229" i="4"/>
  <c r="AS230" i="4"/>
  <c r="AQ231" i="4"/>
  <c r="AS232" i="4"/>
  <c r="AS234" i="4"/>
  <c r="AQ235" i="4"/>
  <c r="AS236" i="4"/>
  <c r="AQ237" i="4"/>
  <c r="AS238" i="4"/>
  <c r="AQ239" i="4"/>
  <c r="AQ243" i="4"/>
  <c r="AS248" i="4"/>
  <c r="AQ248" i="4"/>
  <c r="AS252" i="4"/>
  <c r="AQ252" i="4"/>
  <c r="AS256" i="4"/>
  <c r="AQ256" i="4"/>
  <c r="N259" i="4"/>
  <c r="AC259" i="4"/>
  <c r="AL259" i="4"/>
  <c r="J261" i="4"/>
  <c r="K261" i="4" s="1"/>
  <c r="K263" i="4"/>
  <c r="K264" i="4"/>
  <c r="K266" i="4"/>
  <c r="K273" i="4"/>
  <c r="AC207" i="4"/>
  <c r="AI207" i="4"/>
  <c r="AO207" i="4"/>
  <c r="AC210" i="4"/>
  <c r="AR215" i="4"/>
  <c r="AR219" i="4"/>
  <c r="AR221" i="4"/>
  <c r="AR223" i="4"/>
  <c r="AR227" i="4"/>
  <c r="AR229" i="4"/>
  <c r="AR231" i="4"/>
  <c r="AR235" i="4"/>
  <c r="AR237" i="4"/>
  <c r="AR239" i="4"/>
  <c r="AR243" i="4"/>
  <c r="AQ247" i="4"/>
  <c r="AS247" i="4"/>
  <c r="AQ251" i="4"/>
  <c r="AS251" i="4"/>
  <c r="AQ255" i="4"/>
  <c r="AS255" i="4"/>
  <c r="AB191" i="4"/>
  <c r="AQ198" i="4"/>
  <c r="J200" i="4"/>
  <c r="J199" i="4" s="1"/>
  <c r="K199" i="4" s="1"/>
  <c r="H201" i="4"/>
  <c r="J203" i="4"/>
  <c r="J202" i="4" s="1"/>
  <c r="AQ206" i="4"/>
  <c r="J208" i="4"/>
  <c r="J207" i="4" s="1"/>
  <c r="K207" i="4" s="1"/>
  <c r="J211" i="4"/>
  <c r="AQ214" i="4"/>
  <c r="AQ216" i="4"/>
  <c r="AR240" i="4"/>
  <c r="AS242" i="4"/>
  <c r="J243" i="4"/>
  <c r="AT243" i="4"/>
  <c r="AS244" i="4"/>
  <c r="J245" i="4"/>
  <c r="AR247" i="4"/>
  <c r="AR251" i="4"/>
  <c r="AR255" i="4"/>
  <c r="Q259" i="4"/>
  <c r="Z259" i="4"/>
  <c r="AO259" i="4"/>
  <c r="K269" i="4"/>
  <c r="K270" i="4"/>
  <c r="AU271" i="4"/>
  <c r="K275" i="4"/>
  <c r="K276" i="4"/>
  <c r="N199" i="4"/>
  <c r="T199" i="4"/>
  <c r="Z199" i="4"/>
  <c r="AF199" i="4"/>
  <c r="N202" i="4"/>
  <c r="T202" i="4"/>
  <c r="Z202" i="4"/>
  <c r="AF202" i="4"/>
  <c r="N207" i="4"/>
  <c r="T207" i="4"/>
  <c r="Z207" i="4"/>
  <c r="AF207" i="4"/>
  <c r="AQ245" i="4"/>
  <c r="AS245" i="4"/>
  <c r="T246" i="4"/>
  <c r="AS250" i="4"/>
  <c r="AQ250" i="4"/>
  <c r="AS254" i="4"/>
  <c r="AQ254" i="4"/>
  <c r="K277" i="4"/>
  <c r="J277" i="4"/>
  <c r="K336" i="4"/>
  <c r="J337" i="4"/>
  <c r="AS338" i="4"/>
  <c r="AQ340" i="4"/>
  <c r="K344" i="4"/>
  <c r="AT344" i="4"/>
  <c r="J345" i="4"/>
  <c r="AS346" i="4"/>
  <c r="AQ348" i="4"/>
  <c r="AU349" i="4"/>
  <c r="H351" i="4"/>
  <c r="AQ352" i="4"/>
  <c r="K356" i="4"/>
  <c r="AS358" i="4"/>
  <c r="K363" i="4"/>
  <c r="K364" i="4"/>
  <c r="AU365" i="4"/>
  <c r="K368" i="4"/>
  <c r="J368" i="4"/>
  <c r="K376" i="4"/>
  <c r="J376" i="4"/>
  <c r="AS340" i="4"/>
  <c r="AS348" i="4"/>
  <c r="K370" i="4"/>
  <c r="J370" i="4"/>
  <c r="AU373" i="4"/>
  <c r="AT373" i="4"/>
  <c r="J281" i="4"/>
  <c r="J283" i="4"/>
  <c r="J285" i="4"/>
  <c r="J287" i="4"/>
  <c r="J289" i="4"/>
  <c r="AT290" i="4"/>
  <c r="J291" i="4"/>
  <c r="J293" i="4"/>
  <c r="J295" i="4"/>
  <c r="J297" i="4"/>
  <c r="J299" i="4"/>
  <c r="J301" i="4"/>
  <c r="AT302" i="4"/>
  <c r="J303" i="4"/>
  <c r="J305" i="4"/>
  <c r="J307" i="4"/>
  <c r="J309" i="4"/>
  <c r="J313" i="4"/>
  <c r="J311" i="4" s="1"/>
  <c r="J315" i="4"/>
  <c r="J317" i="4"/>
  <c r="AT320" i="4"/>
  <c r="J321" i="4"/>
  <c r="AT322" i="4"/>
  <c r="J323" i="4"/>
  <c r="AT324" i="4"/>
  <c r="J325" i="4"/>
  <c r="AT328" i="4"/>
  <c r="J329" i="4"/>
  <c r="J331" i="4"/>
  <c r="J333" i="4"/>
  <c r="J335" i="4"/>
  <c r="AQ336" i="4"/>
  <c r="K340" i="4"/>
  <c r="AQ344" i="4"/>
  <c r="AU345" i="4"/>
  <c r="K348" i="4"/>
  <c r="K352" i="4"/>
  <c r="J353" i="4"/>
  <c r="AQ356" i="4"/>
  <c r="AU357" i="4"/>
  <c r="K360" i="4"/>
  <c r="K367" i="4"/>
  <c r="K372" i="4"/>
  <c r="J372" i="4"/>
  <c r="AU375" i="4"/>
  <c r="AU388" i="4"/>
  <c r="AT388" i="4"/>
  <c r="AU390" i="4"/>
  <c r="AU404" i="4"/>
  <c r="AS336" i="4"/>
  <c r="AS356" i="4"/>
  <c r="AU369" i="4"/>
  <c r="AT369" i="4"/>
  <c r="K374" i="4"/>
  <c r="J374" i="4"/>
  <c r="AT377" i="4"/>
  <c r="J378" i="4"/>
  <c r="J380" i="4"/>
  <c r="AT381" i="4"/>
  <c r="J382" i="4"/>
  <c r="AR382" i="4"/>
  <c r="AT383" i="4"/>
  <c r="J386" i="4"/>
  <c r="AR386" i="4"/>
  <c r="AT387" i="4"/>
  <c r="J388" i="4"/>
  <c r="AR388" i="4"/>
  <c r="J390" i="4"/>
  <c r="AR390" i="4"/>
  <c r="AT391" i="4"/>
  <c r="J392" i="4"/>
  <c r="AR392" i="4"/>
  <c r="J394" i="4"/>
  <c r="AR394" i="4"/>
  <c r="J396" i="4"/>
  <c r="AR396" i="4"/>
  <c r="J398" i="4"/>
  <c r="AR398" i="4"/>
  <c r="AT399" i="4"/>
  <c r="J400" i="4"/>
  <c r="AR400" i="4"/>
  <c r="AT401" i="4"/>
  <c r="J402" i="4"/>
  <c r="AR402" i="4"/>
  <c r="J404" i="4"/>
  <c r="AR404" i="4"/>
  <c r="J406" i="4"/>
  <c r="AR406" i="4"/>
  <c r="AT407" i="4"/>
  <c r="J408" i="4"/>
  <c r="AR408" i="4"/>
  <c r="AT409" i="4"/>
  <c r="J410" i="4"/>
  <c r="AR410" i="4"/>
  <c r="J412" i="4"/>
  <c r="AR412" i="4"/>
  <c r="J414" i="4"/>
  <c r="AR414" i="4"/>
  <c r="J416" i="4"/>
  <c r="AR416" i="4"/>
  <c r="K418" i="4"/>
  <c r="J419" i="4"/>
  <c r="AS420" i="4"/>
  <c r="AQ422" i="4"/>
  <c r="AS426" i="4"/>
  <c r="AR426" i="4"/>
  <c r="P430" i="4"/>
  <c r="Q430" i="4" s="1"/>
  <c r="V430" i="4"/>
  <c r="W430" i="4" s="1"/>
  <c r="AB430" i="4"/>
  <c r="AC430" i="4" s="1"/>
  <c r="AH430" i="4"/>
  <c r="AI430" i="4" s="1"/>
  <c r="AN430" i="4"/>
  <c r="AO430" i="4" s="1"/>
  <c r="AS432" i="4"/>
  <c r="AR432" i="4"/>
  <c r="AS422" i="4"/>
  <c r="K424" i="4"/>
  <c r="J424" i="4"/>
  <c r="AU425" i="4"/>
  <c r="AT425" i="4"/>
  <c r="K428" i="4"/>
  <c r="J428" i="4"/>
  <c r="AU429" i="4"/>
  <c r="AT429" i="4"/>
  <c r="K434" i="4"/>
  <c r="J434" i="4"/>
  <c r="AS424" i="4"/>
  <c r="AR424" i="4"/>
  <c r="AS428" i="4"/>
  <c r="AR428" i="4"/>
  <c r="AS434" i="4"/>
  <c r="AR434" i="4"/>
  <c r="K426" i="4"/>
  <c r="J426" i="4"/>
  <c r="AQ428" i="4"/>
  <c r="K432" i="4"/>
  <c r="J432" i="4"/>
  <c r="AU433" i="4"/>
  <c r="AQ434" i="4"/>
  <c r="K436" i="4"/>
  <c r="J436" i="4"/>
  <c r="K438" i="4"/>
  <c r="J438" i="4"/>
  <c r="AR436" i="4"/>
  <c r="AS438" i="4"/>
  <c r="AQ440" i="4"/>
  <c r="AU441" i="4"/>
  <c r="H443" i="4"/>
  <c r="AL443" i="4" s="1"/>
  <c r="AQ444" i="4"/>
  <c r="AU445" i="4"/>
  <c r="K448" i="4"/>
  <c r="AT448" i="4"/>
  <c r="J449" i="4"/>
  <c r="AS450" i="4"/>
  <c r="AQ454" i="4"/>
  <c r="AU455" i="4"/>
  <c r="H457" i="4"/>
  <c r="AQ458" i="4"/>
  <c r="AU459" i="4"/>
  <c r="K462" i="4"/>
  <c r="K476" i="4"/>
  <c r="J476" i="4"/>
  <c r="AS440" i="4"/>
  <c r="AQ442" i="4"/>
  <c r="AS444" i="4"/>
  <c r="AQ446" i="4"/>
  <c r="K450" i="4"/>
  <c r="P452" i="4"/>
  <c r="Q452" i="4" s="1"/>
  <c r="V452" i="4"/>
  <c r="W452" i="4" s="1"/>
  <c r="AB452" i="4"/>
  <c r="AC452" i="4" s="1"/>
  <c r="AH452" i="4"/>
  <c r="AI452" i="4" s="1"/>
  <c r="AN452" i="4"/>
  <c r="AO452" i="4" s="1"/>
  <c r="AS454" i="4"/>
  <c r="AQ456" i="4"/>
  <c r="AS458" i="4"/>
  <c r="AQ460" i="4"/>
  <c r="AU461" i="4"/>
  <c r="K466" i="4"/>
  <c r="K478" i="4"/>
  <c r="J478" i="4"/>
  <c r="K481" i="4"/>
  <c r="J481" i="4"/>
  <c r="K469" i="4"/>
  <c r="J469" i="4"/>
  <c r="J464" i="4" s="1"/>
  <c r="AU475" i="4"/>
  <c r="AT475" i="4"/>
  <c r="K483" i="4"/>
  <c r="J483" i="4"/>
  <c r="K474" i="4"/>
  <c r="J474" i="4"/>
  <c r="AU541" i="4"/>
  <c r="AT541" i="4"/>
  <c r="K548" i="4"/>
  <c r="J548" i="4"/>
  <c r="K550" i="4"/>
  <c r="J550" i="4"/>
  <c r="K552" i="4"/>
  <c r="J552" i="4"/>
  <c r="J485" i="4"/>
  <c r="J487" i="4"/>
  <c r="J489" i="4"/>
  <c r="AT490" i="4"/>
  <c r="J491" i="4"/>
  <c r="J493" i="4"/>
  <c r="J495" i="4"/>
  <c r="AT496" i="4"/>
  <c r="J497" i="4"/>
  <c r="AT498" i="4"/>
  <c r="J500" i="4"/>
  <c r="J502" i="4"/>
  <c r="J505" i="4"/>
  <c r="J507" i="4"/>
  <c r="J510" i="4"/>
  <c r="J512" i="4"/>
  <c r="AT513" i="4"/>
  <c r="J514" i="4"/>
  <c r="J516" i="4"/>
  <c r="AT517" i="4"/>
  <c r="J518" i="4"/>
  <c r="J520" i="4"/>
  <c r="K526" i="4"/>
  <c r="K527" i="4"/>
  <c r="AU528" i="4"/>
  <c r="K533" i="4"/>
  <c r="K534" i="4"/>
  <c r="AU534" i="4"/>
  <c r="AU544" i="4"/>
  <c r="AT544" i="4"/>
  <c r="AT558" i="4"/>
  <c r="AU558" i="4"/>
  <c r="AQ496" i="4"/>
  <c r="AQ498" i="4"/>
  <c r="AQ501" i="4"/>
  <c r="AR503" i="4"/>
  <c r="AQ504" i="4"/>
  <c r="AQ506" i="4"/>
  <c r="AR508" i="4"/>
  <c r="AQ509" i="4"/>
  <c r="AQ511" i="4"/>
  <c r="AQ513" i="4"/>
  <c r="AQ515" i="4"/>
  <c r="AQ517" i="4"/>
  <c r="AQ519" i="4"/>
  <c r="J521" i="4"/>
  <c r="K524" i="4"/>
  <c r="K525" i="4"/>
  <c r="AU525" i="4"/>
  <c r="K531" i="4"/>
  <c r="K532" i="4"/>
  <c r="K540" i="4"/>
  <c r="K542" i="4"/>
  <c r="J542" i="4"/>
  <c r="AU547" i="4"/>
  <c r="AT547" i="4"/>
  <c r="AU549" i="4"/>
  <c r="AT549" i="4"/>
  <c r="AU551" i="4"/>
  <c r="AT551" i="4"/>
  <c r="K530" i="4"/>
  <c r="AU530" i="4"/>
  <c r="AU531" i="4"/>
  <c r="K538" i="4"/>
  <c r="K539" i="4"/>
  <c r="AU539" i="4"/>
  <c r="K545" i="4"/>
  <c r="J545" i="4"/>
  <c r="AS553" i="4"/>
  <c r="AQ554" i="4"/>
  <c r="AS555" i="4"/>
  <c r="AQ556" i="4"/>
  <c r="AS557" i="4"/>
  <c r="AQ558" i="4"/>
  <c r="Y560" i="4"/>
  <c r="AE560" i="4"/>
  <c r="AK560" i="4"/>
  <c r="K563" i="4"/>
  <c r="AS565" i="4"/>
  <c r="K569" i="4"/>
  <c r="J569" i="4"/>
  <c r="K575" i="4"/>
  <c r="J575" i="4"/>
  <c r="AU576" i="4"/>
  <c r="AT576" i="4"/>
  <c r="K579" i="4"/>
  <c r="J579" i="4"/>
  <c r="K585" i="4"/>
  <c r="J585" i="4"/>
  <c r="AU588" i="4"/>
  <c r="AT588" i="4"/>
  <c r="K599" i="4"/>
  <c r="J599" i="4"/>
  <c r="K603" i="4"/>
  <c r="J603" i="4"/>
  <c r="AU605" i="4"/>
  <c r="AU610" i="4"/>
  <c r="AT610" i="4"/>
  <c r="K615" i="4"/>
  <c r="J615" i="4"/>
  <c r="AR624" i="4"/>
  <c r="AQ624" i="4"/>
  <c r="AS624" i="4"/>
  <c r="AI637" i="4"/>
  <c r="AT656" i="4"/>
  <c r="AU656" i="4"/>
  <c r="AS569" i="4"/>
  <c r="AR569" i="4"/>
  <c r="AS575" i="4"/>
  <c r="AR575" i="4"/>
  <c r="AS579" i="4"/>
  <c r="AR579" i="4"/>
  <c r="K587" i="4"/>
  <c r="J587" i="4"/>
  <c r="K605" i="4"/>
  <c r="J605" i="4"/>
  <c r="K609" i="4"/>
  <c r="J609" i="4"/>
  <c r="K617" i="4"/>
  <c r="J617" i="4"/>
  <c r="AQ541" i="4"/>
  <c r="AR543" i="4"/>
  <c r="AQ544" i="4"/>
  <c r="AR546" i="4"/>
  <c r="AQ547" i="4"/>
  <c r="AQ549" i="4"/>
  <c r="AQ551" i="4"/>
  <c r="AQ553" i="4"/>
  <c r="AQ555" i="4"/>
  <c r="AQ557" i="4"/>
  <c r="AS561" i="4"/>
  <c r="AQ563" i="4"/>
  <c r="K567" i="4"/>
  <c r="AQ569" i="4"/>
  <c r="K571" i="4"/>
  <c r="J571" i="4"/>
  <c r="AQ575" i="4"/>
  <c r="K577" i="4"/>
  <c r="J577" i="4"/>
  <c r="AQ579" i="4"/>
  <c r="K581" i="4"/>
  <c r="J581" i="4"/>
  <c r="AT584" i="4"/>
  <c r="K589" i="4"/>
  <c r="J589" i="4"/>
  <c r="K611" i="4"/>
  <c r="J611" i="4"/>
  <c r="K619" i="4"/>
  <c r="J619" i="4"/>
  <c r="H613" i="4"/>
  <c r="AQ622" i="4"/>
  <c r="AS622" i="4"/>
  <c r="AR622" i="4"/>
  <c r="AS563" i="4"/>
  <c r="AS567" i="4"/>
  <c r="AR567" i="4"/>
  <c r="H568" i="4"/>
  <c r="Q568" i="4" s="1"/>
  <c r="AS571" i="4"/>
  <c r="AR571" i="4"/>
  <c r="AS577" i="4"/>
  <c r="AR577" i="4"/>
  <c r="K583" i="4"/>
  <c r="J583" i="4"/>
  <c r="K593" i="4"/>
  <c r="J593" i="4"/>
  <c r="K597" i="4"/>
  <c r="J597" i="4"/>
  <c r="AU604" i="4"/>
  <c r="AT604" i="4"/>
  <c r="AU608" i="4"/>
  <c r="AU616" i="4"/>
  <c r="AT616" i="4"/>
  <c r="K621" i="4"/>
  <c r="J621" i="4"/>
  <c r="N637" i="4"/>
  <c r="T637" i="4"/>
  <c r="Z637" i="4"/>
  <c r="AF637" i="4"/>
  <c r="AL637" i="4"/>
  <c r="AS638" i="4"/>
  <c r="AR638" i="4"/>
  <c r="AQ638" i="4"/>
  <c r="AQ637" i="4" s="1"/>
  <c r="AR637" i="4" s="1"/>
  <c r="AI659" i="4"/>
  <c r="W659" i="4"/>
  <c r="AO659" i="4"/>
  <c r="AC659" i="4"/>
  <c r="Q659" i="4"/>
  <c r="H644" i="4"/>
  <c r="AR581" i="4"/>
  <c r="AR583" i="4"/>
  <c r="AR585" i="4"/>
  <c r="AR587" i="4"/>
  <c r="AR589" i="4"/>
  <c r="AR593" i="4"/>
  <c r="AR597" i="4"/>
  <c r="AR599" i="4"/>
  <c r="AR603" i="4"/>
  <c r="AR605" i="4"/>
  <c r="AR609" i="4"/>
  <c r="AR611" i="4"/>
  <c r="AR615" i="4"/>
  <c r="AR617" i="4"/>
  <c r="AR619" i="4"/>
  <c r="AR621" i="4"/>
  <c r="AR623" i="4"/>
  <c r="AU627" i="4"/>
  <c r="AT627" i="4"/>
  <c r="N635" i="4"/>
  <c r="T635" i="4"/>
  <c r="Z635" i="4"/>
  <c r="AF635" i="4"/>
  <c r="AL635" i="4"/>
  <c r="AS636" i="4"/>
  <c r="AR636" i="4"/>
  <c r="AQ636" i="4"/>
  <c r="AQ635" i="4" s="1"/>
  <c r="AR635" i="4" s="1"/>
  <c r="Q637" i="4"/>
  <c r="AO637" i="4"/>
  <c r="W639" i="4"/>
  <c r="AI645" i="4"/>
  <c r="AT621" i="4"/>
  <c r="AT623" i="4"/>
  <c r="AS630" i="4"/>
  <c r="AR630" i="4"/>
  <c r="AQ630" i="4"/>
  <c r="AS632" i="4"/>
  <c r="AR632" i="4"/>
  <c r="AQ632" i="4"/>
  <c r="AS634" i="4"/>
  <c r="AR634" i="4"/>
  <c r="AQ634" i="4"/>
  <c r="W637" i="4"/>
  <c r="AC639" i="4"/>
  <c r="AS642" i="4"/>
  <c r="AR642" i="4"/>
  <c r="AQ642" i="4"/>
  <c r="AR648" i="4"/>
  <c r="AS648" i="4"/>
  <c r="AQ648" i="4"/>
  <c r="AT652" i="4"/>
  <c r="AU652" i="4"/>
  <c r="AU663" i="4"/>
  <c r="AT663" i="4"/>
  <c r="AT662" i="4" s="1"/>
  <c r="AR626" i="4"/>
  <c r="AQ626" i="4"/>
  <c r="AU631" i="4"/>
  <c r="AT631" i="4"/>
  <c r="AU633" i="4"/>
  <c r="AT633" i="4"/>
  <c r="AC637" i="4"/>
  <c r="N639" i="4"/>
  <c r="T639" i="4"/>
  <c r="Z639" i="4"/>
  <c r="AF639" i="4"/>
  <c r="AL639" i="4"/>
  <c r="AS640" i="4"/>
  <c r="AR640" i="4"/>
  <c r="AQ640" i="4"/>
  <c r="AQ639" i="4" s="1"/>
  <c r="AR639" i="4" s="1"/>
  <c r="AU643" i="4"/>
  <c r="AT643" i="4"/>
  <c r="K645" i="4"/>
  <c r="AU649" i="4"/>
  <c r="AT649" i="4"/>
  <c r="AU650" i="4"/>
  <c r="AU654" i="4"/>
  <c r="AU658" i="4"/>
  <c r="K660" i="4"/>
  <c r="J660" i="4"/>
  <c r="J659" i="4" s="1"/>
  <c r="K659" i="4" s="1"/>
  <c r="AU664" i="4"/>
  <c r="K650" i="4"/>
  <c r="J650" i="4"/>
  <c r="K654" i="4"/>
  <c r="J654" i="4"/>
  <c r="K658" i="4"/>
  <c r="J658" i="4"/>
  <c r="J657" i="4" s="1"/>
  <c r="K657" i="4" s="1"/>
  <c r="N659" i="4"/>
  <c r="T659" i="4"/>
  <c r="Z659" i="4"/>
  <c r="AF659" i="4"/>
  <c r="AL659" i="4"/>
  <c r="AU659" i="4"/>
  <c r="K664" i="4"/>
  <c r="J664" i="4"/>
  <c r="J662" i="4" s="1"/>
  <c r="K652" i="4"/>
  <c r="J652" i="4"/>
  <c r="K656" i="4"/>
  <c r="J656" i="4"/>
  <c r="P661" i="4"/>
  <c r="V661" i="4"/>
  <c r="AB661" i="4"/>
  <c r="AC661" i="4" s="1"/>
  <c r="AC662" i="4"/>
  <c r="AN661" i="4"/>
  <c r="AR650" i="4"/>
  <c r="AR652" i="4"/>
  <c r="AR654" i="4"/>
  <c r="AR656" i="4"/>
  <c r="AR658" i="4"/>
  <c r="AR660" i="4"/>
  <c r="AR664" i="4"/>
  <c r="K257" i="1"/>
  <c r="K148" i="1"/>
  <c r="K149" i="1"/>
  <c r="K151" i="1"/>
  <c r="K153" i="1"/>
  <c r="K158" i="1"/>
  <c r="M158" i="1" s="1"/>
  <c r="K160" i="1"/>
  <c r="M160" i="1" s="1"/>
  <c r="K161" i="1"/>
  <c r="K162" i="1"/>
  <c r="M162" i="1" s="1"/>
  <c r="K163" i="1"/>
  <c r="K165" i="1"/>
  <c r="K166" i="1"/>
  <c r="K169" i="1"/>
  <c r="K170" i="1"/>
  <c r="K171" i="1"/>
  <c r="K172" i="1"/>
  <c r="K173" i="1"/>
  <c r="K174" i="1"/>
  <c r="K176" i="1"/>
  <c r="K177" i="1"/>
  <c r="K178" i="1"/>
  <c r="K185" i="1"/>
  <c r="K186" i="1"/>
  <c r="K190" i="1"/>
  <c r="L193" i="1"/>
  <c r="L192" i="1" s="1"/>
  <c r="K195" i="1"/>
  <c r="M195" i="1" s="1"/>
  <c r="G664" i="1"/>
  <c r="G663" i="1"/>
  <c r="G660" i="1"/>
  <c r="G659" i="1" s="1"/>
  <c r="G658" i="1"/>
  <c r="G657" i="1" s="1"/>
  <c r="G656" i="1"/>
  <c r="G655" i="1"/>
  <c r="G654" i="1"/>
  <c r="G652" i="1"/>
  <c r="G651" i="1"/>
  <c r="G650" i="1"/>
  <c r="G649" i="1"/>
  <c r="G648" i="1"/>
  <c r="G646" i="1"/>
  <c r="G645" i="1" s="1"/>
  <c r="G643" i="1"/>
  <c r="G642" i="1"/>
  <c r="G640" i="1"/>
  <c r="G639" i="1" s="1"/>
  <c r="G638" i="1"/>
  <c r="G637" i="1" s="1"/>
  <c r="G636" i="1"/>
  <c r="G635" i="1" s="1"/>
  <c r="G631" i="1"/>
  <c r="G632" i="1"/>
  <c r="G633" i="1"/>
  <c r="G634" i="1"/>
  <c r="G630" i="1"/>
  <c r="G627" i="1"/>
  <c r="G626" i="1"/>
  <c r="G615" i="1"/>
  <c r="G616" i="1"/>
  <c r="G617" i="1"/>
  <c r="G618" i="1"/>
  <c r="G619" i="1"/>
  <c r="G620" i="1"/>
  <c r="G621" i="1"/>
  <c r="G622" i="1"/>
  <c r="G623" i="1"/>
  <c r="G624" i="1"/>
  <c r="G614" i="1"/>
  <c r="G609" i="1"/>
  <c r="G610" i="1"/>
  <c r="G611" i="1"/>
  <c r="G612" i="1"/>
  <c r="G608" i="1"/>
  <c r="G597" i="1"/>
  <c r="G598" i="1"/>
  <c r="G599" i="1"/>
  <c r="G600" i="1"/>
  <c r="G596" i="1"/>
  <c r="G593" i="1"/>
  <c r="G594" i="1"/>
  <c r="G592" i="1"/>
  <c r="G580" i="1"/>
  <c r="G581" i="1"/>
  <c r="G582" i="1"/>
  <c r="G583" i="1"/>
  <c r="G584" i="1"/>
  <c r="G585" i="1"/>
  <c r="G586" i="1"/>
  <c r="G587" i="1"/>
  <c r="G588" i="1"/>
  <c r="G589" i="1"/>
  <c r="G579" i="1"/>
  <c r="G575" i="1"/>
  <c r="G576" i="1"/>
  <c r="G577" i="1"/>
  <c r="G574" i="1"/>
  <c r="G570" i="1"/>
  <c r="G571" i="1"/>
  <c r="G572" i="1"/>
  <c r="G569" i="1"/>
  <c r="G562" i="1"/>
  <c r="G563" i="1"/>
  <c r="G564" i="1"/>
  <c r="G565" i="1"/>
  <c r="G566" i="1"/>
  <c r="G567" i="1"/>
  <c r="G561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5" i="1"/>
  <c r="G544" i="1"/>
  <c r="G539" i="1"/>
  <c r="G540" i="1"/>
  <c r="G541" i="1"/>
  <c r="G542" i="1"/>
  <c r="G538" i="1"/>
  <c r="G531" i="1"/>
  <c r="G532" i="1"/>
  <c r="G533" i="1"/>
  <c r="G534" i="1"/>
  <c r="G535" i="1"/>
  <c r="G536" i="1"/>
  <c r="G530" i="1"/>
  <c r="G525" i="1"/>
  <c r="G526" i="1"/>
  <c r="G527" i="1"/>
  <c r="G528" i="1"/>
  <c r="G524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09" i="1"/>
  <c r="G505" i="1"/>
  <c r="G506" i="1"/>
  <c r="G507" i="1"/>
  <c r="G504" i="1"/>
  <c r="G501" i="1"/>
  <c r="G502" i="1"/>
  <c r="G50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80" i="1"/>
  <c r="G474" i="1"/>
  <c r="G475" i="1"/>
  <c r="G476" i="1"/>
  <c r="G477" i="1"/>
  <c r="G478" i="1"/>
  <c r="G473" i="1"/>
  <c r="G470" i="1"/>
  <c r="G469" i="1"/>
  <c r="G467" i="1"/>
  <c r="G466" i="1"/>
  <c r="G462" i="1"/>
  <c r="G461" i="1"/>
  <c r="G460" i="1"/>
  <c r="G459" i="1"/>
  <c r="G458" i="1"/>
  <c r="G456" i="1"/>
  <c r="G455" i="1"/>
  <c r="G454" i="1"/>
  <c r="G453" i="1"/>
  <c r="G445" i="1"/>
  <c r="G446" i="1"/>
  <c r="G447" i="1"/>
  <c r="G448" i="1"/>
  <c r="G449" i="1"/>
  <c r="G450" i="1"/>
  <c r="G451" i="1"/>
  <c r="G444" i="1"/>
  <c r="G432" i="1"/>
  <c r="G433" i="1"/>
  <c r="G434" i="1"/>
  <c r="G435" i="1"/>
  <c r="G436" i="1"/>
  <c r="G437" i="1"/>
  <c r="G438" i="1"/>
  <c r="G439" i="1"/>
  <c r="G440" i="1"/>
  <c r="G441" i="1"/>
  <c r="G442" i="1"/>
  <c r="G431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1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396" i="1"/>
  <c r="G386" i="1"/>
  <c r="G387" i="1"/>
  <c r="G388" i="1"/>
  <c r="G389" i="1"/>
  <c r="G390" i="1"/>
  <c r="G391" i="1"/>
  <c r="G392" i="1"/>
  <c r="G393" i="1"/>
  <c r="G394" i="1"/>
  <c r="G385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52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28" i="1"/>
  <c r="G321" i="1"/>
  <c r="G322" i="1"/>
  <c r="G323" i="1"/>
  <c r="G324" i="1"/>
  <c r="G325" i="1"/>
  <c r="G320" i="1"/>
  <c r="G316" i="1"/>
  <c r="G317" i="1"/>
  <c r="G318" i="1"/>
  <c r="G315" i="1"/>
  <c r="G313" i="1"/>
  <c r="G312" i="1"/>
  <c r="G306" i="1"/>
  <c r="G307" i="1"/>
  <c r="G308" i="1"/>
  <c r="G309" i="1"/>
  <c r="G310" i="1"/>
  <c r="G305" i="1"/>
  <c r="G298" i="1"/>
  <c r="G299" i="1"/>
  <c r="G300" i="1"/>
  <c r="G301" i="1"/>
  <c r="G302" i="1"/>
  <c r="G303" i="1"/>
  <c r="G297" i="1"/>
  <c r="G286" i="1"/>
  <c r="G287" i="1"/>
  <c r="G288" i="1"/>
  <c r="G289" i="1"/>
  <c r="G290" i="1"/>
  <c r="G291" i="1"/>
  <c r="G292" i="1"/>
  <c r="G293" i="1"/>
  <c r="G294" i="1"/>
  <c r="G295" i="1"/>
  <c r="G285" i="1"/>
  <c r="G281" i="1"/>
  <c r="G282" i="1"/>
  <c r="G283" i="1"/>
  <c r="G280" i="1"/>
  <c r="G276" i="1"/>
  <c r="G277" i="1"/>
  <c r="G278" i="1"/>
  <c r="G275" i="1"/>
  <c r="G267" i="1"/>
  <c r="G268" i="1"/>
  <c r="G269" i="1"/>
  <c r="G270" i="1"/>
  <c r="G271" i="1"/>
  <c r="G272" i="1"/>
  <c r="G273" i="1"/>
  <c r="G266" i="1"/>
  <c r="G264" i="1"/>
  <c r="G263" i="1"/>
  <c r="G262" i="1"/>
  <c r="G260" i="1"/>
  <c r="G259" i="1" s="1"/>
  <c r="G257" i="1"/>
  <c r="G256" i="1"/>
  <c r="G255" i="1"/>
  <c r="G254" i="1"/>
  <c r="G252" i="1"/>
  <c r="G251" i="1"/>
  <c r="G250" i="1"/>
  <c r="G248" i="1"/>
  <c r="G247" i="1"/>
  <c r="G243" i="1"/>
  <c r="G244" i="1"/>
  <c r="G245" i="1"/>
  <c r="G242" i="1"/>
  <c r="G235" i="1"/>
  <c r="G236" i="1"/>
  <c r="G237" i="1"/>
  <c r="G238" i="1"/>
  <c r="G239" i="1"/>
  <c r="G240" i="1"/>
  <c r="G234" i="1"/>
  <c r="G230" i="1"/>
  <c r="G231" i="1"/>
  <c r="G232" i="1"/>
  <c r="G229" i="1"/>
  <c r="G227" i="1"/>
  <c r="G226" i="1" s="1"/>
  <c r="G224" i="1"/>
  <c r="G223" i="1"/>
  <c r="G221" i="1"/>
  <c r="G220" i="1"/>
  <c r="G219" i="1"/>
  <c r="G216" i="1"/>
  <c r="G215" i="1"/>
  <c r="G214" i="1"/>
  <c r="G212" i="1"/>
  <c r="G211" i="1"/>
  <c r="G208" i="1"/>
  <c r="G206" i="1"/>
  <c r="G205" i="1"/>
  <c r="G203" i="1"/>
  <c r="G202" i="1" s="1"/>
  <c r="G200" i="1"/>
  <c r="G199" i="1" s="1"/>
  <c r="G198" i="1"/>
  <c r="G197" i="1"/>
  <c r="G195" i="1"/>
  <c r="G193" i="1"/>
  <c r="G190" i="1"/>
  <c r="G188" i="1"/>
  <c r="G186" i="1"/>
  <c r="G185" i="1"/>
  <c r="G181" i="1"/>
  <c r="G182" i="1"/>
  <c r="G180" i="1"/>
  <c r="G178" i="1"/>
  <c r="G177" i="1"/>
  <c r="G176" i="1"/>
  <c r="G170" i="1"/>
  <c r="G171" i="1"/>
  <c r="G172" i="1"/>
  <c r="G173" i="1"/>
  <c r="G174" i="1"/>
  <c r="G169" i="1"/>
  <c r="G166" i="1"/>
  <c r="G167" i="1"/>
  <c r="G165" i="1"/>
  <c r="G161" i="1"/>
  <c r="G162" i="1"/>
  <c r="G163" i="1"/>
  <c r="G160" i="1"/>
  <c r="G158" i="1"/>
  <c r="G156" i="1"/>
  <c r="G153" i="1"/>
  <c r="G152" i="1" s="1"/>
  <c r="G147" i="1"/>
  <c r="G148" i="1"/>
  <c r="G149" i="1"/>
  <c r="G150" i="1"/>
  <c r="G151" i="1"/>
  <c r="G146" i="1"/>
  <c r="G137" i="1"/>
  <c r="G138" i="1"/>
  <c r="G139" i="1"/>
  <c r="G140" i="1"/>
  <c r="G141" i="1"/>
  <c r="G142" i="1"/>
  <c r="G143" i="1"/>
  <c r="G144" i="1"/>
  <c r="G136" i="1"/>
  <c r="G133" i="1"/>
  <c r="G132" i="1"/>
  <c r="G129" i="1"/>
  <c r="G130" i="1"/>
  <c r="G128" i="1"/>
  <c r="G126" i="1"/>
  <c r="G125" i="1" s="1"/>
  <c r="G124" i="1"/>
  <c r="G123" i="1" s="1"/>
  <c r="G122" i="1"/>
  <c r="G121" i="1" s="1"/>
  <c r="G120" i="1"/>
  <c r="G119" i="1" s="1"/>
  <c r="G115" i="1"/>
  <c r="G116" i="1"/>
  <c r="G117" i="1"/>
  <c r="G114" i="1"/>
  <c r="G112" i="1"/>
  <c r="G111" i="1"/>
  <c r="G108" i="1"/>
  <c r="G109" i="1"/>
  <c r="G107" i="1"/>
  <c r="G105" i="1"/>
  <c r="G104" i="1"/>
  <c r="G102" i="1"/>
  <c r="G101" i="1" s="1"/>
  <c r="G100" i="1"/>
  <c r="G99" i="1"/>
  <c r="G98" i="1"/>
  <c r="G97" i="1"/>
  <c r="G96" i="1"/>
  <c r="G95" i="1"/>
  <c r="G93" i="1"/>
  <c r="G92" i="1"/>
  <c r="G91" i="1"/>
  <c r="G90" i="1"/>
  <c r="G89" i="1"/>
  <c r="G88" i="1"/>
  <c r="G87" i="1"/>
  <c r="G84" i="1"/>
  <c r="G83" i="1" s="1"/>
  <c r="G82" i="1"/>
  <c r="G81" i="1"/>
  <c r="G79" i="1"/>
  <c r="G78" i="1" s="1"/>
  <c r="G76" i="1"/>
  <c r="G75" i="1"/>
  <c r="G72" i="1"/>
  <c r="G71" i="1"/>
  <c r="G60" i="1"/>
  <c r="G61" i="1"/>
  <c r="G62" i="1"/>
  <c r="G63" i="1"/>
  <c r="G64" i="1"/>
  <c r="G65" i="1"/>
  <c r="G66" i="1"/>
  <c r="G67" i="1"/>
  <c r="G68" i="1"/>
  <c r="G69" i="1"/>
  <c r="G59" i="1"/>
  <c r="G58" i="1"/>
  <c r="G56" i="1"/>
  <c r="G55" i="1"/>
  <c r="G54" i="1"/>
  <c r="G53" i="1"/>
  <c r="G50" i="1"/>
  <c r="G49" i="1"/>
  <c r="G47" i="1"/>
  <c r="G46" i="1"/>
  <c r="G44" i="1"/>
  <c r="G43" i="1" s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12" i="1"/>
  <c r="G13" i="1"/>
  <c r="G14" i="1"/>
  <c r="G11" i="1"/>
  <c r="G602" i="1"/>
  <c r="G603" i="1"/>
  <c r="G604" i="1"/>
  <c r="G605" i="1"/>
  <c r="G606" i="1"/>
  <c r="K659" i="1"/>
  <c r="K657" i="1"/>
  <c r="K653" i="1"/>
  <c r="K645" i="1"/>
  <c r="K644" i="1"/>
  <c r="K639" i="1"/>
  <c r="K628" i="1"/>
  <c r="K613" i="1"/>
  <c r="K578" i="1"/>
  <c r="K568" i="1"/>
  <c r="K471" i="1"/>
  <c r="K452" i="1"/>
  <c r="G155" i="1" l="1"/>
  <c r="G157" i="1"/>
  <c r="G207" i="1"/>
  <c r="G187" i="1"/>
  <c r="J187" i="1" s="1"/>
  <c r="G192" i="1"/>
  <c r="G194" i="1"/>
  <c r="J194" i="1" s="1"/>
  <c r="Q179" i="4"/>
  <c r="AO179" i="4"/>
  <c r="K179" i="4"/>
  <c r="AF591" i="4"/>
  <c r="Z625" i="4"/>
  <c r="AL246" i="4"/>
  <c r="AR179" i="4"/>
  <c r="AC184" i="4"/>
  <c r="AT408" i="4"/>
  <c r="AL179" i="4"/>
  <c r="AC103" i="4"/>
  <c r="G189" i="1"/>
  <c r="J125" i="1"/>
  <c r="J43" i="1"/>
  <c r="J78" i="1"/>
  <c r="J645" i="1"/>
  <c r="J101" i="1"/>
  <c r="J657" i="1"/>
  <c r="J226" i="1"/>
  <c r="J659" i="1"/>
  <c r="J83" i="1"/>
  <c r="J259" i="1"/>
  <c r="J635" i="1"/>
  <c r="J124" i="1"/>
  <c r="J199" i="1"/>
  <c r="J202" i="1"/>
  <c r="J637" i="1"/>
  <c r="J119" i="1"/>
  <c r="J152" i="1"/>
  <c r="J639" i="1"/>
  <c r="J132" i="1"/>
  <c r="J121" i="1"/>
  <c r="AU554" i="4"/>
  <c r="Z80" i="4"/>
  <c r="AO164" i="4"/>
  <c r="W591" i="4"/>
  <c r="AU545" i="4"/>
  <c r="AU480" i="4"/>
  <c r="AO233" i="4"/>
  <c r="Q591" i="4"/>
  <c r="AU303" i="4"/>
  <c r="AT494" i="4"/>
  <c r="AU437" i="4"/>
  <c r="AB183" i="4"/>
  <c r="AC183" i="4" s="1"/>
  <c r="Z246" i="4"/>
  <c r="AI233" i="4"/>
  <c r="AR591" i="4"/>
  <c r="Z591" i="4"/>
  <c r="AT600" i="4"/>
  <c r="AT435" i="4"/>
  <c r="AT385" i="4"/>
  <c r="AT394" i="4"/>
  <c r="AU266" i="4"/>
  <c r="AU374" i="4"/>
  <c r="N164" i="4"/>
  <c r="AN9" i="4"/>
  <c r="AT417" i="4"/>
  <c r="T327" i="4"/>
  <c r="AT281" i="4"/>
  <c r="Q110" i="4"/>
  <c r="K164" i="4"/>
  <c r="AO591" i="4"/>
  <c r="AU287" i="4"/>
  <c r="AN628" i="4"/>
  <c r="AI591" i="4"/>
  <c r="AF164" i="4"/>
  <c r="Q164" i="4"/>
  <c r="AE217" i="4"/>
  <c r="Z86" i="4"/>
  <c r="W52" i="4"/>
  <c r="AO311" i="4"/>
  <c r="AB644" i="4"/>
  <c r="AC644" i="4" s="1"/>
  <c r="AF222" i="4"/>
  <c r="T629" i="4"/>
  <c r="T80" i="4"/>
  <c r="AT413" i="4"/>
  <c r="AU414" i="4"/>
  <c r="AO253" i="4"/>
  <c r="N261" i="4"/>
  <c r="AL601" i="4"/>
  <c r="AQ625" i="4"/>
  <c r="AR625" i="4" s="1"/>
  <c r="AU470" i="4"/>
  <c r="AL86" i="4"/>
  <c r="AN154" i="4"/>
  <c r="AH628" i="4"/>
  <c r="AL595" i="4"/>
  <c r="AN118" i="4"/>
  <c r="W103" i="4"/>
  <c r="AT655" i="4"/>
  <c r="AT653" i="4" s="1"/>
  <c r="AU653" i="4" s="1"/>
  <c r="AL647" i="4"/>
  <c r="S628" i="4"/>
  <c r="Q471" i="4"/>
  <c r="AT318" i="4"/>
  <c r="AT306" i="4"/>
  <c r="AU276" i="4"/>
  <c r="AR222" i="4"/>
  <c r="AT55" i="4"/>
  <c r="AT52" i="4" s="1"/>
  <c r="AU52" i="4" s="1"/>
  <c r="AI560" i="4"/>
  <c r="Q314" i="4"/>
  <c r="AU493" i="4"/>
  <c r="W222" i="4"/>
  <c r="AO601" i="4"/>
  <c r="Q601" i="4"/>
  <c r="AI222" i="4"/>
  <c r="H217" i="4"/>
  <c r="AC217" i="4" s="1"/>
  <c r="AT592" i="4"/>
  <c r="AT519" i="4"/>
  <c r="AT515" i="4"/>
  <c r="AT511" i="4"/>
  <c r="AT427" i="4"/>
  <c r="AU406" i="4"/>
  <c r="AT392" i="4"/>
  <c r="AT310" i="4"/>
  <c r="Y191" i="4"/>
  <c r="AH559" i="4"/>
  <c r="Q222" i="4"/>
  <c r="AC222" i="4"/>
  <c r="AI80" i="4"/>
  <c r="AL222" i="4"/>
  <c r="AF106" i="4"/>
  <c r="AL210" i="4"/>
  <c r="AT501" i="4"/>
  <c r="AT462" i="4"/>
  <c r="AO457" i="4"/>
  <c r="AT352" i="4"/>
  <c r="AT316" i="4"/>
  <c r="AU270" i="4"/>
  <c r="AQ132" i="4"/>
  <c r="AS132" i="4"/>
  <c r="AU132" i="4" s="1"/>
  <c r="P85" i="4"/>
  <c r="AI135" i="4"/>
  <c r="AO74" i="4"/>
  <c r="AU54" i="4"/>
  <c r="Z573" i="4"/>
  <c r="AC601" i="4"/>
  <c r="AI179" i="4"/>
  <c r="Z222" i="4"/>
  <c r="T86" i="4"/>
  <c r="AK209" i="4"/>
  <c r="T222" i="4"/>
  <c r="Z106" i="4"/>
  <c r="AT598" i="4"/>
  <c r="AT379" i="4"/>
  <c r="Q135" i="4"/>
  <c r="AL135" i="4"/>
  <c r="AT540" i="4"/>
  <c r="AU283" i="4"/>
  <c r="AU533" i="4"/>
  <c r="AU532" i="4"/>
  <c r="G443" i="1"/>
  <c r="AO135" i="4"/>
  <c r="AT626" i="4"/>
  <c r="AT625" i="4" s="1"/>
  <c r="AU625" i="4" s="1"/>
  <c r="AQ641" i="4"/>
  <c r="AR641" i="4" s="1"/>
  <c r="AT382" i="4"/>
  <c r="Q159" i="4"/>
  <c r="AF110" i="4"/>
  <c r="AT416" i="4"/>
  <c r="AU360" i="4"/>
  <c r="W113" i="4"/>
  <c r="AQ210" i="4"/>
  <c r="AR210" i="4" s="1"/>
  <c r="AI57" i="4"/>
  <c r="T661" i="4"/>
  <c r="AT612" i="4"/>
  <c r="W233" i="4"/>
  <c r="AL218" i="4"/>
  <c r="Z218" i="4"/>
  <c r="AU535" i="4"/>
  <c r="AU556" i="4"/>
  <c r="AL74" i="4"/>
  <c r="N218" i="4"/>
  <c r="AQ145" i="4"/>
  <c r="AR145" i="4" s="1"/>
  <c r="V209" i="4"/>
  <c r="AQ131" i="4"/>
  <c r="AR131" i="4" s="1"/>
  <c r="AT410" i="4"/>
  <c r="AU99" i="4"/>
  <c r="AH118" i="4"/>
  <c r="Q218" i="4"/>
  <c r="AQ154" i="4"/>
  <c r="M628" i="4"/>
  <c r="AF228" i="4"/>
  <c r="Q261" i="4"/>
  <c r="AI253" i="4"/>
  <c r="N464" i="4"/>
  <c r="T601" i="4"/>
  <c r="Z183" i="4"/>
  <c r="N319" i="4"/>
  <c r="L149" i="1"/>
  <c r="M149" i="1"/>
  <c r="L182" i="1"/>
  <c r="L172" i="1"/>
  <c r="M172" i="1"/>
  <c r="L148" i="1"/>
  <c r="M148" i="1"/>
  <c r="AT520" i="4"/>
  <c r="AT477" i="4"/>
  <c r="AT482" i="4"/>
  <c r="AU353" i="4"/>
  <c r="AT211" i="4"/>
  <c r="L163" i="1"/>
  <c r="M163" i="1"/>
  <c r="L181" i="1"/>
  <c r="L171" i="1"/>
  <c r="M171" i="1"/>
  <c r="L161" i="1"/>
  <c r="M161" i="1"/>
  <c r="AT80" i="4"/>
  <c r="AU272" i="4"/>
  <c r="AH154" i="4"/>
  <c r="AI228" i="4"/>
  <c r="T253" i="4"/>
  <c r="AC228" i="4"/>
  <c r="AO228" i="4"/>
  <c r="AF52" i="4"/>
  <c r="L180" i="1"/>
  <c r="L170" i="1"/>
  <c r="M170" i="1"/>
  <c r="AI304" i="4"/>
  <c r="K246" i="4"/>
  <c r="AL228" i="4"/>
  <c r="W228" i="4"/>
  <c r="Q228" i="4"/>
  <c r="AF653" i="4"/>
  <c r="L173" i="1"/>
  <c r="M173" i="1"/>
  <c r="L178" i="1"/>
  <c r="M178" i="1"/>
  <c r="L169" i="1"/>
  <c r="M169" i="1"/>
  <c r="AT402" i="4"/>
  <c r="AT212" i="4"/>
  <c r="AN191" i="4"/>
  <c r="AR159" i="4"/>
  <c r="Z228" i="4"/>
  <c r="Z629" i="4"/>
  <c r="AI265" i="4"/>
  <c r="Z127" i="4"/>
  <c r="AF601" i="4"/>
  <c r="Y644" i="4"/>
  <c r="L190" i="1"/>
  <c r="L189" i="1" s="1"/>
  <c r="M190" i="1"/>
  <c r="L177" i="1"/>
  <c r="M177" i="1"/>
  <c r="L167" i="1"/>
  <c r="M167" i="1"/>
  <c r="L156" i="1"/>
  <c r="L155" i="1" s="1"/>
  <c r="M155" i="1" s="1"/>
  <c r="M156" i="1"/>
  <c r="N228" i="4"/>
  <c r="AI145" i="4"/>
  <c r="L185" i="1"/>
  <c r="M185" i="1"/>
  <c r="L188" i="1"/>
  <c r="L187" i="1" s="1"/>
  <c r="M188" i="1"/>
  <c r="L176" i="1"/>
  <c r="M176" i="1"/>
  <c r="L166" i="1"/>
  <c r="M166" i="1"/>
  <c r="L153" i="1"/>
  <c r="L152" i="1" s="1"/>
  <c r="M152" i="1" s="1"/>
  <c r="M153" i="1"/>
  <c r="AT486" i="4"/>
  <c r="AT282" i="4"/>
  <c r="AU264" i="4"/>
  <c r="AO246" i="4"/>
  <c r="AU208" i="4"/>
  <c r="AU81" i="4"/>
  <c r="L186" i="1"/>
  <c r="M186" i="1"/>
  <c r="L174" i="1"/>
  <c r="M174" i="1"/>
  <c r="L165" i="1"/>
  <c r="M165" i="1"/>
  <c r="L151" i="1"/>
  <c r="M151" i="1"/>
  <c r="AF284" i="4"/>
  <c r="Y118" i="4"/>
  <c r="AU317" i="4"/>
  <c r="AU400" i="4"/>
  <c r="AT300" i="4"/>
  <c r="AI395" i="4"/>
  <c r="AI204" i="4"/>
  <c r="Q191" i="4"/>
  <c r="T10" i="4"/>
  <c r="AC629" i="4"/>
  <c r="AF246" i="4"/>
  <c r="AI311" i="4"/>
  <c r="AC613" i="4"/>
  <c r="AT572" i="4"/>
  <c r="Q522" i="4"/>
  <c r="W135" i="4"/>
  <c r="AT292" i="4"/>
  <c r="AF327" i="4"/>
  <c r="AO57" i="4"/>
  <c r="M644" i="4"/>
  <c r="Q131" i="4"/>
  <c r="AC57" i="4"/>
  <c r="AL625" i="4"/>
  <c r="T464" i="4"/>
  <c r="N86" i="4"/>
  <c r="AH644" i="4"/>
  <c r="AI644" i="4" s="1"/>
  <c r="AL127" i="4"/>
  <c r="AB118" i="4"/>
  <c r="N279" i="4"/>
  <c r="Z464" i="4"/>
  <c r="N80" i="4"/>
  <c r="N10" i="4"/>
  <c r="AK463" i="4"/>
  <c r="AI629" i="4"/>
  <c r="AT467" i="4"/>
  <c r="J210" i="4"/>
  <c r="H463" i="4"/>
  <c r="AU359" i="4"/>
  <c r="T265" i="4"/>
  <c r="J218" i="4"/>
  <c r="K218" i="4" s="1"/>
  <c r="AC10" i="4"/>
  <c r="Q106" i="4"/>
  <c r="AO213" i="4"/>
  <c r="AC110" i="4"/>
  <c r="AL653" i="4"/>
  <c r="AT418" i="4"/>
  <c r="AI183" i="4"/>
  <c r="AL311" i="4"/>
  <c r="M463" i="4"/>
  <c r="N463" i="4" s="1"/>
  <c r="AU307" i="4"/>
  <c r="N265" i="4"/>
  <c r="AL94" i="4"/>
  <c r="AI113" i="4"/>
  <c r="W110" i="4"/>
  <c r="AI661" i="4"/>
  <c r="AR662" i="4"/>
  <c r="AT606" i="4"/>
  <c r="AF80" i="4"/>
  <c r="AU205" i="4"/>
  <c r="AK118" i="4"/>
  <c r="S217" i="4"/>
  <c r="AI384" i="4"/>
  <c r="AC113" i="4"/>
  <c r="G135" i="1"/>
  <c r="K311" i="4"/>
  <c r="M77" i="4"/>
  <c r="W471" i="4"/>
  <c r="AC131" i="4"/>
  <c r="M9" i="4"/>
  <c r="AI279" i="4"/>
  <c r="AL110" i="4"/>
  <c r="AO629" i="4"/>
  <c r="W629" i="4"/>
  <c r="AU412" i="4"/>
  <c r="AT334" i="4"/>
  <c r="Q311" i="4"/>
  <c r="AU150" i="4"/>
  <c r="Q327" i="4"/>
  <c r="Z311" i="4"/>
  <c r="AU469" i="4"/>
  <c r="J265" i="4"/>
  <c r="K265" i="4" s="1"/>
  <c r="AU73" i="4"/>
  <c r="W249" i="4"/>
  <c r="T591" i="4"/>
  <c r="T653" i="4"/>
  <c r="AF629" i="4"/>
  <c r="AC560" i="4"/>
  <c r="W311" i="4"/>
  <c r="AI52" i="4"/>
  <c r="AL52" i="4"/>
  <c r="AO10" i="4"/>
  <c r="AT521" i="4"/>
  <c r="T311" i="4"/>
  <c r="AL265" i="4"/>
  <c r="Q233" i="4"/>
  <c r="W522" i="4"/>
  <c r="AL159" i="4"/>
  <c r="AF10" i="4"/>
  <c r="AO131" i="4"/>
  <c r="N591" i="4"/>
  <c r="T52" i="4"/>
  <c r="AC80" i="4"/>
  <c r="Q629" i="4"/>
  <c r="AC52" i="4"/>
  <c r="Z522" i="4"/>
  <c r="N311" i="4"/>
  <c r="AF265" i="4"/>
  <c r="AB628" i="4"/>
  <c r="AQ52" i="4"/>
  <c r="AR52" i="4" s="1"/>
  <c r="AL10" i="4"/>
  <c r="V9" i="4"/>
  <c r="T641" i="4"/>
  <c r="AI641" i="4"/>
  <c r="AR175" i="4"/>
  <c r="AI213" i="4"/>
  <c r="N641" i="4"/>
  <c r="AU526" i="4"/>
  <c r="AF274" i="4"/>
  <c r="AF175" i="4"/>
  <c r="AC213" i="4"/>
  <c r="AQ578" i="4"/>
  <c r="AR578" i="4" s="1"/>
  <c r="Q196" i="4"/>
  <c r="W641" i="4"/>
  <c r="T279" i="4"/>
  <c r="N196" i="4"/>
  <c r="T175" i="4"/>
  <c r="W213" i="4"/>
  <c r="AL261" i="4"/>
  <c r="AQ110" i="4"/>
  <c r="AR110" i="4" s="1"/>
  <c r="AB77" i="4"/>
  <c r="AU297" i="4"/>
  <c r="AC471" i="4"/>
  <c r="M154" i="4"/>
  <c r="AT367" i="4"/>
  <c r="AI274" i="4"/>
  <c r="Q241" i="4"/>
  <c r="T159" i="4"/>
  <c r="AL279" i="4"/>
  <c r="AI327" i="4"/>
  <c r="W184" i="4"/>
  <c r="AH51" i="4"/>
  <c r="Q213" i="4"/>
  <c r="AO641" i="4"/>
  <c r="AT602" i="4"/>
  <c r="AF279" i="4"/>
  <c r="AK9" i="4"/>
  <c r="Y590" i="4"/>
  <c r="AB559" i="4"/>
  <c r="AU289" i="4"/>
  <c r="AC265" i="4"/>
  <c r="AU179" i="4"/>
  <c r="J560" i="4"/>
  <c r="K560" i="4" s="1"/>
  <c r="AC246" i="4"/>
  <c r="AC175" i="4"/>
  <c r="AO184" i="4"/>
  <c r="Q168" i="4"/>
  <c r="Q641" i="4"/>
  <c r="AT389" i="4"/>
  <c r="AU278" i="4"/>
  <c r="W327" i="4"/>
  <c r="Q274" i="4"/>
  <c r="N629" i="4"/>
  <c r="AO218" i="4"/>
  <c r="Z135" i="4"/>
  <c r="W246" i="4"/>
  <c r="AL164" i="4"/>
  <c r="Q175" i="4"/>
  <c r="Q184" i="4"/>
  <c r="W175" i="4"/>
  <c r="N601" i="4"/>
  <c r="AC191" i="4"/>
  <c r="AE9" i="4"/>
  <c r="Q265" i="4"/>
  <c r="AI175" i="4"/>
  <c r="AK51" i="4"/>
  <c r="Q246" i="4"/>
  <c r="AC218" i="4"/>
  <c r="M118" i="4"/>
  <c r="N644" i="4"/>
  <c r="AF522" i="4"/>
  <c r="S51" i="4"/>
  <c r="V85" i="4"/>
  <c r="S209" i="4"/>
  <c r="AU564" i="4"/>
  <c r="T522" i="4"/>
  <c r="AC395" i="4"/>
  <c r="AC106" i="4"/>
  <c r="Z595" i="4"/>
  <c r="AL641" i="4"/>
  <c r="W279" i="4"/>
  <c r="Z191" i="4"/>
  <c r="Q578" i="4"/>
  <c r="W127" i="4"/>
  <c r="AN590" i="4"/>
  <c r="AO522" i="4"/>
  <c r="AC261" i="4"/>
  <c r="AO279" i="4"/>
  <c r="AI164" i="4"/>
  <c r="AF464" i="4"/>
  <c r="AC319" i="4"/>
  <c r="AQ653" i="4"/>
  <c r="AR653" i="4" s="1"/>
  <c r="AE51" i="4"/>
  <c r="Y9" i="4"/>
  <c r="AK258" i="4"/>
  <c r="AO573" i="4"/>
  <c r="K625" i="4"/>
  <c r="AN217" i="4"/>
  <c r="AF641" i="4"/>
  <c r="AC279" i="4"/>
  <c r="T578" i="4"/>
  <c r="J233" i="4"/>
  <c r="K233" i="4" s="1"/>
  <c r="AI522" i="4"/>
  <c r="AF135" i="4"/>
  <c r="S9" i="4"/>
  <c r="AU527" i="4"/>
  <c r="AT397" i="4"/>
  <c r="AU291" i="4"/>
  <c r="AQ261" i="4"/>
  <c r="AR261" i="4" s="1"/>
  <c r="AQ311" i="4"/>
  <c r="AR311" i="4" s="1"/>
  <c r="T164" i="4"/>
  <c r="T218" i="4"/>
  <c r="AQ103" i="4"/>
  <c r="AR103" i="4" s="1"/>
  <c r="AU49" i="4"/>
  <c r="AC522" i="4"/>
  <c r="Z213" i="4"/>
  <c r="T135" i="4"/>
  <c r="L158" i="1"/>
  <c r="L157" i="1" s="1"/>
  <c r="M157" i="1" s="1"/>
  <c r="L162" i="1"/>
  <c r="L160" i="1"/>
  <c r="AT596" i="4"/>
  <c r="AF241" i="4"/>
  <c r="AO395" i="4"/>
  <c r="W319" i="4"/>
  <c r="W662" i="4"/>
  <c r="AT651" i="4"/>
  <c r="AE154" i="4"/>
  <c r="AC284" i="4"/>
  <c r="Z296" i="4"/>
  <c r="AU159" i="4"/>
  <c r="AO222" i="4"/>
  <c r="T106" i="4"/>
  <c r="W661" i="4"/>
  <c r="AT594" i="4"/>
  <c r="AN183" i="4"/>
  <c r="AO183" i="4" s="1"/>
  <c r="AI159" i="4"/>
  <c r="T57" i="4"/>
  <c r="AQ48" i="4"/>
  <c r="AR48" i="4" s="1"/>
  <c r="Q662" i="4"/>
  <c r="AU570" i="4"/>
  <c r="AO210" i="4"/>
  <c r="S154" i="4"/>
  <c r="V154" i="4"/>
  <c r="AL661" i="4"/>
  <c r="W159" i="4"/>
  <c r="Q395" i="4"/>
  <c r="Z661" i="4"/>
  <c r="AI74" i="4"/>
  <c r="P590" i="4"/>
  <c r="Q661" i="4"/>
  <c r="AT582" i="4"/>
  <c r="AT618" i="4"/>
  <c r="AB590" i="4"/>
  <c r="AT398" i="4"/>
  <c r="AT312" i="4"/>
  <c r="W395" i="4"/>
  <c r="Q319" i="4"/>
  <c r="V183" i="4"/>
  <c r="W183" i="4" s="1"/>
  <c r="W210" i="4"/>
  <c r="AF159" i="4"/>
  <c r="AT72" i="4"/>
  <c r="N661" i="4"/>
  <c r="AL395" i="4"/>
  <c r="AT354" i="4"/>
  <c r="AK326" i="4"/>
  <c r="Z241" i="4"/>
  <c r="AC74" i="4"/>
  <c r="P9" i="4"/>
  <c r="AQ560" i="4"/>
  <c r="AR560" i="4" s="1"/>
  <c r="AT620" i="4"/>
  <c r="AU361" i="4"/>
  <c r="AT332" i="4"/>
  <c r="P183" i="4"/>
  <c r="Q210" i="4"/>
  <c r="N191" i="4"/>
  <c r="AK154" i="4"/>
  <c r="AF94" i="4"/>
  <c r="J131" i="4"/>
  <c r="K131" i="4" s="1"/>
  <c r="AT100" i="4"/>
  <c r="AF395" i="4"/>
  <c r="AU305" i="4"/>
  <c r="W74" i="4"/>
  <c r="Z164" i="4"/>
  <c r="J591" i="4"/>
  <c r="K591" i="4" s="1"/>
  <c r="AT473" i="4"/>
  <c r="AT423" i="4"/>
  <c r="AU396" i="4"/>
  <c r="AT288" i="4"/>
  <c r="AO351" i="4"/>
  <c r="AI319" i="4"/>
  <c r="AF210" i="4"/>
  <c r="AL319" i="4"/>
  <c r="H209" i="4"/>
  <c r="AO209" i="4" s="1"/>
  <c r="K183" i="4"/>
  <c r="AT240" i="4"/>
  <c r="T94" i="4"/>
  <c r="H85" i="4"/>
  <c r="Q85" i="4" s="1"/>
  <c r="Z395" i="4"/>
  <c r="AO106" i="4"/>
  <c r="Q74" i="4"/>
  <c r="N159" i="4"/>
  <c r="AO94" i="4"/>
  <c r="AL80" i="4"/>
  <c r="J222" i="4"/>
  <c r="K222" i="4" s="1"/>
  <c r="W560" i="4"/>
  <c r="AO319" i="4"/>
  <c r="Z210" i="4"/>
  <c r="AF319" i="4"/>
  <c r="N94" i="4"/>
  <c r="AT98" i="4"/>
  <c r="T74" i="4"/>
  <c r="AL662" i="4"/>
  <c r="AC573" i="4"/>
  <c r="T395" i="4"/>
  <c r="AC179" i="4"/>
  <c r="AO159" i="4"/>
  <c r="K74" i="4"/>
  <c r="AU175" i="4"/>
  <c r="Q94" i="4"/>
  <c r="AK628" i="4"/>
  <c r="AF573" i="4"/>
  <c r="AO471" i="4"/>
  <c r="Q279" i="4"/>
  <c r="T70" i="4"/>
  <c r="Q113" i="4"/>
  <c r="AO80" i="4"/>
  <c r="Q253" i="4"/>
  <c r="AK225" i="4"/>
  <c r="AL106" i="4"/>
  <c r="Z279" i="4"/>
  <c r="Q560" i="4"/>
  <c r="AT286" i="4"/>
  <c r="T210" i="4"/>
  <c r="Z319" i="4"/>
  <c r="Z662" i="4"/>
  <c r="N395" i="4"/>
  <c r="M326" i="4"/>
  <c r="AC159" i="4"/>
  <c r="W80" i="4"/>
  <c r="Y209" i="4"/>
  <c r="Q80" i="4"/>
  <c r="AC641" i="4"/>
  <c r="AT509" i="4"/>
  <c r="N210" i="4"/>
  <c r="AO327" i="4"/>
  <c r="N662" i="4"/>
  <c r="AU315" i="4"/>
  <c r="AQ274" i="4"/>
  <c r="AR274" i="4" s="1"/>
  <c r="N179" i="4"/>
  <c r="H77" i="4"/>
  <c r="AO77" i="4" s="1"/>
  <c r="AI94" i="4"/>
  <c r="AL274" i="4"/>
  <c r="AO662" i="4"/>
  <c r="AT580" i="4"/>
  <c r="N183" i="4"/>
  <c r="T179" i="4"/>
  <c r="AF662" i="4"/>
  <c r="AL522" i="4"/>
  <c r="J457" i="4"/>
  <c r="K457" i="4" s="1"/>
  <c r="AO274" i="4"/>
  <c r="AL175" i="4"/>
  <c r="N253" i="4"/>
  <c r="Z274" i="4"/>
  <c r="V134" i="4"/>
  <c r="AI106" i="4"/>
  <c r="W653" i="4"/>
  <c r="AL183" i="4"/>
  <c r="S85" i="4"/>
  <c r="AO661" i="4"/>
  <c r="AF661" i="4"/>
  <c r="J607" i="4"/>
  <c r="K607" i="4" s="1"/>
  <c r="AT506" i="4"/>
  <c r="AT371" i="4"/>
  <c r="AC327" i="4"/>
  <c r="AF74" i="4"/>
  <c r="T662" i="4"/>
  <c r="AO314" i="4"/>
  <c r="AT342" i="4"/>
  <c r="Z175" i="4"/>
  <c r="J57" i="4"/>
  <c r="K57" i="4" s="1"/>
  <c r="K159" i="4"/>
  <c r="AH590" i="4"/>
  <c r="T274" i="4"/>
  <c r="T284" i="4"/>
  <c r="AR80" i="4"/>
  <c r="T127" i="4"/>
  <c r="AC253" i="4"/>
  <c r="AL591" i="4"/>
  <c r="AI662" i="4"/>
  <c r="AQ573" i="4"/>
  <c r="AR573" i="4" s="1"/>
  <c r="AU524" i="4"/>
  <c r="Z179" i="4"/>
  <c r="AB51" i="4"/>
  <c r="V559" i="4"/>
  <c r="N522" i="4"/>
  <c r="AI314" i="4"/>
  <c r="T319" i="4"/>
  <c r="S326" i="4"/>
  <c r="AI296" i="4"/>
  <c r="AC274" i="4"/>
  <c r="N175" i="4"/>
  <c r="AU295" i="4"/>
  <c r="J196" i="4"/>
  <c r="K196" i="4" s="1"/>
  <c r="AF218" i="4"/>
  <c r="H628" i="4"/>
  <c r="Z628" i="4" s="1"/>
  <c r="AO265" i="4"/>
  <c r="N274" i="4"/>
  <c r="Z184" i="4"/>
  <c r="N653" i="4"/>
  <c r="AU574" i="4"/>
  <c r="AO560" i="4"/>
  <c r="AT504" i="4"/>
  <c r="AT484" i="4"/>
  <c r="AO191" i="4"/>
  <c r="AC314" i="4"/>
  <c r="W274" i="4"/>
  <c r="AR164" i="4"/>
  <c r="Z57" i="4"/>
  <c r="AI184" i="4"/>
  <c r="Z653" i="4"/>
  <c r="W415" i="4"/>
  <c r="W265" i="4"/>
  <c r="V258" i="4"/>
  <c r="AF384" i="4"/>
  <c r="AE326" i="4"/>
  <c r="AL196" i="4"/>
  <c r="AK191" i="4"/>
  <c r="AL191" i="4" s="1"/>
  <c r="AU96" i="4"/>
  <c r="AT96" i="4"/>
  <c r="AQ647" i="4"/>
  <c r="AQ644" i="4" s="1"/>
  <c r="AR644" i="4" s="1"/>
  <c r="AL629" i="4"/>
  <c r="W644" i="4"/>
  <c r="AT586" i="4"/>
  <c r="AQ568" i="4"/>
  <c r="AR568" i="4" s="1"/>
  <c r="AT393" i="4"/>
  <c r="S258" i="4"/>
  <c r="T103" i="4"/>
  <c r="AH225" i="4"/>
  <c r="P154" i="4"/>
  <c r="P118" i="4"/>
  <c r="AF311" i="4"/>
  <c r="AE258" i="4"/>
  <c r="AU405" i="4"/>
  <c r="AT405" i="4"/>
  <c r="AC70" i="4"/>
  <c r="AU298" i="4"/>
  <c r="AT298" i="4"/>
  <c r="AO653" i="4"/>
  <c r="AN644" i="4"/>
  <c r="AO644" i="4" s="1"/>
  <c r="Q653" i="4"/>
  <c r="P644" i="4"/>
  <c r="Q644" i="4" s="1"/>
  <c r="AC384" i="4"/>
  <c r="Q384" i="4"/>
  <c r="AO384" i="4"/>
  <c r="T228" i="4"/>
  <c r="S225" i="4"/>
  <c r="AT329" i="4"/>
  <c r="AU329" i="4"/>
  <c r="AT566" i="4"/>
  <c r="AU566" i="4"/>
  <c r="AT364" i="4"/>
  <c r="AU364" i="4"/>
  <c r="N106" i="4"/>
  <c r="M85" i="4"/>
  <c r="Z94" i="4"/>
  <c r="Y85" i="4"/>
  <c r="AU330" i="4"/>
  <c r="AT330" i="4"/>
  <c r="AU112" i="4"/>
  <c r="AT112" i="4"/>
  <c r="AT110" i="4" s="1"/>
  <c r="AU110" i="4" s="1"/>
  <c r="T48" i="4"/>
  <c r="Z48" i="4"/>
  <c r="AI48" i="4"/>
  <c r="Q48" i="4"/>
  <c r="AT343" i="4"/>
  <c r="AU343" i="4"/>
  <c r="N131" i="4"/>
  <c r="T131" i="4"/>
  <c r="Z131" i="4"/>
  <c r="W131" i="4"/>
  <c r="AI131" i="4"/>
  <c r="AF131" i="4"/>
  <c r="P225" i="4"/>
  <c r="Q249" i="4"/>
  <c r="M225" i="4"/>
  <c r="N246" i="4"/>
  <c r="AK201" i="4"/>
  <c r="AL201" i="4" s="1"/>
  <c r="AL204" i="4"/>
  <c r="AC48" i="4"/>
  <c r="AC204" i="4"/>
  <c r="AB201" i="4"/>
  <c r="AC201" i="4" s="1"/>
  <c r="Q204" i="4"/>
  <c r="P201" i="4"/>
  <c r="Q201" i="4" s="1"/>
  <c r="AU386" i="4"/>
  <c r="AT386" i="4"/>
  <c r="AO415" i="4"/>
  <c r="Q415" i="4"/>
  <c r="AI415" i="4"/>
  <c r="N284" i="4"/>
  <c r="M258" i="4"/>
  <c r="AT267" i="4"/>
  <c r="AU267" i="4"/>
  <c r="AT71" i="4"/>
  <c r="AU71" i="4"/>
  <c r="AT97" i="4"/>
  <c r="AU97" i="4"/>
  <c r="AQ613" i="4"/>
  <c r="AR613" i="4" s="1"/>
  <c r="AT614" i="4"/>
  <c r="V590" i="4"/>
  <c r="AE463" i="4"/>
  <c r="AL327" i="4"/>
  <c r="N327" i="4"/>
  <c r="J274" i="4"/>
  <c r="K274" i="4" s="1"/>
  <c r="AU492" i="4"/>
  <c r="AT492" i="4"/>
  <c r="AU431" i="4"/>
  <c r="AT431" i="4"/>
  <c r="AB154" i="4"/>
  <c r="AC164" i="4"/>
  <c r="AO145" i="4"/>
  <c r="Q145" i="4"/>
  <c r="AC135" i="4"/>
  <c r="AB134" i="4"/>
  <c r="AU280" i="4"/>
  <c r="AT280" i="4"/>
  <c r="AC233" i="4"/>
  <c r="AB225" i="4"/>
  <c r="AU411" i="4"/>
  <c r="AT411" i="4"/>
  <c r="AT611" i="4"/>
  <c r="AU611" i="4"/>
  <c r="AU308" i="4"/>
  <c r="AT308" i="4"/>
  <c r="AE85" i="4"/>
  <c r="AF86" i="4"/>
  <c r="AI70" i="4"/>
  <c r="H51" i="4"/>
  <c r="Z70" i="4"/>
  <c r="AO70" i="4"/>
  <c r="AF70" i="4"/>
  <c r="W70" i="4"/>
  <c r="N70" i="4"/>
  <c r="AH9" i="4"/>
  <c r="AI10" i="4"/>
  <c r="AC415" i="4"/>
  <c r="AH258" i="4"/>
  <c r="Y225" i="4"/>
  <c r="W196" i="4"/>
  <c r="T607" i="4"/>
  <c r="AO578" i="4"/>
  <c r="AN559" i="4"/>
  <c r="Z415" i="4"/>
  <c r="Y326" i="4"/>
  <c r="Z265" i="4"/>
  <c r="Y258" i="4"/>
  <c r="AT337" i="4"/>
  <c r="AU337" i="4"/>
  <c r="AU294" i="4"/>
  <c r="AT294" i="4"/>
  <c r="AU403" i="4"/>
  <c r="AT403" i="4"/>
  <c r="W57" i="4"/>
  <c r="V51" i="4"/>
  <c r="AU44" i="4"/>
  <c r="AT44" i="4"/>
  <c r="AT43" i="4" s="1"/>
  <c r="AU43" i="4" s="1"/>
  <c r="AT341" i="4"/>
  <c r="AU341" i="4"/>
  <c r="AF253" i="4"/>
  <c r="AE225" i="4"/>
  <c r="AO241" i="4"/>
  <c r="AN225" i="4"/>
  <c r="AT277" i="4"/>
  <c r="AU277" i="4"/>
  <c r="Z249" i="4"/>
  <c r="T249" i="4"/>
  <c r="AI249" i="4"/>
  <c r="AC249" i="4"/>
  <c r="AO249" i="4"/>
  <c r="AU488" i="4"/>
  <c r="AT488" i="4"/>
  <c r="N241" i="4"/>
  <c r="AL241" i="4"/>
  <c r="Y154" i="4"/>
  <c r="N135" i="4"/>
  <c r="M134" i="4"/>
  <c r="AN51" i="4"/>
  <c r="AO52" i="4"/>
  <c r="P51" i="4"/>
  <c r="Q52" i="4"/>
  <c r="V225" i="4"/>
  <c r="W241" i="4"/>
  <c r="AT146" i="4"/>
  <c r="AT145" i="4" s="1"/>
  <c r="AU145" i="4" s="1"/>
  <c r="AU146" i="4"/>
  <c r="AB85" i="4"/>
  <c r="AC94" i="4"/>
  <c r="AQ70" i="4"/>
  <c r="AR70" i="4" s="1"/>
  <c r="Y51" i="4"/>
  <c r="Z52" i="4"/>
  <c r="AO48" i="4"/>
  <c r="AE209" i="4"/>
  <c r="AF213" i="4"/>
  <c r="AH209" i="4"/>
  <c r="AI210" i="4"/>
  <c r="AO113" i="4"/>
  <c r="AN85" i="4"/>
  <c r="AL103" i="4"/>
  <c r="AK85" i="4"/>
  <c r="AH85" i="4"/>
  <c r="AF48" i="4"/>
  <c r="Z145" i="4"/>
  <c r="AU48" i="4"/>
  <c r="AL607" i="4"/>
  <c r="N607" i="4"/>
  <c r="W573" i="4"/>
  <c r="T415" i="4"/>
  <c r="W284" i="4"/>
  <c r="H225" i="4"/>
  <c r="K145" i="4"/>
  <c r="N145" i="4"/>
  <c r="AC241" i="4"/>
  <c r="T573" i="4"/>
  <c r="T384" i="4"/>
  <c r="AI241" i="4"/>
  <c r="AK217" i="4"/>
  <c r="AB9" i="4"/>
  <c r="AB209" i="4"/>
  <c r="AF145" i="4"/>
  <c r="J641" i="4"/>
  <c r="K641" i="4" s="1"/>
  <c r="AF607" i="4"/>
  <c r="Q573" i="4"/>
  <c r="AL415" i="4"/>
  <c r="N415" i="4"/>
  <c r="H258" i="4"/>
  <c r="AO284" i="4"/>
  <c r="Q284" i="4"/>
  <c r="AL304" i="4"/>
  <c r="K168" i="4"/>
  <c r="AL284" i="4"/>
  <c r="AL384" i="4"/>
  <c r="J228" i="4"/>
  <c r="K228" i="4" s="1"/>
  <c r="H134" i="4"/>
  <c r="N573" i="4"/>
  <c r="AH134" i="4"/>
  <c r="J443" i="4"/>
  <c r="K443" i="4" s="1"/>
  <c r="K48" i="4"/>
  <c r="Z607" i="4"/>
  <c r="AI573" i="4"/>
  <c r="AF415" i="4"/>
  <c r="AQ304" i="4"/>
  <c r="AR304" i="4" s="1"/>
  <c r="AQ296" i="4"/>
  <c r="AR296" i="4" s="1"/>
  <c r="AI284" i="4"/>
  <c r="AO296" i="4"/>
  <c r="Z284" i="4"/>
  <c r="Z384" i="4"/>
  <c r="T241" i="4"/>
  <c r="J45" i="4"/>
  <c r="K45" i="4" s="1"/>
  <c r="T145" i="4"/>
  <c r="W647" i="4"/>
  <c r="AL573" i="4"/>
  <c r="N595" i="4"/>
  <c r="M217" i="4"/>
  <c r="N217" i="4" s="1"/>
  <c r="Q647" i="4"/>
  <c r="AC296" i="4"/>
  <c r="J279" i="4"/>
  <c r="K279" i="4" s="1"/>
  <c r="W296" i="4"/>
  <c r="AI647" i="4"/>
  <c r="Q296" i="4"/>
  <c r="AC647" i="4"/>
  <c r="Z601" i="4"/>
  <c r="L195" i="1"/>
  <c r="L194" i="1" s="1"/>
  <c r="M194" i="1" s="1"/>
  <c r="J573" i="4"/>
  <c r="K573" i="4" s="1"/>
  <c r="Q457" i="4"/>
  <c r="AC457" i="4"/>
  <c r="W191" i="4"/>
  <c r="P559" i="4"/>
  <c r="AQ601" i="4"/>
  <c r="AR601" i="4" s="1"/>
  <c r="W607" i="4"/>
  <c r="N314" i="4"/>
  <c r="AL314" i="4"/>
  <c r="J213" i="4"/>
  <c r="K213" i="4" s="1"/>
  <c r="Z159" i="4"/>
  <c r="N249" i="4"/>
  <c r="W145" i="4"/>
  <c r="AL70" i="4"/>
  <c r="AL184" i="4"/>
  <c r="N184" i="4"/>
  <c r="AQ94" i="4"/>
  <c r="AR94" i="4" s="1"/>
  <c r="N74" i="4"/>
  <c r="T184" i="4"/>
  <c r="AQ395" i="4"/>
  <c r="AR395" i="4" s="1"/>
  <c r="AQ384" i="4"/>
  <c r="AR384" i="4" s="1"/>
  <c r="J135" i="4"/>
  <c r="J134" i="4" s="1"/>
  <c r="J86" i="4"/>
  <c r="K86" i="4" s="1"/>
  <c r="AO607" i="4"/>
  <c r="Q607" i="4"/>
  <c r="Z314" i="4"/>
  <c r="AL249" i="4"/>
  <c r="Z74" i="4"/>
  <c r="W94" i="4"/>
  <c r="Z644" i="4"/>
  <c r="J613" i="4"/>
  <c r="K613" i="4" s="1"/>
  <c r="J430" i="4"/>
  <c r="K430" i="4" s="1"/>
  <c r="AI191" i="4"/>
  <c r="Q183" i="4"/>
  <c r="AQ246" i="4"/>
  <c r="AR246" i="4" s="1"/>
  <c r="J52" i="4"/>
  <c r="K52" i="4" s="1"/>
  <c r="AE590" i="4"/>
  <c r="J629" i="4"/>
  <c r="K629" i="4" s="1"/>
  <c r="AL578" i="4"/>
  <c r="N578" i="4"/>
  <c r="W578" i="4"/>
  <c r="J113" i="4"/>
  <c r="K113" i="4" s="1"/>
  <c r="W86" i="4"/>
  <c r="AI607" i="4"/>
  <c r="Y217" i="4"/>
  <c r="AF249" i="4"/>
  <c r="M51" i="4"/>
  <c r="AF314" i="4"/>
  <c r="AR184" i="4"/>
  <c r="Q70" i="4"/>
  <c r="AF457" i="4"/>
  <c r="J127" i="4"/>
  <c r="K127" i="4" s="1"/>
  <c r="AC607" i="4"/>
  <c r="J106" i="4"/>
  <c r="K106" i="4" s="1"/>
  <c r="K184" i="4"/>
  <c r="J351" i="4"/>
  <c r="K351" i="4" s="1"/>
  <c r="AT615" i="4"/>
  <c r="AU615" i="4"/>
  <c r="AT603" i="4"/>
  <c r="AU603" i="4"/>
  <c r="AT552" i="4"/>
  <c r="AU552" i="4"/>
  <c r="AT550" i="4"/>
  <c r="AU550" i="4"/>
  <c r="AT548" i="4"/>
  <c r="AU548" i="4"/>
  <c r="AT542" i="4"/>
  <c r="AU542" i="4"/>
  <c r="S590" i="4"/>
  <c r="N560" i="4"/>
  <c r="AT476" i="4"/>
  <c r="AU476" i="4"/>
  <c r="AO464" i="4"/>
  <c r="AN463" i="4"/>
  <c r="AO463" i="4" s="1"/>
  <c r="Q464" i="4"/>
  <c r="P463" i="4"/>
  <c r="AT495" i="4"/>
  <c r="AU495" i="4"/>
  <c r="AT487" i="4"/>
  <c r="AU487" i="4"/>
  <c r="Z471" i="4"/>
  <c r="AT512" i="4"/>
  <c r="AU512" i="4"/>
  <c r="AT502" i="4"/>
  <c r="AU502" i="4"/>
  <c r="AU446" i="4"/>
  <c r="AT446" i="4"/>
  <c r="AT514" i="4"/>
  <c r="AU514" i="4"/>
  <c r="AT505" i="4"/>
  <c r="AU505" i="4"/>
  <c r="AT285" i="4"/>
  <c r="AU285" i="4"/>
  <c r="J249" i="4"/>
  <c r="K249" i="4" s="1"/>
  <c r="AF296" i="4"/>
  <c r="AI218" i="4"/>
  <c r="AH217" i="4"/>
  <c r="AF179" i="4"/>
  <c r="J10" i="4"/>
  <c r="K10" i="4" s="1"/>
  <c r="T233" i="4"/>
  <c r="J204" i="4"/>
  <c r="K204" i="4" s="1"/>
  <c r="AI168" i="4"/>
  <c r="AO127" i="4"/>
  <c r="N233" i="4"/>
  <c r="AO86" i="4"/>
  <c r="N57" i="4"/>
  <c r="J601" i="4"/>
  <c r="K601" i="4" s="1"/>
  <c r="J471" i="4"/>
  <c r="K471" i="4" s="1"/>
  <c r="N457" i="4"/>
  <c r="J384" i="4"/>
  <c r="K384" i="4" s="1"/>
  <c r="J319" i="4"/>
  <c r="K319" i="4" s="1"/>
  <c r="AT314" i="4"/>
  <c r="AU314" i="4" s="1"/>
  <c r="AQ249" i="4"/>
  <c r="AR249" i="4" s="1"/>
  <c r="AI45" i="4"/>
  <c r="AO45" i="4"/>
  <c r="S644" i="4"/>
  <c r="T644" i="4" s="1"/>
  <c r="T647" i="4"/>
  <c r="AT583" i="4"/>
  <c r="AU583" i="4"/>
  <c r="AF578" i="4"/>
  <c r="M590" i="4"/>
  <c r="AI578" i="4"/>
  <c r="AT587" i="4"/>
  <c r="AU587" i="4"/>
  <c r="AQ595" i="4"/>
  <c r="AR595" i="4" s="1"/>
  <c r="S559" i="4"/>
  <c r="AT481" i="4"/>
  <c r="AU481" i="4"/>
  <c r="AH463" i="4"/>
  <c r="AI464" i="4"/>
  <c r="AT447" i="4"/>
  <c r="AU447" i="4"/>
  <c r="T471" i="4"/>
  <c r="AT370" i="4"/>
  <c r="AU370" i="4"/>
  <c r="AQ464" i="4"/>
  <c r="AR464" i="4" s="1"/>
  <c r="S463" i="4"/>
  <c r="AT419" i="4"/>
  <c r="AU419" i="4"/>
  <c r="AU456" i="4"/>
  <c r="AT456" i="4"/>
  <c r="AC304" i="4"/>
  <c r="AQ279" i="4"/>
  <c r="AR279" i="4" s="1"/>
  <c r="AT273" i="4"/>
  <c r="AU273" i="4"/>
  <c r="AQ265" i="4"/>
  <c r="AF261" i="4"/>
  <c r="AU460" i="4"/>
  <c r="AT460" i="4"/>
  <c r="AT309" i="4"/>
  <c r="AU309" i="4"/>
  <c r="T296" i="4"/>
  <c r="AL296" i="4"/>
  <c r="AT293" i="4"/>
  <c r="AU293" i="4"/>
  <c r="N304" i="4"/>
  <c r="W218" i="4"/>
  <c r="V217" i="4"/>
  <c r="H154" i="4"/>
  <c r="AI154" i="4" s="1"/>
  <c r="H118" i="4"/>
  <c r="Q57" i="4"/>
  <c r="N296" i="4"/>
  <c r="W168" i="4"/>
  <c r="AI86" i="4"/>
  <c r="Q86" i="4"/>
  <c r="AL57" i="4"/>
  <c r="AL644" i="4"/>
  <c r="J522" i="4"/>
  <c r="K522" i="4" s="1"/>
  <c r="AQ415" i="4"/>
  <c r="AR415" i="4" s="1"/>
  <c r="AQ218" i="4"/>
  <c r="AR218" i="4" s="1"/>
  <c r="AQ127" i="4"/>
  <c r="AR127" i="4" s="1"/>
  <c r="AQ86" i="4"/>
  <c r="AR86" i="4" s="1"/>
  <c r="W45" i="4"/>
  <c r="Q45" i="4"/>
  <c r="AU646" i="4"/>
  <c r="AT646" i="4"/>
  <c r="AT645" i="4" s="1"/>
  <c r="AU645" i="4" s="1"/>
  <c r="AT593" i="4"/>
  <c r="AU593" i="4"/>
  <c r="Z578" i="4"/>
  <c r="AQ607" i="4"/>
  <c r="AR607" i="4" s="1"/>
  <c r="AT581" i="4"/>
  <c r="AU581" i="4"/>
  <c r="AC578" i="4"/>
  <c r="AT585" i="4"/>
  <c r="AU585" i="4"/>
  <c r="M559" i="4"/>
  <c r="T560" i="4"/>
  <c r="AT489" i="4"/>
  <c r="AU489" i="4"/>
  <c r="AC464" i="4"/>
  <c r="AB463" i="4"/>
  <c r="AC463" i="4" s="1"/>
  <c r="AT449" i="4"/>
  <c r="AU449" i="4"/>
  <c r="AL471" i="4"/>
  <c r="N471" i="4"/>
  <c r="AT378" i="4"/>
  <c r="AU378" i="4"/>
  <c r="AT516" i="4"/>
  <c r="AU516" i="4"/>
  <c r="AT507" i="4"/>
  <c r="AU507" i="4"/>
  <c r="AT491" i="4"/>
  <c r="AU491" i="4"/>
  <c r="AT376" i="4"/>
  <c r="AU376" i="4"/>
  <c r="W304" i="4"/>
  <c r="AT518" i="4"/>
  <c r="AU518" i="4"/>
  <c r="AT510" i="4"/>
  <c r="AU510" i="4"/>
  <c r="AT436" i="4"/>
  <c r="AU436" i="4"/>
  <c r="AU350" i="4"/>
  <c r="AT350" i="4"/>
  <c r="AQ284" i="4"/>
  <c r="AR284" i="4" s="1"/>
  <c r="AT262" i="4"/>
  <c r="AT261" i="4" s="1"/>
  <c r="AU261" i="4" s="1"/>
  <c r="AU262" i="4"/>
  <c r="AT453" i="4"/>
  <c r="AU453" i="4"/>
  <c r="AF304" i="4"/>
  <c r="AN258" i="4"/>
  <c r="AT203" i="4"/>
  <c r="AT202" i="4" s="1"/>
  <c r="AU202" i="4" s="1"/>
  <c r="AU203" i="4"/>
  <c r="Z304" i="4"/>
  <c r="AT104" i="4"/>
  <c r="AT103" i="4" s="1"/>
  <c r="AU103" i="4" s="1"/>
  <c r="AU104" i="4"/>
  <c r="AC127" i="4"/>
  <c r="AB258" i="4"/>
  <c r="AL233" i="4"/>
  <c r="AL168" i="4"/>
  <c r="AT368" i="4"/>
  <c r="AU368" i="4"/>
  <c r="AT366" i="4"/>
  <c r="AU366" i="4"/>
  <c r="Z233" i="4"/>
  <c r="Z168" i="4"/>
  <c r="AI127" i="4"/>
  <c r="AF57" i="4"/>
  <c r="AQ522" i="4"/>
  <c r="AR522" i="4" s="1"/>
  <c r="J595" i="4"/>
  <c r="K595" i="4" s="1"/>
  <c r="J327" i="4"/>
  <c r="K327" i="4" s="1"/>
  <c r="AQ233" i="4"/>
  <c r="AR233" i="4" s="1"/>
  <c r="AF647" i="4"/>
  <c r="AE644" i="4"/>
  <c r="AF644" i="4" s="1"/>
  <c r="AT609" i="4"/>
  <c r="AU609" i="4"/>
  <c r="AK590" i="4"/>
  <c r="AT589" i="4"/>
  <c r="AU589" i="4"/>
  <c r="AT597" i="4"/>
  <c r="AU597" i="4"/>
  <c r="AT562" i="4"/>
  <c r="AU562" i="4"/>
  <c r="W464" i="4"/>
  <c r="V463" i="4"/>
  <c r="W463" i="4" s="1"/>
  <c r="AT451" i="4"/>
  <c r="AU451" i="4"/>
  <c r="AT497" i="4"/>
  <c r="AU497" i="4"/>
  <c r="AT474" i="4"/>
  <c r="AU474" i="4"/>
  <c r="AF471" i="4"/>
  <c r="AT483" i="4"/>
  <c r="AU483" i="4"/>
  <c r="AT478" i="4"/>
  <c r="AU478" i="4"/>
  <c r="AQ319" i="4"/>
  <c r="AR319" i="4" s="1"/>
  <c r="AQ314" i="4"/>
  <c r="AR314" i="4" s="1"/>
  <c r="AT466" i="4"/>
  <c r="AU466" i="4"/>
  <c r="Y463" i="4"/>
  <c r="Z463" i="4" s="1"/>
  <c r="AT325" i="4"/>
  <c r="AT319" i="4" s="1"/>
  <c r="AU319" i="4" s="1"/>
  <c r="AU325" i="4"/>
  <c r="AO304" i="4"/>
  <c r="Q304" i="4"/>
  <c r="AT275" i="4"/>
  <c r="AU275" i="4"/>
  <c r="AO261" i="4"/>
  <c r="AI261" i="4"/>
  <c r="AT363" i="4"/>
  <c r="AU363" i="4"/>
  <c r="AT331" i="4"/>
  <c r="AU331" i="4"/>
  <c r="AT313" i="4"/>
  <c r="AU313" i="4"/>
  <c r="AT268" i="4"/>
  <c r="AU268" i="4"/>
  <c r="T261" i="4"/>
  <c r="J253" i="4"/>
  <c r="K253" i="4" s="1"/>
  <c r="T304" i="4"/>
  <c r="AT301" i="4"/>
  <c r="AU301" i="4"/>
  <c r="Q127" i="4"/>
  <c r="W261" i="4"/>
  <c r="AR168" i="4"/>
  <c r="P258" i="4"/>
  <c r="N168" i="4"/>
  <c r="T168" i="4"/>
  <c r="AT200" i="4"/>
  <c r="AT199" i="4" s="1"/>
  <c r="AU199" i="4" s="1"/>
  <c r="AU200" i="4"/>
  <c r="AF168" i="4"/>
  <c r="G662" i="1"/>
  <c r="G184" i="1"/>
  <c r="G560" i="1"/>
  <c r="G591" i="1"/>
  <c r="K58" i="1"/>
  <c r="L58" i="1" s="1"/>
  <c r="G241" i="1"/>
  <c r="G279" i="1"/>
  <c r="G573" i="1"/>
  <c r="G625" i="1"/>
  <c r="K464" i="4"/>
  <c r="AU80" i="4"/>
  <c r="J653" i="4"/>
  <c r="K653" i="4" s="1"/>
  <c r="AU640" i="4"/>
  <c r="AT640" i="4"/>
  <c r="AT639" i="4" s="1"/>
  <c r="AU639" i="4" s="1"/>
  <c r="AT648" i="4"/>
  <c r="AU648" i="4"/>
  <c r="AU642" i="4"/>
  <c r="AT642" i="4"/>
  <c r="AT641" i="4" s="1"/>
  <c r="AU641" i="4" s="1"/>
  <c r="AU630" i="4"/>
  <c r="AT630" i="4"/>
  <c r="AU638" i="4"/>
  <c r="AT638" i="4"/>
  <c r="AT637" i="4" s="1"/>
  <c r="AU637" i="4" s="1"/>
  <c r="AU577" i="4"/>
  <c r="AT577" i="4"/>
  <c r="Z568" i="4"/>
  <c r="H559" i="4"/>
  <c r="AU458" i="4"/>
  <c r="AT458" i="4"/>
  <c r="AU440" i="4"/>
  <c r="AT440" i="4"/>
  <c r="AI457" i="4"/>
  <c r="T457" i="4"/>
  <c r="AQ443" i="4"/>
  <c r="AR443" i="4" s="1"/>
  <c r="AU438" i="4"/>
  <c r="AT438" i="4"/>
  <c r="Z457" i="4"/>
  <c r="Q443" i="4"/>
  <c r="AU428" i="4"/>
  <c r="AT428" i="4"/>
  <c r="AU422" i="4"/>
  <c r="AT422" i="4"/>
  <c r="AU336" i="4"/>
  <c r="AT336" i="4"/>
  <c r="J314" i="4"/>
  <c r="K314" i="4" s="1"/>
  <c r="J304" i="4"/>
  <c r="K304" i="4" s="1"/>
  <c r="AU340" i="4"/>
  <c r="AT340" i="4"/>
  <c r="AU338" i="4"/>
  <c r="AT338" i="4"/>
  <c r="AC351" i="4"/>
  <c r="AQ253" i="4"/>
  <c r="AR253" i="4" s="1"/>
  <c r="AU245" i="4"/>
  <c r="AT245" i="4"/>
  <c r="J241" i="4"/>
  <c r="AQ213" i="4"/>
  <c r="Z351" i="4"/>
  <c r="AU247" i="4"/>
  <c r="AT247" i="4"/>
  <c r="AU238" i="4"/>
  <c r="AT238" i="4"/>
  <c r="AU234" i="4"/>
  <c r="AT234" i="4"/>
  <c r="AQ228" i="4"/>
  <c r="AR228" i="4" s="1"/>
  <c r="AU198" i="4"/>
  <c r="AT198" i="4"/>
  <c r="AT196" i="4" s="1"/>
  <c r="AF191" i="4"/>
  <c r="AR183" i="4"/>
  <c r="T183" i="4"/>
  <c r="N201" i="4"/>
  <c r="W201" i="4"/>
  <c r="AQ126" i="4"/>
  <c r="AQ125" i="4" s="1"/>
  <c r="AR125" i="4" s="1"/>
  <c r="AS126" i="4"/>
  <c r="AR126" i="4"/>
  <c r="AU143" i="4"/>
  <c r="AT143" i="4"/>
  <c r="AU139" i="4"/>
  <c r="AT139" i="4"/>
  <c r="Y134" i="4"/>
  <c r="AR119" i="4"/>
  <c r="S118" i="4"/>
  <c r="T118" i="4" s="1"/>
  <c r="AU107" i="4"/>
  <c r="AT107" i="4"/>
  <c r="AU91" i="4"/>
  <c r="AT91" i="4"/>
  <c r="AU87" i="4"/>
  <c r="AT87" i="4"/>
  <c r="AU79" i="4"/>
  <c r="AT79" i="4"/>
  <c r="AT78" i="4" s="1"/>
  <c r="AU78" i="4" s="1"/>
  <c r="AU69" i="4"/>
  <c r="AT69" i="4"/>
  <c r="AU65" i="4"/>
  <c r="AT65" i="4"/>
  <c r="AU61" i="4"/>
  <c r="AT61" i="4"/>
  <c r="AU119" i="4"/>
  <c r="J154" i="4"/>
  <c r="AC45" i="4"/>
  <c r="Z45" i="4"/>
  <c r="J661" i="4"/>
  <c r="K661" i="4" s="1"/>
  <c r="K662" i="4"/>
  <c r="AU632" i="4"/>
  <c r="AT632" i="4"/>
  <c r="AU636" i="4"/>
  <c r="AT636" i="4"/>
  <c r="AT635" i="4" s="1"/>
  <c r="AU635" i="4" s="1"/>
  <c r="AU567" i="4"/>
  <c r="AT567" i="4"/>
  <c r="AL613" i="4"/>
  <c r="N613" i="4"/>
  <c r="AF613" i="4"/>
  <c r="Z613" i="4"/>
  <c r="T613" i="4"/>
  <c r="W613" i="4"/>
  <c r="AT575" i="4"/>
  <c r="AU575" i="4"/>
  <c r="AT569" i="4"/>
  <c r="AU569" i="4"/>
  <c r="T568" i="4"/>
  <c r="J578" i="4"/>
  <c r="K578" i="4" s="1"/>
  <c r="J568" i="4"/>
  <c r="AL560" i="4"/>
  <c r="AK559" i="4"/>
  <c r="AU557" i="4"/>
  <c r="AT557" i="4"/>
  <c r="AU553" i="4"/>
  <c r="AT553" i="4"/>
  <c r="AC568" i="4"/>
  <c r="AI443" i="4"/>
  <c r="T443" i="4"/>
  <c r="AQ430" i="4"/>
  <c r="AR430" i="4" s="1"/>
  <c r="AF443" i="4"/>
  <c r="AU432" i="4"/>
  <c r="AT432" i="4"/>
  <c r="AU426" i="4"/>
  <c r="AT426" i="4"/>
  <c r="J415" i="4"/>
  <c r="K415" i="4" s="1"/>
  <c r="AU254" i="4"/>
  <c r="AT254" i="4"/>
  <c r="AU242" i="4"/>
  <c r="AT242" i="4"/>
  <c r="N351" i="4"/>
  <c r="AU251" i="4"/>
  <c r="AT251" i="4"/>
  <c r="AH326" i="4"/>
  <c r="V326" i="4"/>
  <c r="H326" i="4"/>
  <c r="AU252" i="4"/>
  <c r="AT252" i="4"/>
  <c r="AQ241" i="4"/>
  <c r="AR241" i="4" s="1"/>
  <c r="AU232" i="4"/>
  <c r="AT232" i="4"/>
  <c r="AR226" i="4"/>
  <c r="AU220" i="4"/>
  <c r="AT220" i="4"/>
  <c r="AT218" i="4" s="1"/>
  <c r="AU214" i="4"/>
  <c r="AT214" i="4"/>
  <c r="AU206" i="4"/>
  <c r="AT206" i="4"/>
  <c r="AT204" i="4" s="1"/>
  <c r="AQ196" i="4"/>
  <c r="AO201" i="4"/>
  <c r="AU130" i="4"/>
  <c r="AT130" i="4"/>
  <c r="AU114" i="4"/>
  <c r="AT114" i="4"/>
  <c r="AU102" i="4"/>
  <c r="AT102" i="4"/>
  <c r="AT101" i="4" s="1"/>
  <c r="AU101" i="4" s="1"/>
  <c r="AU47" i="4"/>
  <c r="AT47" i="4"/>
  <c r="AQ77" i="4"/>
  <c r="AQ45" i="4"/>
  <c r="AR45" i="4" s="1"/>
  <c r="N45" i="4"/>
  <c r="AU40" i="4"/>
  <c r="AT40" i="4"/>
  <c r="AU36" i="4"/>
  <c r="AT36" i="4"/>
  <c r="AU32" i="4"/>
  <c r="AT32" i="4"/>
  <c r="AU28" i="4"/>
  <c r="AT28" i="4"/>
  <c r="AU24" i="4"/>
  <c r="AT24" i="4"/>
  <c r="AU20" i="4"/>
  <c r="AT20" i="4"/>
  <c r="AU16" i="4"/>
  <c r="AT16" i="4"/>
  <c r="AU12" i="4"/>
  <c r="AT12" i="4"/>
  <c r="J647" i="4"/>
  <c r="AU634" i="4"/>
  <c r="AT634" i="4"/>
  <c r="AQ629" i="4"/>
  <c r="H590" i="4"/>
  <c r="AU571" i="4"/>
  <c r="AT571" i="4"/>
  <c r="AU563" i="4"/>
  <c r="AT563" i="4"/>
  <c r="AO613" i="4"/>
  <c r="Q613" i="4"/>
  <c r="AL568" i="4"/>
  <c r="N568" i="4"/>
  <c r="AF560" i="4"/>
  <c r="AE559" i="4"/>
  <c r="AO568" i="4"/>
  <c r="W568" i="4"/>
  <c r="AQ471" i="4"/>
  <c r="AU454" i="4"/>
  <c r="AT454" i="4"/>
  <c r="AU444" i="4"/>
  <c r="AT444" i="4"/>
  <c r="AQ452" i="4"/>
  <c r="AR452" i="4" s="1"/>
  <c r="AL457" i="4"/>
  <c r="AO443" i="4"/>
  <c r="W457" i="4"/>
  <c r="AU434" i="4"/>
  <c r="AT434" i="4"/>
  <c r="AU424" i="4"/>
  <c r="AT424" i="4"/>
  <c r="Z443" i="4"/>
  <c r="J395" i="4"/>
  <c r="K395" i="4" s="1"/>
  <c r="AQ327" i="4"/>
  <c r="J284" i="4"/>
  <c r="K284" i="4" s="1"/>
  <c r="AQ351" i="4"/>
  <c r="AR351" i="4" s="1"/>
  <c r="AU346" i="4"/>
  <c r="AT346" i="4"/>
  <c r="AU250" i="4"/>
  <c r="AT250" i="4"/>
  <c r="Q351" i="4"/>
  <c r="AU244" i="4"/>
  <c r="AT244" i="4"/>
  <c r="K202" i="4"/>
  <c r="AI351" i="4"/>
  <c r="AU255" i="4"/>
  <c r="AT255" i="4"/>
  <c r="AU236" i="4"/>
  <c r="AT236" i="4"/>
  <c r="AU224" i="4"/>
  <c r="AT224" i="4"/>
  <c r="AT222" i="4" s="1"/>
  <c r="AU222" i="4" s="1"/>
  <c r="AQ204" i="4"/>
  <c r="T191" i="4"/>
  <c r="AF183" i="4"/>
  <c r="AU226" i="4"/>
  <c r="AQ124" i="4"/>
  <c r="AQ123" i="4" s="1"/>
  <c r="AR123" i="4" s="1"/>
  <c r="AS124" i="4"/>
  <c r="AR124" i="4"/>
  <c r="AQ113" i="4"/>
  <c r="AR113" i="4" s="1"/>
  <c r="AQ106" i="4"/>
  <c r="AR106" i="4" s="1"/>
  <c r="K80" i="4"/>
  <c r="J77" i="4"/>
  <c r="AF201" i="4"/>
  <c r="AU184" i="4"/>
  <c r="AT183" i="4"/>
  <c r="AU183" i="4" s="1"/>
  <c r="AU141" i="4"/>
  <c r="AT141" i="4"/>
  <c r="AU137" i="4"/>
  <c r="AT137" i="4"/>
  <c r="AK134" i="4"/>
  <c r="AU109" i="4"/>
  <c r="AT109" i="4"/>
  <c r="AU93" i="4"/>
  <c r="AT93" i="4"/>
  <c r="AU89" i="4"/>
  <c r="AT89" i="4"/>
  <c r="AU76" i="4"/>
  <c r="AT76" i="4"/>
  <c r="AT74" i="4" s="1"/>
  <c r="AU74" i="4" s="1"/>
  <c r="AU67" i="4"/>
  <c r="AT67" i="4"/>
  <c r="AU63" i="4"/>
  <c r="AT63" i="4"/>
  <c r="AU59" i="4"/>
  <c r="AT59" i="4"/>
  <c r="AT154" i="4"/>
  <c r="AU46" i="4"/>
  <c r="AT46" i="4"/>
  <c r="AQ10" i="4"/>
  <c r="AF45" i="4"/>
  <c r="AT661" i="4"/>
  <c r="AU661" i="4" s="1"/>
  <c r="AU662" i="4"/>
  <c r="AU622" i="4"/>
  <c r="AT622" i="4"/>
  <c r="AT561" i="4"/>
  <c r="AU561" i="4"/>
  <c r="AI613" i="4"/>
  <c r="AT579" i="4"/>
  <c r="AU579" i="4"/>
  <c r="AF568" i="4"/>
  <c r="AU624" i="4"/>
  <c r="AT624" i="4"/>
  <c r="AU565" i="4"/>
  <c r="AT565" i="4"/>
  <c r="Z560" i="4"/>
  <c r="Y559" i="4"/>
  <c r="AU555" i="4"/>
  <c r="AT555" i="4"/>
  <c r="AI568" i="4"/>
  <c r="AQ457" i="4"/>
  <c r="AR457" i="4" s="1"/>
  <c r="AU450" i="4"/>
  <c r="AT450" i="4"/>
  <c r="W443" i="4"/>
  <c r="AC443" i="4"/>
  <c r="N443" i="4"/>
  <c r="AU420" i="4"/>
  <c r="AT420" i="4"/>
  <c r="AU356" i="4"/>
  <c r="AT356" i="4"/>
  <c r="J296" i="4"/>
  <c r="K296" i="4" s="1"/>
  <c r="AU348" i="4"/>
  <c r="AT348" i="4"/>
  <c r="AU358" i="4"/>
  <c r="AT358" i="4"/>
  <c r="T351" i="4"/>
  <c r="AF351" i="4"/>
  <c r="W351" i="4"/>
  <c r="AL351" i="4"/>
  <c r="AN326" i="4"/>
  <c r="AB326" i="4"/>
  <c r="P326" i="4"/>
  <c r="AU256" i="4"/>
  <c r="AT256" i="4"/>
  <c r="AU248" i="4"/>
  <c r="AT248" i="4"/>
  <c r="AU230" i="4"/>
  <c r="AT230" i="4"/>
  <c r="AU216" i="4"/>
  <c r="AT216" i="4"/>
  <c r="AT210" i="4"/>
  <c r="Z201" i="4"/>
  <c r="AI201" i="4"/>
  <c r="J94" i="4"/>
  <c r="J70" i="4"/>
  <c r="K70" i="4" s="1"/>
  <c r="T201" i="4"/>
  <c r="AQ135" i="4"/>
  <c r="AE134" i="4"/>
  <c r="AU128" i="4"/>
  <c r="AT128" i="4"/>
  <c r="AU116" i="4"/>
  <c r="AT116" i="4"/>
  <c r="AU84" i="4"/>
  <c r="AT84" i="4"/>
  <c r="AT83" i="4" s="1"/>
  <c r="AU83" i="4" s="1"/>
  <c r="AQ74" i="4"/>
  <c r="AR74" i="4" s="1"/>
  <c r="AQ57" i="4"/>
  <c r="AL45" i="4"/>
  <c r="AU42" i="4"/>
  <c r="AT42" i="4"/>
  <c r="AU38" i="4"/>
  <c r="AT38" i="4"/>
  <c r="AU34" i="4"/>
  <c r="AT34" i="4"/>
  <c r="AU30" i="4"/>
  <c r="AT30" i="4"/>
  <c r="AU26" i="4"/>
  <c r="AT26" i="4"/>
  <c r="AU22" i="4"/>
  <c r="AT22" i="4"/>
  <c r="AU18" i="4"/>
  <c r="AT18" i="4"/>
  <c r="AU14" i="4"/>
  <c r="AT14" i="4"/>
  <c r="H9" i="4"/>
  <c r="G653" i="1"/>
  <c r="G210" i="1"/>
  <c r="G607" i="1"/>
  <c r="G179" i="1"/>
  <c r="G196" i="1"/>
  <c r="G233" i="1"/>
  <c r="G253" i="1"/>
  <c r="G284" i="1"/>
  <c r="G296" i="1"/>
  <c r="G304" i="1"/>
  <c r="G430" i="1"/>
  <c r="G452" i="1"/>
  <c r="G568" i="1"/>
  <c r="G595" i="1"/>
  <c r="G629" i="1"/>
  <c r="G641" i="1"/>
  <c r="G647" i="1"/>
  <c r="K11" i="1"/>
  <c r="L11" i="1" s="1"/>
  <c r="K523" i="1"/>
  <c r="M523" i="1" s="1"/>
  <c r="K564" i="1"/>
  <c r="K507" i="1"/>
  <c r="K448" i="1"/>
  <c r="K508" i="1"/>
  <c r="M508" i="1" s="1"/>
  <c r="G274" i="1"/>
  <c r="K648" i="1"/>
  <c r="G327" i="1"/>
  <c r="G415" i="1"/>
  <c r="G522" i="1"/>
  <c r="G578" i="1"/>
  <c r="G613" i="1"/>
  <c r="G384" i="1"/>
  <c r="K470" i="1"/>
  <c r="K543" i="1"/>
  <c r="M543" i="1" s="1"/>
  <c r="K479" i="1"/>
  <c r="M479" i="1" s="1"/>
  <c r="K472" i="1"/>
  <c r="M472" i="1" s="1"/>
  <c r="M192" i="1"/>
  <c r="L257" i="1"/>
  <c r="M257" i="1"/>
  <c r="K632" i="1"/>
  <c r="K636" i="1"/>
  <c r="K640" i="1"/>
  <c r="K652" i="1"/>
  <c r="K656" i="1"/>
  <c r="K660" i="1"/>
  <c r="K462" i="1"/>
  <c r="K449" i="1"/>
  <c r="K466" i="1"/>
  <c r="K474" i="1"/>
  <c r="K478" i="1"/>
  <c r="K482" i="1"/>
  <c r="K486" i="1"/>
  <c r="K490" i="1"/>
  <c r="K494" i="1"/>
  <c r="K498" i="1"/>
  <c r="K502" i="1"/>
  <c r="K506" i="1"/>
  <c r="K562" i="1"/>
  <c r="K582" i="1"/>
  <c r="K643" i="1"/>
  <c r="K663" i="1"/>
  <c r="K456" i="1"/>
  <c r="M456" i="1" s="1"/>
  <c r="K505" i="1"/>
  <c r="K509" i="1"/>
  <c r="K565" i="1"/>
  <c r="K593" i="1"/>
  <c r="K597" i="1"/>
  <c r="K605" i="1"/>
  <c r="K609" i="1"/>
  <c r="K617" i="1"/>
  <c r="K638" i="1"/>
  <c r="K642" i="1"/>
  <c r="K447" i="1"/>
  <c r="K476" i="1"/>
  <c r="K480" i="1"/>
  <c r="K484" i="1"/>
  <c r="K488" i="1"/>
  <c r="K492" i="1"/>
  <c r="K496" i="1"/>
  <c r="K500" i="1"/>
  <c r="K504" i="1"/>
  <c r="K649" i="1"/>
  <c r="G395" i="1"/>
  <c r="G601" i="1"/>
  <c r="G351" i="1"/>
  <c r="K446" i="1"/>
  <c r="K450" i="1"/>
  <c r="K467" i="1"/>
  <c r="M467" i="1" s="1"/>
  <c r="K491" i="1"/>
  <c r="M491" i="1" s="1"/>
  <c r="K515" i="1"/>
  <c r="K519" i="1"/>
  <c r="K527" i="1"/>
  <c r="K531" i="1"/>
  <c r="K539" i="1"/>
  <c r="K547" i="1"/>
  <c r="K555" i="1"/>
  <c r="K567" i="1"/>
  <c r="G457" i="1"/>
  <c r="G471" i="1"/>
  <c r="G464" i="1"/>
  <c r="G319" i="1"/>
  <c r="G314" i="1"/>
  <c r="G311" i="1"/>
  <c r="G265" i="1"/>
  <c r="G261" i="1"/>
  <c r="G249" i="1"/>
  <c r="G246" i="1"/>
  <c r="G228" i="1"/>
  <c r="G222" i="1"/>
  <c r="G218" i="1"/>
  <c r="G213" i="1"/>
  <c r="G204" i="1"/>
  <c r="G175" i="1"/>
  <c r="G168" i="1"/>
  <c r="G164" i="1"/>
  <c r="G159" i="1"/>
  <c r="G145" i="1"/>
  <c r="G110" i="1"/>
  <c r="G131" i="1"/>
  <c r="G127" i="1"/>
  <c r="G106" i="1"/>
  <c r="G103" i="1"/>
  <c r="G113" i="1"/>
  <c r="G80" i="1"/>
  <c r="G70" i="1"/>
  <c r="G86" i="1"/>
  <c r="G57" i="1"/>
  <c r="G94" i="1"/>
  <c r="G52" i="1"/>
  <c r="G74" i="1"/>
  <c r="G10" i="1"/>
  <c r="G48" i="1"/>
  <c r="G45" i="1"/>
  <c r="K460" i="1"/>
  <c r="M460" i="1" s="1"/>
  <c r="K626" i="1"/>
  <c r="M626" i="1" s="1"/>
  <c r="K631" i="1"/>
  <c r="K535" i="1"/>
  <c r="K569" i="1"/>
  <c r="M569" i="1" s="1"/>
  <c r="K545" i="1"/>
  <c r="K601" i="1"/>
  <c r="K614" i="1"/>
  <c r="M614" i="1" s="1"/>
  <c r="K503" i="1"/>
  <c r="M503" i="1" s="1"/>
  <c r="K483" i="1"/>
  <c r="M483" i="1" s="1"/>
  <c r="K550" i="1"/>
  <c r="K574" i="1"/>
  <c r="K589" i="1"/>
  <c r="M589" i="1" s="1"/>
  <c r="K563" i="1"/>
  <c r="K585" i="1"/>
  <c r="M585" i="1" s="1"/>
  <c r="K495" i="1"/>
  <c r="K530" i="1"/>
  <c r="M530" i="1" s="1"/>
  <c r="K522" i="1"/>
  <c r="K577" i="1"/>
  <c r="M577" i="1" s="1"/>
  <c r="K455" i="1"/>
  <c r="M455" i="1" s="1"/>
  <c r="K586" i="1"/>
  <c r="K485" i="1"/>
  <c r="M485" i="1" s="1"/>
  <c r="K598" i="1"/>
  <c r="M598" i="1" s="1"/>
  <c r="K600" i="1"/>
  <c r="M600" i="1" s="1"/>
  <c r="K525" i="1"/>
  <c r="K541" i="1"/>
  <c r="K464" i="1"/>
  <c r="K570" i="1"/>
  <c r="K475" i="1"/>
  <c r="M475" i="1" s="1"/>
  <c r="K551" i="1"/>
  <c r="K557" i="1"/>
  <c r="K560" i="1"/>
  <c r="K457" i="1"/>
  <c r="K511" i="1"/>
  <c r="K620" i="1"/>
  <c r="M620" i="1" s="1"/>
  <c r="K647" i="1"/>
  <c r="K453" i="1"/>
  <c r="K536" i="1"/>
  <c r="K540" i="1"/>
  <c r="K606" i="1"/>
  <c r="M606" i="1" s="1"/>
  <c r="K616" i="1"/>
  <c r="M616" i="1" s="1"/>
  <c r="K538" i="1"/>
  <c r="M538" i="1" s="1"/>
  <c r="K587" i="1"/>
  <c r="M587" i="1" s="1"/>
  <c r="K463" i="1"/>
  <c r="K520" i="1"/>
  <c r="K573" i="1"/>
  <c r="K633" i="1"/>
  <c r="M633" i="1" s="1"/>
  <c r="K635" i="1"/>
  <c r="K499" i="1"/>
  <c r="M499" i="1" s="1"/>
  <c r="K546" i="1"/>
  <c r="M546" i="1" s="1"/>
  <c r="K554" i="1"/>
  <c r="M554" i="1" s="1"/>
  <c r="K514" i="1"/>
  <c r="M514" i="1" s="1"/>
  <c r="K458" i="1"/>
  <c r="M458" i="1" s="1"/>
  <c r="K595" i="1"/>
  <c r="K487" i="1"/>
  <c r="M487" i="1" s="1"/>
  <c r="K621" i="1"/>
  <c r="K477" i="1"/>
  <c r="K528" i="1"/>
  <c r="K533" i="1"/>
  <c r="K558" i="1"/>
  <c r="K571" i="1"/>
  <c r="M571" i="1" s="1"/>
  <c r="K588" i="1"/>
  <c r="K592" i="1"/>
  <c r="M592" i="1" s="1"/>
  <c r="K602" i="1"/>
  <c r="M602" i="1" s="1"/>
  <c r="K607" i="1"/>
  <c r="K612" i="1"/>
  <c r="M612" i="1" s="1"/>
  <c r="K622" i="1"/>
  <c r="M622" i="1" s="1"/>
  <c r="K629" i="1"/>
  <c r="K661" i="1"/>
  <c r="K468" i="1"/>
  <c r="M468" i="1" s="1"/>
  <c r="K513" i="1"/>
  <c r="K518" i="1"/>
  <c r="M518" i="1" s="1"/>
  <c r="K548" i="1"/>
  <c r="M548" i="1" s="1"/>
  <c r="K553" i="1"/>
  <c r="K583" i="1"/>
  <c r="M583" i="1" s="1"/>
  <c r="M623" i="1"/>
  <c r="K655" i="1"/>
  <c r="M655" i="1" s="1"/>
  <c r="K481" i="1"/>
  <c r="M481" i="1" s="1"/>
  <c r="K580" i="1"/>
  <c r="K594" i="1"/>
  <c r="M594" i="1" s="1"/>
  <c r="K599" i="1"/>
  <c r="K604" i="1"/>
  <c r="M604" i="1" s="1"/>
  <c r="K619" i="1"/>
  <c r="K651" i="1"/>
  <c r="M651" i="1" s="1"/>
  <c r="K459" i="1"/>
  <c r="M459" i="1" s="1"/>
  <c r="K510" i="1"/>
  <c r="M510" i="1" s="1"/>
  <c r="K537" i="1"/>
  <c r="M537" i="1" s="1"/>
  <c r="K542" i="1"/>
  <c r="K559" i="1"/>
  <c r="K575" i="1"/>
  <c r="M575" i="1" s="1"/>
  <c r="K489" i="1"/>
  <c r="K532" i="1"/>
  <c r="K591" i="1"/>
  <c r="K596" i="1"/>
  <c r="M596" i="1" s="1"/>
  <c r="K611" i="1"/>
  <c r="K627" i="1"/>
  <c r="M627" i="1" s="1"/>
  <c r="K454" i="1"/>
  <c r="K465" i="1"/>
  <c r="M465" i="1" s="1"/>
  <c r="K512" i="1"/>
  <c r="K517" i="1"/>
  <c r="K552" i="1"/>
  <c r="M552" i="1" s="1"/>
  <c r="K561" i="1"/>
  <c r="K637" i="1"/>
  <c r="K461" i="1"/>
  <c r="K529" i="1"/>
  <c r="M529" i="1" s="1"/>
  <c r="K534" i="1"/>
  <c r="M534" i="1" s="1"/>
  <c r="K544" i="1"/>
  <c r="M544" i="1" s="1"/>
  <c r="K572" i="1"/>
  <c r="K603" i="1"/>
  <c r="K608" i="1"/>
  <c r="M608" i="1" s="1"/>
  <c r="K493" i="1"/>
  <c r="K524" i="1"/>
  <c r="K549" i="1"/>
  <c r="K579" i="1"/>
  <c r="M579" i="1" s="1"/>
  <c r="K584" i="1"/>
  <c r="K618" i="1"/>
  <c r="M618" i="1" s="1"/>
  <c r="K641" i="1"/>
  <c r="K646" i="1"/>
  <c r="K469" i="1"/>
  <c r="K624" i="1"/>
  <c r="K630" i="1"/>
  <c r="M630" i="1" s="1"/>
  <c r="K451" i="1"/>
  <c r="M451" i="1" s="1"/>
  <c r="K473" i="1"/>
  <c r="K497" i="1"/>
  <c r="M497" i="1" s="1"/>
  <c r="K521" i="1"/>
  <c r="K526" i="1"/>
  <c r="M526" i="1" s="1"/>
  <c r="K581" i="1"/>
  <c r="M581" i="1" s="1"/>
  <c r="K590" i="1"/>
  <c r="K610" i="1"/>
  <c r="M610" i="1" s="1"/>
  <c r="K615" i="1"/>
  <c r="K501" i="1"/>
  <c r="K516" i="1"/>
  <c r="K556" i="1"/>
  <c r="K634" i="1"/>
  <c r="M634" i="1" s="1"/>
  <c r="K650" i="1"/>
  <c r="K654" i="1"/>
  <c r="K658" i="1"/>
  <c r="K625" i="1"/>
  <c r="M187" i="1" l="1"/>
  <c r="J207" i="1"/>
  <c r="J157" i="1"/>
  <c r="J192" i="1"/>
  <c r="J155" i="1"/>
  <c r="AF217" i="4"/>
  <c r="AF258" i="4"/>
  <c r="M189" i="1"/>
  <c r="J189" i="1"/>
  <c r="J126" i="1"/>
  <c r="J48" i="1"/>
  <c r="J80" i="1"/>
  <c r="J159" i="1"/>
  <c r="J228" i="1"/>
  <c r="J464" i="1"/>
  <c r="J613" i="1"/>
  <c r="J595" i="1"/>
  <c r="J233" i="1"/>
  <c r="J10" i="1"/>
  <c r="J164" i="1"/>
  <c r="J578" i="1"/>
  <c r="J568" i="1"/>
  <c r="J196" i="1"/>
  <c r="J607" i="1"/>
  <c r="J625" i="1"/>
  <c r="J591" i="1"/>
  <c r="J662" i="1"/>
  <c r="J135" i="1"/>
  <c r="J443" i="1"/>
  <c r="J246" i="1"/>
  <c r="J74" i="1"/>
  <c r="J103" i="1"/>
  <c r="J168" i="1"/>
  <c r="J249" i="1"/>
  <c r="J457" i="1"/>
  <c r="J522" i="1"/>
  <c r="J452" i="1"/>
  <c r="J179" i="1"/>
  <c r="J210" i="1"/>
  <c r="J573" i="1"/>
  <c r="J560" i="1"/>
  <c r="J131" i="1"/>
  <c r="J471" i="1"/>
  <c r="J52" i="1"/>
  <c r="J106" i="1"/>
  <c r="J175" i="1"/>
  <c r="J261" i="1"/>
  <c r="J384" i="1"/>
  <c r="J415" i="1"/>
  <c r="J430" i="1"/>
  <c r="J279" i="1"/>
  <c r="J184" i="1"/>
  <c r="J123" i="1"/>
  <c r="J94" i="1"/>
  <c r="J127" i="1"/>
  <c r="J204" i="1"/>
  <c r="J265" i="1"/>
  <c r="J327" i="1"/>
  <c r="J304" i="1"/>
  <c r="J653" i="1"/>
  <c r="J241" i="1"/>
  <c r="J311" i="1"/>
  <c r="J274" i="1"/>
  <c r="J647" i="1"/>
  <c r="J296" i="1"/>
  <c r="J213" i="1"/>
  <c r="J86" i="1"/>
  <c r="J110" i="1"/>
  <c r="J218" i="1"/>
  <c r="J314" i="1"/>
  <c r="J351" i="1"/>
  <c r="J641" i="1"/>
  <c r="J284" i="1"/>
  <c r="J57" i="1"/>
  <c r="J45" i="1"/>
  <c r="J70" i="1"/>
  <c r="J145" i="1"/>
  <c r="J222" i="1"/>
  <c r="J319" i="1"/>
  <c r="J601" i="1"/>
  <c r="J395" i="1"/>
  <c r="J629" i="1"/>
  <c r="J253" i="1"/>
  <c r="AL463" i="4"/>
  <c r="AL118" i="4"/>
  <c r="AI217" i="4"/>
  <c r="T217" i="4"/>
  <c r="Q217" i="4"/>
  <c r="AO217" i="4"/>
  <c r="AL217" i="4"/>
  <c r="Z217" i="4"/>
  <c r="AT464" i="4"/>
  <c r="AU464" i="4" s="1"/>
  <c r="Z209" i="4"/>
  <c r="T209" i="4"/>
  <c r="Q209" i="4"/>
  <c r="L179" i="1"/>
  <c r="M179" i="1" s="1"/>
  <c r="L164" i="1"/>
  <c r="M164" i="1" s="1"/>
  <c r="L184" i="1"/>
  <c r="M184" i="1" s="1"/>
  <c r="L175" i="1"/>
  <c r="M175" i="1" s="1"/>
  <c r="W209" i="4"/>
  <c r="AF209" i="4"/>
  <c r="AF85" i="4"/>
  <c r="AF463" i="4"/>
  <c r="AT132" i="4"/>
  <c r="AT131" i="4" s="1"/>
  <c r="AU131" i="4" s="1"/>
  <c r="AL209" i="4"/>
  <c r="AT607" i="4"/>
  <c r="AU607" i="4" s="1"/>
  <c r="W217" i="4"/>
  <c r="Q463" i="4"/>
  <c r="AL51" i="4"/>
  <c r="AT279" i="4"/>
  <c r="AU279" i="4" s="1"/>
  <c r="W590" i="4"/>
  <c r="AF134" i="4"/>
  <c r="N209" i="4"/>
  <c r="AT595" i="4"/>
  <c r="AU595" i="4" s="1"/>
  <c r="J201" i="4"/>
  <c r="K201" i="4" s="1"/>
  <c r="AI559" i="4"/>
  <c r="AC258" i="4"/>
  <c r="T463" i="4"/>
  <c r="AI463" i="4"/>
  <c r="Z9" i="4"/>
  <c r="AF326" i="4"/>
  <c r="AT647" i="4"/>
  <c r="AT591" i="4"/>
  <c r="AU591" i="4" s="1"/>
  <c r="K77" i="4"/>
  <c r="AR647" i="4"/>
  <c r="J9" i="4"/>
  <c r="W118" i="4"/>
  <c r="L168" i="1"/>
  <c r="M168" i="1" s="1"/>
  <c r="AR77" i="4"/>
  <c r="J209" i="4"/>
  <c r="K209" i="4" s="1"/>
  <c r="AT601" i="4"/>
  <c r="AU601" i="4" s="1"/>
  <c r="AT274" i="4"/>
  <c r="AU274" i="4" s="1"/>
  <c r="AT296" i="4"/>
  <c r="AU296" i="4" s="1"/>
  <c r="K210" i="4"/>
  <c r="K135" i="4"/>
  <c r="AT94" i="4"/>
  <c r="AU94" i="4" s="1"/>
  <c r="AT70" i="4"/>
  <c r="AU70" i="4" s="1"/>
  <c r="AO154" i="4"/>
  <c r="AT384" i="4"/>
  <c r="AU384" i="4" s="1"/>
  <c r="AL77" i="4"/>
  <c r="AI77" i="4"/>
  <c r="N77" i="4"/>
  <c r="Q77" i="4"/>
  <c r="N258" i="4"/>
  <c r="T258" i="4"/>
  <c r="Q225" i="4"/>
  <c r="Q326" i="4"/>
  <c r="W225" i="4"/>
  <c r="N154" i="4"/>
  <c r="AT304" i="4"/>
  <c r="AU304" i="4" s="1"/>
  <c r="AO51" i="4"/>
  <c r="AQ217" i="4"/>
  <c r="AR217" i="4" s="1"/>
  <c r="N326" i="4"/>
  <c r="AQ559" i="4"/>
  <c r="AR559" i="4" s="1"/>
  <c r="J217" i="4"/>
  <c r="K217" i="4" s="1"/>
  <c r="T225" i="4"/>
  <c r="AT452" i="4"/>
  <c r="AU452" i="4" s="1"/>
  <c r="W134" i="4"/>
  <c r="AC209" i="4"/>
  <c r="J191" i="4"/>
  <c r="K191" i="4" s="1"/>
  <c r="L159" i="1"/>
  <c r="M159" i="1" s="1"/>
  <c r="G77" i="1"/>
  <c r="G191" i="1"/>
  <c r="G201" i="1"/>
  <c r="G183" i="1"/>
  <c r="G209" i="1"/>
  <c r="G661" i="1"/>
  <c r="AT57" i="4"/>
  <c r="AU57" i="4" s="1"/>
  <c r="AC85" i="4"/>
  <c r="T628" i="4"/>
  <c r="AC134" i="4"/>
  <c r="N85" i="4"/>
  <c r="AI134" i="4"/>
  <c r="AO628" i="4"/>
  <c r="Z85" i="4"/>
  <c r="T85" i="4"/>
  <c r="J118" i="4"/>
  <c r="K118" i="4" s="1"/>
  <c r="AL85" i="4"/>
  <c r="Q628" i="4"/>
  <c r="W628" i="4"/>
  <c r="AO85" i="4"/>
  <c r="AI628" i="4"/>
  <c r="AF628" i="4"/>
  <c r="AI85" i="4"/>
  <c r="AI118" i="4"/>
  <c r="W85" i="4"/>
  <c r="AL225" i="4"/>
  <c r="AC590" i="4"/>
  <c r="N118" i="4"/>
  <c r="Z118" i="4"/>
  <c r="AI209" i="4"/>
  <c r="W77" i="4"/>
  <c r="AC628" i="4"/>
  <c r="AT457" i="4"/>
  <c r="AU457" i="4" s="1"/>
  <c r="J628" i="4"/>
  <c r="K628" i="4" s="1"/>
  <c r="AF225" i="4"/>
  <c r="AT395" i="4"/>
  <c r="AU395" i="4" s="1"/>
  <c r="AL628" i="4"/>
  <c r="N628" i="4"/>
  <c r="AT265" i="4"/>
  <c r="AU265" i="4" s="1"/>
  <c r="AF77" i="4"/>
  <c r="AT127" i="4"/>
  <c r="AU127" i="4" s="1"/>
  <c r="T77" i="4"/>
  <c r="Z77" i="4"/>
  <c r="AT311" i="4"/>
  <c r="AU311" i="4" s="1"/>
  <c r="AC77" i="4"/>
  <c r="U666" i="4"/>
  <c r="W666" i="4" s="1"/>
  <c r="AC326" i="4"/>
  <c r="Z559" i="4"/>
  <c r="Z326" i="4"/>
  <c r="T51" i="4"/>
  <c r="AQ225" i="4"/>
  <c r="AR225" i="4" s="1"/>
  <c r="AC559" i="4"/>
  <c r="W51" i="4"/>
  <c r="Q51" i="4"/>
  <c r="Q258" i="4"/>
  <c r="AL258" i="4"/>
  <c r="Q134" i="4"/>
  <c r="N134" i="4"/>
  <c r="AM666" i="4"/>
  <c r="AO666" i="4" s="1"/>
  <c r="AC51" i="4"/>
  <c r="AO326" i="4"/>
  <c r="AL134" i="4"/>
  <c r="AL326" i="4"/>
  <c r="AF559" i="4"/>
  <c r="AF51" i="4"/>
  <c r="Z134" i="4"/>
  <c r="AI258" i="4"/>
  <c r="W258" i="4"/>
  <c r="K134" i="4"/>
  <c r="T134" i="4"/>
  <c r="AC225" i="4"/>
  <c r="AO134" i="4"/>
  <c r="N225" i="4"/>
  <c r="AI225" i="4"/>
  <c r="AI51" i="4"/>
  <c r="AO559" i="4"/>
  <c r="AL559" i="4"/>
  <c r="AT573" i="4"/>
  <c r="AU573" i="4" s="1"/>
  <c r="Z51" i="4"/>
  <c r="AO258" i="4"/>
  <c r="Z258" i="4"/>
  <c r="AO225" i="4"/>
  <c r="Z225" i="4"/>
  <c r="AT471" i="4"/>
  <c r="AU471" i="4" s="1"/>
  <c r="AT10" i="4"/>
  <c r="AU10" i="4" s="1"/>
  <c r="AT613" i="4"/>
  <c r="AU613" i="4" s="1"/>
  <c r="Q118" i="4"/>
  <c r="L666" i="4"/>
  <c r="AT228" i="4"/>
  <c r="AU228" i="4" s="1"/>
  <c r="AT415" i="4"/>
  <c r="AU415" i="4" s="1"/>
  <c r="AI590" i="4"/>
  <c r="AU154" i="4"/>
  <c r="N51" i="4"/>
  <c r="AL154" i="4"/>
  <c r="AT284" i="4"/>
  <c r="AU284" i="4" s="1"/>
  <c r="Z154" i="4"/>
  <c r="T154" i="4"/>
  <c r="AT578" i="4"/>
  <c r="AU578" i="4" s="1"/>
  <c r="AT430" i="4"/>
  <c r="AU430" i="4" s="1"/>
  <c r="AQ590" i="4"/>
  <c r="AR590" i="4" s="1"/>
  <c r="K154" i="4"/>
  <c r="W154" i="4"/>
  <c r="AF9" i="4"/>
  <c r="AI326" i="4"/>
  <c r="J463" i="4"/>
  <c r="K463" i="4" s="1"/>
  <c r="Q154" i="4"/>
  <c r="AF154" i="4"/>
  <c r="M58" i="1"/>
  <c r="AR265" i="4"/>
  <c r="AQ258" i="4"/>
  <c r="AR258" i="4" s="1"/>
  <c r="AD666" i="4"/>
  <c r="AF666" i="4" s="1"/>
  <c r="AC118" i="4"/>
  <c r="AR154" i="4"/>
  <c r="AQ85" i="4"/>
  <c r="AR85" i="4" s="1"/>
  <c r="AT135" i="4"/>
  <c r="AU135" i="4" s="1"/>
  <c r="AT327" i="4"/>
  <c r="AU327" i="4" s="1"/>
  <c r="AT443" i="4"/>
  <c r="AU443" i="4" s="1"/>
  <c r="AO118" i="4"/>
  <c r="AF118" i="4"/>
  <c r="AC154" i="4"/>
  <c r="X666" i="4"/>
  <c r="Z666" i="4" s="1"/>
  <c r="AT351" i="4"/>
  <c r="AU351" i="4" s="1"/>
  <c r="AT45" i="4"/>
  <c r="AU45" i="4" s="1"/>
  <c r="AT522" i="4"/>
  <c r="AU522" i="4" s="1"/>
  <c r="J590" i="4"/>
  <c r="K590" i="4" s="1"/>
  <c r="R666" i="4"/>
  <c r="G644" i="1"/>
  <c r="G590" i="1"/>
  <c r="G628" i="1"/>
  <c r="AU204" i="4"/>
  <c r="AT201" i="4"/>
  <c r="AU201" i="4" s="1"/>
  <c r="G665" i="4"/>
  <c r="AI9" i="4"/>
  <c r="W9" i="4"/>
  <c r="AO9" i="4"/>
  <c r="AC9" i="4"/>
  <c r="Q9" i="4"/>
  <c r="AR57" i="4"/>
  <c r="AQ51" i="4"/>
  <c r="AR51" i="4" s="1"/>
  <c r="K94" i="4"/>
  <c r="J85" i="4"/>
  <c r="K85" i="4" s="1"/>
  <c r="AR10" i="4"/>
  <c r="AQ9" i="4"/>
  <c r="AT249" i="4"/>
  <c r="AU249" i="4" s="1"/>
  <c r="K9" i="4"/>
  <c r="AJ666" i="4"/>
  <c r="AL666" i="4" s="1"/>
  <c r="AT113" i="4"/>
  <c r="AU113" i="4" s="1"/>
  <c r="AU196" i="4"/>
  <c r="AT191" i="4"/>
  <c r="AU191" i="4" s="1"/>
  <c r="AR196" i="4"/>
  <c r="AQ191" i="4"/>
  <c r="AR191" i="4" s="1"/>
  <c r="W326" i="4"/>
  <c r="Q590" i="4"/>
  <c r="AT86" i="4"/>
  <c r="AT106" i="4"/>
  <c r="AU106" i="4" s="1"/>
  <c r="AT246" i="4"/>
  <c r="AU246" i="4" s="1"/>
  <c r="K241" i="4"/>
  <c r="J225" i="4"/>
  <c r="K225" i="4" s="1"/>
  <c r="T326" i="4"/>
  <c r="AT629" i="4"/>
  <c r="AG666" i="4"/>
  <c r="AI666" i="4" s="1"/>
  <c r="AR135" i="4"/>
  <c r="AQ134" i="4"/>
  <c r="AR134" i="4" s="1"/>
  <c r="AT560" i="4"/>
  <c r="N9" i="4"/>
  <c r="AT241" i="4"/>
  <c r="AU241" i="4" s="1"/>
  <c r="AT568" i="4"/>
  <c r="AU568" i="4" s="1"/>
  <c r="T9" i="4"/>
  <c r="AU647" i="4"/>
  <c r="AT644" i="4"/>
  <c r="AU644" i="4" s="1"/>
  <c r="AT77" i="4"/>
  <c r="AU77" i="4" s="1"/>
  <c r="J326" i="4"/>
  <c r="K326" i="4" s="1"/>
  <c r="AA666" i="4"/>
  <c r="AC666" i="4" s="1"/>
  <c r="AT217" i="4"/>
  <c r="AU217" i="4" s="1"/>
  <c r="AU218" i="4"/>
  <c r="AU124" i="4"/>
  <c r="AT124" i="4"/>
  <c r="AT123" i="4" s="1"/>
  <c r="AQ326" i="4"/>
  <c r="AR326" i="4" s="1"/>
  <c r="AR327" i="4"/>
  <c r="AR471" i="4"/>
  <c r="AQ463" i="4"/>
  <c r="AR463" i="4" s="1"/>
  <c r="AL590" i="4"/>
  <c r="N590" i="4"/>
  <c r="T590" i="4"/>
  <c r="Z590" i="4"/>
  <c r="AF590" i="4"/>
  <c r="K647" i="4"/>
  <c r="J644" i="4"/>
  <c r="K644" i="4" s="1"/>
  <c r="J258" i="4"/>
  <c r="K258" i="4" s="1"/>
  <c r="K568" i="4"/>
  <c r="J559" i="4"/>
  <c r="K559" i="4" s="1"/>
  <c r="AO590" i="4"/>
  <c r="AU126" i="4"/>
  <c r="AT126" i="4"/>
  <c r="AT125" i="4" s="1"/>
  <c r="AU125" i="4" s="1"/>
  <c r="N559" i="4"/>
  <c r="T559" i="4"/>
  <c r="Q559" i="4"/>
  <c r="W559" i="4"/>
  <c r="AU210" i="4"/>
  <c r="AR204" i="4"/>
  <c r="AQ201" i="4"/>
  <c r="AR201" i="4" s="1"/>
  <c r="AQ628" i="4"/>
  <c r="AR628" i="4" s="1"/>
  <c r="AR629" i="4"/>
  <c r="O666" i="4"/>
  <c r="AL9" i="4"/>
  <c r="AT213" i="4"/>
  <c r="AU213" i="4" s="1"/>
  <c r="AT253" i="4"/>
  <c r="AU253" i="4" s="1"/>
  <c r="AQ118" i="4"/>
  <c r="AR118" i="4" s="1"/>
  <c r="AT233" i="4"/>
  <c r="AU233" i="4" s="1"/>
  <c r="AR213" i="4"/>
  <c r="AQ209" i="4"/>
  <c r="AR209" i="4" s="1"/>
  <c r="J51" i="4"/>
  <c r="K51" i="4" s="1"/>
  <c r="G559" i="1"/>
  <c r="M11" i="1"/>
  <c r="L658" i="1"/>
  <c r="L657" i="1" s="1"/>
  <c r="M657" i="1" s="1"/>
  <c r="M658" i="1"/>
  <c r="L547" i="1"/>
  <c r="M547" i="1"/>
  <c r="L649" i="1"/>
  <c r="M649" i="1"/>
  <c r="L504" i="1"/>
  <c r="M504" i="1"/>
  <c r="L509" i="1"/>
  <c r="M509" i="1"/>
  <c r="L654" i="1"/>
  <c r="M654" i="1"/>
  <c r="L477" i="1"/>
  <c r="M477" i="1"/>
  <c r="L525" i="1"/>
  <c r="M525" i="1"/>
  <c r="L643" i="1"/>
  <c r="M643" i="1"/>
  <c r="L562" i="1"/>
  <c r="M562" i="1"/>
  <c r="L498" i="1"/>
  <c r="M498" i="1"/>
  <c r="L650" i="1"/>
  <c r="M650" i="1"/>
  <c r="L621" i="1"/>
  <c r="M621" i="1"/>
  <c r="L500" i="1"/>
  <c r="M500" i="1"/>
  <c r="L505" i="1"/>
  <c r="M505" i="1"/>
  <c r="L528" i="1"/>
  <c r="M528" i="1"/>
  <c r="L624" i="1"/>
  <c r="M624" i="1"/>
  <c r="L469" i="1"/>
  <c r="M469" i="1"/>
  <c r="L513" i="1"/>
  <c r="M513" i="1"/>
  <c r="L540" i="1"/>
  <c r="M540" i="1"/>
  <c r="L447" i="1"/>
  <c r="M447" i="1"/>
  <c r="L542" i="1"/>
  <c r="M542" i="1"/>
  <c r="L494" i="1"/>
  <c r="M494" i="1"/>
  <c r="L470" i="1"/>
  <c r="M470" i="1"/>
  <c r="L576" i="1"/>
  <c r="M576" i="1"/>
  <c r="L646" i="1"/>
  <c r="L645" i="1" s="1"/>
  <c r="M645" i="1" s="1"/>
  <c r="M646" i="1"/>
  <c r="L561" i="1"/>
  <c r="M561" i="1"/>
  <c r="L536" i="1"/>
  <c r="M536" i="1"/>
  <c r="L545" i="1"/>
  <c r="M545" i="1"/>
  <c r="G326" i="1"/>
  <c r="L496" i="1"/>
  <c r="M496" i="1"/>
  <c r="L565" i="1"/>
  <c r="M565" i="1"/>
  <c r="L660" i="1"/>
  <c r="L659" i="1" s="1"/>
  <c r="M659" i="1" s="1"/>
  <c r="M660" i="1"/>
  <c r="L461" i="1"/>
  <c r="M461" i="1"/>
  <c r="L539" i="1"/>
  <c r="M539" i="1"/>
  <c r="L449" i="1"/>
  <c r="M449" i="1"/>
  <c r="L556" i="1"/>
  <c r="M556" i="1"/>
  <c r="L453" i="1"/>
  <c r="M453" i="1"/>
  <c r="L586" i="1"/>
  <c r="M586" i="1"/>
  <c r="L531" i="1"/>
  <c r="M531" i="1"/>
  <c r="L617" i="1"/>
  <c r="M617" i="1"/>
  <c r="L490" i="1"/>
  <c r="M490" i="1"/>
  <c r="L516" i="1"/>
  <c r="M516" i="1"/>
  <c r="L517" i="1"/>
  <c r="M517" i="1"/>
  <c r="L656" i="1"/>
  <c r="M656" i="1"/>
  <c r="L564" i="1"/>
  <c r="M564" i="1"/>
  <c r="L535" i="1"/>
  <c r="M535" i="1"/>
  <c r="L492" i="1"/>
  <c r="M492" i="1"/>
  <c r="L501" i="1"/>
  <c r="M501" i="1"/>
  <c r="L584" i="1"/>
  <c r="M584" i="1"/>
  <c r="L512" i="1"/>
  <c r="M512" i="1"/>
  <c r="L619" i="1"/>
  <c r="M619" i="1"/>
  <c r="L631" i="1"/>
  <c r="M631" i="1"/>
  <c r="L527" i="1"/>
  <c r="M527" i="1"/>
  <c r="L609" i="1"/>
  <c r="M609" i="1"/>
  <c r="L486" i="1"/>
  <c r="M486" i="1"/>
  <c r="L648" i="1"/>
  <c r="M648" i="1"/>
  <c r="L553" i="1"/>
  <c r="M553" i="1"/>
  <c r="L541" i="1"/>
  <c r="M541" i="1"/>
  <c r="L615" i="1"/>
  <c r="M615" i="1"/>
  <c r="L511" i="1"/>
  <c r="M511" i="1"/>
  <c r="L450" i="1"/>
  <c r="M450" i="1"/>
  <c r="L488" i="1"/>
  <c r="M488" i="1"/>
  <c r="L652" i="1"/>
  <c r="M652" i="1"/>
  <c r="L549" i="1"/>
  <c r="M549" i="1"/>
  <c r="L454" i="1"/>
  <c r="M454" i="1"/>
  <c r="L599" i="1"/>
  <c r="M599" i="1"/>
  <c r="L519" i="1"/>
  <c r="M519" i="1"/>
  <c r="L605" i="1"/>
  <c r="M605" i="1"/>
  <c r="L482" i="1"/>
  <c r="M482" i="1"/>
  <c r="L524" i="1"/>
  <c r="M524" i="1"/>
  <c r="L495" i="1"/>
  <c r="M495" i="1"/>
  <c r="L446" i="1"/>
  <c r="M446" i="1"/>
  <c r="L484" i="1"/>
  <c r="M484" i="1"/>
  <c r="L640" i="1"/>
  <c r="L639" i="1" s="1"/>
  <c r="M639" i="1" s="1"/>
  <c r="M640" i="1"/>
  <c r="L580" i="1"/>
  <c r="M580" i="1"/>
  <c r="L597" i="1"/>
  <c r="M597" i="1"/>
  <c r="L582" i="1"/>
  <c r="M582" i="1"/>
  <c r="L478" i="1"/>
  <c r="M478" i="1"/>
  <c r="L611" i="1"/>
  <c r="M611" i="1"/>
  <c r="L588" i="1"/>
  <c r="M588" i="1"/>
  <c r="L642" i="1"/>
  <c r="M642" i="1"/>
  <c r="L636" i="1"/>
  <c r="L635" i="1" s="1"/>
  <c r="M635" i="1" s="1"/>
  <c r="M636" i="1"/>
  <c r="L567" i="1"/>
  <c r="M567" i="1"/>
  <c r="L493" i="1"/>
  <c r="M493" i="1"/>
  <c r="L557" i="1"/>
  <c r="M557" i="1"/>
  <c r="L515" i="1"/>
  <c r="M515" i="1"/>
  <c r="L551" i="1"/>
  <c r="M551" i="1"/>
  <c r="L563" i="1"/>
  <c r="M563" i="1"/>
  <c r="L480" i="1"/>
  <c r="M480" i="1"/>
  <c r="L521" i="1"/>
  <c r="M521" i="1"/>
  <c r="L603" i="1"/>
  <c r="M603" i="1"/>
  <c r="L520" i="1"/>
  <c r="M520" i="1"/>
  <c r="L555" i="1"/>
  <c r="M555" i="1"/>
  <c r="L593" i="1"/>
  <c r="M593" i="1"/>
  <c r="L663" i="1"/>
  <c r="M663" i="1"/>
  <c r="L506" i="1"/>
  <c r="M506" i="1"/>
  <c r="L474" i="1"/>
  <c r="M474" i="1"/>
  <c r="L570" i="1"/>
  <c r="M570" i="1"/>
  <c r="L638" i="1"/>
  <c r="L637" i="1" s="1"/>
  <c r="M637" i="1" s="1"/>
  <c r="M638" i="1"/>
  <c r="L448" i="1"/>
  <c r="M448" i="1"/>
  <c r="L507" i="1"/>
  <c r="M507" i="1"/>
  <c r="L572" i="1"/>
  <c r="M572" i="1"/>
  <c r="L532" i="1"/>
  <c r="M532" i="1"/>
  <c r="L558" i="1"/>
  <c r="M558" i="1"/>
  <c r="L574" i="1"/>
  <c r="M574" i="1"/>
  <c r="L476" i="1"/>
  <c r="M476" i="1"/>
  <c r="L632" i="1"/>
  <c r="M632" i="1"/>
  <c r="L473" i="1"/>
  <c r="M473" i="1"/>
  <c r="L489" i="1"/>
  <c r="M489" i="1"/>
  <c r="L533" i="1"/>
  <c r="M533" i="1"/>
  <c r="L550" i="1"/>
  <c r="M550" i="1"/>
  <c r="L566" i="1"/>
  <c r="M566" i="1"/>
  <c r="L502" i="1"/>
  <c r="M502" i="1"/>
  <c r="L466" i="1"/>
  <c r="M466" i="1"/>
  <c r="L462" i="1"/>
  <c r="M462" i="1"/>
  <c r="L518" i="1"/>
  <c r="L544" i="1"/>
  <c r="L626" i="1"/>
  <c r="L459" i="1"/>
  <c r="L554" i="1"/>
  <c r="L618" i="1"/>
  <c r="L651" i="1"/>
  <c r="L610" i="1"/>
  <c r="L534" i="1"/>
  <c r="L596" i="1"/>
  <c r="L600" i="1"/>
  <c r="L460" i="1"/>
  <c r="L456" i="1"/>
  <c r="L627" i="1"/>
  <c r="L589" i="1"/>
  <c r="L579" i="1"/>
  <c r="L620" i="1"/>
  <c r="L598" i="1"/>
  <c r="G217" i="1"/>
  <c r="L604" i="1"/>
  <c r="L526" i="1"/>
  <c r="L622" i="1"/>
  <c r="L633" i="1"/>
  <c r="L485" i="1"/>
  <c r="L581" i="1"/>
  <c r="L483" i="1"/>
  <c r="L594" i="1"/>
  <c r="L614" i="1"/>
  <c r="L467" i="1"/>
  <c r="L612" i="1"/>
  <c r="L552" i="1"/>
  <c r="L455" i="1"/>
  <c r="L451" i="1"/>
  <c r="L655" i="1"/>
  <c r="L602" i="1"/>
  <c r="L577" i="1"/>
  <c r="L497" i="1"/>
  <c r="L481" i="1"/>
  <c r="L630" i="1"/>
  <c r="L575" i="1"/>
  <c r="L623" i="1"/>
  <c r="L592" i="1"/>
  <c r="L487" i="1"/>
  <c r="L475" i="1"/>
  <c r="L634" i="1"/>
  <c r="L583" i="1"/>
  <c r="L458" i="1"/>
  <c r="L538" i="1"/>
  <c r="L587" i="1"/>
  <c r="L530" i="1"/>
  <c r="L608" i="1"/>
  <c r="L571" i="1"/>
  <c r="L514" i="1"/>
  <c r="L616" i="1"/>
  <c r="L510" i="1"/>
  <c r="L548" i="1"/>
  <c r="L606" i="1"/>
  <c r="L585" i="1"/>
  <c r="L569" i="1"/>
  <c r="L491" i="1"/>
  <c r="G225" i="1"/>
  <c r="G134" i="1"/>
  <c r="G9" i="1"/>
  <c r="G463" i="1"/>
  <c r="G258" i="1"/>
  <c r="G154" i="1"/>
  <c r="G118" i="1"/>
  <c r="G51" i="1"/>
  <c r="G85" i="1"/>
  <c r="K430" i="1"/>
  <c r="K326" i="1"/>
  <c r="K322" i="1"/>
  <c r="M322" i="1" s="1"/>
  <c r="K301" i="1"/>
  <c r="M301" i="1" s="1"/>
  <c r="K284" i="1"/>
  <c r="K265" i="1"/>
  <c r="K261" i="1"/>
  <c r="K259" i="1"/>
  <c r="K213" i="1"/>
  <c r="K209" i="1"/>
  <c r="K202" i="1"/>
  <c r="K199" i="1"/>
  <c r="K196" i="1"/>
  <c r="J51" i="1" l="1"/>
  <c r="J77" i="1"/>
  <c r="J559" i="1"/>
  <c r="J154" i="1"/>
  <c r="J628" i="1"/>
  <c r="J118" i="1"/>
  <c r="J258" i="1"/>
  <c r="J217" i="1"/>
  <c r="J590" i="1"/>
  <c r="J209" i="1"/>
  <c r="J201" i="1"/>
  <c r="J463" i="1"/>
  <c r="J326" i="1"/>
  <c r="J644" i="1"/>
  <c r="J9" i="1"/>
  <c r="J661" i="1"/>
  <c r="J134" i="1"/>
  <c r="J191" i="1"/>
  <c r="J225" i="1"/>
  <c r="J183" i="1"/>
  <c r="AT51" i="4"/>
  <c r="AU51" i="4" s="1"/>
  <c r="L183" i="1"/>
  <c r="M183" i="1" s="1"/>
  <c r="F679" i="1"/>
  <c r="L154" i="1"/>
  <c r="AT590" i="4"/>
  <c r="AU590" i="4" s="1"/>
  <c r="AT258" i="4"/>
  <c r="AU258" i="4" s="1"/>
  <c r="AT326" i="4"/>
  <c r="AU326" i="4" s="1"/>
  <c r="N666" i="4"/>
  <c r="AT463" i="4"/>
  <c r="AU463" i="4" s="1"/>
  <c r="L301" i="1"/>
  <c r="M300" i="1"/>
  <c r="AT209" i="4"/>
  <c r="AU209" i="4" s="1"/>
  <c r="AT9" i="4"/>
  <c r="AT134" i="4"/>
  <c r="AU134" i="4" s="1"/>
  <c r="T666" i="4"/>
  <c r="Q666" i="4"/>
  <c r="L641" i="1"/>
  <c r="M641" i="1" s="1"/>
  <c r="L464" i="1"/>
  <c r="M464" i="1" s="1"/>
  <c r="AU629" i="4"/>
  <c r="AT628" i="4"/>
  <c r="AU628" i="4" s="1"/>
  <c r="AP666" i="4"/>
  <c r="AR666" i="4" s="1"/>
  <c r="AR9" i="4"/>
  <c r="AU123" i="4"/>
  <c r="AT118" i="4"/>
  <c r="AU118" i="4" s="1"/>
  <c r="AT85" i="4"/>
  <c r="AU85" i="4" s="1"/>
  <c r="AU86" i="4"/>
  <c r="I666" i="4"/>
  <c r="K666" i="4" s="1"/>
  <c r="AT225" i="4"/>
  <c r="AU225" i="4" s="1"/>
  <c r="AU9" i="4"/>
  <c r="AT559" i="4"/>
  <c r="AU559" i="4" s="1"/>
  <c r="AU560" i="4"/>
  <c r="L573" i="1"/>
  <c r="M573" i="1" s="1"/>
  <c r="L452" i="1"/>
  <c r="M452" i="1" s="1"/>
  <c r="L471" i="1"/>
  <c r="M471" i="1" s="1"/>
  <c r="L560" i="1"/>
  <c r="M560" i="1" s="1"/>
  <c r="L522" i="1"/>
  <c r="M522" i="1" s="1"/>
  <c r="L647" i="1"/>
  <c r="L322" i="1"/>
  <c r="L457" i="1"/>
  <c r="M457" i="1" s="1"/>
  <c r="L653" i="1"/>
  <c r="M653" i="1" s="1"/>
  <c r="L578" i="1"/>
  <c r="M578" i="1" s="1"/>
  <c r="K386" i="1"/>
  <c r="K390" i="1"/>
  <c r="K418" i="1"/>
  <c r="K422" i="1"/>
  <c r="K426" i="1"/>
  <c r="K434" i="1"/>
  <c r="K438" i="1"/>
  <c r="K442" i="1"/>
  <c r="L625" i="1"/>
  <c r="M625" i="1" s="1"/>
  <c r="K269" i="1"/>
  <c r="M269" i="1" s="1"/>
  <c r="K273" i="1"/>
  <c r="M273" i="1" s="1"/>
  <c r="M277" i="1"/>
  <c r="K281" i="1"/>
  <c r="M281" i="1" s="1"/>
  <c r="K285" i="1"/>
  <c r="M285" i="1" s="1"/>
  <c r="K289" i="1"/>
  <c r="M289" i="1" s="1"/>
  <c r="K293" i="1"/>
  <c r="M293" i="1" s="1"/>
  <c r="L297" i="1"/>
  <c r="K305" i="1"/>
  <c r="M305" i="1" s="1"/>
  <c r="K309" i="1"/>
  <c r="M309" i="1" s="1"/>
  <c r="K313" i="1"/>
  <c r="M313" i="1" s="1"/>
  <c r="K317" i="1"/>
  <c r="M317" i="1" s="1"/>
  <c r="K321" i="1"/>
  <c r="M321" i="1" s="1"/>
  <c r="K325" i="1"/>
  <c r="M325" i="1" s="1"/>
  <c r="K329" i="1"/>
  <c r="M329" i="1" s="1"/>
  <c r="K333" i="1"/>
  <c r="M333" i="1" s="1"/>
  <c r="K337" i="1"/>
  <c r="M337" i="1" s="1"/>
  <c r="K341" i="1"/>
  <c r="M341" i="1" s="1"/>
  <c r="K353" i="1"/>
  <c r="K357" i="1"/>
  <c r="M357" i="1" s="1"/>
  <c r="K361" i="1"/>
  <c r="K365" i="1"/>
  <c r="K369" i="1"/>
  <c r="K373" i="1"/>
  <c r="K389" i="1"/>
  <c r="K401" i="1"/>
  <c r="K413" i="1"/>
  <c r="K417" i="1"/>
  <c r="K421" i="1"/>
  <c r="K425" i="1"/>
  <c r="K429" i="1"/>
  <c r="K445" i="1"/>
  <c r="L568" i="1"/>
  <c r="M568" i="1" s="1"/>
  <c r="L591" i="1"/>
  <c r="M591" i="1" s="1"/>
  <c r="L601" i="1"/>
  <c r="M601" i="1" s="1"/>
  <c r="K260" i="1"/>
  <c r="K264" i="1"/>
  <c r="M264" i="1" s="1"/>
  <c r="K268" i="1"/>
  <c r="M268" i="1" s="1"/>
  <c r="K276" i="1"/>
  <c r="M276" i="1" s="1"/>
  <c r="K288" i="1"/>
  <c r="M288" i="1" s="1"/>
  <c r="K292" i="1"/>
  <c r="M292" i="1" s="1"/>
  <c r="K308" i="1"/>
  <c r="M308" i="1" s="1"/>
  <c r="K312" i="1"/>
  <c r="M312" i="1" s="1"/>
  <c r="K316" i="1"/>
  <c r="M316" i="1" s="1"/>
  <c r="K320" i="1"/>
  <c r="M320" i="1" s="1"/>
  <c r="K376" i="1"/>
  <c r="K380" i="1"/>
  <c r="K388" i="1"/>
  <c r="K224" i="1"/>
  <c r="M224" i="1" s="1"/>
  <c r="L607" i="1"/>
  <c r="M607" i="1" s="1"/>
  <c r="L613" i="1"/>
  <c r="M613" i="1" s="1"/>
  <c r="K200" i="1"/>
  <c r="M200" i="1" s="1"/>
  <c r="K323" i="1"/>
  <c r="M323" i="1" s="1"/>
  <c r="K339" i="1"/>
  <c r="M339" i="1" s="1"/>
  <c r="K343" i="1"/>
  <c r="M343" i="1" s="1"/>
  <c r="K355" i="1"/>
  <c r="K359" i="1"/>
  <c r="K371" i="1"/>
  <c r="K435" i="1"/>
  <c r="L629" i="1"/>
  <c r="L595" i="1"/>
  <c r="M595" i="1" s="1"/>
  <c r="K227" i="1"/>
  <c r="M227" i="1" s="1"/>
  <c r="K231" i="1"/>
  <c r="M231" i="1" s="1"/>
  <c r="M235" i="1"/>
  <c r="K239" i="1"/>
  <c r="M239" i="1" s="1"/>
  <c r="K243" i="1"/>
  <c r="M243" i="1" s="1"/>
  <c r="K251" i="1"/>
  <c r="K348" i="1"/>
  <c r="M348" i="1" s="1"/>
  <c r="K399" i="1"/>
  <c r="M399" i="1" s="1"/>
  <c r="K286" i="1"/>
  <c r="M286" i="1" s="1"/>
  <c r="K314" i="1"/>
  <c r="K272" i="1"/>
  <c r="M272" i="1" s="1"/>
  <c r="K406" i="1"/>
  <c r="M406" i="1" s="1"/>
  <c r="K375" i="1"/>
  <c r="K303" i="1"/>
  <c r="M303" i="1" s="1"/>
  <c r="K336" i="1"/>
  <c r="M336" i="1" s="1"/>
  <c r="K342" i="1"/>
  <c r="M342" i="1" s="1"/>
  <c r="K347" i="1"/>
  <c r="M347" i="1" s="1"/>
  <c r="K381" i="1"/>
  <c r="M381" i="1" s="1"/>
  <c r="K335" i="1"/>
  <c r="M335" i="1" s="1"/>
  <c r="K318" i="1"/>
  <c r="M318" i="1" s="1"/>
  <c r="K368" i="1"/>
  <c r="M368" i="1" s="1"/>
  <c r="K205" i="1"/>
  <c r="M205" i="1" s="1"/>
  <c r="K403" i="1"/>
  <c r="M403" i="1" s="1"/>
  <c r="M247" i="1"/>
  <c r="K379" i="1"/>
  <c r="K377" i="1"/>
  <c r="M377" i="1" s="1"/>
  <c r="K356" i="1"/>
  <c r="M356" i="1" s="1"/>
  <c r="K228" i="1"/>
  <c r="K252" i="1"/>
  <c r="M252" i="1" s="1"/>
  <c r="K327" i="1"/>
  <c r="K282" i="1"/>
  <c r="M282" i="1" s="1"/>
  <c r="K280" i="1"/>
  <c r="M280" i="1" s="1"/>
  <c r="K370" i="1"/>
  <c r="M370" i="1" s="1"/>
  <c r="K372" i="1"/>
  <c r="M372" i="1" s="1"/>
  <c r="K332" i="1"/>
  <c r="M332" i="1" s="1"/>
  <c r="K436" i="1"/>
  <c r="M436" i="1" s="1"/>
  <c r="K274" i="1"/>
  <c r="K253" i="1"/>
  <c r="K344" i="1"/>
  <c r="M344" i="1" s="1"/>
  <c r="K402" i="1"/>
  <c r="M402" i="1" s="1"/>
  <c r="K444" i="1"/>
  <c r="M444" i="1" s="1"/>
  <c r="K208" i="1"/>
  <c r="M208" i="1" s="1"/>
  <c r="K222" i="1"/>
  <c r="K237" i="1"/>
  <c r="M237" i="1" s="1"/>
  <c r="K267" i="1"/>
  <c r="M267" i="1" s="1"/>
  <c r="K275" i="1"/>
  <c r="M275" i="1" s="1"/>
  <c r="K279" i="1"/>
  <c r="K349" i="1"/>
  <c r="M349" i="1" s="1"/>
  <c r="K404" i="1"/>
  <c r="M404" i="1" s="1"/>
  <c r="K427" i="1"/>
  <c r="M427" i="1" s="1"/>
  <c r="K354" i="1"/>
  <c r="M354" i="1" s="1"/>
  <c r="K366" i="1"/>
  <c r="M366" i="1" s="1"/>
  <c r="K392" i="1"/>
  <c r="M392" i="1" s="1"/>
  <c r="K408" i="1"/>
  <c r="M408" i="1" s="1"/>
  <c r="K431" i="1"/>
  <c r="M431" i="1" s="1"/>
  <c r="K433" i="1"/>
  <c r="K310" i="1"/>
  <c r="M310" i="1" s="1"/>
  <c r="K324" i="1"/>
  <c r="M324" i="1" s="1"/>
  <c r="K360" i="1"/>
  <c r="M360" i="1" s="1"/>
  <c r="K296" i="1"/>
  <c r="M298" i="1"/>
  <c r="K331" i="1"/>
  <c r="M331" i="1" s="1"/>
  <c r="K374" i="1"/>
  <c r="M374" i="1" s="1"/>
  <c r="K304" i="1"/>
  <c r="K415" i="1"/>
  <c r="K437" i="1"/>
  <c r="K439" i="1"/>
  <c r="M439" i="1" s="1"/>
  <c r="K207" i="1"/>
  <c r="M221" i="1"/>
  <c r="K236" i="1"/>
  <c r="M236" i="1" s="1"/>
  <c r="K441" i="1"/>
  <c r="K443" i="1"/>
  <c r="K210" i="1"/>
  <c r="K214" i="1"/>
  <c r="M214" i="1" s="1"/>
  <c r="K217" i="1"/>
  <c r="K240" i="1"/>
  <c r="M240" i="1" s="1"/>
  <c r="M244" i="1"/>
  <c r="M278" i="1"/>
  <c r="K345" i="1"/>
  <c r="M345" i="1" s="1"/>
  <c r="K397" i="1"/>
  <c r="K212" i="1"/>
  <c r="M212" i="1" s="1"/>
  <c r="K226" i="1"/>
  <c r="K242" i="1"/>
  <c r="M242" i="1" s="1"/>
  <c r="K405" i="1"/>
  <c r="K432" i="1"/>
  <c r="M432" i="1" s="1"/>
  <c r="K367" i="1"/>
  <c r="K393" i="1"/>
  <c r="K409" i="1"/>
  <c r="K311" i="1"/>
  <c r="K363" i="1"/>
  <c r="K271" i="1"/>
  <c r="M271" i="1" s="1"/>
  <c r="K307" i="1"/>
  <c r="M307" i="1" s="1"/>
  <c r="K203" i="1"/>
  <c r="M203" i="1" s="1"/>
  <c r="K232" i="1"/>
  <c r="M232" i="1" s="1"/>
  <c r="K295" i="1"/>
  <c r="M295" i="1" s="1"/>
  <c r="K302" i="1"/>
  <c r="M302" i="1" s="1"/>
  <c r="K334" i="1"/>
  <c r="M334" i="1" s="1"/>
  <c r="K350" i="1"/>
  <c r="M350" i="1" s="1"/>
  <c r="K378" i="1"/>
  <c r="M378" i="1" s="1"/>
  <c r="K387" i="1"/>
  <c r="M387" i="1" s="1"/>
  <c r="K391" i="1"/>
  <c r="K396" i="1"/>
  <c r="M396" i="1" s="1"/>
  <c r="K440" i="1"/>
  <c r="M440" i="1" s="1"/>
  <c r="K218" i="1"/>
  <c r="K223" i="1"/>
  <c r="M223" i="1" s="1"/>
  <c r="K249" i="1"/>
  <c r="M254" i="1"/>
  <c r="K283" i="1"/>
  <c r="M283" i="1" s="1"/>
  <c r="K290" i="1"/>
  <c r="M290" i="1" s="1"/>
  <c r="K197" i="1"/>
  <c r="M197" i="1" s="1"/>
  <c r="K229" i="1"/>
  <c r="M229" i="1" s="1"/>
  <c r="K266" i="1"/>
  <c r="M266" i="1" s="1"/>
  <c r="K352" i="1"/>
  <c r="M352" i="1" s="1"/>
  <c r="K398" i="1"/>
  <c r="M398" i="1" s="1"/>
  <c r="K420" i="1"/>
  <c r="M420" i="1" s="1"/>
  <c r="K211" i="1"/>
  <c r="K216" i="1"/>
  <c r="M216" i="1" s="1"/>
  <c r="K241" i="1"/>
  <c r="K246" i="1"/>
  <c r="K299" i="1"/>
  <c r="M299" i="1" s="1"/>
  <c r="K306" i="1"/>
  <c r="M306" i="1" s="1"/>
  <c r="K346" i="1"/>
  <c r="M346" i="1" s="1"/>
  <c r="K362" i="1"/>
  <c r="M362" i="1" s="1"/>
  <c r="K410" i="1"/>
  <c r="M410" i="1" s="1"/>
  <c r="K287" i="1"/>
  <c r="M287" i="1" s="1"/>
  <c r="K294" i="1"/>
  <c r="M294" i="1" s="1"/>
  <c r="K328" i="1"/>
  <c r="M328" i="1" s="1"/>
  <c r="K382" i="1"/>
  <c r="M382" i="1" s="1"/>
  <c r="K395" i="1"/>
  <c r="K400" i="1"/>
  <c r="M400" i="1" s="1"/>
  <c r="K338" i="1"/>
  <c r="M338" i="1" s="1"/>
  <c r="K263" i="1"/>
  <c r="M263" i="1" s="1"/>
  <c r="K270" i="1"/>
  <c r="M270" i="1" s="1"/>
  <c r="K364" i="1"/>
  <c r="M364" i="1" s="1"/>
  <c r="K407" i="1"/>
  <c r="K412" i="1"/>
  <c r="M412" i="1" s="1"/>
  <c r="K424" i="1"/>
  <c r="M424" i="1" s="1"/>
  <c r="K204" i="1"/>
  <c r="K233" i="1"/>
  <c r="K238" i="1"/>
  <c r="M238" i="1" s="1"/>
  <c r="K315" i="1"/>
  <c r="M315" i="1" s="1"/>
  <c r="K330" i="1"/>
  <c r="M330" i="1" s="1"/>
  <c r="K419" i="1"/>
  <c r="K215" i="1"/>
  <c r="M219" i="1"/>
  <c r="K250" i="1"/>
  <c r="M250" i="1" s="1"/>
  <c r="K291" i="1"/>
  <c r="M291" i="1" s="1"/>
  <c r="K340" i="1"/>
  <c r="M340" i="1" s="1"/>
  <c r="K414" i="1"/>
  <c r="M414" i="1" s="1"/>
  <c r="K201" i="1"/>
  <c r="K225" i="1"/>
  <c r="K230" i="1"/>
  <c r="M230" i="1" s="1"/>
  <c r="K258" i="1"/>
  <c r="K394" i="1"/>
  <c r="M394" i="1" s="1"/>
  <c r="K262" i="1"/>
  <c r="M262" i="1" s="1"/>
  <c r="K319" i="1"/>
  <c r="K358" i="1"/>
  <c r="M358" i="1" s="1"/>
  <c r="K411" i="1"/>
  <c r="K416" i="1"/>
  <c r="M416" i="1" s="1"/>
  <c r="K423" i="1"/>
  <c r="K428" i="1"/>
  <c r="M428" i="1" s="1"/>
  <c r="K198" i="1"/>
  <c r="M198" i="1" s="1"/>
  <c r="M154" i="1" l="1"/>
  <c r="AS666" i="4"/>
  <c r="AU666" i="4" s="1"/>
  <c r="L290" i="1"/>
  <c r="L644" i="1"/>
  <c r="M644" i="1" s="1"/>
  <c r="M647" i="1"/>
  <c r="L359" i="1"/>
  <c r="M359" i="1"/>
  <c r="L445" i="1"/>
  <c r="M445" i="1"/>
  <c r="L426" i="1"/>
  <c r="M426" i="1"/>
  <c r="L300" i="1"/>
  <c r="L280" i="1"/>
  <c r="L316" i="1"/>
  <c r="L413" i="1"/>
  <c r="M413" i="1"/>
  <c r="L331" i="1"/>
  <c r="L243" i="1"/>
  <c r="L312" i="1"/>
  <c r="L365" i="1"/>
  <c r="M365" i="1"/>
  <c r="L329" i="1"/>
  <c r="L298" i="1"/>
  <c r="L260" i="1"/>
  <c r="L259" i="1" s="1"/>
  <c r="M259" i="1" s="1"/>
  <c r="M260" i="1"/>
  <c r="L375" i="1"/>
  <c r="M375" i="1"/>
  <c r="L239" i="1"/>
  <c r="L224" i="1"/>
  <c r="L308" i="1"/>
  <c r="L401" i="1"/>
  <c r="M401" i="1"/>
  <c r="L361" i="1"/>
  <c r="M361" i="1"/>
  <c r="L325" i="1"/>
  <c r="L293" i="1"/>
  <c r="L294" i="1"/>
  <c r="L229" i="1"/>
  <c r="L369" i="1"/>
  <c r="M369" i="1"/>
  <c r="L269" i="1"/>
  <c r="L306" i="1"/>
  <c r="L363" i="1"/>
  <c r="M363" i="1"/>
  <c r="L355" i="1"/>
  <c r="M355" i="1"/>
  <c r="L422" i="1"/>
  <c r="M422" i="1"/>
  <c r="L407" i="1"/>
  <c r="M407" i="1"/>
  <c r="L272" i="1"/>
  <c r="L235" i="1"/>
  <c r="L321" i="1"/>
  <c r="L289" i="1"/>
  <c r="L409" i="1"/>
  <c r="M409" i="1"/>
  <c r="L379" i="1"/>
  <c r="M379" i="1"/>
  <c r="L256" i="1"/>
  <c r="M256" i="1"/>
  <c r="L292" i="1"/>
  <c r="L206" i="1"/>
  <c r="L418" i="1"/>
  <c r="M418" i="1"/>
  <c r="L270" i="1"/>
  <c r="L317" i="1"/>
  <c r="L393" i="1"/>
  <c r="M393" i="1"/>
  <c r="L367" i="1"/>
  <c r="M367" i="1"/>
  <c r="L288" i="1"/>
  <c r="L441" i="1"/>
  <c r="M441" i="1"/>
  <c r="L433" i="1"/>
  <c r="M433" i="1"/>
  <c r="L247" i="1"/>
  <c r="L231" i="1"/>
  <c r="L343" i="1"/>
  <c r="L429" i="1"/>
  <c r="M429" i="1"/>
  <c r="L389" i="1"/>
  <c r="M389" i="1"/>
  <c r="L353" i="1"/>
  <c r="M353" i="1"/>
  <c r="L285" i="1"/>
  <c r="L198" i="1"/>
  <c r="L211" i="1"/>
  <c r="M211" i="1"/>
  <c r="L391" i="1"/>
  <c r="M391" i="1"/>
  <c r="L348" i="1"/>
  <c r="L227" i="1"/>
  <c r="L226" i="1" s="1"/>
  <c r="M226" i="1" s="1"/>
  <c r="L339" i="1"/>
  <c r="L425" i="1"/>
  <c r="M425" i="1"/>
  <c r="L385" i="1"/>
  <c r="M385" i="1"/>
  <c r="L313" i="1"/>
  <c r="L281" i="1"/>
  <c r="L245" i="1"/>
  <c r="L405" i="1"/>
  <c r="M405" i="1"/>
  <c r="L383" i="1"/>
  <c r="M383" i="1"/>
  <c r="L200" i="1"/>
  <c r="L199" i="1" s="1"/>
  <c r="M199" i="1" s="1"/>
  <c r="L628" i="1"/>
  <c r="M628" i="1" s="1"/>
  <c r="M629" i="1"/>
  <c r="L220" i="1"/>
  <c r="M220" i="1"/>
  <c r="L309" i="1"/>
  <c r="L423" i="1"/>
  <c r="M423" i="1"/>
  <c r="L421" i="1"/>
  <c r="M421" i="1"/>
  <c r="L341" i="1"/>
  <c r="L277" i="1"/>
  <c r="L215" i="1"/>
  <c r="M215" i="1"/>
  <c r="L437" i="1"/>
  <c r="M437" i="1"/>
  <c r="L255" i="1"/>
  <c r="M255" i="1"/>
  <c r="L323" i="1"/>
  <c r="L388" i="1"/>
  <c r="M388" i="1"/>
  <c r="L442" i="1"/>
  <c r="M442" i="1"/>
  <c r="L411" i="1"/>
  <c r="M411" i="1"/>
  <c r="L419" i="1"/>
  <c r="M419" i="1"/>
  <c r="L266" i="1"/>
  <c r="L320" i="1"/>
  <c r="L417" i="1"/>
  <c r="M417" i="1"/>
  <c r="L373" i="1"/>
  <c r="M373" i="1"/>
  <c r="L337" i="1"/>
  <c r="L305" i="1"/>
  <c r="L273" i="1"/>
  <c r="L302" i="1"/>
  <c r="L397" i="1"/>
  <c r="M397" i="1"/>
  <c r="L251" i="1"/>
  <c r="M251" i="1"/>
  <c r="L435" i="1"/>
  <c r="M435" i="1"/>
  <c r="L371" i="1"/>
  <c r="M371" i="1"/>
  <c r="L380" i="1"/>
  <c r="M380" i="1"/>
  <c r="L268" i="1"/>
  <c r="L438" i="1"/>
  <c r="M438" i="1"/>
  <c r="L390" i="1"/>
  <c r="M390" i="1"/>
  <c r="L463" i="1"/>
  <c r="M463" i="1" s="1"/>
  <c r="L333" i="1"/>
  <c r="L345" i="1"/>
  <c r="L262" i="1"/>
  <c r="L376" i="1"/>
  <c r="M376" i="1"/>
  <c r="L264" i="1"/>
  <c r="L434" i="1"/>
  <c r="M434" i="1"/>
  <c r="L386" i="1"/>
  <c r="M386" i="1"/>
  <c r="L410" i="1"/>
  <c r="L428" i="1"/>
  <c r="L336" i="1"/>
  <c r="L416" i="1"/>
  <c r="L328" i="1"/>
  <c r="L398" i="1"/>
  <c r="L440" i="1"/>
  <c r="L240" i="1"/>
  <c r="L392" i="1"/>
  <c r="L444" i="1"/>
  <c r="L205" i="1"/>
  <c r="L356" i="1"/>
  <c r="L424" i="1"/>
  <c r="L332" i="1"/>
  <c r="L223" i="1"/>
  <c r="L278" i="1"/>
  <c r="L431" i="1"/>
  <c r="L403" i="1"/>
  <c r="L219" i="1"/>
  <c r="L408" i="1"/>
  <c r="L370" i="1"/>
  <c r="L358" i="1"/>
  <c r="L287" i="1"/>
  <c r="L352" i="1"/>
  <c r="L396" i="1"/>
  <c r="L374" i="1"/>
  <c r="L366" i="1"/>
  <c r="L402" i="1"/>
  <c r="L282" i="1"/>
  <c r="L406" i="1"/>
  <c r="L559" i="1"/>
  <c r="M559" i="1" s="1"/>
  <c r="L263" i="1"/>
  <c r="L250" i="1"/>
  <c r="L216" i="1"/>
  <c r="L342" i="1"/>
  <c r="L203" i="1"/>
  <c r="L202" i="1" s="1"/>
  <c r="L372" i="1"/>
  <c r="L420" i="1"/>
  <c r="L244" i="1"/>
  <c r="L208" i="1"/>
  <c r="L207" i="1" s="1"/>
  <c r="M207" i="1" s="1"/>
  <c r="L303" i="1"/>
  <c r="L364" i="1"/>
  <c r="L214" i="1"/>
  <c r="L354" i="1"/>
  <c r="L344" i="1"/>
  <c r="L382" i="1"/>
  <c r="L412" i="1"/>
  <c r="L234" i="1"/>
  <c r="L387" i="1"/>
  <c r="L432" i="1"/>
  <c r="L252" i="1"/>
  <c r="L394" i="1"/>
  <c r="L378" i="1"/>
  <c r="L427" i="1"/>
  <c r="L197" i="1"/>
  <c r="L404" i="1"/>
  <c r="L248" i="1"/>
  <c r="L350" i="1"/>
  <c r="L242" i="1"/>
  <c r="L349" i="1"/>
  <c r="L230" i="1"/>
  <c r="L334" i="1"/>
  <c r="L212" i="1"/>
  <c r="L368" i="1"/>
  <c r="L362" i="1"/>
  <c r="L307" i="1"/>
  <c r="L271" i="1"/>
  <c r="L377" i="1"/>
  <c r="L318" i="1"/>
  <c r="L221" i="1"/>
  <c r="L315" i="1"/>
  <c r="L299" i="1"/>
  <c r="L360" i="1"/>
  <c r="L267" i="1"/>
  <c r="L335" i="1"/>
  <c r="L590" i="1"/>
  <c r="M590" i="1" s="1"/>
  <c r="L357" i="1"/>
  <c r="L330" i="1"/>
  <c r="L346" i="1"/>
  <c r="L414" i="1"/>
  <c r="L338" i="1"/>
  <c r="L283" i="1"/>
  <c r="L381" i="1"/>
  <c r="L340" i="1"/>
  <c r="L400" i="1"/>
  <c r="L324" i="1"/>
  <c r="L237" i="1"/>
  <c r="L347" i="1"/>
  <c r="L286" i="1"/>
  <c r="L399" i="1"/>
  <c r="L236" i="1"/>
  <c r="L238" i="1"/>
  <c r="L295" i="1"/>
  <c r="L439" i="1"/>
  <c r="L291" i="1"/>
  <c r="L254" i="1"/>
  <c r="L232" i="1"/>
  <c r="L310" i="1"/>
  <c r="L436" i="1"/>
  <c r="H166" i="3"/>
  <c r="H165" i="3"/>
  <c r="H164" i="3"/>
  <c r="H163" i="3"/>
  <c r="H162" i="3"/>
  <c r="H161" i="3"/>
  <c r="H160" i="3"/>
  <c r="H159" i="3"/>
  <c r="H158" i="3"/>
  <c r="H157" i="3"/>
  <c r="H156" i="3"/>
  <c r="H155" i="3"/>
  <c r="H154" i="3"/>
  <c r="H153" i="3"/>
  <c r="H152" i="3"/>
  <c r="H151" i="3"/>
  <c r="H150" i="3"/>
  <c r="H149" i="3"/>
  <c r="H148" i="3"/>
  <c r="H147" i="3"/>
  <c r="H146" i="3"/>
  <c r="H145" i="3"/>
  <c r="H144" i="3"/>
  <c r="H143" i="3"/>
  <c r="H142" i="3"/>
  <c r="H141" i="3"/>
  <c r="H140" i="3"/>
  <c r="H139" i="3"/>
  <c r="H138" i="3"/>
  <c r="H137" i="3"/>
  <c r="H136" i="3"/>
  <c r="H135" i="3"/>
  <c r="H134" i="3"/>
  <c r="H133" i="3"/>
  <c r="H132" i="3"/>
  <c r="H131" i="3"/>
  <c r="H130" i="3"/>
  <c r="H129" i="3"/>
  <c r="H128" i="3"/>
  <c r="H127" i="3"/>
  <c r="H126" i="3"/>
  <c r="H125" i="3"/>
  <c r="H124" i="3"/>
  <c r="H123" i="3"/>
  <c r="H122" i="3"/>
  <c r="H121" i="3"/>
  <c r="H120" i="3"/>
  <c r="H119" i="3"/>
  <c r="H118" i="3"/>
  <c r="H117" i="3"/>
  <c r="H116" i="3"/>
  <c r="H115" i="3"/>
  <c r="H114" i="3"/>
  <c r="H113" i="3"/>
  <c r="H112" i="3"/>
  <c r="H111" i="3"/>
  <c r="H110" i="3"/>
  <c r="H109" i="3"/>
  <c r="H108" i="3"/>
  <c r="H107" i="3"/>
  <c r="H106" i="3"/>
  <c r="H105" i="3"/>
  <c r="H104" i="3"/>
  <c r="H103" i="3"/>
  <c r="H102" i="3"/>
  <c r="H101" i="3"/>
  <c r="H100" i="3"/>
  <c r="H99" i="3"/>
  <c r="H98" i="3"/>
  <c r="H97" i="3"/>
  <c r="H96" i="3"/>
  <c r="H95" i="3"/>
  <c r="H94" i="3"/>
  <c r="H93" i="3"/>
  <c r="H92" i="3"/>
  <c r="H91" i="3"/>
  <c r="H90" i="3"/>
  <c r="H89" i="3"/>
  <c r="H88" i="3"/>
  <c r="H87" i="3"/>
  <c r="H86" i="3"/>
  <c r="H85" i="3"/>
  <c r="H84" i="3"/>
  <c r="H83" i="3"/>
  <c r="H82" i="3"/>
  <c r="H81" i="3"/>
  <c r="H80" i="3"/>
  <c r="H79" i="3"/>
  <c r="H78" i="3"/>
  <c r="H77" i="3"/>
  <c r="H76" i="3"/>
  <c r="H75" i="3"/>
  <c r="H74" i="3"/>
  <c r="H73" i="3"/>
  <c r="H72" i="3"/>
  <c r="H71" i="3"/>
  <c r="H70" i="3"/>
  <c r="H69" i="3"/>
  <c r="H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L246" i="1" l="1"/>
  <c r="M246" i="1" s="1"/>
  <c r="L443" i="1"/>
  <c r="M443" i="1" s="1"/>
  <c r="L384" i="1"/>
  <c r="M384" i="1" s="1"/>
  <c r="L311" i="1"/>
  <c r="M311" i="1" s="1"/>
  <c r="L204" i="1"/>
  <c r="M204" i="1" s="1"/>
  <c r="L261" i="1"/>
  <c r="M261" i="1" s="1"/>
  <c r="L222" i="1"/>
  <c r="M222" i="1" s="1"/>
  <c r="L228" i="1"/>
  <c r="M228" i="1" s="1"/>
  <c r="L415" i="1"/>
  <c r="M415" i="1" s="1"/>
  <c r="L314" i="1"/>
  <c r="M314" i="1" s="1"/>
  <c r="L241" i="1"/>
  <c r="M241" i="1" s="1"/>
  <c r="L279" i="1"/>
  <c r="M279" i="1" s="1"/>
  <c r="L304" i="1"/>
  <c r="M304" i="1" s="1"/>
  <c r="L319" i="1"/>
  <c r="M319" i="1" s="1"/>
  <c r="L210" i="1"/>
  <c r="M210" i="1" s="1"/>
  <c r="M202" i="1"/>
  <c r="L253" i="1"/>
  <c r="M253" i="1" s="1"/>
  <c r="L265" i="1"/>
  <c r="M265" i="1" s="1"/>
  <c r="L196" i="1"/>
  <c r="M196" i="1" s="1"/>
  <c r="L284" i="1"/>
  <c r="M284" i="1" s="1"/>
  <c r="L274" i="1"/>
  <c r="L327" i="1"/>
  <c r="M327" i="1" s="1"/>
  <c r="L249" i="1"/>
  <c r="M249" i="1" s="1"/>
  <c r="L218" i="1"/>
  <c r="L395" i="1"/>
  <c r="M395" i="1" s="1"/>
  <c r="L351" i="1"/>
  <c r="M351" i="1" s="1"/>
  <c r="L430" i="1"/>
  <c r="M430" i="1" s="1"/>
  <c r="L213" i="1"/>
  <c r="L233" i="1"/>
  <c r="M233" i="1" s="1"/>
  <c r="L296" i="1"/>
  <c r="M296" i="1" s="1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AQ163" i="2"/>
  <c r="AQ162" i="2"/>
  <c r="AQ161" i="2"/>
  <c r="AQ160" i="2"/>
  <c r="AQ159" i="2"/>
  <c r="AQ158" i="2"/>
  <c r="AQ157" i="2"/>
  <c r="AQ156" i="2"/>
  <c r="AQ155" i="2"/>
  <c r="AQ154" i="2"/>
  <c r="AQ153" i="2"/>
  <c r="AQ152" i="2"/>
  <c r="AQ151" i="2"/>
  <c r="AQ150" i="2"/>
  <c r="AQ149" i="2"/>
  <c r="AQ148" i="2"/>
  <c r="AQ147" i="2"/>
  <c r="AQ146" i="2"/>
  <c r="AQ145" i="2"/>
  <c r="AQ144" i="2"/>
  <c r="AQ143" i="2"/>
  <c r="AQ142" i="2"/>
  <c r="AQ141" i="2"/>
  <c r="AQ140" i="2"/>
  <c r="AQ139" i="2"/>
  <c r="AQ138" i="2"/>
  <c r="AQ137" i="2"/>
  <c r="AQ136" i="2"/>
  <c r="AQ135" i="2"/>
  <c r="AQ134" i="2"/>
  <c r="AQ133" i="2"/>
  <c r="AQ132" i="2"/>
  <c r="AQ131" i="2"/>
  <c r="AQ130" i="2"/>
  <c r="AQ129" i="2"/>
  <c r="AQ128" i="2"/>
  <c r="AQ127" i="2"/>
  <c r="AQ126" i="2"/>
  <c r="AQ125" i="2"/>
  <c r="AQ124" i="2"/>
  <c r="AQ123" i="2"/>
  <c r="AQ122" i="2"/>
  <c r="AQ121" i="2"/>
  <c r="AQ120" i="2"/>
  <c r="AQ119" i="2"/>
  <c r="AQ118" i="2"/>
  <c r="AQ117" i="2"/>
  <c r="AQ116" i="2"/>
  <c r="AQ115" i="2"/>
  <c r="AQ114" i="2"/>
  <c r="AQ113" i="2"/>
  <c r="AQ112" i="2"/>
  <c r="AQ111" i="2"/>
  <c r="AQ110" i="2"/>
  <c r="AQ109" i="2"/>
  <c r="AQ108" i="2"/>
  <c r="AQ107" i="2"/>
  <c r="AQ106" i="2"/>
  <c r="AQ105" i="2"/>
  <c r="AQ104" i="2"/>
  <c r="AQ103" i="2"/>
  <c r="AQ102" i="2"/>
  <c r="AQ101" i="2"/>
  <c r="AQ100" i="2"/>
  <c r="AQ99" i="2"/>
  <c r="AQ98" i="2"/>
  <c r="AQ97" i="2"/>
  <c r="AQ96" i="2"/>
  <c r="AQ95" i="2"/>
  <c r="AQ94" i="2"/>
  <c r="AQ93" i="2"/>
  <c r="AQ92" i="2"/>
  <c r="AQ91" i="2"/>
  <c r="AQ90" i="2"/>
  <c r="AQ89" i="2"/>
  <c r="AQ88" i="2"/>
  <c r="AQ87" i="2"/>
  <c r="AQ86" i="2"/>
  <c r="AQ85" i="2"/>
  <c r="AQ84" i="2"/>
  <c r="AQ83" i="2"/>
  <c r="AQ82" i="2"/>
  <c r="AQ81" i="2"/>
  <c r="AQ80" i="2"/>
  <c r="AQ79" i="2"/>
  <c r="AQ78" i="2"/>
  <c r="AQ77" i="2"/>
  <c r="AQ76" i="2"/>
  <c r="AQ75" i="2"/>
  <c r="AQ74" i="2"/>
  <c r="AQ73" i="2"/>
  <c r="AQ72" i="2"/>
  <c r="AQ71" i="2"/>
  <c r="AQ70" i="2"/>
  <c r="AQ69" i="2"/>
  <c r="AQ68" i="2"/>
  <c r="AQ67" i="2"/>
  <c r="AQ66" i="2"/>
  <c r="AQ65" i="2"/>
  <c r="AQ64" i="2"/>
  <c r="AQ63" i="2"/>
  <c r="AQ62" i="2"/>
  <c r="AQ61" i="2"/>
  <c r="AQ60" i="2"/>
  <c r="AQ59" i="2"/>
  <c r="AQ58" i="2"/>
  <c r="AQ57" i="2"/>
  <c r="AQ56" i="2"/>
  <c r="AQ55" i="2"/>
  <c r="AQ54" i="2"/>
  <c r="AQ53" i="2"/>
  <c r="AQ52" i="2"/>
  <c r="AQ51" i="2"/>
  <c r="AQ50" i="2"/>
  <c r="AQ49" i="2"/>
  <c r="AQ48" i="2"/>
  <c r="AQ47" i="2"/>
  <c r="AQ46" i="2"/>
  <c r="AQ45" i="2"/>
  <c r="AQ44" i="2"/>
  <c r="AQ43" i="2"/>
  <c r="AQ42" i="2"/>
  <c r="AQ41" i="2"/>
  <c r="AQ40" i="2"/>
  <c r="AQ39" i="2"/>
  <c r="AQ38" i="2"/>
  <c r="AQ37" i="2"/>
  <c r="AQ36" i="2"/>
  <c r="AQ35" i="2"/>
  <c r="AQ34" i="2"/>
  <c r="AQ33" i="2"/>
  <c r="AQ32" i="2"/>
  <c r="AQ31" i="2"/>
  <c r="AQ30" i="2"/>
  <c r="AQ29" i="2"/>
  <c r="AQ28" i="2"/>
  <c r="AQ27" i="2"/>
  <c r="AQ26" i="2"/>
  <c r="AQ25" i="2"/>
  <c r="AQ24" i="2"/>
  <c r="AQ23" i="2"/>
  <c r="AQ22" i="2"/>
  <c r="AQ21" i="2"/>
  <c r="AQ20" i="2"/>
  <c r="AQ19" i="2"/>
  <c r="AQ18" i="2"/>
  <c r="AQ17" i="2"/>
  <c r="AQ16" i="2"/>
  <c r="AQ15" i="2"/>
  <c r="AQ14" i="2"/>
  <c r="AQ13" i="2"/>
  <c r="AQ12" i="2"/>
  <c r="AQ11" i="2"/>
  <c r="L201" i="1" l="1"/>
  <c r="M201" i="1" s="1"/>
  <c r="L191" i="1"/>
  <c r="L209" i="1"/>
  <c r="M209" i="1" s="1"/>
  <c r="M213" i="1"/>
  <c r="L217" i="1"/>
  <c r="M217" i="1" s="1"/>
  <c r="M218" i="1"/>
  <c r="L258" i="1"/>
  <c r="M258" i="1" s="1"/>
  <c r="M274" i="1"/>
  <c r="L225" i="1"/>
  <c r="M225" i="1" s="1"/>
  <c r="L326" i="1"/>
  <c r="M326" i="1" s="1"/>
  <c r="K139" i="1"/>
  <c r="K124" i="1"/>
  <c r="K109" i="1"/>
  <c r="K94" i="1"/>
  <c r="K64" i="1"/>
  <c r="K50" i="1"/>
  <c r="K36" i="1"/>
  <c r="K23" i="1"/>
  <c r="K138" i="1"/>
  <c r="K123" i="1"/>
  <c r="K108" i="1"/>
  <c r="K93" i="1"/>
  <c r="K78" i="1"/>
  <c r="K63" i="1"/>
  <c r="K35" i="1"/>
  <c r="K22" i="1"/>
  <c r="K137" i="1"/>
  <c r="K122" i="1"/>
  <c r="K107" i="1"/>
  <c r="K77" i="1"/>
  <c r="K62" i="1"/>
  <c r="K48" i="1"/>
  <c r="K34" i="1"/>
  <c r="K21" i="1"/>
  <c r="K136" i="1"/>
  <c r="K121" i="1"/>
  <c r="K106" i="1"/>
  <c r="K61" i="1"/>
  <c r="K47" i="1"/>
  <c r="K33" i="1"/>
  <c r="K20" i="1"/>
  <c r="K135" i="1"/>
  <c r="K120" i="1"/>
  <c r="K90" i="1"/>
  <c r="K76" i="1"/>
  <c r="K60" i="1"/>
  <c r="K46" i="1"/>
  <c r="K32" i="1"/>
  <c r="K19" i="1"/>
  <c r="K134" i="1"/>
  <c r="K119" i="1"/>
  <c r="K104" i="1"/>
  <c r="K89" i="1"/>
  <c r="K75" i="1"/>
  <c r="K59" i="1"/>
  <c r="K45" i="1"/>
  <c r="K31" i="1"/>
  <c r="K18" i="1"/>
  <c r="K150" i="1"/>
  <c r="M150" i="1" s="1"/>
  <c r="K118" i="1"/>
  <c r="K17" i="1"/>
  <c r="K74" i="1"/>
  <c r="K147" i="1"/>
  <c r="K73" i="1"/>
  <c r="K44" i="1"/>
  <c r="K30" i="1"/>
  <c r="K16" i="1"/>
  <c r="K103" i="1"/>
  <c r="K102" i="1"/>
  <c r="K86" i="1"/>
  <c r="K72" i="1"/>
  <c r="K57" i="1"/>
  <c r="K43" i="1"/>
  <c r="K15" i="1"/>
  <c r="K145" i="1"/>
  <c r="K131" i="1"/>
  <c r="K101" i="1"/>
  <c r="K85" i="1"/>
  <c r="K56" i="1"/>
  <c r="K42" i="1"/>
  <c r="K29" i="1"/>
  <c r="K14" i="1"/>
  <c r="K144" i="1"/>
  <c r="K130" i="1"/>
  <c r="K70" i="1"/>
  <c r="K55" i="1"/>
  <c r="K41" i="1"/>
  <c r="K13" i="1"/>
  <c r="K143" i="1"/>
  <c r="K129" i="1"/>
  <c r="K84" i="1"/>
  <c r="K69" i="1"/>
  <c r="K54" i="1"/>
  <c r="K40" i="1"/>
  <c r="K28" i="1"/>
  <c r="K12" i="1"/>
  <c r="K142" i="1"/>
  <c r="K128" i="1"/>
  <c r="K113" i="1"/>
  <c r="K98" i="1"/>
  <c r="K83" i="1"/>
  <c r="K68" i="1"/>
  <c r="K53" i="1"/>
  <c r="K141" i="1"/>
  <c r="K127" i="1"/>
  <c r="K112" i="1"/>
  <c r="K97" i="1"/>
  <c r="K82" i="1"/>
  <c r="K67" i="1"/>
  <c r="K52" i="1"/>
  <c r="K39" i="1"/>
  <c r="K26" i="1"/>
  <c r="K111" i="1"/>
  <c r="K66" i="1"/>
  <c r="K51" i="1"/>
  <c r="K38" i="1"/>
  <c r="K25" i="1"/>
  <c r="K140" i="1"/>
  <c r="K125" i="1"/>
  <c r="K110" i="1"/>
  <c r="K80" i="1"/>
  <c r="K37" i="1"/>
  <c r="K24" i="1"/>
  <c r="K146" i="1"/>
  <c r="K10" i="1"/>
  <c r="AP166" i="2"/>
  <c r="M191" i="1" l="1"/>
  <c r="L41" i="1"/>
  <c r="M41" i="1"/>
  <c r="L125" i="1"/>
  <c r="M125" i="1" s="1"/>
  <c r="M126" i="1"/>
  <c r="L46" i="1"/>
  <c r="M46" i="1"/>
  <c r="L34" i="1"/>
  <c r="M34" i="1"/>
  <c r="L138" i="1"/>
  <c r="M138" i="1"/>
  <c r="L136" i="1"/>
  <c r="M136" i="1"/>
  <c r="L98" i="1"/>
  <c r="M98" i="1"/>
  <c r="L128" i="1"/>
  <c r="M128" i="1"/>
  <c r="L17" i="1"/>
  <c r="M17" i="1"/>
  <c r="L146" i="1"/>
  <c r="M146" i="1"/>
  <c r="L24" i="1"/>
  <c r="M24" i="1"/>
  <c r="L100" i="1"/>
  <c r="M100" i="1"/>
  <c r="L60" i="1"/>
  <c r="M60" i="1"/>
  <c r="L23" i="1"/>
  <c r="M23" i="1"/>
  <c r="L37" i="1"/>
  <c r="M37" i="1"/>
  <c r="L39" i="1"/>
  <c r="M39" i="1"/>
  <c r="L142" i="1"/>
  <c r="M142" i="1"/>
  <c r="L72" i="1"/>
  <c r="M72" i="1"/>
  <c r="L76" i="1"/>
  <c r="M76" i="1"/>
  <c r="L62" i="1"/>
  <c r="M62" i="1"/>
  <c r="L36" i="1"/>
  <c r="M36" i="1"/>
  <c r="L67" i="1"/>
  <c r="M67" i="1"/>
  <c r="L28" i="1"/>
  <c r="M28" i="1"/>
  <c r="L144" i="1"/>
  <c r="M144" i="1"/>
  <c r="L102" i="1"/>
  <c r="L101" i="1" s="1"/>
  <c r="M101" i="1" s="1"/>
  <c r="M102" i="1"/>
  <c r="L150" i="1"/>
  <c r="L105" i="1"/>
  <c r="M105" i="1"/>
  <c r="L92" i="1"/>
  <c r="M92" i="1"/>
  <c r="L64" i="1"/>
  <c r="M64" i="1"/>
  <c r="L108" i="1"/>
  <c r="M108" i="1"/>
  <c r="L32" i="1"/>
  <c r="M32" i="1"/>
  <c r="L65" i="1"/>
  <c r="M65" i="1"/>
  <c r="L82" i="1"/>
  <c r="M82" i="1"/>
  <c r="L40" i="1"/>
  <c r="M40" i="1"/>
  <c r="L14" i="1"/>
  <c r="M14" i="1"/>
  <c r="L18" i="1"/>
  <c r="M18" i="1"/>
  <c r="L120" i="1"/>
  <c r="L119" i="1" s="1"/>
  <c r="M119" i="1" s="1"/>
  <c r="M120" i="1"/>
  <c r="L107" i="1"/>
  <c r="M107" i="1"/>
  <c r="L79" i="1"/>
  <c r="L78" i="1" s="1"/>
  <c r="M78" i="1" s="1"/>
  <c r="M79" i="1"/>
  <c r="L96" i="1"/>
  <c r="M96" i="1"/>
  <c r="L21" i="1"/>
  <c r="M21" i="1"/>
  <c r="L31" i="1"/>
  <c r="M31" i="1"/>
  <c r="L42" i="1"/>
  <c r="M42" i="1"/>
  <c r="L20" i="1"/>
  <c r="M20" i="1"/>
  <c r="L137" i="1"/>
  <c r="M137" i="1"/>
  <c r="L109" i="1"/>
  <c r="M109" i="1"/>
  <c r="L19" i="1"/>
  <c r="M19" i="1"/>
  <c r="L97" i="1"/>
  <c r="M97" i="1"/>
  <c r="L84" i="1"/>
  <c r="L83" i="1" s="1"/>
  <c r="M83" i="1" s="1"/>
  <c r="M84" i="1"/>
  <c r="L16" i="1"/>
  <c r="M16" i="1"/>
  <c r="L59" i="1"/>
  <c r="M59" i="1"/>
  <c r="L33" i="1"/>
  <c r="M33" i="1"/>
  <c r="L22" i="1"/>
  <c r="M22" i="1"/>
  <c r="L124" i="1"/>
  <c r="L123" i="1" s="1"/>
  <c r="M123" i="1" s="1"/>
  <c r="M124" i="1"/>
  <c r="L133" i="1"/>
  <c r="M133" i="1"/>
  <c r="L55" i="1"/>
  <c r="M55" i="1"/>
  <c r="L54" i="1"/>
  <c r="M54" i="1"/>
  <c r="L69" i="1"/>
  <c r="M69" i="1"/>
  <c r="L140" i="1"/>
  <c r="M140" i="1"/>
  <c r="L99" i="1"/>
  <c r="M99" i="1"/>
  <c r="L47" i="1"/>
  <c r="M47" i="1"/>
  <c r="L15" i="1"/>
  <c r="M15" i="1"/>
  <c r="L130" i="1"/>
  <c r="M130" i="1"/>
  <c r="L50" i="1"/>
  <c r="M50" i="1"/>
  <c r="L112" i="1"/>
  <c r="M112" i="1"/>
  <c r="L56" i="1"/>
  <c r="M56" i="1"/>
  <c r="L25" i="1"/>
  <c r="M25" i="1"/>
  <c r="L141" i="1"/>
  <c r="M141" i="1"/>
  <c r="L71" i="1"/>
  <c r="M71" i="1"/>
  <c r="L30" i="1"/>
  <c r="M30" i="1"/>
  <c r="L75" i="1"/>
  <c r="M75" i="1"/>
  <c r="L35" i="1"/>
  <c r="M35" i="1"/>
  <c r="L139" i="1"/>
  <c r="M139" i="1"/>
  <c r="M38" i="1"/>
  <c r="L44" i="1"/>
  <c r="L43" i="1" s="1"/>
  <c r="M43" i="1" s="1"/>
  <c r="M44" i="1"/>
  <c r="L89" i="1"/>
  <c r="M89" i="1"/>
  <c r="L61" i="1"/>
  <c r="M61" i="1"/>
  <c r="L49" i="1"/>
  <c r="M49" i="1"/>
  <c r="L147" i="1"/>
  <c r="M147" i="1"/>
  <c r="L122" i="1"/>
  <c r="L121" i="1" s="1"/>
  <c r="M121" i="1" s="1"/>
  <c r="M122" i="1"/>
  <c r="L129" i="1"/>
  <c r="M129" i="1"/>
  <c r="L104" i="1"/>
  <c r="M104" i="1"/>
  <c r="L66" i="1"/>
  <c r="M66" i="1"/>
  <c r="L53" i="1"/>
  <c r="M53" i="1"/>
  <c r="L143" i="1"/>
  <c r="M143" i="1"/>
  <c r="L116" i="1"/>
  <c r="M116" i="1"/>
  <c r="L73" i="1"/>
  <c r="M73" i="1"/>
  <c r="L111" i="1"/>
  <c r="M111" i="1"/>
  <c r="L90" i="1"/>
  <c r="M90" i="1"/>
  <c r="L29" i="1"/>
  <c r="M29" i="1"/>
  <c r="L63" i="1"/>
  <c r="M63" i="1"/>
  <c r="L81" i="1"/>
  <c r="M81" i="1"/>
  <c r="L68" i="1"/>
  <c r="M68" i="1"/>
  <c r="L13" i="1"/>
  <c r="M13" i="1"/>
  <c r="L93" i="1"/>
  <c r="M93" i="1"/>
  <c r="L27" i="1"/>
  <c r="M27" i="1"/>
  <c r="L26" i="1"/>
  <c r="M26" i="1"/>
  <c r="L12" i="1"/>
  <c r="M12" i="1"/>
  <c r="L110" i="1" l="1"/>
  <c r="M110" i="1" s="1"/>
  <c r="L45" i="1"/>
  <c r="M45" i="1" s="1"/>
  <c r="L48" i="1"/>
  <c r="M48" i="1" s="1"/>
  <c r="L74" i="1"/>
  <c r="M74" i="1" s="1"/>
  <c r="L103" i="1"/>
  <c r="M103" i="1" s="1"/>
  <c r="L135" i="1"/>
  <c r="M135" i="1" s="1"/>
  <c r="L57" i="1"/>
  <c r="M57" i="1" s="1"/>
  <c r="L70" i="1"/>
  <c r="M70" i="1" s="1"/>
  <c r="L106" i="1"/>
  <c r="M106" i="1" s="1"/>
  <c r="L145" i="1"/>
  <c r="M145" i="1" s="1"/>
  <c r="L127" i="1"/>
  <c r="L80" i="1"/>
  <c r="L52" i="1"/>
  <c r="M52" i="1" s="1"/>
  <c r="L10" i="1"/>
  <c r="L9" i="1" l="1"/>
  <c r="M127" i="1"/>
  <c r="L51" i="1"/>
  <c r="L134" i="1"/>
  <c r="M134" i="1" s="1"/>
  <c r="L77" i="1"/>
  <c r="M77" i="1" s="1"/>
  <c r="M80" i="1"/>
  <c r="M10" i="1"/>
  <c r="M51" i="1" l="1"/>
  <c r="M9" i="1"/>
  <c r="M87" i="1" l="1"/>
  <c r="L87" i="1"/>
  <c r="L95" i="1" l="1"/>
  <c r="L94" i="1" s="1"/>
  <c r="M95" i="1"/>
  <c r="M94" i="1" l="1"/>
  <c r="M91" i="1" l="1"/>
  <c r="K88" i="1"/>
  <c r="L88" i="1" l="1"/>
  <c r="M88" i="1"/>
  <c r="L91" i="1"/>
  <c r="L86" i="1" l="1"/>
  <c r="M86" i="1" l="1"/>
  <c r="K132" i="1" l="1"/>
  <c r="M132" i="1" l="1"/>
  <c r="L132" i="1"/>
  <c r="L131" i="1" s="1"/>
  <c r="M131" i="1" l="1"/>
  <c r="L118" i="1"/>
  <c r="M118" i="1" l="1"/>
  <c r="K664" i="1"/>
  <c r="L664" i="1" s="1"/>
  <c r="M664" i="1" l="1"/>
  <c r="L662" i="1" l="1"/>
  <c r="M662" i="1" s="1"/>
  <c r="L661" i="1" l="1"/>
  <c r="H6160" i="7"/>
  <c r="N6135" i="7"/>
  <c r="M661" i="1" l="1"/>
  <c r="N6053" i="7"/>
  <c r="H6074" i="7"/>
  <c r="J114" i="1"/>
  <c r="J115" i="1"/>
  <c r="J117" i="1"/>
  <c r="K114" i="1"/>
  <c r="M114" i="1" s="1"/>
  <c r="K115" i="1"/>
  <c r="M115" i="1" s="1"/>
  <c r="K117" i="1"/>
  <c r="M117" i="1" s="1"/>
  <c r="L115" i="1" l="1"/>
  <c r="L117" i="1"/>
  <c r="L114" i="1"/>
  <c r="L113" i="1" s="1"/>
  <c r="L85" i="1" l="1"/>
  <c r="M113" i="1"/>
  <c r="K680" i="1" l="1"/>
  <c r="M680" i="1" s="1"/>
  <c r="M85" i="1"/>
  <c r="J116" i="1"/>
  <c r="J85" i="1" l="1"/>
  <c r="J113" i="1"/>
  <c r="J680" i="1" l="1"/>
</calcChain>
</file>

<file path=xl/sharedStrings.xml><?xml version="1.0" encoding="utf-8"?>
<sst xmlns="http://schemas.openxmlformats.org/spreadsheetml/2006/main" count="20094" uniqueCount="4188">
  <si>
    <t>SERVIÇOS PREVISTOS</t>
  </si>
  <si>
    <t>REFERÊNCIA</t>
  </si>
  <si>
    <t xml:space="preserve">CÓDIGO </t>
  </si>
  <si>
    <t>DESCRIÇÃO</t>
  </si>
  <si>
    <t>UNIDADE</t>
  </si>
  <si>
    <t>PREÇO UNITÁRIO</t>
  </si>
  <si>
    <t>QUANTIDADE</t>
  </si>
  <si>
    <t>PREÇO TOTAL</t>
  </si>
  <si>
    <t>1.1.1</t>
  </si>
  <si>
    <t>SESP</t>
  </si>
  <si>
    <t>LABOR - 010206 - 1</t>
  </si>
  <si>
    <t>Demolição de revestimento com azulejos</t>
  </si>
  <si>
    <t>m2</t>
  </si>
  <si>
    <t>1.1.2</t>
  </si>
  <si>
    <t>LABOR - 010208 - 1</t>
  </si>
  <si>
    <t>Retirada de revestimento antigo em reboco</t>
  </si>
  <si>
    <t>1.1.3</t>
  </si>
  <si>
    <t>LABOR - 010214 - 1</t>
  </si>
  <si>
    <t>Retirada de portas e janelas de madeira, inclusive batentes</t>
  </si>
  <si>
    <t>1.1.4</t>
  </si>
  <si>
    <t>LABOR - 010215 - 1</t>
  </si>
  <si>
    <t>Retirada de esquadrias metálicas</t>
  </si>
  <si>
    <t>1.1.5</t>
  </si>
  <si>
    <t>LABOR - 010218 - 1</t>
  </si>
  <si>
    <t>Remoção de pintura antiga a óleo ou esmalte</t>
  </si>
  <si>
    <t>1.1.6</t>
  </si>
  <si>
    <t>LABOR - 010223 - 1</t>
  </si>
  <si>
    <t>Retirada de aparelhos sanitários</t>
  </si>
  <si>
    <t>und</t>
  </si>
  <si>
    <t>1.1.7</t>
  </si>
  <si>
    <t>LABOR - 010226 - 1</t>
  </si>
  <si>
    <t>Retirada de tanque de cimento</t>
  </si>
  <si>
    <t>1.1.8</t>
  </si>
  <si>
    <t>LABOR - 010225 - 1</t>
  </si>
  <si>
    <t>Retirada de bancada de pia</t>
  </si>
  <si>
    <t>1.1.9</t>
  </si>
  <si>
    <t>LABOR - 010240 - 1</t>
  </si>
  <si>
    <t>Retirada de pontos elétricos (luminárias, interruptores e tomadas)</t>
  </si>
  <si>
    <t>1.1.10</t>
  </si>
  <si>
    <t>LABOR - 010256 - 1</t>
  </si>
  <si>
    <t>Remoção de telha ondulada de fibrocimento, inclusive cumeeira</t>
  </si>
  <si>
    <t>1.1.11</t>
  </si>
  <si>
    <t>LABOR - 010259 - 1</t>
  </si>
  <si>
    <t>Retirada de rodapé de madeira ou cerâmica</t>
  </si>
  <si>
    <t>m</t>
  </si>
  <si>
    <t>1.1.12</t>
  </si>
  <si>
    <t>LABOR - 010323 - 1</t>
  </si>
  <si>
    <t>Retirada de torneiras e registros</t>
  </si>
  <si>
    <t>1.1.13</t>
  </si>
  <si>
    <t>LABOR - 030304 - 2</t>
  </si>
  <si>
    <t>Índice de preço para remoção de entulho decorrente da execução de obras (Classe A CONAMA - NBR 10.004 - Classe II-B), incluindo aluguel da caçamba, carga, transporte e descarga em área licenciada</t>
  </si>
  <si>
    <t>m3</t>
  </si>
  <si>
    <t>1.1.14</t>
  </si>
  <si>
    <t>LABOR - 010326 - 1</t>
  </si>
  <si>
    <t>Retirada de estrutura em madeira do telhado</t>
  </si>
  <si>
    <t>1.1.15</t>
  </si>
  <si>
    <t>LABOR - 010224 - 1</t>
  </si>
  <si>
    <t>Retirada de grades, gradis, alambrados, cercas e portões</t>
  </si>
  <si>
    <t>1.1.16</t>
  </si>
  <si>
    <t>LABOR - 010209 - 1</t>
  </si>
  <si>
    <t>Demolição de alvenaria</t>
  </si>
  <si>
    <t>1.1.17</t>
  </si>
  <si>
    <t>LABOR - 010216 - 1</t>
  </si>
  <si>
    <t>Retirada de meio-fio de concreto</t>
  </si>
  <si>
    <t>1.2.1</t>
  </si>
  <si>
    <t>1.3.1</t>
  </si>
  <si>
    <t>LABOR - 020339 - 1</t>
  </si>
  <si>
    <t>Locação de andaime metálico para trabalho em fachada de edifíco (aluguel de 1 m² por 1 mês) inclusive frete, montagem e desmontagem</t>
  </si>
  <si>
    <t>1.3.2</t>
  </si>
  <si>
    <t>LABOR - 020348 - 3</t>
  </si>
  <si>
    <t>Fornecimento e instalação de proteção para andaime fachadeiro considerando plataforma, rodapé e guarda-corpo em madeira, inclusive entelamento, conforme NR-18 (medido por m2 de fachada)</t>
  </si>
  <si>
    <t>LABOR - 020350 - 2</t>
  </si>
  <si>
    <t>Tapume Telha Metálica Ondulada em aço galvalume 0,50mm Branca h=2,20m, incl. montagem estr. mad. 8"x8", c/adesivo "IOPES" 60x60cm a cada 10m, incl. faixas pint. esmalte sint. cores azul c/ h=30cm e rosa c/ h=10cm (Reaproveitamento 2x)</t>
  </si>
  <si>
    <t>LABOR - 030119 - 1</t>
  </si>
  <si>
    <t>Apiloamento do fundo de vala com maço de 30 a 60kg</t>
  </si>
  <si>
    <t>LABOR - 030204 - 1</t>
  </si>
  <si>
    <t>Lastro de areia</t>
  </si>
  <si>
    <t>2.1.1</t>
  </si>
  <si>
    <t>LABOR - 040802 - 1</t>
  </si>
  <si>
    <t>Remoção cuidadosa do concreto afetado, através de escarificação (considerando esp. escarificada de 5cm)</t>
  </si>
  <si>
    <t>2.1.2</t>
  </si>
  <si>
    <t>LABOR - 040803 - 2</t>
  </si>
  <si>
    <t>Preparação do substrato para reparo em estrutura de concreto por apicoamento manual da superfície</t>
  </si>
  <si>
    <t>2.1.3</t>
  </si>
  <si>
    <t>LABOR - 040806 - 1</t>
  </si>
  <si>
    <t>Limpeza de aço com lixamento e escovamento com escova de aço, até a completa remoção de partículas soltas, materiais indesejáveis e corrosão</t>
  </si>
  <si>
    <t>2.1.4</t>
  </si>
  <si>
    <t>LABOR - 040807 - 1</t>
  </si>
  <si>
    <t>Aplicação de Sika Top 108 Armatec ou equivalente, nas ferragens a serem recuperadas</t>
  </si>
  <si>
    <t>2.1.5</t>
  </si>
  <si>
    <t>LABOR - 040808 - 1</t>
  </si>
  <si>
    <t>Retirada de ferragem corroída</t>
  </si>
  <si>
    <t>kg</t>
  </si>
  <si>
    <t>2.1.6</t>
  </si>
  <si>
    <t>LABOR - 040809 - 3</t>
  </si>
  <si>
    <t>Recomposição de concreto danificado, com utilização de argamassa Sika Grout ou equivalente (considerando esp. 5cm)</t>
  </si>
  <si>
    <t>2.1.7</t>
  </si>
  <si>
    <t>LABOR - 040816 - 1</t>
  </si>
  <si>
    <t>Aplicação de Oxiprimer ou equivalente, nas ferragens a serem recuperadas</t>
  </si>
  <si>
    <t>3.0.1</t>
  </si>
  <si>
    <t>LABOR - 040324 - 1</t>
  </si>
  <si>
    <t>Fornecimento, preparo e aplicação de concreto Fck=25 MPa (brita 1 e 2) - (5% de perdas já incluído no custo)</t>
  </si>
  <si>
    <t>3.0.2</t>
  </si>
  <si>
    <t>LABOR - 040328 - 1</t>
  </si>
  <si>
    <t>Fornecimento, dobragem e colocação em fôrma, de armadura CA-50 A média, diâmetro de 6.3 a 10.0 mm</t>
  </si>
  <si>
    <t>3.0.3</t>
  </si>
  <si>
    <t>LABOR - 040332 - 1</t>
  </si>
  <si>
    <t>Fornecimento, dobragem e colocação em fôrma, de armadura CA-50 A grossa, diâmetro de 12.5 a 25.0mm</t>
  </si>
  <si>
    <t>3.0.4</t>
  </si>
  <si>
    <t>LABOR - 040333 - 1</t>
  </si>
  <si>
    <t>Fornecimento, dobragem e colocação em fôrma, de armadura CA-60 B fina, diâmetro de 4.0 a 7.0mm</t>
  </si>
  <si>
    <t>3.0.5</t>
  </si>
  <si>
    <t>LABOR - 040337 - 2</t>
  </si>
  <si>
    <t>Fôrma em chapa de madeira compensada plastificada 12mm para estrutura em geral, 5 reaproveitamentos, reforçada com sarrafos de madeira 2.5x10cm (incl material, corte, montagem, escoras em eucalipto e desforma)</t>
  </si>
  <si>
    <t>3.0.6</t>
  </si>
  <si>
    <t>LABOR - 040705 - 1</t>
  </si>
  <si>
    <t>Execução de junta de dilatação 2 x 2 cm considerando 1cm de aplicação de isopor e 1cm de aplicação de mastique elástico do tipo sikaflex 1a ou equivalente</t>
  </si>
  <si>
    <t>4.1.1</t>
  </si>
  <si>
    <t>LABOR - 050301 - 2</t>
  </si>
  <si>
    <t>Verga/contraverga reta de concreto armado 10 x 5 cm, Fck = 15 MPa, inclusive forma, armação e desforma</t>
  </si>
  <si>
    <t>4.1.2</t>
  </si>
  <si>
    <t>LABOR - 050502 - 1</t>
  </si>
  <si>
    <t>Alvenaria de blocos de concreto estrut. (19x19x39cm) cheios, c/ resist. mín. compr. 15MPa, assentados c/ arg. cimento e areia no traço 1:4, esp. juntas de 10mm e esp. da parede s/ revest. 19cm</t>
  </si>
  <si>
    <t>4.1.3</t>
  </si>
  <si>
    <t>LABOR - 050701 - 1</t>
  </si>
  <si>
    <t>Entelamento corretivo de superfície com trinca por retração ou dilatação, revestida com argamassa de cal hidratada e areia sem peneirar traço 1:3, largura da tela 10cm</t>
  </si>
  <si>
    <t>5.1.1</t>
  </si>
  <si>
    <t>LABOR - 060103 - 2</t>
  </si>
  <si>
    <t>Marco de madeira de lei de 1ª (Peroba, Ipê, Angelim Pedra ou equivalente) com 15x3 cm de batente, nas dimensões de 0.80 x 2.10 m</t>
  </si>
  <si>
    <t>5.1.2</t>
  </si>
  <si>
    <t>LABOR - 060102 - 2</t>
  </si>
  <si>
    <t>Marco de madeira de lei de 1ª (Peroba, Ipê, Angelim Pedra ou equivalente) com 15x3 cm de batente, nas dimensões de 0.70 x 2.10 m</t>
  </si>
  <si>
    <t>5.1.3</t>
  </si>
  <si>
    <t>LABOR - 061302 - 2</t>
  </si>
  <si>
    <t>Porta em madeira de lei tipo angelim pedra ou equiv.c/enchimento em madeira 1a.qualidade esp. 30mm p/ pintura, inclusive alizares, dobradiças e fechadura externa em latão cromado LaFonte ou equiv., exclusive marco, nas dim.: 0.70 x 2.10 m</t>
  </si>
  <si>
    <t>5.1.4</t>
  </si>
  <si>
    <t>LABOR - 061303 - 2</t>
  </si>
  <si>
    <t>Porta em madeira de lei tipo angelim pedra ou equiv.c/enchimento em madeira 1a.qualidade esp. 30mm p/ pintura, inclusive alizares, dobradiças e fechadura externa em latão cromado LaFonte ou equiv., exclusive marco, nas dim.: 0.80 x 2.10 m</t>
  </si>
  <si>
    <t>5.1.5</t>
  </si>
  <si>
    <t>LABOR - 061304 - 2</t>
  </si>
  <si>
    <t>Porta em madeira de lei tipo angelim pedra ou equiv.c/enchimento em madeira 1a.qualidade esp. 30mm p/ pintura, inclusive alizares, dobradiças e fechadura externa em latão cromado LaFonte ou equiv., exclusive marco, nas dim.: 0.90 x 2.10 m</t>
  </si>
  <si>
    <t>5.1.6</t>
  </si>
  <si>
    <t>DER-ES - EDIFICAÇÕES - 062001</t>
  </si>
  <si>
    <t>Porta mad. de lei p/pintura c/ barra de apoio, e com barra de proteção 40cm em laminado acab. aço escovado, chapa de aço inox, incl. alizares, dobradiças e fechadura int. latão crom. marca de ref. La Fonte, excl. marco, conf. deta</t>
  </si>
  <si>
    <t>5.2.1</t>
  </si>
  <si>
    <t>LABOR - 071105 - 2</t>
  </si>
  <si>
    <t>Grade de ferro em barra chata, inclusive chumbamento</t>
  </si>
  <si>
    <t>5.2.2</t>
  </si>
  <si>
    <t>LABOR - 071106 - 2</t>
  </si>
  <si>
    <t>Portão de ferro de correr em barra chata, inclusive chumbamento</t>
  </si>
  <si>
    <t>5.2.3</t>
  </si>
  <si>
    <t>LABOR - 071107 - 2</t>
  </si>
  <si>
    <t>Portão de ferro de abrir em barra chata, chapa e tubo, inclusive chumbamento</t>
  </si>
  <si>
    <t>5.2.4</t>
  </si>
  <si>
    <t>LABOR - 071701 - 2</t>
  </si>
  <si>
    <t>Janela de correr para vidro em alumínio anodizado cor natural, linha 25, completa, incl. puxador com tranca, alizar, caixilho e contramarco, exclusive vidro</t>
  </si>
  <si>
    <t>5.2.5</t>
  </si>
  <si>
    <t>LABOR - 071702 - 2</t>
  </si>
  <si>
    <t>Báscula para vidro em alumínio anodizado cor natural, linha 25, completa, com tranca, caixilho, alizar e contramarco, exclusive vidro</t>
  </si>
  <si>
    <t>5.2.6</t>
  </si>
  <si>
    <t>LABOR - 071704 - 2</t>
  </si>
  <si>
    <t>Porta de abrir tipo veneziana em alumínio anodizado, linha 25, completa, incl. puxador com tranca, caixilho, alizar e contramarco</t>
  </si>
  <si>
    <t>5.2.7</t>
  </si>
  <si>
    <t>LABOR - 080203 - 1</t>
  </si>
  <si>
    <t>Espelho prata esp. 4 mm sobre caixa de compensado colado revestido com fórmica e fixado com parafuso cromado e bucha, dim. 1,80 x 0,40m, conforme detalhe em projeto</t>
  </si>
  <si>
    <t>5.3.1</t>
  </si>
  <si>
    <t>LABOR - 080103 - 1</t>
  </si>
  <si>
    <t>Vidro fantasia mini-boreal, com 4 mm de espessura</t>
  </si>
  <si>
    <t>5.3.2</t>
  </si>
  <si>
    <t>LABOR - 080107 - 1</t>
  </si>
  <si>
    <t>Vidro aramado esp. 6mm, colocado</t>
  </si>
  <si>
    <t>6.1.1</t>
  </si>
  <si>
    <t>LABOR - 140701 - 1</t>
  </si>
  <si>
    <t>Ponto de água fria (lavatório, tanque, pia de cozinha, etc...)</t>
  </si>
  <si>
    <t>pt</t>
  </si>
  <si>
    <t>6.1.2</t>
  </si>
  <si>
    <t>LABOR - 140702 - 1</t>
  </si>
  <si>
    <t>Ponto com registro de pressão (chuveiro, caixa de descarga, etc...)</t>
  </si>
  <si>
    <t>6.1.3</t>
  </si>
  <si>
    <t>LABOR - 140705 - 1</t>
  </si>
  <si>
    <t>Ponto para esgoto primário (vaso sanitário)</t>
  </si>
  <si>
    <t>6.1.4</t>
  </si>
  <si>
    <t>LABOR - 140706 - 1</t>
  </si>
  <si>
    <t>Ponto para esgoto secundário (pia, lavatório, mictório, tanque, bidê, etc...)</t>
  </si>
  <si>
    <t>6.1.5</t>
  </si>
  <si>
    <t>LABOR - 140707 - 1</t>
  </si>
  <si>
    <t>Ponto para caixa sifonada, inclusive caixa sifonada pvc 150x150x50mm com grelha em pvc</t>
  </si>
  <si>
    <t>6.1.6</t>
  </si>
  <si>
    <t>LABOR - 140708 - 1</t>
  </si>
  <si>
    <t>Ponto para ralo sifonado, inclusive ralo sifonado 100 x 40 mm c/ grelha em pvc</t>
  </si>
  <si>
    <t>6.2.1</t>
  </si>
  <si>
    <t>LABOR - 141409 - 1</t>
  </si>
  <si>
    <t>Tubo de PVC rígido soldável marrom, diâm. 20mm (1/2"), inclusive conexões</t>
  </si>
  <si>
    <t>6.2.2</t>
  </si>
  <si>
    <t>LABOR - 141410 - 1</t>
  </si>
  <si>
    <t>Tubo de PVC rígido soldável marrom, diâm. 25mm (3/4"), inclusive conexões</t>
  </si>
  <si>
    <t>6.2.3</t>
  </si>
  <si>
    <t>LABOR - 141411 - 1</t>
  </si>
  <si>
    <t>Tubo de PVC rigido soldável marrom, diâm. 32mm (1"), inclusive conexões</t>
  </si>
  <si>
    <t>6.2.4</t>
  </si>
  <si>
    <t>LABOR - 141412 - 1</t>
  </si>
  <si>
    <t>Tubo de PVC rígido soldável marrom, diâm. 40mm (11/4"), inclusive conexões</t>
  </si>
  <si>
    <t>6.3.1</t>
  </si>
  <si>
    <t>LABOR - 141906 - 1</t>
  </si>
  <si>
    <t>Tubo de PVC rígido soldável branco, para esgoto, diâmetro 40mm (1 1/2"), inclusive conexões</t>
  </si>
  <si>
    <t>6.3.2</t>
  </si>
  <si>
    <t>LABOR - 141907 - 1</t>
  </si>
  <si>
    <t>Tubo de PVC rígido soldável branco, para esgoto, diâmetro 50mm (2"), inclusive conexões</t>
  </si>
  <si>
    <t>6.3.3</t>
  </si>
  <si>
    <t>LABOR - 141908 - 1</t>
  </si>
  <si>
    <t>Tubo de PVC rígido soldável branco, para esgoto, diâmetro 75mm (3"), inclusive conexões</t>
  </si>
  <si>
    <t>6.3.4</t>
  </si>
  <si>
    <t>LABOR - 141909 - 1</t>
  </si>
  <si>
    <t>Tubo de PVC rígido soldável branco, para esgoto, diâmetro 100mm (4"), inclusive conexões</t>
  </si>
  <si>
    <t>6.3.5</t>
  </si>
  <si>
    <t>LABOR - 141910 - 1</t>
  </si>
  <si>
    <t>Tubo de PVC rígido soldável branco, para esgoto, diâmetro 150mm (6"), inclusive conexões</t>
  </si>
  <si>
    <t>6.4.1</t>
  </si>
  <si>
    <t>LABOR - 142201 - 1</t>
  </si>
  <si>
    <t>Abertura e fechamento de rasgos em alvenaria, para passagem de tubulações, diâm. 1/2" a 1"</t>
  </si>
  <si>
    <t>6.4.2</t>
  </si>
  <si>
    <t>LABOR - 142202 - 1</t>
  </si>
  <si>
    <t>Abertura e fechamento de rasgos em alvenaria, para passagem de tubulações, diâm. 11/4" a 2"</t>
  </si>
  <si>
    <t>6.4.3</t>
  </si>
  <si>
    <t>LABOR - 142203 - 1</t>
  </si>
  <si>
    <t>Abertura e fechamento de rasgos em alvenaria, para passagem de tubulações, diâm. 21/2 a 4"</t>
  </si>
  <si>
    <t>6.4.4</t>
  </si>
  <si>
    <t>LABOR - 142204 - 1</t>
  </si>
  <si>
    <t>Abertura e fechamento de rasgos em concreto, para passagem de tubulações, diâm. 1/2" a 1"</t>
  </si>
  <si>
    <t>6.4.5</t>
  </si>
  <si>
    <t>LABOR - 142205 - 1</t>
  </si>
  <si>
    <t>Abertura e fechamento de rasgos em concreto, para passagem de tubulações, diâm. 11/4" a 2"</t>
  </si>
  <si>
    <t>6.4.6</t>
  </si>
  <si>
    <t>LABOR - 142206 - 1</t>
  </si>
  <si>
    <t>Abertura e fechamento de rasgos em concreto, para passagem de tubulações, diâm. 2 1/2"a 4"</t>
  </si>
  <si>
    <t>6.5.1</t>
  </si>
  <si>
    <t>LABOR - 142104 - 1</t>
  </si>
  <si>
    <t>Sifão em PVC para pia de cozinha ou lavatório 1x11/2"</t>
  </si>
  <si>
    <t>6.5.2</t>
  </si>
  <si>
    <t>LABOR - 142118 - 1</t>
  </si>
  <si>
    <t>Engate flexível de PVC para lavatório</t>
  </si>
  <si>
    <t>6.6.1</t>
  </si>
  <si>
    <t>LABOR - 170101 - 1</t>
  </si>
  <si>
    <t>Lavatório de louça branca com coluna, marcas de referência Deca, Celite ou Ideal Standard, inclusive sifão, válvula e engates cromados, exclusive torneira.</t>
  </si>
  <si>
    <t>6.6.2</t>
  </si>
  <si>
    <t>LABOR - 170116 - 2</t>
  </si>
  <si>
    <t>Vaso sanitário padrão popular completo com acessórios para ligação, marcas de referência Deca, Celite ou Ideal Standard, inclusive assento plástico</t>
  </si>
  <si>
    <t>6.6.3</t>
  </si>
  <si>
    <t>LABOR - 170126 - 6</t>
  </si>
  <si>
    <t>Bacia sifonada de louça branca sem abertura frontal para portadores de necessidades especiais, Vogue Plus Conforto - Linha Conforto, mod P510, incl. assento poliester, ref.AP51,marca de ref. Deca ou equivalente, sem abertura frontal</t>
  </si>
  <si>
    <t>6.7.1</t>
  </si>
  <si>
    <t>LABOR - 170313 - 1</t>
  </si>
  <si>
    <t>Torneira pressão cromada, diam. 1/2" para tanque, marcas de referência Fabrimar, Deca ou Docol</t>
  </si>
  <si>
    <t>6.7.2</t>
  </si>
  <si>
    <t>LABOR - 170320 - 1</t>
  </si>
  <si>
    <t>Registro de gaveta bruto diam. 20mm (3/4")</t>
  </si>
  <si>
    <t>6.7.3</t>
  </si>
  <si>
    <t>LABOR - 170309 - 1</t>
  </si>
  <si>
    <t>Torneira para jardim de 3/4" marcas de referência Fabrimar, Deca ou Docol</t>
  </si>
  <si>
    <t>6.7.4</t>
  </si>
  <si>
    <t>LABOR - 170306 - 1</t>
  </si>
  <si>
    <t>Torneira para tanque, marcas de referência Fabrimar, Deca ou Docol.</t>
  </si>
  <si>
    <t>6.8.1</t>
  </si>
  <si>
    <t>LABOR - 170602 - 1</t>
  </si>
  <si>
    <t>Barra de apoio reta em aço inox 304 p/ portadores de necessidades especiais (NBR 9050), largura 60 cm</t>
  </si>
  <si>
    <t>6.8.2</t>
  </si>
  <si>
    <t>LABOR - 170509 - 1</t>
  </si>
  <si>
    <t>Tanque de aço inox nº 2, marcas de referência Fisher, Metalpress ou Mekal, inclusive válvula de metal e sifão</t>
  </si>
  <si>
    <t>6.8.3</t>
  </si>
  <si>
    <t>LABOR - 170519 - 1</t>
  </si>
  <si>
    <t>Ducha manual Acqua jet , linha Aquarius, com registro ref.C 2195, marcas de referência Fabrimar, Deca ou Docol</t>
  </si>
  <si>
    <t>6.8.4</t>
  </si>
  <si>
    <t>LABOR - 170549 - 3</t>
  </si>
  <si>
    <t>Reservatório de polietileno de 3000 litros, inclusive peça de apoio de 6x16 cm, exclusive flanges e torneira de bóia</t>
  </si>
  <si>
    <t>6.8.5</t>
  </si>
  <si>
    <t>LABOR - 170510 - 1</t>
  </si>
  <si>
    <t>Bebedouro de aço inox, marcas de referência Fisher, Metalpress ou Mekal, inclusive válvula, sifão cromado e torneiras, exclusive alvenaria, dim. 0.45x2.75 m, conforme detalhe em projeto</t>
  </si>
  <si>
    <t>6.8.6</t>
  </si>
  <si>
    <t>LABOR - 170537 - 1</t>
  </si>
  <si>
    <t>Assento plástico para vaso sanitário, marcas de referência Deca, Celite ou Ideal Standard</t>
  </si>
  <si>
    <t>6.8.7</t>
  </si>
  <si>
    <t>DER-ES - EDIFICAÇÕES</t>
  </si>
  <si>
    <t>Dispense para papel toalha interfolhado, em aço inox polido, capacidade para até 600 folhas, referência BIOVIS ou similar</t>
  </si>
  <si>
    <t>6.8.8</t>
  </si>
  <si>
    <t>Dispense de parede para rolo de papel higiênico, em aço inox polido, capacidade rolo até 500m, referência BIOVIS ou similar</t>
  </si>
  <si>
    <t>6.8.9</t>
  </si>
  <si>
    <t>Dispense porta sabonete líquido, em aço inox polido, capacidade 1000ml, referência BIOVIS/ equiv</t>
  </si>
  <si>
    <t>7.1.1</t>
  </si>
  <si>
    <t>LABOR - 150906 - 1</t>
  </si>
  <si>
    <t>Arame galvanizado 12 BWG (0.048 kg/m)</t>
  </si>
  <si>
    <t>7.1.2</t>
  </si>
  <si>
    <t>LABOR - 150918 - 2</t>
  </si>
  <si>
    <t>Fita isolante em rolo de 19mm x 20 m, número 33 Scoth ou equivalente</t>
  </si>
  <si>
    <t>7.1.3</t>
  </si>
  <si>
    <t>LABOR - 150967 - 1</t>
  </si>
  <si>
    <t>Soquete para lâmpada fluorescente</t>
  </si>
  <si>
    <t>7.2.1</t>
  </si>
  <si>
    <t>LABOR - 151801 - 2</t>
  </si>
  <si>
    <t>Ponto padrão de luz no teto - considerando eletroduto PVC rígido de 3/4" inclusive conexões (4.5m), fio isolado PVC de 2.5mm2 (16.2m) e caixa PVC 4x4" (1 und)</t>
  </si>
  <si>
    <t>7.2.2</t>
  </si>
  <si>
    <t>LABOR - 151805 - 2</t>
  </si>
  <si>
    <t>Ponto padrão de tomada para chuveiro elétrico - considerando eletroduto PVC rígido de 3/4" inclusive conexões (9.0m), fio isolado PVC de 6.0mm2 (32.5m) e caixa PVC 4x2" (1 und)</t>
  </si>
  <si>
    <t>7.2.3</t>
  </si>
  <si>
    <t>LABOR - 151806 - 2</t>
  </si>
  <si>
    <t>Ponto padrão de tomada para ar refrigerado - considerando eletroduto PVC rígido de 3/4" inclusive conexões (6.0m), fio isolado PVC de 4.0mm2 (21.6m) e caixa PVC 4x2" (1 und)</t>
  </si>
  <si>
    <t>7.2.4</t>
  </si>
  <si>
    <t>LABOR - 151810 - 2</t>
  </si>
  <si>
    <t>Ponto padrão de interruptor de 1 tecla paralelo - considerando eletroduto PVC rígido de 3/4" inclusive conexões (8.5m), fio isolado PVC de 2.5mm2 (28.8m) e caixa PVC 4x2" (1 und)</t>
  </si>
  <si>
    <t>7.2.5</t>
  </si>
  <si>
    <t>LABOR - 151803 - 2</t>
  </si>
  <si>
    <t>Ponto padrão de tomada 2 pólos mais terra - considerando eletroduto PVC rígido de 3/4" inclusive conexões (5.0m), fio isolado PVC de 2.5mm2 (16.5m) e caixa pvc 4x2" (1 und)</t>
  </si>
  <si>
    <t>7.3.1</t>
  </si>
  <si>
    <t>LABOR - 151126 - 1</t>
  </si>
  <si>
    <t>Eletroduto de PVC rígido roscável, diâm. 3/4" (25mm), inclusive conexões</t>
  </si>
  <si>
    <t>7.3.2</t>
  </si>
  <si>
    <t>LABOR - 151127 - 1</t>
  </si>
  <si>
    <t>Eletroduto de PVC rígido roscável, diâm. 1" (32mm), inclusive conexões</t>
  </si>
  <si>
    <t>7.3.3</t>
  </si>
  <si>
    <t>LABOR - 151128 - 1</t>
  </si>
  <si>
    <t>Eletroduto de PVC rígido roscável, diâm. 1 1/4" (40mm), inclusive conexões</t>
  </si>
  <si>
    <t>7.4.1</t>
  </si>
  <si>
    <t>LABOR - 151301 - 2</t>
  </si>
  <si>
    <t>Mini-Disjuntor monopolar 16 A, curva C - 5KA 220/127VCA (NBR IEC 60947-2), Ref. Siemens, GE, Schneider ou equivalente</t>
  </si>
  <si>
    <t>7.4.2</t>
  </si>
  <si>
    <t>LABOR - 151306 - 2</t>
  </si>
  <si>
    <t>Mini-Disjuntor bipolar 16 A, curva C - 5KA 220/127VCA (NBR IEC 60947-2), Ref. Siemens, GE, Schneider ou equivalente</t>
  </si>
  <si>
    <t>7.4.3</t>
  </si>
  <si>
    <t>LABOR - 151302 - 2</t>
  </si>
  <si>
    <t>Mini-Disjuntor monopolar 20 A, curva C - 5KA 220/127VCA (NBR IEC 60947-2), Ref. Siemens, GE, Schneider ou equivalente</t>
  </si>
  <si>
    <t>7.4.4</t>
  </si>
  <si>
    <t>LABOR - 151307 - 2</t>
  </si>
  <si>
    <t>Mini-Disjuntor bipolar 20 A, curva C - 5KA 220/127VCA (NBR IEC 60947-2), Ref. Siemens, GE, Schneider ou equivalente</t>
  </si>
  <si>
    <t>7.5.1</t>
  </si>
  <si>
    <t>LABOR - 151402 - 1</t>
  </si>
  <si>
    <t>Fio de cobre termoplástico, com isolamento para 750V, seção de 2.5 mm2</t>
  </si>
  <si>
    <t>7.5.2</t>
  </si>
  <si>
    <t>LABOR - 151403 - 1</t>
  </si>
  <si>
    <t>Fio ou cabo de cobre termoplástico, com isolamento para 750V, seção de 4.0 mm2</t>
  </si>
  <si>
    <t>7.5.3</t>
  </si>
  <si>
    <t>LABOR - 151404 - 1</t>
  </si>
  <si>
    <t>Fio ou cabo de cobre termoplástico, com isolamento para 750V, seção de 6.0 mm2</t>
  </si>
  <si>
    <t>7.6.1</t>
  </si>
  <si>
    <t>LABOR - 151601 - 1</t>
  </si>
  <si>
    <t>Abertura e fechamento de rasgos em alvenaria, para passagem de eletrodutos diâm. 1/2" a 1"</t>
  </si>
  <si>
    <t>7.6.2</t>
  </si>
  <si>
    <t>LABOR - 151602 - 1</t>
  </si>
  <si>
    <t>Abertura e fechamento de rasgos em alvenaria, para passagem de eletroduto diâm. 1 1/4"a 2"</t>
  </si>
  <si>
    <t>7.7.1</t>
  </si>
  <si>
    <t>LABOR - 151706 - 4</t>
  </si>
  <si>
    <t>Padrão de entrada de energia elétrica, trifásico, entrada aérea, a 4 fios, carga instalada em muro de 41001 até 47000W - 220/127V</t>
  </si>
  <si>
    <t>7.8.1</t>
  </si>
  <si>
    <t>7.9.1</t>
  </si>
  <si>
    <t>LABOR - 180201 - 5</t>
  </si>
  <si>
    <t>Tomada padrão brasileiro linha branca, NBR 14136 2 polos + terra 10A/250V, com placa 4x2"</t>
  </si>
  <si>
    <t>7.9.2</t>
  </si>
  <si>
    <t>LABOR - 180202 - 3</t>
  </si>
  <si>
    <t>Tomada padrão brasileiro linha branca, NBR 14136 2 polos + terra 20A/250V, com placa 4x2"</t>
  </si>
  <si>
    <t>7.9.3</t>
  </si>
  <si>
    <t>LABOR - 180204 - 1</t>
  </si>
  <si>
    <t>Interruptor de uma tecla simples 10A/250V, com placa 4x2"</t>
  </si>
  <si>
    <t>7.9.4</t>
  </si>
  <si>
    <t>LABOR - 180207 - 3</t>
  </si>
  <si>
    <t>Interruptor de uma tecla simples 10A/250V e uma tomada 3 polos 10A/250V, padrão brasileiro, NBR 14136, linha branca, com placa 4x2"</t>
  </si>
  <si>
    <t>7.10.1</t>
  </si>
  <si>
    <t>LABOR - 181001 - 4</t>
  </si>
  <si>
    <t>Luminaria sobrepor compl., corpo ch. aço pintada branca, refletor, aletas parabólicas alum.alta pureza e refletância inclusive 2 lâmpadas LED T8 9W temp. de cor 5000k c/ 60cm - Ref. CS216AL-N - AMES, 663 - LUMAVI OU EQUIVALENTE</t>
  </si>
  <si>
    <t>7.10.2</t>
  </si>
  <si>
    <t>LABOR - 181002 - 3</t>
  </si>
  <si>
    <t>Luminaria sobrepor compl., corpo ch. aço pintada branca, refletor aletas parabólicas alum.alta pureza e refletância inclusive 2 lâmpadas LED T8 20W temp. de cor 5000k bivolt c/ 1,20m - Ref. CS232AL-N - AMES, 664 - LUMAVI OU EQUIVALENTE</t>
  </si>
  <si>
    <t>8.1.1</t>
  </si>
  <si>
    <t>LABOR - 090102 - 4</t>
  </si>
  <si>
    <t>Estrutura de madeira de lei tipo Paraju, peroba mica, angelim pedra ou equivalente para telhado de telha ondulada de fibrocimento esp. 6mm, com pontaletes e caibros, inclusive tratamento com cupinicida, exclusive telhas</t>
  </si>
  <si>
    <t>8.2.1</t>
  </si>
  <si>
    <t>LABOR - 090203 - 1</t>
  </si>
  <si>
    <t>Cobertura nova de telhas onduladas de fibrocimento 8.0mm, inclusive cumeeiras e acessórios de fixação</t>
  </si>
  <si>
    <t>8.2.2</t>
  </si>
  <si>
    <t>LABOR - 090314 - 1</t>
  </si>
  <si>
    <t>Rufo de chapa de alumínio esp. 0.5mm, largura de 30cm</t>
  </si>
  <si>
    <t>8.2.3</t>
  </si>
  <si>
    <t>LABOR - 090312 - 1</t>
  </si>
  <si>
    <t>Calha em chapa galvanizada com largura de 40 cm</t>
  </si>
  <si>
    <t>9.1.1</t>
  </si>
  <si>
    <t>LABOR - 100208 - 1</t>
  </si>
  <si>
    <t>Índice de imperm.c/ manta asfáltica atendendo NBR 9952, asfalto polimerizado esp.3mm, reforç.c/ filme int. polietileno, regul. base c/ arg.1:4 esp.mín.15mm, proteção mec. arg.1:4 esp.20mm e juntas dilat.</t>
  </si>
  <si>
    <t>9.1.2</t>
  </si>
  <si>
    <t>LABOR - 100203 - 1</t>
  </si>
  <si>
    <t>Pintura impermeabilizante com igolflex ou equivalente a 3 demãos</t>
  </si>
  <si>
    <t>9.2.1</t>
  </si>
  <si>
    <t>LABOR - 110101 - 1</t>
  </si>
  <si>
    <t>Chapisco com argamassa de cimento e areia média ou grossa lavada no traço 1:3, espessura 5 mm</t>
  </si>
  <si>
    <t>9.2.2</t>
  </si>
  <si>
    <t>LABOR - 110302 - 1</t>
  </si>
  <si>
    <t>Reboco tipo paulista de argamassa de cimento, cal hidratada CH1 e areia lavada traço 1:0.5:6, espessura 25 mm</t>
  </si>
  <si>
    <t>9.3.1</t>
  </si>
  <si>
    <t>LABOR - 120101 - 1</t>
  </si>
  <si>
    <t>Chapisco de argamassa de cimento e areia média ou grossa lavada, no traço 1:3, espessura 5 mm</t>
  </si>
  <si>
    <t>9.3.2</t>
  </si>
  <si>
    <t>LABOR - 120201 - 1</t>
  </si>
  <si>
    <t>Azulejo branco 15 x 15 cm, juntas a prumo, assentado com argamassa de cimento colante, inclusive rejuntamento com cimento branco, marcas de referência Eliane, Cecrisa ou Portobello</t>
  </si>
  <si>
    <t>9.3.3</t>
  </si>
  <si>
    <t>LABOR - 120303 - 1</t>
  </si>
  <si>
    <t>Reboco tipo paulista de argamassa de cimento, cal hidratada CH1 e areia média ou grossa lavada no traço 1:0.5:6, espessura 25 mm</t>
  </si>
  <si>
    <t>9.4.1</t>
  </si>
  <si>
    <t>LABOR - 130103 - 1</t>
  </si>
  <si>
    <t>Regularização de base p/ revestimento cerâmico, com argamassa de cimento e areia no traço 1:5, espessura 3cm</t>
  </si>
  <si>
    <t>9.4.2</t>
  </si>
  <si>
    <t>LABOR - 130232 - 1</t>
  </si>
  <si>
    <t>Porcelanato polido, acabamento brilhante, dim. 50x50cm, ref. de cor PANNA PLUS PO Eliane/equiv, utilizando dupla colagem de argamassa colante para porcelanato tipo ACIII e rejunte 1mm para porcelanato</t>
  </si>
  <si>
    <t>9.4.3</t>
  </si>
  <si>
    <t>LABOR - 130311 - 1</t>
  </si>
  <si>
    <t>Soleira de granito cinza, espessura 3 cm e largura de 3 cm, conforme detalhe em projeto</t>
  </si>
  <si>
    <t>9.4.4</t>
  </si>
  <si>
    <t>LABOR - 130307 - 1</t>
  </si>
  <si>
    <t>Peitoril de mármore branco com largura 40 cm e esp. 3cm</t>
  </si>
  <si>
    <t>9.4.5</t>
  </si>
  <si>
    <t>LABOR - 130315 - 1</t>
  </si>
  <si>
    <t>Rodapé de mármore ou granito, assentado com argamassa de cimento, cal hidratada CH1 e areia no traço 1:0,5:8, incl. rejuntamento com cimento branco, h=7cm</t>
  </si>
  <si>
    <t>9.4.6</t>
  </si>
  <si>
    <t>LABOR - 130209 - 1</t>
  </si>
  <si>
    <t>Piso de cimentado camurçado executado com argamassa de cimento e areia no traço 1:3, esp. 3.0cm</t>
  </si>
  <si>
    <t>10.1.1</t>
  </si>
  <si>
    <t>LABOR - 190101 - 1</t>
  </si>
  <si>
    <t>Emassamento de paredes e forros, com duas demãos de massa à base de PVA, marcas de referência Suvinil, Coral ou Metalatex</t>
  </si>
  <si>
    <t>10.1.2</t>
  </si>
  <si>
    <t>LABOR - 190104 - 1</t>
  </si>
  <si>
    <t>Pintura com tinta látex PVA, marcas de referência Suvinil, Coral ou Metalatex, inclusive selador em paredes e forros, a três demãos</t>
  </si>
  <si>
    <t>10.1.3</t>
  </si>
  <si>
    <t>LABOR - 190103 - 1</t>
  </si>
  <si>
    <t>Emassamento de paredes e forros, com duas demãos de massa acrílica, marcas de referência Suvinil, Coral ou Metalatex</t>
  </si>
  <si>
    <t>10.1.4</t>
  </si>
  <si>
    <t>LABOR - 190106 - 1</t>
  </si>
  <si>
    <t>Pintura com tinta acrílica, marcas de referência Suvinil, Coral ou Metalatex, inclusive selador acrílico, em paredes e forros, a três demãos</t>
  </si>
  <si>
    <t>10.2.1</t>
  </si>
  <si>
    <t>LABOR - 190417 - 1</t>
  </si>
  <si>
    <t>Pintura com tinta esmalte sintético, marcas de referência Suvinil, Coral ou Metalatex, a duas demãos, inclusive fundo anticorrosivo a uma demão, em metal</t>
  </si>
  <si>
    <t>11.1.1</t>
  </si>
  <si>
    <t>LABOR - 160605 - 4</t>
  </si>
  <si>
    <t>Extintor de incêndio portátil de pó químico ABC com capacidade 2A-20B:C (6 kg), inclusive suporte para fixação, EXCLUSIVE placa sinalizadora em PVC fotoluminescente</t>
  </si>
  <si>
    <t>11.1.2</t>
  </si>
  <si>
    <t>LABOR - 160613 - 2</t>
  </si>
  <si>
    <t>Ponto para iluminação de emergência completo, inclusive bloco autônomo de iluminação 2x9W com tomada universal</t>
  </si>
  <si>
    <t>11.2.1</t>
  </si>
  <si>
    <t>LABOR - 160806 - 3</t>
  </si>
  <si>
    <t>Espelho 4" x 2" com conector RJ 45 fêmea CAT. 5e</t>
  </si>
  <si>
    <t>11.2.2</t>
  </si>
  <si>
    <t>LABOR - 160807 - 1</t>
  </si>
  <si>
    <t>Conector RJ 45 macho</t>
  </si>
  <si>
    <t>11.2.3</t>
  </si>
  <si>
    <t>DER-ES - EDIFICAÇÕES - 160872</t>
  </si>
  <si>
    <t>Espelho 4" x 2" com conector RJ 45 fêmea CAT.6</t>
  </si>
  <si>
    <t>11.2.4</t>
  </si>
  <si>
    <t>SINAPI - 98297 - 36</t>
  </si>
  <si>
    <t>Cabo eletrônico categoria 6, instalado em edificação institucional - fornecimento e instalação. af_11/2019</t>
  </si>
  <si>
    <t>11.3.1</t>
  </si>
  <si>
    <t>LABOR - 200202 - 1</t>
  </si>
  <si>
    <t>Meio-fio de concreto pré-moldado com dimensões de 15x12x30x100 cm , rejuntados com argamassa de cimento e areia no traço 1:3</t>
  </si>
  <si>
    <t>11.4.1</t>
  </si>
  <si>
    <t>LABOR - 200401 - 2</t>
  </si>
  <si>
    <t>Limpeza geral da obra (edificação)</t>
  </si>
  <si>
    <t>11.5.1</t>
  </si>
  <si>
    <t>LABOR - 210210 - 2</t>
  </si>
  <si>
    <t>Prateleiras em granito cinza andorinha, esp. 2cm</t>
  </si>
  <si>
    <t>VALOR TOTAL</t>
  </si>
  <si>
    <t>ACUMULADO ANTERIOR</t>
  </si>
  <si>
    <t>MEDIÇÃO 01</t>
  </si>
  <si>
    <t>MEDIÇÃO 02</t>
  </si>
  <si>
    <t>MEDIÇÃO 03</t>
  </si>
  <si>
    <t>MEDIÇÃO 04</t>
  </si>
  <si>
    <t>MEDIÇÃO 05</t>
  </si>
  <si>
    <t>MEDIÇÃO 06</t>
  </si>
  <si>
    <t>MEDIÇÃO 07</t>
  </si>
  <si>
    <t>MEDIÇÃO 08</t>
  </si>
  <si>
    <t>MEDIÇÃO 09</t>
  </si>
  <si>
    <t>MEDIÇÃO 10</t>
  </si>
  <si>
    <t>À EXECUTAR</t>
  </si>
  <si>
    <t>QUANT</t>
  </si>
  <si>
    <t>TOTAL</t>
  </si>
  <si>
    <t>ACUMULADO TOTAL</t>
  </si>
  <si>
    <t xml:space="preserve">VALOR TOTAL </t>
  </si>
  <si>
    <t>LABOR - 010202 - 1</t>
  </si>
  <si>
    <t>Demolição de piso revestido com cerâmica</t>
  </si>
  <si>
    <t>LABOR - 010219 - 1</t>
  </si>
  <si>
    <t>Demolição manual de concreto armado (EMOP 05.001.033)</t>
  </si>
  <si>
    <t>1.1.18</t>
  </si>
  <si>
    <t>1.1.19</t>
  </si>
  <si>
    <t>1.1.20</t>
  </si>
  <si>
    <t>LABOR - 010230 - 1</t>
  </si>
  <si>
    <t>Retirada de pintura antiga a base de PVA</t>
  </si>
  <si>
    <t>1.2.2</t>
  </si>
  <si>
    <t>1.2.3</t>
  </si>
  <si>
    <t>LABOR - 151902 - 2</t>
  </si>
  <si>
    <t>Quadro distrib. energia, embutido ou semi embutido, capac. p/ 28 disj. DIN, c/barram trif. 100A barra. neutro e terra, fab. em chapa de aço 12 USG com porta, espelho, trinco com fechad ch yale, Ref. QDTN II-28DIN-CEMAR ou equiv.</t>
  </si>
  <si>
    <t>7.8.2</t>
  </si>
  <si>
    <t>7.8.3</t>
  </si>
  <si>
    <t>7.8.4</t>
  </si>
  <si>
    <t>8.2.4</t>
  </si>
  <si>
    <t>LABOR - 090512 - 1</t>
  </si>
  <si>
    <t>Limpeza de calhas e coletores (serviço realizado por servente)</t>
  </si>
  <si>
    <r>
      <rPr>
        <b/>
        <sz val="12"/>
        <rFont val="Arial"/>
        <family val="2"/>
      </rPr>
      <t>POLÍCIA CIVIL DO ESTADO DO ESPÍRITO SANTO</t>
    </r>
    <r>
      <rPr>
        <sz val="12"/>
        <rFont val="Arial"/>
        <family val="2"/>
      </rPr>
      <t xml:space="preserve">
</t>
    </r>
    <r>
      <rPr>
        <sz val="10"/>
        <rFont val="Arial"/>
        <family val="2"/>
      </rPr>
      <t>Superintendência de Apoio Logístico e Engenharia
Divisão de Engenharia e Manutenção Predial</t>
    </r>
  </si>
  <si>
    <t>%</t>
  </si>
  <si>
    <r>
      <t xml:space="preserve">Cliente: </t>
    </r>
    <r>
      <rPr>
        <b/>
        <sz val="9"/>
        <rFont val="Arial"/>
        <family val="2"/>
      </rPr>
      <t>POLÍCIA CIVIL DO ESTADO DO ESPIRITO SANTO</t>
    </r>
  </si>
  <si>
    <t xml:space="preserve">PLANILHA DE MEDIÇÃO </t>
  </si>
  <si>
    <t xml:space="preserve">VALOR 1ª MEDIÇÃO </t>
  </si>
  <si>
    <t>TOTAL À EXECUTAR</t>
  </si>
  <si>
    <t>TOTAL ACUMULADO</t>
  </si>
  <si>
    <t>TOTAL ACUMULADO ANTERIOR</t>
  </si>
  <si>
    <t xml:space="preserve">VALOR 2ª MEDIÇÃO </t>
  </si>
  <si>
    <t xml:space="preserve">VALOR 3ª MEDIÇÃO </t>
  </si>
  <si>
    <t xml:space="preserve">VALOR 4ª MEDIÇÃO </t>
  </si>
  <si>
    <t xml:space="preserve">VALOR 5ª MEDIÇÃO </t>
  </si>
  <si>
    <t xml:space="preserve">VALOR 6ª MEDIÇÃO </t>
  </si>
  <si>
    <t xml:space="preserve">VALOR 7ª MEDIÇÃO </t>
  </si>
  <si>
    <t xml:space="preserve">VALOR 8ª MEDIÇÃO </t>
  </si>
  <si>
    <t xml:space="preserve">VALOR 9ª MEDIÇÃO </t>
  </si>
  <si>
    <t xml:space="preserve">VALOR 10ª MEDIÇÃO </t>
  </si>
  <si>
    <t>1.1.21</t>
  </si>
  <si>
    <t>LABOR - 010318 - 1</t>
  </si>
  <si>
    <t>Remoção de forro em eucatex, sem aproveitamento do material</t>
  </si>
  <si>
    <t>LABOR - 151901 - 1</t>
  </si>
  <si>
    <t>Quadro distrib. energia, embutido ou semi embutido, capac. p/ 16 disj. DIN, c/barram trif. 100A barra. neutro e terra, fab. em chapa de aço 12 USG com porta, espelho, trinco com fechad ch yale, Ref. QDTN II-16DIN-CEMAR ou equiv.</t>
  </si>
  <si>
    <t>11.6.1</t>
  </si>
  <si>
    <t>LABOR - 200101 - 3</t>
  </si>
  <si>
    <t>Alambrado c/ tela losangular de arame fio 12 malha 2" revest. em PVC com tubo de ferro galvanizado vertical de 2 1/2" e horizontal de 1" incl. portão, pintados com esmalte sobre fundo anticorrosivo</t>
  </si>
  <si>
    <t>11.6.2</t>
  </si>
  <si>
    <t>11.6.3</t>
  </si>
  <si>
    <t>LABOR - 200206 - 1</t>
  </si>
  <si>
    <t>Blocos pré-moldados de concreto tipo pavi-s ou equivalente, espessura de 8 cm e resistência a compressão mínima de 35MPa, assentados sobre colchão de pó de pedra na espessura de 10 cm</t>
  </si>
  <si>
    <t>SERVIÇOS PRELIMINARES</t>
  </si>
  <si>
    <t>DEMOLIÇÕES E RETIRADAS</t>
  </si>
  <si>
    <t>Demolição de piso cimentado inclusive lastro de concreto</t>
  </si>
  <si>
    <t>Demolição de concreto armado, com utilização de rompedor pneumático</t>
  </si>
  <si>
    <t>Demolição de piso, soleira, peitoris e escadas em mármore ou granito, exclusive regularização</t>
  </si>
  <si>
    <t>cj</t>
  </si>
  <si>
    <t>Retirada de persianas</t>
  </si>
  <si>
    <t>'010101</t>
  </si>
  <si>
    <t>'010102</t>
  </si>
  <si>
    <t>COMPOSIÇÃO - 2018.000001</t>
  </si>
  <si>
    <t>Retirada de paredes divisórias de painel e em gesso acartonado, sem reaproveitamento</t>
  </si>
  <si>
    <t>'010103</t>
  </si>
  <si>
    <t>'010104</t>
  </si>
  <si>
    <t>COMPOSIÇÃO - 2018.000240</t>
  </si>
  <si>
    <t>Retirada de vidros das esquadrias</t>
  </si>
  <si>
    <t>'010105</t>
  </si>
  <si>
    <t>'010106</t>
  </si>
  <si>
    <t>LABOR - 010211 - 1</t>
  </si>
  <si>
    <t>'010107</t>
  </si>
  <si>
    <t>'010108</t>
  </si>
  <si>
    <t>LABOR - 010201 - 1</t>
  </si>
  <si>
    <t>'010109</t>
  </si>
  <si>
    <t>'010110</t>
  </si>
  <si>
    <t>'010111</t>
  </si>
  <si>
    <t>COMPOSIÇÃO - 2018.000244</t>
  </si>
  <si>
    <t>Remoção de armários sob bancada, incl. elementos p/ fixação</t>
  </si>
  <si>
    <t>'010112</t>
  </si>
  <si>
    <t>LABOR - 010286 - 1</t>
  </si>
  <si>
    <t>Demolição de divisória de granito</t>
  </si>
  <si>
    <t>'010113</t>
  </si>
  <si>
    <t>'010114</t>
  </si>
  <si>
    <t>COMPOSIÇÃO - 2018.000241</t>
  </si>
  <si>
    <t>'010115</t>
  </si>
  <si>
    <t>'010116</t>
  </si>
  <si>
    <t>LABOR - 010280 - 1</t>
  </si>
  <si>
    <t>Remoção de cobertura em telha metálica, exclusive estrutura</t>
  </si>
  <si>
    <t>'010117</t>
  </si>
  <si>
    <t>COMPOSIÇÃO - 2018.000242</t>
  </si>
  <si>
    <t>Remoção de estrutura metálica para telhado com retirada de solda e corte de peças por meio de lixadeira, sem reaproveitamento</t>
  </si>
  <si>
    <t>'010118</t>
  </si>
  <si>
    <t>LABOR - 010264 - 1</t>
  </si>
  <si>
    <t>'010119</t>
  </si>
  <si>
    <t>LABOR - 010331 - 1</t>
  </si>
  <si>
    <t>'010120</t>
  </si>
  <si>
    <t>'010121</t>
  </si>
  <si>
    <t>LABOR - 010404 - 1</t>
  </si>
  <si>
    <t>Corte e destocamento de árvores com diâmetro superior a 30 cm</t>
  </si>
  <si>
    <t>'010122</t>
  </si>
  <si>
    <t>COMPOSIÇÃO - 2018.000002</t>
  </si>
  <si>
    <t>Demolição de bicicletário em tubo de ferro galvanizado 1" e ferro liso 1/2"</t>
  </si>
  <si>
    <t>'010123</t>
  </si>
  <si>
    <t>COMPOSIÇÃO - 2018.000003</t>
  </si>
  <si>
    <t>Retirada de corrimão, guarda-corpo e tubos metálicos, chumbados e/ou fixados em estrutura</t>
  </si>
  <si>
    <t>'010124</t>
  </si>
  <si>
    <t>COMPOSIÇÃO - 2018.000243</t>
  </si>
  <si>
    <t>Remoção de caixa d´água de polietileno, inclusive tubulação de ligação</t>
  </si>
  <si>
    <t>'010125</t>
  </si>
  <si>
    <t>COMPOSIÇÃO - 2018.000245</t>
  </si>
  <si>
    <t>Remoção de ar condicionado tipo Split (condensadoras, evaporadoras, rede frigorígena, recolhimento do gás com destinação adequada)</t>
  </si>
  <si>
    <t>'010126</t>
  </si>
  <si>
    <t>COMPOSIÇÃO - 2018.000259</t>
  </si>
  <si>
    <t>Retirada de ventilador de teto</t>
  </si>
  <si>
    <t>'010127</t>
  </si>
  <si>
    <t>LABOR - 010266 - 1</t>
  </si>
  <si>
    <t>Remoção de forro de gesso</t>
  </si>
  <si>
    <t>'010128</t>
  </si>
  <si>
    <t>'010129</t>
  </si>
  <si>
    <t>'010130</t>
  </si>
  <si>
    <t>SINAPI - 97640 - 50</t>
  </si>
  <si>
    <t>Remoção de forros de drywall, pvc e fibromineral, de forma manual, sem reaproveitamento. af_12/2017</t>
  </si>
  <si>
    <t>'010131</t>
  </si>
  <si>
    <t>COMPOSIÇÃO - 2018.000263</t>
  </si>
  <si>
    <t>Desmontagem e retirada de redes de dutos de ar condicionado e grelhas de insuflamento existentes e desativados</t>
  </si>
  <si>
    <t>'010132</t>
  </si>
  <si>
    <t>COMPOSIÇÃO - 2018.000264</t>
  </si>
  <si>
    <t>Demolições e retiradas de eletrocalhas, pontos de elétricos em geral etc, instalações elétricas, telecomunicações.</t>
  </si>
  <si>
    <t xml:space="preserve">LIMPEZA </t>
  </si>
  <si>
    <t>'010201</t>
  </si>
  <si>
    <t>DER-ES - EDIFICAÇÕES - 2018.000267</t>
  </si>
  <si>
    <t>'010301</t>
  </si>
  <si>
    <t>LABOR - 010501 - 2</t>
  </si>
  <si>
    <t>Locação de obra com gabarito de madeira</t>
  </si>
  <si>
    <t>'010302</t>
  </si>
  <si>
    <t>LABOR - 010512 - 1</t>
  </si>
  <si>
    <t>Equipe topográfica para serviços simples de locação e nivelamento (incluindo equipamento, transporte e profissionais nivel médio)</t>
  </si>
  <si>
    <t>mês</t>
  </si>
  <si>
    <t>TRANSPORTES</t>
  </si>
  <si>
    <t>'010401</t>
  </si>
  <si>
    <t>SINAPI - 100947 - 20</t>
  </si>
  <si>
    <t>Transporte com caminhão carroceria 9t, em via urbana pavimentada, dmt até 30km (unidade: txkm). af_07/2020</t>
  </si>
  <si>
    <t>txkm</t>
  </si>
  <si>
    <t>'010402</t>
  </si>
  <si>
    <t>INSTALAÇÃO DO CANTEIRO DE OBRAS</t>
  </si>
  <si>
    <t>PLACA DE OBRA E TAPUME</t>
  </si>
  <si>
    <t>'020101</t>
  </si>
  <si>
    <t>LABOR - 020305 - 3</t>
  </si>
  <si>
    <t>Placa de obra nas dimensões de 2.0 x 4.0 m, padrão DER</t>
  </si>
  <si>
    <t>'020102</t>
  </si>
  <si>
    <t>LABOR - 020350 - 3</t>
  </si>
  <si>
    <t>Tapume Telha Metálica Ondulada em aço galvalume 0,50mm Branca h=2,20m, incl. montagem estr. mad. 8"x8", c/adesivo "DER-ES" 60x60cm a cada 10m, incl. faixas pint. esmalte sint. cores azul c/ h=30cm e rosa c/ h=10cm (Reaproveitamento 2x)</t>
  </si>
  <si>
    <t>'020103</t>
  </si>
  <si>
    <t>COMPOSIÇÃO - 2018.000237</t>
  </si>
  <si>
    <t>Retirada e recolocação de tapume em telha metálica h=2,20m, incl. recomposição do requadro em estrutura de madeira e acessórios de fixação, exclusive telhas</t>
  </si>
  <si>
    <t>'020104</t>
  </si>
  <si>
    <t>LABOR - 280510 - 1</t>
  </si>
  <si>
    <t>Cercas de isolamento cor laranja, h=1.20m, fixada em pontaletes de madeira e base em concreto a cada 3m (considerando 2 utilizações)</t>
  </si>
  <si>
    <t>'0202</t>
  </si>
  <si>
    <t xml:space="preserve">INSTALAÇÃO DE CANTEIRO DE OBRAS </t>
  </si>
  <si>
    <t>'020201</t>
  </si>
  <si>
    <t>LABOR - 020355 - 1</t>
  </si>
  <si>
    <t>ms</t>
  </si>
  <si>
    <t>'020202</t>
  </si>
  <si>
    <t>LABOR - 020356 - 1</t>
  </si>
  <si>
    <t>Aluguel mensal container para almoxarifado, incl. porta, 2 janelas, 1 pt iluminação, Isolamento térmico (teto), piso em comp. Naval pintado, cert. NR18, incl. laudo descontaminação.</t>
  </si>
  <si>
    <t>'020203</t>
  </si>
  <si>
    <t>LABOR - 020343 - 3</t>
  </si>
  <si>
    <t>Aluguel mensal container para escritório, sem banheiro, dim. 6.00x2.40m, incl. porta, 2 janelas, abert p/ ar cond., 2 pt iluminação, 2 tomadas elét. e 1 tomada telef. Isolamento térmico (teto e paredes), piso em comp. Naval, cert. NR18, incl. laudo descontaminação.</t>
  </si>
  <si>
    <t>'020204</t>
  </si>
  <si>
    <t>LABOR - 020353 - 1</t>
  </si>
  <si>
    <t>Aluguel mensal container para refeitorio, incl. porta, 2 janelas, abert p/ ar cond., 2 pt iluminação, 2 tomadas elét. e 1 tomada telef. Isolamento térmico (paredes e teto), piso em comp. Naval pintado, cert. NR18, incl. laudo descontaminação.</t>
  </si>
  <si>
    <t>'020205</t>
  </si>
  <si>
    <t>LABOR - 020344 - 2</t>
  </si>
  <si>
    <t>Mobilização e desmobilização de conteiner locado para barracão de obra</t>
  </si>
  <si>
    <t>'020206</t>
  </si>
  <si>
    <t>LABOR - 020712 - 1</t>
  </si>
  <si>
    <t>Rede de água com padrão de entrada d'água diâm. 3/4", conf. espec. CESAN, incl. tubos e conexões para alimentação, distribuição, extravasor e limpeza, cons. o padrão a 25m, conf. projeto (1 utilização)</t>
  </si>
  <si>
    <t>'020207</t>
  </si>
  <si>
    <t>LABOR - 020713 - 2</t>
  </si>
  <si>
    <t>Rede de luz, incl. padrão entrada de energia trifás., cabo de ligação até barracões, quadro de distrib., disj. e chave de força (quando necessário), cons. 20m entre padrão entrada e QDG, conf. projeto (1 utilização)</t>
  </si>
  <si>
    <t>'020208</t>
  </si>
  <si>
    <t>COMPOSIÇÃO - 2018.000273</t>
  </si>
  <si>
    <t>Rede de esgoto, inclusive tubos e conexões de ligação entre caixas, considerando distância de 15m, conforme projeto (1 utilização)</t>
  </si>
  <si>
    <t>'020209</t>
  </si>
  <si>
    <t>LABOR - 020710 - 2</t>
  </si>
  <si>
    <t>Reservatório de poliestileno de 500L, incl. suporte em madeira de 7x12cm e 5x7cm, elevado de 4m, conf. projeto (1 utilização)</t>
  </si>
  <si>
    <t>'020210</t>
  </si>
  <si>
    <t>LABOR - 020808 - 2</t>
  </si>
  <si>
    <t>Galpão para serraria e carpintaria área 12.00m2, em peças de madeira 8x8cm e contraventamento de 5x7cm, cobertura de telhas de fibroc. de 6mm, inclusive ponto e cabo de alimentação da máquina, conf. projeto (2 utilizações)</t>
  </si>
  <si>
    <t>'020211</t>
  </si>
  <si>
    <t>LABOR - 020809 - 2</t>
  </si>
  <si>
    <t>Galpão para corte e armação com área de 6.00m2, de peças de madeira 8x8cm e contraventamento de 5x7cm, cobertura de telhas de fibroc. de 6mm, inclusive ponto e cabo de alimentação da máquina, conf. projeto (2 utilizações)</t>
  </si>
  <si>
    <t>'020212</t>
  </si>
  <si>
    <t>LABOR - 020803 - 2</t>
  </si>
  <si>
    <t>Barracão para depósito de cimento área de 10.90m2, de chapa de compensado 12mm e pontaletes 8x8cm, piso cimentado e cobertura de telhas de fibrocimento de 6mm, inclusive ponto de luz, conf. projeto (2 utilizações)</t>
  </si>
  <si>
    <t>ANDAIMES</t>
  </si>
  <si>
    <t>'020301</t>
  </si>
  <si>
    <t>LABOR - 020346 - 1</t>
  </si>
  <si>
    <t>Locação de andaime metálico para fachada - tipo torre (aluguel mensal)</t>
  </si>
  <si>
    <t>'020302</t>
  </si>
  <si>
    <t>'020303</t>
  </si>
  <si>
    <t>DIVERSOS</t>
  </si>
  <si>
    <t>'020401</t>
  </si>
  <si>
    <t>LABOR - 280502 - 2</t>
  </si>
  <si>
    <t>Cavalete de madeira de lei para sinalização, inclusive pintura em esmalte sintético fosco, fundo amarelo e inscrição "TRECHO EM OBRA" na cor preta, comprimento de 1,50m e altura de 1,00m</t>
  </si>
  <si>
    <t>'020402</t>
  </si>
  <si>
    <t>LABOR - 280506 - 1</t>
  </si>
  <si>
    <t>Cone sinalizador de PVC H = 75cm (com uma reutilização)</t>
  </si>
  <si>
    <t>'03</t>
  </si>
  <si>
    <t>MOVIMENTO DE TERRA</t>
  </si>
  <si>
    <t>'0301</t>
  </si>
  <si>
    <t>ESCAVAÇÕES</t>
  </si>
  <si>
    <t>'030101</t>
  </si>
  <si>
    <t>LABOR - 030101 - 1</t>
  </si>
  <si>
    <t>Escavação manual em material de 1a. categoria, até 1.50 m de profundidade</t>
  </si>
  <si>
    <t>'0302</t>
  </si>
  <si>
    <t>REATERRO E COMPACTAÇÃO</t>
  </si>
  <si>
    <t>'030201</t>
  </si>
  <si>
    <t>LABOR - 030206 - 2</t>
  </si>
  <si>
    <t>Aterro manual para regularização do terreno em areia, inclusive adensamento hidráulico e fornecimento do material (máximo de 100m3)</t>
  </si>
  <si>
    <t>'030202</t>
  </si>
  <si>
    <t>LABOR - 030209 - 1</t>
  </si>
  <si>
    <t>Aterro com areia em áreas de calçada, inclusive fornecimento e adensamento</t>
  </si>
  <si>
    <t>'0303</t>
  </si>
  <si>
    <t xml:space="preserve">ESGOTAMENTO DE VALAS </t>
  </si>
  <si>
    <t>'030301</t>
  </si>
  <si>
    <t>COMPOSIÇÃO - 2018.000228</t>
  </si>
  <si>
    <t>Esgotamento com moto-bomba autoescovante, inclusive tubulação flexível para lançamento nos bueiros existentes (undxmês)</t>
  </si>
  <si>
    <t>ESTRUTURAS</t>
  </si>
  <si>
    <t xml:space="preserve">INFRA-ESTRUTURA (FUNDAÇÃO) </t>
  </si>
  <si>
    <t>'040101</t>
  </si>
  <si>
    <t>LABOR - 040238 - 2</t>
  </si>
  <si>
    <t>Fôrma de chapa compensada resinada 12mm, levando-se em conta a utilização 3 vezes (incluido o material, corte, montagem, escoramento e desfôrma)</t>
  </si>
  <si>
    <t>'040102</t>
  </si>
  <si>
    <t>LABOR - 040246 - 1</t>
  </si>
  <si>
    <t>'040103</t>
  </si>
  <si>
    <t>LABOR - 040243 - 1</t>
  </si>
  <si>
    <t>'040104</t>
  </si>
  <si>
    <t>LABOR - 040245 - 1</t>
  </si>
  <si>
    <t>Fornecimento, dobragem e colocação em fôrma, de armadura CA-50 A grossa diâmetro de 12.5 a 25.0 mm (1/2 a 1")</t>
  </si>
  <si>
    <t>'040105</t>
  </si>
  <si>
    <t>LABOR - 040253 - 1</t>
  </si>
  <si>
    <t>Fornecimento e aplicação de concreto USINADO Fck=30 MPa - considerando lançamento MANUAL para INFRA-ESTRUTURA (5% de perdas já incluído no custo)</t>
  </si>
  <si>
    <t>'040106</t>
  </si>
  <si>
    <t>LABOR - 040231 - 1</t>
  </si>
  <si>
    <t>Fornecimento, preparo e aplicação de concreto magro com consumo mínimo de cimento de 250 kg/m3 (brita 1 e 2) - (5% de perdas já incluído no custo)</t>
  </si>
  <si>
    <t>'040107</t>
  </si>
  <si>
    <t>COMPOSIÇÃO - 2018.000229</t>
  </si>
  <si>
    <t>Fornecimento/instalação lona plástica preta, espessura 150 micras</t>
  </si>
  <si>
    <t xml:space="preserve">SUPER-ESTRUTURA </t>
  </si>
  <si>
    <t>'040201</t>
  </si>
  <si>
    <t>'040202</t>
  </si>
  <si>
    <t>'040203</t>
  </si>
  <si>
    <t>'040204</t>
  </si>
  <si>
    <t>'040205</t>
  </si>
  <si>
    <t>LABOR - 040331 - 1</t>
  </si>
  <si>
    <t>Fornecimento e aplicação de concreto USINADO Fck=30 MPa - considerando BOMBEAMENTO (5% de perdas já incluído no custo) (6% de taxa p/ concr. bombeavel)</t>
  </si>
  <si>
    <t>'040206</t>
  </si>
  <si>
    <t>LABOR - 040817 - 1</t>
  </si>
  <si>
    <t>Fornecimento e lançamento de concreto para grouteamento com adição de pedrisco (50% em peso), utilizando Sikagrout ou produto equivalente, exclusive forma</t>
  </si>
  <si>
    <t xml:space="preserve">ESTRUTURA METÁLICA </t>
  </si>
  <si>
    <t>'040301</t>
  </si>
  <si>
    <t>COMPOSIÇÃO - 2018.000277</t>
  </si>
  <si>
    <t xml:space="preserve">DIVERSOS </t>
  </si>
  <si>
    <t>'040401</t>
  </si>
  <si>
    <t>COMPOSIÇÃO - 21AA.000012</t>
  </si>
  <si>
    <t>Furo em concreto com broca de vídea, utilizando martelete elétrico, diâmetro de 6,3 a 12,5mm, profundidade até 15 cm.</t>
  </si>
  <si>
    <t>'040402</t>
  </si>
  <si>
    <t>COMPOSIÇÃO - 21AA.000013</t>
  </si>
  <si>
    <t>Ancoragem de barras de aço, com adesivo estrutural tipo Sikadur 32, (consumo=1,67 kg/m² p/ 1mm de esp).</t>
  </si>
  <si>
    <t>Kg</t>
  </si>
  <si>
    <t xml:space="preserve">ESTAQUEAMENTO </t>
  </si>
  <si>
    <t>'040501</t>
  </si>
  <si>
    <t>LABOR - 040112 - 1</t>
  </si>
  <si>
    <t>Mobilização e desmobilização de equipamento para cravação de estacas trilho</t>
  </si>
  <si>
    <t>'040502</t>
  </si>
  <si>
    <t>COMPOSIÇÃO - 2018.000231</t>
  </si>
  <si>
    <t>Fornecimento e cravação de estacas metálicas, tipo trilho - TR 37, incluindo perdas, testes, cortes, emendas, chapa de topo e confecção de ponta</t>
  </si>
  <si>
    <t>'040503</t>
  </si>
  <si>
    <t>COMPOSIÇÃO - 2018.000232</t>
  </si>
  <si>
    <t>Fornecimento e cravação de estacas metálicas, tipo trilho - TR 45, incluindo perdas, testes, cortes, emendas, chapa de topo e confecção de ponta</t>
  </si>
  <si>
    <t>ESCORAMENTOS</t>
  </si>
  <si>
    <t>'040601</t>
  </si>
  <si>
    <t>COMPOSIÇÃO - 2018.000238</t>
  </si>
  <si>
    <t>Escoramento metálico em parede de alvenaria existente</t>
  </si>
  <si>
    <t>'040602</t>
  </si>
  <si>
    <t>ORSE - 7629</t>
  </si>
  <si>
    <t>Escoramento metálico para lajes e vigas, com montagem e desmontagem</t>
  </si>
  <si>
    <t>RECUPERAÇÃO DE ESTRUTURAS</t>
  </si>
  <si>
    <t>'040701</t>
  </si>
  <si>
    <t>'040702</t>
  </si>
  <si>
    <t>'040703</t>
  </si>
  <si>
    <t>'040704</t>
  </si>
  <si>
    <t>PAREDES E PAINÉIS</t>
  </si>
  <si>
    <t>PLACAS E PAINÉIS DIVISÓRIOS</t>
  </si>
  <si>
    <t>'050101</t>
  </si>
  <si>
    <t>COMPOSIÇÃO - 2018.000052</t>
  </si>
  <si>
    <t>Divisória de granito SIENA com 3 cm de espessura, assentada com argamassa de cimento e areia no traço 1:3, acabamento com borda boleada</t>
  </si>
  <si>
    <t>VERGAS/CONTRAVERGA</t>
  </si>
  <si>
    <t>'050201</t>
  </si>
  <si>
    <t>COMPOSIÇÃO - 2018.000084</t>
  </si>
  <si>
    <t>Vergas, contravergas e pilares de contraventamento em concreto armado fck 20 MPa, preparo com betoneira (consumo/m3: forma tabua reg = 7,2 m2, aço CA 50 ate 3/8 = 60,0 kg)</t>
  </si>
  <si>
    <t>'050301</t>
  </si>
  <si>
    <t>LABOR - 050501 - 1</t>
  </si>
  <si>
    <t>Alvenaria de blocos de concreto estrut. (14x19x39cm) cheios, c/ resist. mín. compr. 15MPa, assentados c/ arg. de cimento e areia no traço 1:4, esp. juntas 10mm e esp. da parede s/ revest. 14cm</t>
  </si>
  <si>
    <t>ALVENARIA DE VEDAÇÃO EMPREGANDO ARGAMASSA DE CIMENTO, CAL E AREIA</t>
  </si>
  <si>
    <t>'050401</t>
  </si>
  <si>
    <t>COMPOSIÇÃO - 2018.000227</t>
  </si>
  <si>
    <t>Alvenaria de blocos de concreto 14x19x39cm, c/ resist. mínimo a compres. 4.5 MPa, assent. c/ arg. de cimento, cal hidratada CH1 e areia no traço 1:0.5:8 esp. das juntas 10mm e esp. das paredes, s/ rev. 14cm</t>
  </si>
  <si>
    <t>GESSO ACARTONADO</t>
  </si>
  <si>
    <t>'050501</t>
  </si>
  <si>
    <t>COMPOSIÇÃO - 2018.000224</t>
  </si>
  <si>
    <t>Parede c/ placas de gesso acarton. (drywall) -122,2/75/600/1X11,1OSB+1X12,5ST-1X11,1OSB+1X12,5ST/LM 50,constituída de placas ST/OSB+/OSB/ST (painel estrutural OSB Home Plus/Standart), incl. isolamento com lã mineral (Tipo 01)</t>
  </si>
  <si>
    <t>'050502</t>
  </si>
  <si>
    <t>COMPOSIÇÃO - 2018.000225</t>
  </si>
  <si>
    <t>Parede c/ placas de gesso acarton. (drywall) -122,2/75/600/1X11,1OSB+1X12,5RU-1X11,1OSB+1X12,5ST/LM 50,[RU/OSB+/OSB/ST] (painel estrutural OSB Home Plus/Resistente à umidade/Standart), incl. isolamento com lã mineral (Tipo 02)</t>
  </si>
  <si>
    <t>'050503</t>
  </si>
  <si>
    <t>COMPOSIÇÃO - 2018.000226</t>
  </si>
  <si>
    <t>Parede c/ placas de gesso acarton. (drywall) -122,2/75/600/1X11,1OSB+1X12,5RU-1X11,1OSB+1X12,5RU/LM 50,[RU/OSB+/OSB/RU] (painel estrutural OSB Home Plus/Resistente à umidade), incl. isolamento com lã mineral (Tipo 03)</t>
  </si>
  <si>
    <t>'0506</t>
  </si>
  <si>
    <t>'050601</t>
  </si>
  <si>
    <t>COMPOSIÇÃO - 2018.000262</t>
  </si>
  <si>
    <t>Aplicação de tela soldada galvanizada tipo Belgofix ou equivalente, malha 15x15 largura 7.5cmx50cm de comprimento entre pilar e alvenaria</t>
  </si>
  <si>
    <t>'050602</t>
  </si>
  <si>
    <t>ORSE - 11733</t>
  </si>
  <si>
    <t>Aplicação de tela tipo Belgo Revest ou equivalente, para armadura de argamassa, em encontros de alvenaria com vigas (horizontais) e alvenaria com pilares (verticais), com largura de 25cm e 50cm</t>
  </si>
  <si>
    <t>'06</t>
  </si>
  <si>
    <t>ESQUADRIAS DE MADEIRA</t>
  </si>
  <si>
    <t>'0601</t>
  </si>
  <si>
    <t>MARCOS E ALIZARES</t>
  </si>
  <si>
    <t>'060101</t>
  </si>
  <si>
    <t>COMPOSIÇÃO - 2018.000246</t>
  </si>
  <si>
    <t>Marco de madeira de lei de 1ª (Peroba, Ipê, Angelim Pedra ou equivalente)com 15 x 3 cm de batente - P60</t>
  </si>
  <si>
    <t>'060102</t>
  </si>
  <si>
    <t>COMPOSIÇÃO - 2018.000247</t>
  </si>
  <si>
    <t>Marco de madeira de lei de 1ª (Peroba, Ipê, Angelim Pedra ou equivalente)com 15 x 3 cm de batente - P80</t>
  </si>
  <si>
    <t>'060103</t>
  </si>
  <si>
    <t>COMPOSIÇÃO - 2018.000248</t>
  </si>
  <si>
    <t>Marco de madeira de lei de 1ª (Peroba, Ipê, Angelim Pedra ou equivalente)com 15 x 3 cm de batente - P90</t>
  </si>
  <si>
    <t>'060104</t>
  </si>
  <si>
    <t>COMPOSIÇÃO - 2018.000249</t>
  </si>
  <si>
    <t>Marco de madeira de lei de 1ª (Peroba, Ipê, Angelim Pedra ou equivalente) com 15 x 3 cm de batente sem rebaixo para instalar, completo de kit porta de porta de correr, batente lateral e suporte superior do trilho - PM100M</t>
  </si>
  <si>
    <t>'060105</t>
  </si>
  <si>
    <t>COMPOSIÇÃO</t>
  </si>
  <si>
    <t>Marco de madeira de lei de 1ª (Peroba, Ipê, Angelim Pedra ou equivalente) com 13 x 3 cm de batente - para portas a serem instaladas em gesso acartonado</t>
  </si>
  <si>
    <t>'060106</t>
  </si>
  <si>
    <t>COMPOSIÇÃO - 2018.000250</t>
  </si>
  <si>
    <t>Alizar de madeira de lei de 1ª (Peroba, Ipê, Angelim Pedra ou equivalente) de 5 x 1,5 cm - P60</t>
  </si>
  <si>
    <t>'060107</t>
  </si>
  <si>
    <t>COMPOSIÇÃO - 2018.000251</t>
  </si>
  <si>
    <t>Alizar de madeira de lei de 1ª (Peroba, Ipê, Angelim Pedra ou equivalente) de 5 x 1,5 cm - P80</t>
  </si>
  <si>
    <t>'060108</t>
  </si>
  <si>
    <t>COMPOSIÇÃO - 2018.000252</t>
  </si>
  <si>
    <t>Alizar de madeira de lei de 1ª (Peroba, Ipê, Angelim Pedra ou equivalente) de 5 x 1,5 cm - P90</t>
  </si>
  <si>
    <t>'060109</t>
  </si>
  <si>
    <t>COMPOSIÇÃO - 2018.000253</t>
  </si>
  <si>
    <t>Alizar de madeira de lei de 1ª (Peroba, Ipê, Angelim Pedra ou equivalente) de 5 x 1,5 cm - para porta de correr - P100</t>
  </si>
  <si>
    <t>'0602</t>
  </si>
  <si>
    <t>PORTAS DE MADEIRA</t>
  </si>
  <si>
    <t>'060201</t>
  </si>
  <si>
    <t>COMPOSIÇÃO - 2018.000007</t>
  </si>
  <si>
    <t>PM.060 - 1 folha de abrir, 60x210cm, madeira esp. 35mm sarraf lisa (angelim pedra ou peroba mica), batente em madeira de lei 5cm, com fechad tipo alavanca e dobrad latão cromado (3.1/2"x2.1/2") marca de ref La Fonte</t>
  </si>
  <si>
    <t>'060202</t>
  </si>
  <si>
    <t>COMPOSIÇÃO - 2018.000009</t>
  </si>
  <si>
    <t>PM.080 - 1 folha de abrir, 80x210cm, madeira esp. 35mm sarraf lisa (angelim pedra ou peroba mica), batente em madeira de lei 5cm. com fechad tipo alavanca e dobrad latão cromado (3.1/2"x2.1/2") marca de ref La Fonte</t>
  </si>
  <si>
    <t>'060203</t>
  </si>
  <si>
    <t>COMPOSIÇÃO - 2018.000010</t>
  </si>
  <si>
    <t>PM.090 - 1 folha de abrir, 90x210cm, madeira esp. 35mm sarraf lisa (angelim pedra ou peroba mica), batente em madeira de lei 5cm. Inclusive fechadura, ferragens, barra de apoio e chapa de aço inox</t>
  </si>
  <si>
    <t>'060204</t>
  </si>
  <si>
    <t>COMPOSIÇÃO - 2018.000012</t>
  </si>
  <si>
    <t>PM 100 - Porta de correr, 100x210cm, 1 folha, em madeira esp. 35mm lisa em angelim pedra ou peroba mica, inclusive trilho, fechadura, ferragens, barra de apoio e chapa de aço inox</t>
  </si>
  <si>
    <t>'060205</t>
  </si>
  <si>
    <t>COMPOSIÇÃO - 2018.000013</t>
  </si>
  <si>
    <t>PM 080GA - Porta de abrir fixada com espuma expansiva, 80x210cm, 1 folha, em madeira esp. 35mm lisa em angelim pedra ou peroba mica, inclusive fechadura e dobradiças</t>
  </si>
  <si>
    <t>'060206</t>
  </si>
  <si>
    <t>COMPOSIÇÃO - 2018.000014</t>
  </si>
  <si>
    <t>PM 090GA - Porta de abrir fixada com espuma expansiva, 90x210cm, 1 folha, em madeira esp. 35mm lisa em angelim pedra ou peroba mica, inclusive fechadura e dobradiças</t>
  </si>
  <si>
    <t>'0603</t>
  </si>
  <si>
    <t>'060301</t>
  </si>
  <si>
    <t>LABOR - 061123 - 1</t>
  </si>
  <si>
    <t>Prendedor de porta, cromado, fixação com parafuso, no piso ou rodapé</t>
  </si>
  <si>
    <t>'07</t>
  </si>
  <si>
    <t>ESQUADRIAS METÁLICAS</t>
  </si>
  <si>
    <t>'0701</t>
  </si>
  <si>
    <t>PORTA EM ALUMINIO</t>
  </si>
  <si>
    <t>'070101</t>
  </si>
  <si>
    <t>COMPOSIÇÃO - 2018.000044</t>
  </si>
  <si>
    <t>Porta de abrir em alumínio anodizado preto, linha 25, completa, incl. puxador com tranca, caixilho, alizar e contramarco</t>
  </si>
  <si>
    <t>'0702</t>
  </si>
  <si>
    <t>BÁSCULAS EM ALUMÍNIO</t>
  </si>
  <si>
    <t>'070201</t>
  </si>
  <si>
    <t>COMPOSIÇÃO - 2018.000045</t>
  </si>
  <si>
    <t>Báscula para vidro em alumínio anodizado preto, linha 25, completa, com tranca, caixilho, alizar e contramarco, exclusive vidro</t>
  </si>
  <si>
    <t>'0703</t>
  </si>
  <si>
    <t>JANELAS E VISORES</t>
  </si>
  <si>
    <t>'070301</t>
  </si>
  <si>
    <t>COMPOSIÇÃO - 2018.000016</t>
  </si>
  <si>
    <t>Esquadria em alumínio, 2 módulos, tipo 1 fixo e 1 correr, perfil série 25 em alumínio anodizado preto e vidro 6mm refletivo de baixa emissividade na cor prata, fixado com borracha preta EPDM, exclusive vidro</t>
  </si>
  <si>
    <t>'070302</t>
  </si>
  <si>
    <t>COMPOSIÇÃO - 2018.000017</t>
  </si>
  <si>
    <t>Visor em aluminio anodizado preto, para vidro temperado 6mm transparente liso com caixilho 1 folha fixa, fixado com borracha preta EPDM.</t>
  </si>
  <si>
    <t>'070303</t>
  </si>
  <si>
    <t>COMPOSIÇÃO - 2018.000018</t>
  </si>
  <si>
    <t>Esquadria em alumínio 90x60cm, tipo veneziana, perfil série 25 em alumínio anodizado preto</t>
  </si>
  <si>
    <t>'070304</t>
  </si>
  <si>
    <t>DER-ES - EDIFICAÇÕES - 071701</t>
  </si>
  <si>
    <t>Estrutura em caixilho de alumínio preto, perfil linha 25, completa, dim. 115x375 cm para instalação de visor/proteção sobre balcão de atendimento para fechamento em policarbonato compacto transparente, esp 8mm, painel medindo 100 x 375 cm, excluindo o painel de policarbonato</t>
  </si>
  <si>
    <t>'0704</t>
  </si>
  <si>
    <t>PELE DE VIDRO</t>
  </si>
  <si>
    <t>'070401</t>
  </si>
  <si>
    <t>COMPOSIÇÃO - 2018.000019</t>
  </si>
  <si>
    <t>Pele de vidro 880x80cm tipo Structural Glazing, c/ estrutura em perfil de alumínio cor preto, vidro laminado 8mm cor prata, marca de referência Cebrace - cool lite KNT 140, com 2 módulos fixos e 12 módulos tipo Maxi-ar.Conf projet</t>
  </si>
  <si>
    <t>'070402</t>
  </si>
  <si>
    <t>COMPOSIÇÃO - 2018.000020</t>
  </si>
  <si>
    <t>Pele de vidro 1140x120cm tipo Structural Glazing, c/ estrutura em perfil de alumínio cor preto,vidro laminado 8mm prata, marca de referência Cebrace - cool lite KNT 140, com 2 módulos fixos e 16 módulos tipo Maxi-ar. Conf projeto.</t>
  </si>
  <si>
    <t>'070403</t>
  </si>
  <si>
    <t>COMPOSIÇÃO - 2018.000258</t>
  </si>
  <si>
    <t>Pele de vidro 180x400cm tipo Structural Glazing, c/ estrutura em perfil de alumínio cor preto, vidro laminado 8mm cor prata, marca refea Cebrace - cool lite KNT 140, com 2 módulos fixos e 4 módulos tipo Maxi-ar conf. proj.</t>
  </si>
  <si>
    <t>'0705</t>
  </si>
  <si>
    <t xml:space="preserve">GRADIS </t>
  </si>
  <si>
    <t>'070501</t>
  </si>
  <si>
    <t>COMPOSIÇÃO - 2018.000022</t>
  </si>
  <si>
    <t>PG100 - Portão de abrir (1 folha) em gradil Nylofor 3D 100x250cm (todo o conjunto na cor preto). [Ver especificação completa em projeto]</t>
  </si>
  <si>
    <t>'070502</t>
  </si>
  <si>
    <t>COMPOSIÇÃO - 2018.000023</t>
  </si>
  <si>
    <t>PG200 - Portão de abrir (2 folhas) em gradil Nylofor 3D 200X250cm(todo o conjunto na cor preto). [Ver especificação completa em projeto]</t>
  </si>
  <si>
    <t>'070503</t>
  </si>
  <si>
    <t>COMPOSIÇÃO - 2018.000024</t>
  </si>
  <si>
    <t>PG250 - Portão de correr (1 folha) em gradil Nylofor 3D 250x250cm (todo o conjunto na cor preto), inclusive motor de abertura. [Ver especificação completa em projeto]</t>
  </si>
  <si>
    <t>'070504</t>
  </si>
  <si>
    <t>COMPOSIÇÃO - 2018.000025</t>
  </si>
  <si>
    <t>PG400 - Portão de correr (1 folha) em gradil Nylofor 3d belgo bekaert, fixados a estrutura de perfil metálico (40x60mm) esp. 1,4mm com parafusos tipo allen m6 (6mm) e fixadores de poliamida, incluindo motor de abertura automatiz</t>
  </si>
  <si>
    <t>'070505</t>
  </si>
  <si>
    <t>COMPOSIÇÃO - 2018.000026</t>
  </si>
  <si>
    <t>PG400A - Portão de correr (2 folhas) em gradil Nylofor 3d belgo bekaert, fixados a estrutura de perfil metálico (40x60mm) esp. 1,4mm com parafusos tipo allen m6 (6mm) e fixadores de poliamida, incluindo motor de abertura automatiz</t>
  </si>
  <si>
    <t>'070506</t>
  </si>
  <si>
    <t>COMPOSIÇÃO - 2018.000257</t>
  </si>
  <si>
    <t>Gradil Nylofor 3D, malha 20x5cm, Ø 5mm 250x243 cm, pintura branca, verde e preta, Belgo ou similar, inclusive postes (secção 60x40mm e h=3,20m) e acessórios. Fornecimento e instalação.</t>
  </si>
  <si>
    <t>'0706</t>
  </si>
  <si>
    <t>GRADES</t>
  </si>
  <si>
    <t>'070601</t>
  </si>
  <si>
    <t>COMPOSIÇÃO - 2018.000027</t>
  </si>
  <si>
    <t>'070602</t>
  </si>
  <si>
    <t>COMPOSIÇÃO - 2018.000028</t>
  </si>
  <si>
    <t>PG150 - Portão com 1 folha de abrir, 150x210cm, com requadro em tubo de ferro galvanizado [Ver descrição completa nas Notas de Planilha]</t>
  </si>
  <si>
    <t>'070603</t>
  </si>
  <si>
    <t>Grade de proteção em barra chata de aço galvanizado 1.1/2x1/4", tipo sanduiche, com barras verticais em tubo de aço galvanizado dim. 1/2" espaçadas a cada 12cm, chumbados em alvenaria na parte interna do vão, conforme detalhe do p</t>
  </si>
  <si>
    <t>'0707</t>
  </si>
  <si>
    <t>BRISE E TELA PROTEÇÃO</t>
  </si>
  <si>
    <t>'070701</t>
  </si>
  <si>
    <t>COMPOSIÇÃO - 2018.000085</t>
  </si>
  <si>
    <t>Brise em chapa de alumínio, mod. 84f 45°, ref. Lumibrise ou equiv, painel (alum) 0,48mm e porta-painel (Aluzinc) 0,43mm, incl acessórios de fixação, pintura e tratamento com tinta epóxi</t>
  </si>
  <si>
    <t>'070702</t>
  </si>
  <si>
    <t>COMPOSIÇÃO - 2018.000087</t>
  </si>
  <si>
    <t>Estrut. metálica p/ fixação de brises em laje em tubo de aço dim. 70x50 e cant. de ferro 1.1/4"x 3/16", incl. montagem e sist. de trat. e pint. fundo prime epóxi(75µm), esmalte epóxi(125µm) e acab. em esmalte poliuretano(75µm)</t>
  </si>
  <si>
    <t>'070703</t>
  </si>
  <si>
    <t>COMPOSIÇÃO - 2018.000086</t>
  </si>
  <si>
    <t>Tela de proteção das esquadrias em tela de nylon tipo mosquiteiro, inclusive, requadro em alumínio natural anodizado, conforme detalhe de projeto</t>
  </si>
  <si>
    <t>'08</t>
  </si>
  <si>
    <t>VIDROS E ESPELHOS</t>
  </si>
  <si>
    <t>'0801</t>
  </si>
  <si>
    <t>VIDROS</t>
  </si>
  <si>
    <t>'080101</t>
  </si>
  <si>
    <t>COMPOSIÇÃO - 2018.000221</t>
  </si>
  <si>
    <t>Vidro 6mm refletivo de baixa emissividade na cor prata, fixado com borracha preta edpm - fornecimento e instalação.</t>
  </si>
  <si>
    <t>'080102</t>
  </si>
  <si>
    <t>SINAPI - 102179 - 14</t>
  </si>
  <si>
    <t>Instalação de vidro temperado, e = 6 mm, encaixado em perfil u. af_01/2021_p</t>
  </si>
  <si>
    <t>'0802</t>
  </si>
  <si>
    <t>ESPELHOS</t>
  </si>
  <si>
    <t>'080201</t>
  </si>
  <si>
    <t>'0803</t>
  </si>
  <si>
    <t>POLICARBONATO</t>
  </si>
  <si>
    <t>'080301</t>
  </si>
  <si>
    <t>COMPOSIÇÃO - 21AA.000004</t>
  </si>
  <si>
    <t>Placa de policarbonato em cristal compacto, com espessura de 8mm. Fornecimento e colocação.</t>
  </si>
  <si>
    <t>'09</t>
  </si>
  <si>
    <t>COBERTURA</t>
  </si>
  <si>
    <t>'0901</t>
  </si>
  <si>
    <t xml:space="preserve">ESTRUTURA PARA TELHADO </t>
  </si>
  <si>
    <t>'090101</t>
  </si>
  <si>
    <t>'0902</t>
  </si>
  <si>
    <t>TELHADO</t>
  </si>
  <si>
    <t>'090201</t>
  </si>
  <si>
    <t>COMPOSIÇÃO - 2018.000081</t>
  </si>
  <si>
    <t>'0903</t>
  </si>
  <si>
    <t>RUFOS E CALHAS</t>
  </si>
  <si>
    <t>'090301</t>
  </si>
  <si>
    <t>LABOR - 090301 - 2</t>
  </si>
  <si>
    <t>Rufo de concreto armado Fck=15 MPa, nas dimensões de 30x5 cm, moldado "in loco"</t>
  </si>
  <si>
    <t>'090302</t>
  </si>
  <si>
    <t>LABOR - 090302 - 1</t>
  </si>
  <si>
    <t>Rufo de chapa metálica nº 26 com largura de 30 cm</t>
  </si>
  <si>
    <t>'0904</t>
  </si>
  <si>
    <t xml:space="preserve">PINGADEIRAS E CHAPINS </t>
  </si>
  <si>
    <t>'090401</t>
  </si>
  <si>
    <t>COMPOSIÇÃO - 2018.000083</t>
  </si>
  <si>
    <t>Chapim em granito polido Siena, esp.: 2 cm, com pingadeira dos dois lados, conforme detalhe</t>
  </si>
  <si>
    <t>'10</t>
  </si>
  <si>
    <t xml:space="preserve">IMPERMEABILIZAÇÃO </t>
  </si>
  <si>
    <t>'1001</t>
  </si>
  <si>
    <t xml:space="preserve">IMPERMEABILIZAÇÃO DE ÁREAS MOLHADAS </t>
  </si>
  <si>
    <t>'100101</t>
  </si>
  <si>
    <t>COMPOSIÇÃO - 2018.000109</t>
  </si>
  <si>
    <t>Impermeabilização com 4 demãos de resina termoplástica estruturada em pontos críticos com tela de poliéster consumo 4.0kg/m2</t>
  </si>
  <si>
    <t>'1002</t>
  </si>
  <si>
    <t xml:space="preserve">IMPERMEABILIZAÇÃO CALHAS, LAJES DESCOBERTAS, BALDRAMES, PAREDES E JARDINEIRAS </t>
  </si>
  <si>
    <t>'100201</t>
  </si>
  <si>
    <t>'100202</t>
  </si>
  <si>
    <t>COMPOSIÇÃO - 2018.000129</t>
  </si>
  <si>
    <t>Camada separadora com manta geotêxtil 150g/m2</t>
  </si>
  <si>
    <t>'1003</t>
  </si>
  <si>
    <t xml:space="preserve">IMPERMEABILIZAÇÃO DE MARQUISES E RUFOS DE CONCRETO </t>
  </si>
  <si>
    <t>'100301</t>
  </si>
  <si>
    <t>COMPOSIÇÃO - 2018.000261</t>
  </si>
  <si>
    <t>Impermeabilização de superfície com manta asfáltica protegida com ardósia, esp.: 3mm</t>
  </si>
  <si>
    <t>'11</t>
  </si>
  <si>
    <t xml:space="preserve">TETOS E FORROS </t>
  </si>
  <si>
    <t>'1101</t>
  </si>
  <si>
    <t xml:space="preserve">REVESTIMENTO COM ARGAMASSA </t>
  </si>
  <si>
    <t>'110101</t>
  </si>
  <si>
    <t>'110102</t>
  </si>
  <si>
    <t>'1102</t>
  </si>
  <si>
    <t xml:space="preserve">REBAIXAMENTOS </t>
  </si>
  <si>
    <t>'110201</t>
  </si>
  <si>
    <t>SINAPI - 96114 - 56</t>
  </si>
  <si>
    <t>Forro em drywall, para ambientes comerciais, inclusive estrutura de fixação. af_05/2017_p</t>
  </si>
  <si>
    <t>'110202</t>
  </si>
  <si>
    <t>COMPOSIÇÃO - 2018.000132</t>
  </si>
  <si>
    <t>Forro modular em fibra mineral, em placas de 625x1250x13mm, apoiadas em um sistema de suspensão, composto por: perfis T principais, perfis T secundários,cantoneiras e tirantes, modelo Encore, Marca de Referencia Armstrong ou equiv</t>
  </si>
  <si>
    <t>'110203</t>
  </si>
  <si>
    <t>COMPOSIÇÃO - 2018.000133</t>
  </si>
  <si>
    <t>Acabamento de perímetro para forro mineral removível, em perfil "L" em aço galvanizado, na cor branca</t>
  </si>
  <si>
    <t>'12</t>
  </si>
  <si>
    <t xml:space="preserve">REVESTIMENTO DE PAREDE </t>
  </si>
  <si>
    <t>'1201</t>
  </si>
  <si>
    <t>'120101</t>
  </si>
  <si>
    <t>LABOR - 120301 - 1</t>
  </si>
  <si>
    <t>Emboço de argamassa de cimento, cal hidratada CH1 e areia média ou grossa lavada no traço 1:0.5:6, espessura 20 mm</t>
  </si>
  <si>
    <t>'120102</t>
  </si>
  <si>
    <t>'120103</t>
  </si>
  <si>
    <t>'1202</t>
  </si>
  <si>
    <t xml:space="preserve">ACABAMENTOS </t>
  </si>
  <si>
    <t>'120201</t>
  </si>
  <si>
    <t>LABOR - 120222 - 2</t>
  </si>
  <si>
    <t>Pastilha cerâmica branca 5 x 5 cm, assentada com argamassa de cimento colante e rejuntada com cimento branco, marcas de referência Atlas, Jatobá, NGK ou equivalente</t>
  </si>
  <si>
    <t>'120202</t>
  </si>
  <si>
    <t>COMPOSIÇÃO - 2018.000079</t>
  </si>
  <si>
    <t>Cerâmica dim. 30x60cm, forma Slim branca extra, marca de referência Eliane, rejunte antifungo e e antimofo 3mm quartizolit weber, cor gelo., assentada com argamassa ACIII</t>
  </si>
  <si>
    <t>'13</t>
  </si>
  <si>
    <t>PISOS INTERNOS E EXTERNOS</t>
  </si>
  <si>
    <t>'1301</t>
  </si>
  <si>
    <t xml:space="preserve">LASTRO DE CONTRAPISO </t>
  </si>
  <si>
    <t>'130101</t>
  </si>
  <si>
    <t>'1302</t>
  </si>
  <si>
    <t>'130201</t>
  </si>
  <si>
    <t>COMPOSIÇÃO - 2018.000070</t>
  </si>
  <si>
    <t>Porcelanato natural, retificado, dim. 60x60cm, ref. Minimum Cimento, ref. Eliane ou equivalente, utilizando dupla colagem de argamassa ACIII e rejunte 1,5mm para porcelanato, cor cinza platina</t>
  </si>
  <si>
    <t>'130202</t>
  </si>
  <si>
    <t>COMPOSIÇÃO - 2018.000071</t>
  </si>
  <si>
    <t>Porcelanato natural, retificado, dim. 90x90cm, ref. Minimum Cimento, ref Eliane ou equivalente, utilizando dupla colagem de argamassa tipo ACIII e rejunte 1,5mm para porcelanato, cor cinza platina</t>
  </si>
  <si>
    <t>'130203</t>
  </si>
  <si>
    <t>COMPOSIÇÃO - 2018.000072</t>
  </si>
  <si>
    <t>Piso elevado, modulação 60x60cm, removíveis em chapa de aço superior lisa, soldada a uma peça inferior estampada, com proteção em pintura epóxi apoiadas em pedestais telescópicos de aço fixado no piso, ref. Hunter Douglas ou equiv</t>
  </si>
  <si>
    <t>'130204</t>
  </si>
  <si>
    <t>COMPOSIÇÃO - 2018.000076</t>
  </si>
  <si>
    <t>Piso em concreto estrutural vibrado (e=8cm) om acabamento polido, FCK&gt;=40Mpa, armado com tela eletroldada Q196, juntas preenchidas com mastique, sobre base de brita graduada de 12cm CBR&gt;60 PN, apoiada em sub-leito CBR&gt;10 PN</t>
  </si>
  <si>
    <t>'1303</t>
  </si>
  <si>
    <t xml:space="preserve">DEGRAUS, RODAPÉS, SOLEIRAS E PEITORIS </t>
  </si>
  <si>
    <t>'130301</t>
  </si>
  <si>
    <t>COMPOSIÇÃO - 2018.000029</t>
  </si>
  <si>
    <t>Rodapé de granito SIENA esp. 2cm, h=10cm, assentado com argamassa de cimento, cal hidratada CH1 e areia no traço 1:0,5:8, incl. rejuntamento com cimento branco</t>
  </si>
  <si>
    <t>'130302</t>
  </si>
  <si>
    <t>COMPOSIÇÃO - 2018.000046</t>
  </si>
  <si>
    <t>Prateleira em granito SIENA esp. 2cm e largura de 45cm, fixadas na parede com cantoneiras</t>
  </si>
  <si>
    <t>'130303</t>
  </si>
  <si>
    <t>COMPOSIÇÃO - 2018.000047</t>
  </si>
  <si>
    <t>SG1 - Soleira reta em granito SIENA, largura de 15cm, espessura de 2cm</t>
  </si>
  <si>
    <t>'130304</t>
  </si>
  <si>
    <t>COMPOSIÇÃO - 2018.000048</t>
  </si>
  <si>
    <t>SG2 - Soleira inclinada em granito SIENA, largura de 15cm, espessura de 2cm</t>
  </si>
  <si>
    <t>'130305</t>
  </si>
  <si>
    <t>COMPOSIÇÃO - 2018.000049</t>
  </si>
  <si>
    <t>SG3 - Soleira/ tirabox de granito cinza, espessura 3 cm e altura de 10 cm, conforme detalhe em projeto</t>
  </si>
  <si>
    <t>'130306</t>
  </si>
  <si>
    <t>COMPOSIÇÃO - 2018.000050</t>
  </si>
  <si>
    <t>SG4 - Soleira reta em granito SIENA, largura de 13cm, espessura de 2cm</t>
  </si>
  <si>
    <t>'130307</t>
  </si>
  <si>
    <t>COMPOSIÇÃO - 2018.000051</t>
  </si>
  <si>
    <t>Peitoril em granito SIENA, largura de 15cm, espessura de 2cm</t>
  </si>
  <si>
    <t>'1304</t>
  </si>
  <si>
    <t xml:space="preserve">SINALIZAÇÃO TÁTIL </t>
  </si>
  <si>
    <t>'130401</t>
  </si>
  <si>
    <t>'130402</t>
  </si>
  <si>
    <t>COMPOSIÇÃO - 2018.000078</t>
  </si>
  <si>
    <t>Limpeza / varrição de piso para instalação de ladrilho hidráulico, inclusive remoção de material</t>
  </si>
  <si>
    <t>'130403</t>
  </si>
  <si>
    <t>LABOR - 200253 - 1</t>
  </si>
  <si>
    <t>Fornecimento e assentamento de ladrilho hidráulico pastilhado, vermelho, dim. 20x20 cm, esp. 1.5cm, assentado com pasta de cimento colante, exclusive regularização e lastro</t>
  </si>
  <si>
    <t>'130404</t>
  </si>
  <si>
    <t>DER-ES - EDIFICAÇÕES - 101737</t>
  </si>
  <si>
    <t>Piso podotátil de borracha 25x25cm (e=7mm) fixado com adesivo acrílico</t>
  </si>
  <si>
    <t>'1305</t>
  </si>
  <si>
    <t>PÁTIO DESCOBERTO</t>
  </si>
  <si>
    <t>'130501</t>
  </si>
  <si>
    <t>COMPOSIÇÃO - 2018.000077</t>
  </si>
  <si>
    <t>Piso em concreto pré-moldado tipo Concregrama, modelo Pavi-Grade marca de referência Ecopisos, dimensões: 60 x 45cm, espessura 9cm, consumo 3,7pç/m2, peso 28kg/pç, área verde aproximada de 64%.</t>
  </si>
  <si>
    <t>'130502</t>
  </si>
  <si>
    <t>SINAPI - 98503 - 45</t>
  </si>
  <si>
    <t>Plantio de grama em pavimento concregrama. af_05/2018</t>
  </si>
  <si>
    <t>'1306</t>
  </si>
  <si>
    <t>CALÇADAS E RAMPAS</t>
  </si>
  <si>
    <t>'130601</t>
  </si>
  <si>
    <t>'130602</t>
  </si>
  <si>
    <t>COMPOSIÇÃO - 2018.000260</t>
  </si>
  <si>
    <t>Piso em concreto estrutural vibrado (e=10cm) c/ acabam desempenado, FCK&gt;=40Mpa, armado c/ tela eletroldada Q196, juntas preenchidas c/ mastique, sobre base de brita graduada (e=12cm) CBR&gt;60 PN, apoiada em subleito CBR&gt;10PN</t>
  </si>
  <si>
    <t>'130603</t>
  </si>
  <si>
    <t>'1307</t>
  </si>
  <si>
    <t xml:space="preserve">JUNTAS DE DILATAÇÃO </t>
  </si>
  <si>
    <t>'130701</t>
  </si>
  <si>
    <t>DER-ES - EDIFICAÇÕES - 98575</t>
  </si>
  <si>
    <t>Tratamento de junta de dilatação, com tarugo de polietileno e 0,5x1,0cm de aplicação de mastique elástico Sikaflex 1A, conforme detalhe de projeto</t>
  </si>
  <si>
    <t>'130702</t>
  </si>
  <si>
    <t>COMPOSIÇÃO - 2018.000293</t>
  </si>
  <si>
    <t>Junta de dilatação com isopor 20 mm</t>
  </si>
  <si>
    <t>'130703</t>
  </si>
  <si>
    <t>DER-ES - EDIFICAÇÕES - 040705</t>
  </si>
  <si>
    <t>Junta de movimentação do piso porcelanato e contrapiso, dim. 5x0,5cm, considerando 4cm de isopor e 1cm de mastique elástico Sikaflex 1A ou equivalente, conforme detalhe em projeto de arquitetura</t>
  </si>
  <si>
    <t>'130704</t>
  </si>
  <si>
    <t>Junta de dilação 2x1 cm com tarucel de 20mm e mastique elástico, Sikaflex 1A cinza ou equivalente.</t>
  </si>
  <si>
    <t>'14</t>
  </si>
  <si>
    <t xml:space="preserve">INSTALAÇÕES HIDROSSANITÁRIAS </t>
  </si>
  <si>
    <t>'1401</t>
  </si>
  <si>
    <t xml:space="preserve">ENTRADA DE ÁGUA </t>
  </si>
  <si>
    <t>'140101</t>
  </si>
  <si>
    <t>COMPOSIÇÃO - 2018.000053</t>
  </si>
  <si>
    <t>Padrão de entrada d'água com caixa termoplástica para hidrômetro de 3/4""-padrão 1a da CESAN. instalado em calçada. inclusive tubulação, conexões, registro, tubo camisa e caixa com tampa transparente. conferir detalhe</t>
  </si>
  <si>
    <t>'1402</t>
  </si>
  <si>
    <t xml:space="preserve">TUBULAÇÃO DE LIGAÇÃO DE CAIXAS </t>
  </si>
  <si>
    <t>'140201</t>
  </si>
  <si>
    <t>LABOR - 140903 - 1</t>
  </si>
  <si>
    <t>Tubo PVC rígido para esgoto no diâmetro de 100mm incluindo escavação e aterro com areia</t>
  </si>
  <si>
    <t>'140202</t>
  </si>
  <si>
    <t>LABOR - 140904 - 1</t>
  </si>
  <si>
    <t>Tubo PVC rígido para esgoto no diâmetro de 150mm incluindo escavação e aterro com areia</t>
  </si>
  <si>
    <t>'140203</t>
  </si>
  <si>
    <t>LABOR - 140905 - 1</t>
  </si>
  <si>
    <t>Tubo PVC rígido para esgoto no diâmetro de 200mm incluindo escavação e aterro com areia</t>
  </si>
  <si>
    <t>'1403</t>
  </si>
  <si>
    <t xml:space="preserve">CAIXAS EMPREGANDO ARGAMASSA DE CIMENTO, CAL E AREIA </t>
  </si>
  <si>
    <t>'140301</t>
  </si>
  <si>
    <t>LABOR - 141110 - 2</t>
  </si>
  <si>
    <t>Caixa de inspeção em alv. bloco concreto 9x19x39cm, dim. 60x60cm e Hmáx=1m, c/ tampa de ferro fundido 40x40cm, lastro de concreto esp.10cm, revest. interno c/ chapisco e reboco impermeabiliz, incl. escavação, reaterro e enchimento</t>
  </si>
  <si>
    <t>'140302</t>
  </si>
  <si>
    <t>LABOR - 141112 - 2</t>
  </si>
  <si>
    <t>Caixa sifonada especial em alv. bloco concr. 9x19x39cm, dim. 60x60cm e Hmáx=1m. c/ tampa em ferro fundido, lastro conc. esp.10cm, revest. int. c/ chap. e reboco imperm., incl. esc, reaterro e curva curta c/ visita e plug pvc 100mm</t>
  </si>
  <si>
    <t>'140303</t>
  </si>
  <si>
    <t>LABOR - 141113 - 3</t>
  </si>
  <si>
    <t>Caixa de gordura em alv. bloco 9x19x39cm, dim. 60x60cm e Hmáx=1.0m, c/ tampa de ferro fundido, lastro concr. esp. 10cm, revest. intern. c/ chapisco e reboco impermeab., escavação, reaterro e parede int. em concreto</t>
  </si>
  <si>
    <t>'140304</t>
  </si>
  <si>
    <t>COMPOSIÇÃO - 2018.000015</t>
  </si>
  <si>
    <t>Caixa de areia sifonada em alv. bloco concr. 9x19x39cm, dim. 60x60cm e Hmáx=1m. c/ tampa em ferro fundido, lastro conc. esp.10cm, revest. int. c/ chap. e reboco imperm., incl. esc, reaterro e curva curta c/ visita e plug pvc 100mm</t>
  </si>
  <si>
    <t>'140305</t>
  </si>
  <si>
    <t>COMPOSIÇÃO - 2018.000055</t>
  </si>
  <si>
    <t>Caixa de gordura pequena (capacidade: 19 l), circular, em PVC, diâmetro interno= 0,3 m</t>
  </si>
  <si>
    <t>'140306</t>
  </si>
  <si>
    <t>COMPOSIÇÃO - 2018.000054</t>
  </si>
  <si>
    <t>Caixa p/ abrigo das torneiras de jardim em alvenaria de bl. de concreto 9x19x39cm, dimen. internas 40x40x50cm, c/revest. interno em chapisco e reboco imperm., tampa fofo 40x40cm e lastro de brita 5cm, completa</t>
  </si>
  <si>
    <t>'140307</t>
  </si>
  <si>
    <t>LABOR - 141111 - 2</t>
  </si>
  <si>
    <t>Caixa de areia em alv. de bloco de concreto 9x19x39, dim. 60x60cm e Hmáx=1m, c/ tampa em ferro fundido, lastro de concreto esp. 10cm, revest. int. c/ chapisco e reboco impermeabilizado, incl. escavação e reaterro</t>
  </si>
  <si>
    <t>'140308</t>
  </si>
  <si>
    <t>COMPOSIÇÃO - 2018.000056</t>
  </si>
  <si>
    <t>Canaleta de concreto (dim.:32x100x38 cm) com grelha de concreto larg= 24 cm</t>
  </si>
  <si>
    <t>'1404</t>
  </si>
  <si>
    <t xml:space="preserve">REDE DE ÁGUA FRIA - TUBOS SOLDÁVEIS DE PVC </t>
  </si>
  <si>
    <t>'140401</t>
  </si>
  <si>
    <t>'140402</t>
  </si>
  <si>
    <t>'140403</t>
  </si>
  <si>
    <t>LABOR - 141413 - 1</t>
  </si>
  <si>
    <t>Tubo de PVC rígido soldável marrom, diâm. 50mm (11/2"), inclusive conexões</t>
  </si>
  <si>
    <t>'140404</t>
  </si>
  <si>
    <t>LABOR - 141414 - 1</t>
  </si>
  <si>
    <t>Tubo de PVC rígido soldável marrom, diâm. 60mm (2"), inclusive conexões</t>
  </si>
  <si>
    <t>'1405</t>
  </si>
  <si>
    <t xml:space="preserve">REDE DE ÁGUA FRIA - CONEXÕES SOLDÁVEIS DE PVC </t>
  </si>
  <si>
    <t>'140501</t>
  </si>
  <si>
    <t>LABOR - 141522 - 1</t>
  </si>
  <si>
    <t>Adaptador de PVC soldável com flanges livres para caixa d'água, diâmetro 25mm (3/4")</t>
  </si>
  <si>
    <t>'140502</t>
  </si>
  <si>
    <t>LABOR - 141523 - 1</t>
  </si>
  <si>
    <t>Adaptador de PVC soldável com flanges livres para caixa d'água, diâmetro 32mm (1")</t>
  </si>
  <si>
    <t>'140503</t>
  </si>
  <si>
    <t>LABOR - 141525 - 1</t>
  </si>
  <si>
    <t>Adaptador de PVC soldável com flanges livres para caixa d'água, diâmetro 50mm (1 1/2")</t>
  </si>
  <si>
    <t>'140504</t>
  </si>
  <si>
    <t>LABOR - 141526 - 1</t>
  </si>
  <si>
    <t>Adaptador de PVC soldável com flanges livres para caixa d'água, diâmetro 60mm (2")</t>
  </si>
  <si>
    <t>'1406</t>
  </si>
  <si>
    <t xml:space="preserve">REDE DE ÁGUA FRIA - REGISTROS E VÁLVULAS </t>
  </si>
  <si>
    <t>'140601</t>
  </si>
  <si>
    <t>'140602</t>
  </si>
  <si>
    <t>LABOR - 170321 - 1</t>
  </si>
  <si>
    <t>Registro de gaveta bruto diam. 25mm (1")</t>
  </si>
  <si>
    <t>'140603</t>
  </si>
  <si>
    <t>LABOR - 170323 - 1</t>
  </si>
  <si>
    <t>Registro de gaveta bruto diam. 40mm (11/2")</t>
  </si>
  <si>
    <t>'140604</t>
  </si>
  <si>
    <t>LABOR - 170324 - 1</t>
  </si>
  <si>
    <t>Registro de gaveta bruto diam. 50mm (2")</t>
  </si>
  <si>
    <t>'140605</t>
  </si>
  <si>
    <t>LABOR - 170328 - 1</t>
  </si>
  <si>
    <t>Registro de gaveta com canopla cromada, diam. 20mm (3/4"), marcas de referência Fabrimar, Deca ou Docol</t>
  </si>
  <si>
    <t>'140606</t>
  </si>
  <si>
    <t>LABOR - 170329 - 1</t>
  </si>
  <si>
    <t>Registro de gaveta com canopla cromada diam. 25mm (1"), marcas de referência Fabrimar, Deca ou Docol</t>
  </si>
  <si>
    <t>'140607</t>
  </si>
  <si>
    <t>LABOR - 170317 - 1</t>
  </si>
  <si>
    <t>Registro de pressão com canopla cromada diam. 20mm (3/4"), marcas de referência Fabrimar, Deca ou Docol</t>
  </si>
  <si>
    <t>'140608</t>
  </si>
  <si>
    <t>COMPOSIÇÃO - 2018.000057</t>
  </si>
  <si>
    <t>Válvula de descarga para mictório, marca Pressmatic Docol ou similar, com adaptadores soldáveis para registro</t>
  </si>
  <si>
    <t>'140609</t>
  </si>
  <si>
    <t>LABOR - 170346 - 1</t>
  </si>
  <si>
    <t>Válvula de descarga com canopla cromada de 40mm (11/2"), marcas de referência Fabrimar, Deca ou Docol</t>
  </si>
  <si>
    <t>'140610</t>
  </si>
  <si>
    <t>COMPOSIÇÃO - 2018.000058</t>
  </si>
  <si>
    <t>Registro de esfera em PVC, roscável, diâm. 3/4"</t>
  </si>
  <si>
    <t>'140611</t>
  </si>
  <si>
    <t>'1407</t>
  </si>
  <si>
    <t xml:space="preserve">REDE DE ESGOTO - TUBOS DE PVC </t>
  </si>
  <si>
    <t>'140701</t>
  </si>
  <si>
    <t>'140702</t>
  </si>
  <si>
    <t>'140703</t>
  </si>
  <si>
    <t>'140704</t>
  </si>
  <si>
    <t>'140705</t>
  </si>
  <si>
    <t>'140706</t>
  </si>
  <si>
    <t>COMPOSIÇÃO - 2018.000059</t>
  </si>
  <si>
    <t>Terminal de ventilação em PVC rígido soldável, diam. 50mm</t>
  </si>
  <si>
    <t>'140707</t>
  </si>
  <si>
    <t>ORSE - 7594</t>
  </si>
  <si>
    <t>Terminal de ventilação em PVC rígido soldável diam. 75mm</t>
  </si>
  <si>
    <t>'1408</t>
  </si>
  <si>
    <t xml:space="preserve">CAIXAS DE PVC / EQUIPAMENTOS </t>
  </si>
  <si>
    <t>'140801</t>
  </si>
  <si>
    <t>COMPOSIÇÃO - 2018.000061</t>
  </si>
  <si>
    <t>Caixa sifonada de PVC, dim. 150x150x50mm, com grelha e porta grelha em aço inox</t>
  </si>
  <si>
    <t>'140802</t>
  </si>
  <si>
    <t>COMPOSIÇÃO - 2018.000062</t>
  </si>
  <si>
    <t>Caixa sifonada de PVC, dim. 100x100x50mm, com grelha e porta grelha em aço inox</t>
  </si>
  <si>
    <t>'140803</t>
  </si>
  <si>
    <t>COMPOSIÇÃO - 2018.000063</t>
  </si>
  <si>
    <t>Caixa sifonada de PVC 150x150x50mm, com tampa cega</t>
  </si>
  <si>
    <t>'140804</t>
  </si>
  <si>
    <t>COMPOSIÇÃO - 2018.000064</t>
  </si>
  <si>
    <t>Ralo sifonado em PVC 100x40mm, com grelha e porta grelha em aço inox</t>
  </si>
  <si>
    <t>'140805</t>
  </si>
  <si>
    <t>COMPOSIÇÃO - 2018.000065</t>
  </si>
  <si>
    <t>Ralo hemisférico (formato abacaxi) de ferro fundido, diam. 100mm</t>
  </si>
  <si>
    <t>'140806</t>
  </si>
  <si>
    <t>COMPOSIÇÃO - 2018.000067</t>
  </si>
  <si>
    <t>Ralo hemisférico (formato abacaxi) de ferro fundido, diam. 150mm</t>
  </si>
  <si>
    <t>'1409</t>
  </si>
  <si>
    <t xml:space="preserve">RESERVATÓRIOS </t>
  </si>
  <si>
    <t>'140901</t>
  </si>
  <si>
    <t>LABOR - 142120 - 1</t>
  </si>
  <si>
    <t>Torneira de bóia de PVC, diâm. 1" (25mm)</t>
  </si>
  <si>
    <t>'140902</t>
  </si>
  <si>
    <t>LABOR - 170528 - 3</t>
  </si>
  <si>
    <t>Reservatório de polietileno de 5.000 L, inclusive peça de madeira 6 x 16 cm para apoio, exclusive flanges e torneira de bóia</t>
  </si>
  <si>
    <t>'1410</t>
  </si>
  <si>
    <t xml:space="preserve">REDES DE DRENOS DE AR CONDICIONADO </t>
  </si>
  <si>
    <t>'141001</t>
  </si>
  <si>
    <t>'141002</t>
  </si>
  <si>
    <t>'141003</t>
  </si>
  <si>
    <t>COMPOSIÇÃO - 2018.000068</t>
  </si>
  <si>
    <t>Isolamento térmico flexível em espuma elastomérica para tubo com diâmetro de 25mm, marca de referência armaflex ou similar</t>
  </si>
  <si>
    <t>'141004</t>
  </si>
  <si>
    <t>COMPOSIÇÃO - 2018.000069</t>
  </si>
  <si>
    <t>Isolamento térmico flexível em espuma elastomérica para tubo com diâmetro de 40mm, marca de referência armaflex ou similar</t>
  </si>
  <si>
    <t>'1411</t>
  </si>
  <si>
    <t>ABERTURA E FECHAMENTO DE RASGOS (INCLUSIVE PREPARO E APLICAÇÃO DE ARGAMASSA)</t>
  </si>
  <si>
    <t>'141101</t>
  </si>
  <si>
    <t>'141102</t>
  </si>
  <si>
    <t>'141103</t>
  </si>
  <si>
    <t>'141104</t>
  </si>
  <si>
    <t>LABOR - 142801 - 1</t>
  </si>
  <si>
    <t>Furo em concreto com martelete ou rompedor pneumático manual para diâmetros menores ou iguais a 1.1/2"</t>
  </si>
  <si>
    <t>cm</t>
  </si>
  <si>
    <t>'141105</t>
  </si>
  <si>
    <t>LABOR - 142802 - 1</t>
  </si>
  <si>
    <t>Furo em concreto com martelete ou rompedor pneumático manual para diâmetros maiores 1.1/2" e menores ou iguais a 3"</t>
  </si>
  <si>
    <t>'141106</t>
  </si>
  <si>
    <t>LABOR - 142803 - 1</t>
  </si>
  <si>
    <t>Furo em concreto com martelete ou rompedor pneumático manual para diâmetros maiores 3" e menores ou iguais a 4"</t>
  </si>
  <si>
    <t>'15</t>
  </si>
  <si>
    <t xml:space="preserve">INSTALAÇÕES ELÉTRICAS </t>
  </si>
  <si>
    <t>'1501</t>
  </si>
  <si>
    <t xml:space="preserve">ENTRADA DE ENERGIA </t>
  </si>
  <si>
    <t>'150101</t>
  </si>
  <si>
    <t>LABOR - 151433 - 1</t>
  </si>
  <si>
    <t>Cabo de cobre termoplástico, com isolamento para 15KV, seção de 25,0mm2</t>
  </si>
  <si>
    <t>'150102</t>
  </si>
  <si>
    <t>COMPOSIÇÃO - 2018.000123</t>
  </si>
  <si>
    <t>Cabo seção de 185,0mm2 - classe 2 EPR 90º -1000V</t>
  </si>
  <si>
    <t>'150103</t>
  </si>
  <si>
    <t>LABOR - 151335 - 2</t>
  </si>
  <si>
    <t>Disjuntor Compacto em caixa moldada tripolar 400 A, 65KA 220/240V / 36KA 380/415V 35KA 440/460V 25KA 600V (NBR IEC 60947-2), Ref. Siemens, GE, Schneider ou equivalente</t>
  </si>
  <si>
    <t>'150104</t>
  </si>
  <si>
    <t>LABOR - 160318 - 1</t>
  </si>
  <si>
    <t>Cabo de cobre nú 35mm2, ref. TEL 5735, marca de referência Termotécnica ou equivalente</t>
  </si>
  <si>
    <t>'150105</t>
  </si>
  <si>
    <t>LABOR - 151413 - 1</t>
  </si>
  <si>
    <t>Cabo de cobre nú, seção de 25.0 mm2</t>
  </si>
  <si>
    <t>'150106</t>
  </si>
  <si>
    <t>COMPOSIÇÃO - 2018.000124</t>
  </si>
  <si>
    <t>Caixa de passagem de alvenaria de blocos cerâmicos 10 furos 10x20x20cm dimensões de 50x50x70cm, com revestimento interno em chapisco e reboco, tampa de concreto esp.5cm e lastro de brita 5 cm</t>
  </si>
  <si>
    <t>'150107</t>
  </si>
  <si>
    <t>LABOR - 151135 - 1</t>
  </si>
  <si>
    <t>Eletroduto de PVC rígido roscável, diâm. 4" (110mm), inclusive conexões</t>
  </si>
  <si>
    <t>'150108</t>
  </si>
  <si>
    <t>LABOR - 151141 - 1</t>
  </si>
  <si>
    <t>Eletroduto PEAD, cor preta, diam. 4", marca ref. Kanaflex ou equivalente</t>
  </si>
  <si>
    <t>'150109</t>
  </si>
  <si>
    <t>COMPOSIÇÃO - 2018.000125</t>
  </si>
  <si>
    <t>Eletroduto de ferro galvanizado, diâm. 4"</t>
  </si>
  <si>
    <t>'150110</t>
  </si>
  <si>
    <t>LABOR - 151406 - 1</t>
  </si>
  <si>
    <t>Fio ou cabo de cobre termoplástico, com isolamento para 750V, seção de 16.0 mm2</t>
  </si>
  <si>
    <t>'150111</t>
  </si>
  <si>
    <t>LABOR - 150610 - 2</t>
  </si>
  <si>
    <t>Caixa de aterramento de concreto simples, nas dimensões de 30x30x25cm, com revest. int. em chapisco e reboco, tampa de concreto esp.5cm e lastro de brita esp. 5 cm, incl. haste 5/8"x2400mm</t>
  </si>
  <si>
    <t>'150112</t>
  </si>
  <si>
    <t>LABOR - 151506 - 1</t>
  </si>
  <si>
    <t>Haste de terra tipo COPPERWELD - 5/8" x 2.40m</t>
  </si>
  <si>
    <t>'150113</t>
  </si>
  <si>
    <t>COMPOSIÇÃO - 2018.000126</t>
  </si>
  <si>
    <t>Cabo seção de 185,0mm2 - classe 5 EPR 90º -1000V</t>
  </si>
  <si>
    <t>'150114</t>
  </si>
  <si>
    <t>COMPOSIÇÃO - 2018.000127</t>
  </si>
  <si>
    <t>Cruzeta de madeira de 2,44 m e ferragens para fixação</t>
  </si>
  <si>
    <t>'150115</t>
  </si>
  <si>
    <t>COMPOSIÇÃO - 2018.000134</t>
  </si>
  <si>
    <t>Curva de ferro galvanizado diâm. 4"</t>
  </si>
  <si>
    <t>'150116</t>
  </si>
  <si>
    <t>COMPOSIÇÃO - 2018.000135</t>
  </si>
  <si>
    <t>Poste de concreto 11m/600kgf</t>
  </si>
  <si>
    <t>'150117</t>
  </si>
  <si>
    <t>'150118</t>
  </si>
  <si>
    <t>COMPOSIÇÃO - 2018.000137</t>
  </si>
  <si>
    <t>Luva em aço galvanizado diâm.4'' (110mm)</t>
  </si>
  <si>
    <t>'150119</t>
  </si>
  <si>
    <t>LABOR - 150931 - 1</t>
  </si>
  <si>
    <t>Isolador de pino para 15 KV</t>
  </si>
  <si>
    <t>'150120</t>
  </si>
  <si>
    <t>COMPOSIÇÃO - 2018.000138</t>
  </si>
  <si>
    <t>'150121</t>
  </si>
  <si>
    <t>COMPOSIÇÃO - 2018.000139</t>
  </si>
  <si>
    <t>Mufla unipolar com isolamento para 15kv e com dispositivo p/ fixação em cruzeta</t>
  </si>
  <si>
    <t>'150122</t>
  </si>
  <si>
    <t>COMPOSIÇÃO - 2018.000140</t>
  </si>
  <si>
    <t>'150123</t>
  </si>
  <si>
    <t>COMPOSIÇÃO - 2018.000141</t>
  </si>
  <si>
    <t>Placas de identificação das fases (1,2,3 e R) em alumínio</t>
  </si>
  <si>
    <t>'1502</t>
  </si>
  <si>
    <t xml:space="preserve">ELETRODUTOS, ELETROCALHAS,PERFILADOS, CANALETAS, CONEXÕES E ACESSÓRIOS </t>
  </si>
  <si>
    <t>'150201</t>
  </si>
  <si>
    <t>'150202</t>
  </si>
  <si>
    <t>'150203</t>
  </si>
  <si>
    <t>LABOR - 151130 - 1</t>
  </si>
  <si>
    <t>Eletroduto de PVC rígido roscável, diâm. 2" (60mm), inclusive conexões</t>
  </si>
  <si>
    <t>'150204</t>
  </si>
  <si>
    <t>LABOR - 151139 - 1</t>
  </si>
  <si>
    <t>Eletroduto PEAD, cor preta, diam. 2", marca ref. Kanaflex ou equivalente</t>
  </si>
  <si>
    <t>'150205</t>
  </si>
  <si>
    <t>LABOR - 151140 - 1</t>
  </si>
  <si>
    <t>Eletroduto PEAD, cor preta, diam. 3", marca ref. Kanaflex ou equivalente</t>
  </si>
  <si>
    <t>'150206</t>
  </si>
  <si>
    <t>LABOR - 150850 - 1</t>
  </si>
  <si>
    <t>Saída horizontal para eletroduto de 3/4"</t>
  </si>
  <si>
    <t>'150207</t>
  </si>
  <si>
    <t>LABOR - 150851 - 1</t>
  </si>
  <si>
    <t>Saída horizontal para eletroduto de 1"</t>
  </si>
  <si>
    <t>'150208</t>
  </si>
  <si>
    <t>LABOR - 141215 - 1</t>
  </si>
  <si>
    <t>Tubo de aço galvanizado, inclusive conexões, diâm. 50mm (2")</t>
  </si>
  <si>
    <t>'150209</t>
  </si>
  <si>
    <t>LABOR - 150836 - 2</t>
  </si>
  <si>
    <t>Eletrocalha perfurada em chapa de aço galvanizado nº16, 200x100mm, sem tampa</t>
  </si>
  <si>
    <t>'150210</t>
  </si>
  <si>
    <t>LABOR - 151132 - 1</t>
  </si>
  <si>
    <t>Eletroduto flexível corrugado 3/4" , marca de referência TIGRE</t>
  </si>
  <si>
    <t>'150211</t>
  </si>
  <si>
    <t>LABOR - 150861 - 1</t>
  </si>
  <si>
    <t>Tampa de encaixe para eletrocalha em chapa de aço galvanizada 18, dim. 200mm</t>
  </si>
  <si>
    <t>'150212</t>
  </si>
  <si>
    <t>LABOR - 141211 - 1</t>
  </si>
  <si>
    <t>Tubo de aço galvanizado, inclusive conexões, diâm. 20mm (3/4")</t>
  </si>
  <si>
    <t>'150213</t>
  </si>
  <si>
    <t>LABOR - 150884 - 1</t>
  </si>
  <si>
    <t>Suporte de fixação de eletrocalha de 200x100mm, no teto, através de gancho vertical (1 und), porca sextavada e arruela 1/4" (4 und), vergalhão rosca total 1/4" (h=60cm), cantoneira ZZ (1 und) e parafuso e bucha S8 (2 und)</t>
  </si>
  <si>
    <t>'150214</t>
  </si>
  <si>
    <t>LABOR - 141212 - 1</t>
  </si>
  <si>
    <t>Tubo de aço galvanizado, inclusive conexões, diâm. 25mm (1")</t>
  </si>
  <si>
    <t>'150215</t>
  </si>
  <si>
    <t>LABOR - 141214 - 1</t>
  </si>
  <si>
    <t>Tubo de aço galvanizado, inclusive conexões, diâm. 40mm (11/2")</t>
  </si>
  <si>
    <t>'150216</t>
  </si>
  <si>
    <t>COMPOSIÇÃO - 2018.000142</t>
  </si>
  <si>
    <t>Abraçadeira em aço para amarração de eletrodutos, tipo D, com 1.1/2" e cunha de fixação</t>
  </si>
  <si>
    <t>'150217</t>
  </si>
  <si>
    <t>COMPOSIÇÃO - 2018.000143</t>
  </si>
  <si>
    <t>Abraçadeira em aço para amarração de eletrodutos, tipo D, com 3" e cunha de fixação</t>
  </si>
  <si>
    <t>'150218</t>
  </si>
  <si>
    <t>LABOR - 151131 - 1</t>
  </si>
  <si>
    <t>Eletroduto de PVC rígido roscável, diâm. 3" (85mm), inclusive conexões</t>
  </si>
  <si>
    <t>'150219</t>
  </si>
  <si>
    <t>COMPOSIÇÃO - 2018.000144</t>
  </si>
  <si>
    <t>Abraçadeira em aço para amarração de eletrodutos, tipo D, com 3/4" e cunha de fixação</t>
  </si>
  <si>
    <t>'150220</t>
  </si>
  <si>
    <t>LABOR - 150875 - 1</t>
  </si>
  <si>
    <t>Curva horizontal 90º para eletrocalha metálica, 200x100mm, galvanizada, ref. MEGA MG 2510</t>
  </si>
  <si>
    <t>'150221</t>
  </si>
  <si>
    <t>LABOR - 150870 - 1</t>
  </si>
  <si>
    <t>TÊ horizontal 90º para eletrocalha metálica 200x100mm, galvanizada, ref. MEGA MG 2570 ou equivalente</t>
  </si>
  <si>
    <t>'150222</t>
  </si>
  <si>
    <t>LABOR - 160322 - 1</t>
  </si>
  <si>
    <t>Abraçadeira tipo "D" com cunha, diâmetro 1", ref. TEL-095, marca de referência Termotécnica ou equivalente</t>
  </si>
  <si>
    <t>'150223</t>
  </si>
  <si>
    <t>COMPOSIÇÃO - 2018.000145</t>
  </si>
  <si>
    <t>Abraçadeira em aço para amarração de eletrodutos, tipo D, com 2" e cunha de fixação</t>
  </si>
  <si>
    <t>'150224</t>
  </si>
  <si>
    <t>COMPOSIÇÃO - 2018.000146</t>
  </si>
  <si>
    <t>Perfilado em chapa de aço 38x38mm sem tampa e terminações com sistema de sustentação a cada 1,5m</t>
  </si>
  <si>
    <t>'150225</t>
  </si>
  <si>
    <t>LABOR - 150852 - 1</t>
  </si>
  <si>
    <t>Saída horizontal para eletroduto de 2"</t>
  </si>
  <si>
    <t>'150226</t>
  </si>
  <si>
    <t>COMPOSIÇÃO - 2018.000147</t>
  </si>
  <si>
    <t>Canaleta em alumínio dupla divisão com septo, 111x40mm com tampa ref. Engeduto ED 114/2 PBR e acessórios de fixação</t>
  </si>
  <si>
    <t>'150227</t>
  </si>
  <si>
    <t>COMPOSIÇÃO - 2018.000148</t>
  </si>
  <si>
    <t>Curva interna em alumínio ref. Engeduto CI90 114/2 PBR</t>
  </si>
  <si>
    <t>'150228</t>
  </si>
  <si>
    <t>COMPOSIÇÃO - 2018.000149</t>
  </si>
  <si>
    <t>Curva externa em alumínio ref. Engeduto CE90 114/2 PBR</t>
  </si>
  <si>
    <t>'150229</t>
  </si>
  <si>
    <t>COMPOSIÇÃO - 2018.000150</t>
  </si>
  <si>
    <t>Curva "L" em alumínio ref. Engeduto CL90 114/2 PBR</t>
  </si>
  <si>
    <t>'150230</t>
  </si>
  <si>
    <t>COMPOSIÇÃO - 2018.000151</t>
  </si>
  <si>
    <t>Terminal em alumínio ref. Engeduto TR 114/2 PBR</t>
  </si>
  <si>
    <t>'150231</t>
  </si>
  <si>
    <t>COMPOSIÇÃO - 2018.000152</t>
  </si>
  <si>
    <t>Terminal de saída de eletroduto em alumínio ref. Engeduto TRSE 114/2 PBR</t>
  </si>
  <si>
    <t>'150232</t>
  </si>
  <si>
    <t>LABOR - 150880 - 1</t>
  </si>
  <si>
    <t>Suporte de fixação de eletroduto no teto, através de fita metálica perfurada (Walsiwa) ou equiv (1,30m), cursor (1 und), h=60cm, suporte "Y" (1 und), parafuso e bucha S8 (1 und)</t>
  </si>
  <si>
    <t>'1503</t>
  </si>
  <si>
    <t xml:space="preserve">CAIXAS DE PASSAGEM DIVERSAS </t>
  </si>
  <si>
    <t>'150301</t>
  </si>
  <si>
    <t>LABOR - 150628 - 1</t>
  </si>
  <si>
    <t>Caixa de embutir marca de referência Tigreflex, 4x2"</t>
  </si>
  <si>
    <t>'150302</t>
  </si>
  <si>
    <t>LABOR - 150629 - 1</t>
  </si>
  <si>
    <t>Caixa de embutir marca de referência Tigreflex, 4x4"</t>
  </si>
  <si>
    <t>'150303</t>
  </si>
  <si>
    <t>COMPOSIÇÃO - 2018.000153</t>
  </si>
  <si>
    <t>Caixa de embutir marca de referência Tigreflex, 4x4", com tampa</t>
  </si>
  <si>
    <t>'150304</t>
  </si>
  <si>
    <t>COMPOSIÇÃO - 2018.000154</t>
  </si>
  <si>
    <t>Caixa de passagem em alumínio com tampa 4x4"</t>
  </si>
  <si>
    <t>'150305</t>
  </si>
  <si>
    <t>LABOR - 150636 - 3</t>
  </si>
  <si>
    <t>Caixa sextavada em PVC de 3x3x1 1/2", marca de referência Tigreflex</t>
  </si>
  <si>
    <t>'150306</t>
  </si>
  <si>
    <t>COMPOSIÇÃO - 2018.000155</t>
  </si>
  <si>
    <t>Caixa de passagem 400x400x200mm, em alumínio com tampa parafusada</t>
  </si>
  <si>
    <t>'150307</t>
  </si>
  <si>
    <t>COMPOSIÇÃO - 2018.000156</t>
  </si>
  <si>
    <t>Caixa de ligação de alumínio silício, tipo conduletes, no formato "C" , inclusive tampa, diâmetro 3/4"</t>
  </si>
  <si>
    <t>'150308</t>
  </si>
  <si>
    <t>COMPOSIÇÃO - 2018.000157</t>
  </si>
  <si>
    <t>Caixa de passagem em alumínio com tampa 150x150mm</t>
  </si>
  <si>
    <t>'150309</t>
  </si>
  <si>
    <t>COMPOSIÇÃO - 2018.000158</t>
  </si>
  <si>
    <t>Caixa de ligação de alumínio silício, tipo conduletes, no formato "LB" , inclusive tampa, diâmetro 3/4"</t>
  </si>
  <si>
    <t>'150310</t>
  </si>
  <si>
    <t>LABOR - 150803 - 4</t>
  </si>
  <si>
    <t>Caixa de ligação de alumínio silício, tipo CONDULETES, sem rosca, no formato T, inclusive tampa com vedação, diâmetro 3/4"</t>
  </si>
  <si>
    <t>'1504</t>
  </si>
  <si>
    <t xml:space="preserve">INTERRUPTORES, TOMADAS E CHAVE SELETORA </t>
  </si>
  <si>
    <t>'150401</t>
  </si>
  <si>
    <t>'150402</t>
  </si>
  <si>
    <t>LABOR - 180205 - 2</t>
  </si>
  <si>
    <t>Interruptor de duas teclas simples 10A/250V, com placa 4x2"</t>
  </si>
  <si>
    <t>'150403</t>
  </si>
  <si>
    <t>LABOR - 180206 - 1</t>
  </si>
  <si>
    <t>Interruptor de uma tecla paralelo 10A/250V, com placa 4x2"</t>
  </si>
  <si>
    <t>'150404</t>
  </si>
  <si>
    <t>COMPOSIÇÃO - 2018.000159</t>
  </si>
  <si>
    <t>Interruptor paralelo em placa 4x2" 2 seções 10A-250V</t>
  </si>
  <si>
    <t>'150405</t>
  </si>
  <si>
    <t>COMPOSIÇÃO - 2018.000160</t>
  </si>
  <si>
    <t>Interruptor paralelo simples três teclas em placa 4x2" 10A-250V</t>
  </si>
  <si>
    <t>'150406</t>
  </si>
  <si>
    <t>COMPOSIÇÃO - 2018.000161</t>
  </si>
  <si>
    <t>Chave seletora 3 posições (0,1 e 2)</t>
  </si>
  <si>
    <t>'150407</t>
  </si>
  <si>
    <t>COMPOSIÇÃO - 2018.000162</t>
  </si>
  <si>
    <t>Rele fotoelétrico interno e externo bivolt 1000W, de conector, com base</t>
  </si>
  <si>
    <t>'150408</t>
  </si>
  <si>
    <t>'150409</t>
  </si>
  <si>
    <t>COMPOSIÇÃO - 2018.000163</t>
  </si>
  <si>
    <t>2 tomadas padrão brasileiro linha branca, NBR 14136 2 polos + terra 10A/250V, com placa 4x4"</t>
  </si>
  <si>
    <t>'150410</t>
  </si>
  <si>
    <t>'150411</t>
  </si>
  <si>
    <t>LABOR - 180212 - 2</t>
  </si>
  <si>
    <t>Interruptor de três teclas simples 10A/250V, c/ placa 4x2"</t>
  </si>
  <si>
    <t>'150412</t>
  </si>
  <si>
    <t>COMPOSIÇÃO - 2018.000164</t>
  </si>
  <si>
    <t>Tampa para canaleta Engeduto T114/2, com um interruptor simples 1 tecla 10A/250V</t>
  </si>
  <si>
    <t>'150413</t>
  </si>
  <si>
    <t>COMPOSIÇÃO - 2018.000166</t>
  </si>
  <si>
    <t>Tampa para canaleta Engeduto T114/2, com um interruptor simples 2 teclas 10A/250V</t>
  </si>
  <si>
    <t>'150414</t>
  </si>
  <si>
    <t>COMPOSIÇÃO - 2018.000216</t>
  </si>
  <si>
    <t>Interruptor paralelo em placa 4x2" 1 seção e uma simples 10A-250V</t>
  </si>
  <si>
    <t>'150415</t>
  </si>
  <si>
    <t>COMPOSIÇÃO - 2018.000217</t>
  </si>
  <si>
    <t>Interruptor paralelo em placa 4x2" 2 seções e uma simples 10A-250V</t>
  </si>
  <si>
    <t>'150416</t>
  </si>
  <si>
    <t>COMPOSIÇÃO - 2018.000167</t>
  </si>
  <si>
    <t>Tomada padrão brasileiro linha branca, NBR 14136 2 polos + terra 10A/250V, instalada em placa de alumínio Engeduto T114/2</t>
  </si>
  <si>
    <t>'150417</t>
  </si>
  <si>
    <t>COMPOSIÇÃO - 2018.000168</t>
  </si>
  <si>
    <t>Tomada padrão brasileiro linha branca, NBR 14136 2 polos + terra 20A/250V, instalada em placa de alumínio Engeduto T114/2</t>
  </si>
  <si>
    <t>'150418</t>
  </si>
  <si>
    <t>COMPOSIÇÃO - 2018.000169</t>
  </si>
  <si>
    <t>2 tomadas padrão brasileiro linha branca, NBR 14136 2 polos + terra 10A/250V, instaladas em placa de alumínio Engeduto T114/2</t>
  </si>
  <si>
    <t>'150419</t>
  </si>
  <si>
    <t>COMPOSIÇÃO - 2018.000170</t>
  </si>
  <si>
    <t>2 tomadas padrão brasileiro linha branca, NBR 14136 2 polos + terra 20A/250V com placa 4x4"</t>
  </si>
  <si>
    <t>'1505</t>
  </si>
  <si>
    <t xml:space="preserve">FIOS E CABOS </t>
  </si>
  <si>
    <t>'150501</t>
  </si>
  <si>
    <t>'150502</t>
  </si>
  <si>
    <t>'150503</t>
  </si>
  <si>
    <t>LABOR - 151405 - 1</t>
  </si>
  <si>
    <t>Fio ou cabo de cobre termoplástico, com isolamento para 750V, seção de 10.0 mm2</t>
  </si>
  <si>
    <t>'150504</t>
  </si>
  <si>
    <t>COMPOSIÇÃO - 2018.000171</t>
  </si>
  <si>
    <t>Cabo de cobre, flexível, classe 4 ou 5, isolação em PVC/A, antichama BWF-B, 1 condutor, 450/750V, seção nominal 50mm2</t>
  </si>
  <si>
    <t>'150505</t>
  </si>
  <si>
    <t>LABOR - 151418 - 1</t>
  </si>
  <si>
    <t>Cabo de cobre termoplástico, com isolamento para 1000V, seção de 4.0 mm2</t>
  </si>
  <si>
    <t>'150506</t>
  </si>
  <si>
    <t>COMPOSIÇÃO - 2018.000172</t>
  </si>
  <si>
    <t>Cabo de cobre flexível #95mm2 - classe 5 EPR 90º - 1000V</t>
  </si>
  <si>
    <t>'150507</t>
  </si>
  <si>
    <t>COMPOSIÇÃO - 2018.000173</t>
  </si>
  <si>
    <t>Cabo de cobre flexível #35mm2 - classe 5 EPR 90º - 1000V</t>
  </si>
  <si>
    <t>'150508</t>
  </si>
  <si>
    <t>COMPOSIÇÃO - 2018.000174</t>
  </si>
  <si>
    <t>Cabo de cobre flexível #25mm2 - classe 5 EPR 90º - 1000V</t>
  </si>
  <si>
    <t>'150509</t>
  </si>
  <si>
    <t>COMPOSIÇÃO - 2018.000175</t>
  </si>
  <si>
    <t>Cabo PP 3x2,5mm² com plugs 2P+T, 10A - 250V macho e fêmea para ligação de luminárias embutidas</t>
  </si>
  <si>
    <t>'150510</t>
  </si>
  <si>
    <t>COMPOSIÇÃO - 2018.000176</t>
  </si>
  <si>
    <t>Cabo PP 3x2,5mm² com plugs 2P+T, 10A - 250V macho e fêmea para ligação de luminárias sobrepostas</t>
  </si>
  <si>
    <t>'150511</t>
  </si>
  <si>
    <t>LABOR - 151417 - 1</t>
  </si>
  <si>
    <t>Cabo de cobre termoplástico, com isolamento para 1000V, seção de 2.5 mm2</t>
  </si>
  <si>
    <t>'150512</t>
  </si>
  <si>
    <t>LABOR - 151419 - 2</t>
  </si>
  <si>
    <t>Cabo de cobre termoplástico, com isolamento para 1000V, seção de 6 mm2</t>
  </si>
  <si>
    <t>'150513</t>
  </si>
  <si>
    <t>'150514</t>
  </si>
  <si>
    <t>'1506</t>
  </si>
  <si>
    <t xml:space="preserve">DISJUNTORES E DISPOSITIVOS DIFERENCIAIS RESIDUAIS E PROTEÇÃO DE SURTOS </t>
  </si>
  <si>
    <t>'150601</t>
  </si>
  <si>
    <t>DER-ES - EDIFICAÇÕES - 151336</t>
  </si>
  <si>
    <t>Disjuntor DR bipolar 16A a 25A, corrente nominal 30 mA</t>
  </si>
  <si>
    <t>'150602</t>
  </si>
  <si>
    <t>'150603</t>
  </si>
  <si>
    <t>'150604</t>
  </si>
  <si>
    <t>LABOR - 151303 - 2</t>
  </si>
  <si>
    <t>Mini-Disjuntor monopolar 25 A, curva C - 5KA 220/127VCA (NBR IEC 60947-2), Ref. Siemens, GE, Schneider ou equivalente</t>
  </si>
  <si>
    <t>'150605</t>
  </si>
  <si>
    <t>LABOR - 151317 - 3</t>
  </si>
  <si>
    <t>Mini-Disjuntor monopolar 50 A, curva C - 5KA 220/127VCA (NBR IEC 60947-2), Ref. Siemens, GE, Schneider ou equivalente</t>
  </si>
  <si>
    <t>'150606</t>
  </si>
  <si>
    <t>'150607</t>
  </si>
  <si>
    <t>LABOR - 151321 - 2</t>
  </si>
  <si>
    <t>Mini-Disjuntor bipolar 25 A, curva C - 5KA 220/127VCA (NBR IEC 60947-2), Ref. Siemens, GE, Schneider ou equivalente</t>
  </si>
  <si>
    <t>'150608</t>
  </si>
  <si>
    <t>LABOR - 151330 - 2</t>
  </si>
  <si>
    <t>Mini-Disjuntor tripolar 63 A, curva C - 5KA 220/127VCA (NBR IEC 60947-2), Ref. Siemens, GE, Schneider ou equivalente</t>
  </si>
  <si>
    <t>'150609</t>
  </si>
  <si>
    <t>LABOR - 151331 - 3</t>
  </si>
  <si>
    <t>Mini-Disjuntor tripolar 80 A, curva C - 5KA 240VCA (NBR IEC 60947-2), Ref. Siemens, GE, Schneider ou equivalente</t>
  </si>
  <si>
    <t>'150610</t>
  </si>
  <si>
    <t>LABOR - 151314 - 2</t>
  </si>
  <si>
    <t>Disjuntor Compacto em caixa moldada tripolar 100 A, curva C - 15KA 240VCA (NBR IEC 60947-2), Ref. Siemens, GE, Schneider ou equivalente</t>
  </si>
  <si>
    <t>'150611</t>
  </si>
  <si>
    <t>LABOR - 151334 - 2</t>
  </si>
  <si>
    <t>Disjuntor Compacto em caixa moldada tripolar 200 A, 50KA 220/240V / 25KA 380/415V 20KA/440V (NBR IEC 60947-2), Ref. Siemens, GE, Schneider ou equivalente</t>
  </si>
  <si>
    <t>'150612</t>
  </si>
  <si>
    <t>LABOR - 151337 - 1</t>
  </si>
  <si>
    <t>Dispositivo de proteção contra surto (DPS) bipolar, tensão nominal máxima 275VCA, corente de surto máxima 40KA.</t>
  </si>
  <si>
    <t>'1507</t>
  </si>
  <si>
    <t xml:space="preserve">LUMINÁRIAS E ACESSÓRIOS </t>
  </si>
  <si>
    <t>'150701</t>
  </si>
  <si>
    <t>COMPOSIÇÃO - 2018.000177</t>
  </si>
  <si>
    <t>Luminária tipo tartaruga, corpo em alumínio injetado, borracha de vedação, difusor em vidro prensado e grade frontal de proteção, fornecido com soquete E-27 e 01 lâmpada compacta LED 10w, ref.: EX02-S1E27, marca de ref. Lumidec</t>
  </si>
  <si>
    <t>'150702</t>
  </si>
  <si>
    <t>LABOR - 181003 - 3</t>
  </si>
  <si>
    <t>Luminaria embutir compl., corpo ch. aço pintada branca, refletor aletas parabólicas alum.alta pureza e refletância inclusive 2 lâmpadas LED T8 9W temp. de cor 5000k c/ 60cm - REF. CE216AL-N - AMES, 901 - LUMAVI OU EQUIVALENTE</t>
  </si>
  <si>
    <t>'150703</t>
  </si>
  <si>
    <t>LABOR - 181007 - 3</t>
  </si>
  <si>
    <t>Luminária embutir compl., corpo ch. aço pintada branca, refletor,aletas parabólicas alum.alta pureza e refletância nclusive 4 lâmpadas LED T8 9W temp. de cor 5000k - Ref.CE416AL-N - AMES, 6026 - LUMAVI OU EQUIVALENTE</t>
  </si>
  <si>
    <t>'150704</t>
  </si>
  <si>
    <t>COMPOSIÇÃO - 2018.000178</t>
  </si>
  <si>
    <t>Luminária LED refletor retangular bivolt, luz branca, 50 W-6000k, ref.: Ultra slim ou equivalente, fixada em platibanda face externa</t>
  </si>
  <si>
    <t>'150705</t>
  </si>
  <si>
    <t>COMPOSIÇÃO - 2018.000179</t>
  </si>
  <si>
    <t>Luminária LED refletor retangular bivolt, luz branca, 30W-6000k, ref.: Ultra slim ou equivalente, fixada em platibanda face externa</t>
  </si>
  <si>
    <t>'150706</t>
  </si>
  <si>
    <t>COMPOSIÇÃO - 2018.000180</t>
  </si>
  <si>
    <t>Luminária plafon redondo, refletor em alumínio com vidro fosco diâmetro 30cm, para 2 lâmpadas LED 10W, base E27,completa</t>
  </si>
  <si>
    <t>'150707</t>
  </si>
  <si>
    <t>'150708</t>
  </si>
  <si>
    <t>COMPOSIÇÃO - 2018.000181</t>
  </si>
  <si>
    <t>Luminária hermética IP-65 com 2 duas lâmpadas 18W-6000k uso sobrepor sustentada por 2 ganchos curtos sob perfilado 38x38mm</t>
  </si>
  <si>
    <t>'1508</t>
  </si>
  <si>
    <t xml:space="preserve">QUADROS ELÉTRICOS </t>
  </si>
  <si>
    <t>'150801</t>
  </si>
  <si>
    <t>COMPOSIÇÃO - 2018.000182</t>
  </si>
  <si>
    <t>Quadro de sobrepor para 28 circuitos com barramentos trifásico+neutro+terra - 100A sem disjuntores norma DIN</t>
  </si>
  <si>
    <t>'150802</t>
  </si>
  <si>
    <t>LABOR - 151904 - 2</t>
  </si>
  <si>
    <t>Quadro distrib. energia, embutido ou semi embutido, capac. p/ 44 disj. DIN, c/barram trif. 100A barra. neutro e terra, fab. em chapa de aço 12 USG com porta, espelho, trinco com fechad ch yale, Ref. QDTN II-44DIN-CEMAR ou equiv</t>
  </si>
  <si>
    <t>'150803</t>
  </si>
  <si>
    <t>COMPOSIÇÃO - 2018.000184</t>
  </si>
  <si>
    <t>Quadro de sobrepor para 70 circuitos com barramentos trifásico+neutro+terra-225A sem disjuntores norma DIN</t>
  </si>
  <si>
    <t>'150804</t>
  </si>
  <si>
    <t>COMPOSIÇÃO - 2018.000218</t>
  </si>
  <si>
    <t>Quadro geral de baixa tensão composto de painel, barramentos de cobre, isoladores, placa em acrílico, disjuntores de baixa tensão norma Nema caixa moldada, dispositivos de proteção contra surtos e disjuntor tripolar norma Din</t>
  </si>
  <si>
    <t>'1509</t>
  </si>
  <si>
    <t>'150901</t>
  </si>
  <si>
    <t>'150902</t>
  </si>
  <si>
    <t>LABOR - 030210 - 1</t>
  </si>
  <si>
    <t>Aterro compactado utilizando compactador de placa vibratória com reaproveitamento do material</t>
  </si>
  <si>
    <t>'150903</t>
  </si>
  <si>
    <t>LABOR - 150701 - 1</t>
  </si>
  <si>
    <t>Envelopamento de concreto simples com consumo mínimo de cimento de 250kg/m3, inclusive escavação para profundidade mínima do eletroduto de 50 cm, de 25 x 25 cm, para 1 eletroduto</t>
  </si>
  <si>
    <t>'150904</t>
  </si>
  <si>
    <t>LABOR - 150702 - 1</t>
  </si>
  <si>
    <t>Envelopamento de concreto simples com consumo mínimo de cimento de 250kg/m3, inclusive escavação para profundidade mínima do eletroduto de 50 cm, de 25 x 30 cm, para 2 eletrodutos</t>
  </si>
  <si>
    <t>'150905</t>
  </si>
  <si>
    <t>'16</t>
  </si>
  <si>
    <t xml:space="preserve">OUTRAS INSTALAÇÕES </t>
  </si>
  <si>
    <t>'1601</t>
  </si>
  <si>
    <t xml:space="preserve">INSTALAÇÕES DE INCÊNDIO </t>
  </si>
  <si>
    <t>'160101</t>
  </si>
  <si>
    <t xml:space="preserve">EXTINTORES </t>
  </si>
  <si>
    <t>'16010101</t>
  </si>
  <si>
    <t>LABOR - 160606 - 4</t>
  </si>
  <si>
    <t>Extintor de incêndio de gás carbônico CO2 5 B:C (6 Kg), inclusive suporte para fixação, EXCLUSIVE placa sinalizadora em PVC fotoluminescente</t>
  </si>
  <si>
    <t>'16010102</t>
  </si>
  <si>
    <t>'160102</t>
  </si>
  <si>
    <t xml:space="preserve">ILUMINAÇÃO DE EMERGENCIA E SINALIZAÇÃO </t>
  </si>
  <si>
    <t>'16010201</t>
  </si>
  <si>
    <t>COMPOSIÇÃO - 2018.000214</t>
  </si>
  <si>
    <t>Placa de sinalização de segurança contra incêndio fotoluminescente (tipos "S") dim. 13x26cm, conforme projeto </t>
  </si>
  <si>
    <t>'16010202</t>
  </si>
  <si>
    <t>DER-ES - EDIFICAÇÕES - 2018.000215</t>
  </si>
  <si>
    <t>Placa de sinalização de segurança contra incêndio fotoluminescente (tipos "E") dim. 20x20cm, conforme projeto</t>
  </si>
  <si>
    <t>'1602</t>
  </si>
  <si>
    <t xml:space="preserve">INSTALAÇÕES DE CABEAMENTO ESTRUTURADO </t>
  </si>
  <si>
    <t>'160201</t>
  </si>
  <si>
    <t xml:space="preserve">CAIXAS DE PASSAGEM EMBUTIR E SOBREPOR EM PAREDES E SOLO </t>
  </si>
  <si>
    <t>'16020101</t>
  </si>
  <si>
    <t>'16020102</t>
  </si>
  <si>
    <t>'16020103</t>
  </si>
  <si>
    <t>LABOR - 160108 - 3</t>
  </si>
  <si>
    <t>Caixa de telefone em chapa de aço padrão TELEBRAS do tipo CIE-2 200x200x120mm</t>
  </si>
  <si>
    <t>'16020104</t>
  </si>
  <si>
    <t>COMPOSIÇÃO - 2018.000187</t>
  </si>
  <si>
    <t>Caixa de sobrepor CD-05 (80x80x15cm) padrão Brasil Telecom</t>
  </si>
  <si>
    <t>'16020105</t>
  </si>
  <si>
    <t>'16020106</t>
  </si>
  <si>
    <t>LABOR - 160111 - 1</t>
  </si>
  <si>
    <t>Caixa para telefone padrão TELEMAR, dim. 1070 x 520 x 500 mm, com tampa de ferro tipo R2, assentada com argamassa de cimento, cal e areia</t>
  </si>
  <si>
    <t>'160202</t>
  </si>
  <si>
    <t xml:space="preserve">ELETRODUTOS, CANALETAS, ELETROCALHAS E CONEXÕES </t>
  </si>
  <si>
    <t>'16020201</t>
  </si>
  <si>
    <t>'16020202</t>
  </si>
  <si>
    <t>'16020203</t>
  </si>
  <si>
    <t>LABOR - 151129 - 1</t>
  </si>
  <si>
    <t>Eletroduto de PVC rígido roscável, diâm. 1 1/2" (50mm), inclusive conexões</t>
  </si>
  <si>
    <t>'16020204</t>
  </si>
  <si>
    <t>'16020205</t>
  </si>
  <si>
    <t>LABOR - 150860 - 1</t>
  </si>
  <si>
    <t>Tampa de encaixe para eletrocalha em chapa de aço galvanizada 18, dim. 150mm</t>
  </si>
  <si>
    <t>'16020206</t>
  </si>
  <si>
    <t>'16020207</t>
  </si>
  <si>
    <t>'16020208</t>
  </si>
  <si>
    <t>LABOR - 150835 - 2</t>
  </si>
  <si>
    <t>Eletrocalha perfurada em chapa de aço galvanizado nº16, 150x50mm, sem tampa</t>
  </si>
  <si>
    <t>'16020209</t>
  </si>
  <si>
    <t>COMPOSIÇÃO - 2018.000188</t>
  </si>
  <si>
    <t>Tê horizontal 90º para eletrocalha metálica 150x50mm, galvanizada</t>
  </si>
  <si>
    <t>'16020210</t>
  </si>
  <si>
    <t>COMPOSIÇÃO - 2018.000189</t>
  </si>
  <si>
    <t>Curva horizontal 90º para eletrocalha metálica, 150x50mm, galvanizada, ref. Mega MG 2510</t>
  </si>
  <si>
    <t>'16020211</t>
  </si>
  <si>
    <t>COMPOSIÇÃO - 2018.000190</t>
  </si>
  <si>
    <t>Curva horizontal inversa 90º para eletrocalha 150x50mm</t>
  </si>
  <si>
    <t>'16020212</t>
  </si>
  <si>
    <t>COMPOSIÇÃO - 2018.000192</t>
  </si>
  <si>
    <t>Suporte de fixação de eletrocalha 150x50mm, no teto, através suspenção vert. (1und), porca sextavada e arruela 1/4" (4und), vergalhão rosca total 1/4" (h=150cm), cantoneira zz (1und) e parafuso e bucha s8 (2und) uso a cada 1,5m</t>
  </si>
  <si>
    <t>'16020213</t>
  </si>
  <si>
    <t>'16020214</t>
  </si>
  <si>
    <t>'16020215</t>
  </si>
  <si>
    <t>'16020216</t>
  </si>
  <si>
    <t>'16020217</t>
  </si>
  <si>
    <t>'16020218</t>
  </si>
  <si>
    <t>'16020219</t>
  </si>
  <si>
    <t>'160203</t>
  </si>
  <si>
    <t xml:space="preserve">CABOS </t>
  </si>
  <si>
    <t>'16020301</t>
  </si>
  <si>
    <t>COMPOSIÇÃO - 2018.000185</t>
  </si>
  <si>
    <t>Cabo telefônico CTP-APL-50 30 pares (uso externo)</t>
  </si>
  <si>
    <t>'16020302</t>
  </si>
  <si>
    <t>LABOR - 160851 - 2</t>
  </si>
  <si>
    <t>Fornecimento e instalação de Cabo de rede par trançado 4 pares Categoria 6</t>
  </si>
  <si>
    <t>'16020303</t>
  </si>
  <si>
    <t>LABOR - 160126 - 1</t>
  </si>
  <si>
    <t>Cabo telefônico CI, diâmetro do condutor 50mm, 50 pares</t>
  </si>
  <si>
    <t>'160204</t>
  </si>
  <si>
    <t xml:space="preserve">PLACAS/ESPELHOS </t>
  </si>
  <si>
    <t>'16020401</t>
  </si>
  <si>
    <t>LABOR - 160872 - 1</t>
  </si>
  <si>
    <t>Espelho 4" x 2" com conector RJ 45 fêmea CAT. 6</t>
  </si>
  <si>
    <t>'16020402</t>
  </si>
  <si>
    <t>LABOR - 160873 - 1</t>
  </si>
  <si>
    <t>Espelho 4" x 4" com 2 conectores RJ 45 fêmea CAT. 6</t>
  </si>
  <si>
    <t>'16020403</t>
  </si>
  <si>
    <t>COMPOSIÇÃO - 2018.000193</t>
  </si>
  <si>
    <t>Tampa canaleta T114/2 ref. Engeduto com 01 furo e 01 conector RJ45 Cat6 fêmea</t>
  </si>
  <si>
    <t>'16020404</t>
  </si>
  <si>
    <t>COMPOSIÇÃO - 2018.000194</t>
  </si>
  <si>
    <t>Tampa canaleta T114/2 ref. Engeduto com 02 furos e 02 conectores RJ45 Cat6 fêmea</t>
  </si>
  <si>
    <t>'160205</t>
  </si>
  <si>
    <t xml:space="preserve">EQUIPAMENTOS E ACESSÓRIOS </t>
  </si>
  <si>
    <t>'16020501</t>
  </si>
  <si>
    <t>LABOR - 160816 - 2</t>
  </si>
  <si>
    <t>Fornecimento e instalação de Rack de Piso Fechado Padrão 19" - 44 U´s x 670mm</t>
  </si>
  <si>
    <t>'16020502</t>
  </si>
  <si>
    <t>COMPOSIÇÃO - 2018.000195</t>
  </si>
  <si>
    <t>Bandeja fixa para rack, 1Ux19"x500mm</t>
  </si>
  <si>
    <t>'16020503</t>
  </si>
  <si>
    <t>LABOR - 160843 - 1</t>
  </si>
  <si>
    <t>Patch Panel 24 Portas RJ45/IDC Cat.6, inclusive fixação em Rack 19"</t>
  </si>
  <si>
    <t>'16020504</t>
  </si>
  <si>
    <t>LABOR - 160825 - 2</t>
  </si>
  <si>
    <t>Guia de Cabos Fechado Horizontal Padrão 19" - 1 U´s, inclusive fixação em Rack 19"</t>
  </si>
  <si>
    <t>'16020505</t>
  </si>
  <si>
    <t>LABOR - 160847 - 1</t>
  </si>
  <si>
    <t>Patch Cord Gigalan Extra Flexível CAT 6 U/UTP RJ-45 - 1,50 m</t>
  </si>
  <si>
    <t>'16020506</t>
  </si>
  <si>
    <t>COMPOSIÇÃO - 2018.000196</t>
  </si>
  <si>
    <t>Régua com 8 tomadas 2P+T, 10 A</t>
  </si>
  <si>
    <t>'16020507</t>
  </si>
  <si>
    <t>COMPOSIÇÃO - 2018.000197</t>
  </si>
  <si>
    <t>Bandeja fixa para rack, 2Ux19"x500mm</t>
  </si>
  <si>
    <t>'16020508</t>
  </si>
  <si>
    <t>LABOR - 160864 - 1</t>
  </si>
  <si>
    <t>Switch 24 portas RJ-45 10/100 + 2 10/100/1000, inclusive fixação em Rack 19"</t>
  </si>
  <si>
    <t>'16020509</t>
  </si>
  <si>
    <t>COMPOSIÇÃO - 2018.000199</t>
  </si>
  <si>
    <t>Patch cord Cat 6 - 2,5 m</t>
  </si>
  <si>
    <t>'16020510</t>
  </si>
  <si>
    <t>COMPOSIÇÃO - 2018.000200</t>
  </si>
  <si>
    <t>Voice panel 50 portas</t>
  </si>
  <si>
    <t>'16020511</t>
  </si>
  <si>
    <t>COMPOSIÇÃO - 2018.000201</t>
  </si>
  <si>
    <t>Bloco de engate rápido BER-10 pares com proteção Minipei e bastidor em aço inox</t>
  </si>
  <si>
    <t>'16020512</t>
  </si>
  <si>
    <t>COMPOSIÇÃO - 2018.000202</t>
  </si>
  <si>
    <t>Anel guia base 02-40mm</t>
  </si>
  <si>
    <t>'16020513</t>
  </si>
  <si>
    <t>LABOR - 160870 - 1</t>
  </si>
  <si>
    <t>Certificação avulsa dos pontos com emissão de relatório do equipamento de teste mais de 101 pontos</t>
  </si>
  <si>
    <t>'1603</t>
  </si>
  <si>
    <t xml:space="preserve">INSTALAÇÕES DE CFTV ,CATV,ALARMES SENSORIAL E DE BARREIRA </t>
  </si>
  <si>
    <t>'160301</t>
  </si>
  <si>
    <t xml:space="preserve">CAIXAS DE PASSAGEM </t>
  </si>
  <si>
    <t>'16030101</t>
  </si>
  <si>
    <t>'16030102</t>
  </si>
  <si>
    <t>'16030103</t>
  </si>
  <si>
    <t>'16030104</t>
  </si>
  <si>
    <t>'16030105</t>
  </si>
  <si>
    <t>'160302</t>
  </si>
  <si>
    <t xml:space="preserve">ELETRODUTOS E CONEXÕES </t>
  </si>
  <si>
    <t>'16030201</t>
  </si>
  <si>
    <t>'16030202</t>
  </si>
  <si>
    <t>'16030203</t>
  </si>
  <si>
    <t>'16030204</t>
  </si>
  <si>
    <t>'16030205</t>
  </si>
  <si>
    <t>'16030206</t>
  </si>
  <si>
    <t>'16030207</t>
  </si>
  <si>
    <t>'160303</t>
  </si>
  <si>
    <t>'16030301</t>
  </si>
  <si>
    <t>'16030302</t>
  </si>
  <si>
    <t>COMPOSIÇÃO - 2018.000203</t>
  </si>
  <si>
    <t>Cabo manga 4x26AWG uso em sistema de alarme sensorial</t>
  </si>
  <si>
    <t>'16030303</t>
  </si>
  <si>
    <t>COMPOSIÇÃO - 2018.000204</t>
  </si>
  <si>
    <t>Cabo RGE-06 com 90% de malha uso em CATV (antena ou cabo) por assinatura</t>
  </si>
  <si>
    <t>'16030304</t>
  </si>
  <si>
    <t>COMPOSIÇÃO - 2018.000205</t>
  </si>
  <si>
    <t>Cabo 2x22AWG uso em sistema de travamento de fechaduras</t>
  </si>
  <si>
    <t>'16030305</t>
  </si>
  <si>
    <t>'160304</t>
  </si>
  <si>
    <t>'16030401</t>
  </si>
  <si>
    <t>'16030402</t>
  </si>
  <si>
    <t>COMPOSIÇÃO - 2018.000219</t>
  </si>
  <si>
    <t>Espelho 4x4" em PVC com 01 conector F uso em cabo de CATV</t>
  </si>
  <si>
    <t>'160305</t>
  </si>
  <si>
    <t>'16030501</t>
  </si>
  <si>
    <t>'16030502</t>
  </si>
  <si>
    <t>'16030503</t>
  </si>
  <si>
    <t>'16030504</t>
  </si>
  <si>
    <t>'16030505</t>
  </si>
  <si>
    <t>COMPOSIÇÃO - 2018.000206</t>
  </si>
  <si>
    <t>Kit Central de Alarme de Barreira monitorável, com 1 par de sensores IVA 5080 AT, 2 controles remotos, 1 bateria selada 12V-7A, 1 sirene 120db ref. INTELBRÁS Anm 24NET ou equivalente</t>
  </si>
  <si>
    <t>'16030506</t>
  </si>
  <si>
    <t>COMPOSIÇÃO - 2018.000207</t>
  </si>
  <si>
    <t>Sensor ativo de Barreira alcance máximo de 80m ref. INTELBRÁS IVA 5080 AT ou equivalente</t>
  </si>
  <si>
    <t>'16030507</t>
  </si>
  <si>
    <t>COMPOSIÇÃO - 2018.000208</t>
  </si>
  <si>
    <t>Central de Alarme sensorial monitorável com até 12 zonas ref. Active-8 Ultra (Modular) da JFL ou equivalente</t>
  </si>
  <si>
    <t>'16030508</t>
  </si>
  <si>
    <t>COMPOSIÇÃO - 2018.000209</t>
  </si>
  <si>
    <t>Sensor Passivo Infravermelho PET digital com tecnologia de barramento ref. JFL DSL-510 BUS ou equivalente</t>
  </si>
  <si>
    <t>'16030509</t>
  </si>
  <si>
    <t>COMPOSIÇÃO - 2018.000210</t>
  </si>
  <si>
    <t>Teclado LCD para alarme com fio para centrais monitoráveis ref. JFL TEC-300 ou equivalente</t>
  </si>
  <si>
    <t>'16030510</t>
  </si>
  <si>
    <t>COMPOSIÇÃO - 2018.000211</t>
  </si>
  <si>
    <t>Sirene piezoelétrica com tecnologia de barramento ref JFL SIR-215-BUS ou equivalente</t>
  </si>
  <si>
    <t>'16030511</t>
  </si>
  <si>
    <t>'16030512</t>
  </si>
  <si>
    <t>COMPOSIÇÃO - 2018.000212</t>
  </si>
  <si>
    <t>Kit comando de fechadura eletrônica com 1 receptora de sinal 1 canal JFL, uma fonte auxiliar entrada 127V e saída 12V/2AH e 1 controle remoto 433MHz</t>
  </si>
  <si>
    <t>'17</t>
  </si>
  <si>
    <t xml:space="preserve">APARELHOS HIDROSSANITÁRIOS </t>
  </si>
  <si>
    <t>'1701</t>
  </si>
  <si>
    <t xml:space="preserve">LOUÇAS </t>
  </si>
  <si>
    <t>'170101</t>
  </si>
  <si>
    <t>LABOR - 170136 - 3</t>
  </si>
  <si>
    <t>Bacia sanitária de louça branca, com caixa acoplada duplo acionamento, marca de ref. Deca Linha Ravena ou equivalente, inclusive assento plástico e acessórios de fixação</t>
  </si>
  <si>
    <t>'170102</t>
  </si>
  <si>
    <t>'170103</t>
  </si>
  <si>
    <t>LABOR - 170127 - 3</t>
  </si>
  <si>
    <t>Mictório de louça branca com sifão integrado M-715, marcas de referência Deca, Celite ou Ideal Standard, inclusive válvula de descarga linha anti-vandalismo, marcas de referência Fabrimar, Docol ou Deca e engates e acessórios cromados</t>
  </si>
  <si>
    <t>'170104</t>
  </si>
  <si>
    <t>LABOR - 170133 - 1</t>
  </si>
  <si>
    <t>Cuba louça branca oval, de embutir, Mod. L37, marca de ref. Deca incl. válvula e sifão, exclusive torneira.</t>
  </si>
  <si>
    <t>'170105</t>
  </si>
  <si>
    <t>COMPOSIÇÃO - 2018.000033</t>
  </si>
  <si>
    <t>Cuba Semi-encaixe, quadrada, de louça branca, 420mmx420mmx150mm, código L800.17, marca de referência Deca</t>
  </si>
  <si>
    <t>'170106</t>
  </si>
  <si>
    <t>COMPOSIÇÃO - 2018.000034</t>
  </si>
  <si>
    <t>Lavatório suspenso de louça branca, dim.395x295MM, MODELO IZZY, CÓD. L15.17, marca de referência Deca ou eq., inclusive válvula, sifão e engates cromados</t>
  </si>
  <si>
    <t>'170107</t>
  </si>
  <si>
    <t>COMPOSIÇÃO - 2018.000080</t>
  </si>
  <si>
    <t>Bacia turca com caixa de descarga de embutir Montana ou equivalente</t>
  </si>
  <si>
    <t>'1702</t>
  </si>
  <si>
    <t xml:space="preserve">BANCADAS </t>
  </si>
  <si>
    <t>'170201</t>
  </si>
  <si>
    <t>COMPOSIÇÃO - 2018.000035</t>
  </si>
  <si>
    <t>Bancada em granito polido Siena, esp.: 2 cm, conforme detalhe.</t>
  </si>
  <si>
    <t>'170202</t>
  </si>
  <si>
    <t>COMPOSIÇÃO - 2018.000037</t>
  </si>
  <si>
    <t>Rodabancada em granito SIENA, esp. 2cm, h=10,0cm, acabamento polido com borda boleda, assentado com argamassa de cimento, cal hidratada e areia, incluindo rejuntamento com cimento branco</t>
  </si>
  <si>
    <t>'170203</t>
  </si>
  <si>
    <t>COMPOSIÇÃO - 2018.000036</t>
  </si>
  <si>
    <t>Rodabancada inferior (saia) em granito SIENA, esp. 2cm, h=10,0cm, acabamento polido com borda boleda, assentado com argamassa de cimento, cal hidratada e areia, incluindo rejuntamento com cimento branco</t>
  </si>
  <si>
    <t>'170204</t>
  </si>
  <si>
    <t>COMPOSIÇÃO - 2018.000038</t>
  </si>
  <si>
    <t>Cantoneiras em perfil "L" de ferro galvanizado 1.1/2" x 1,1/2" x 3/16", chumbada em alvenaria, pintada com tinta esmalte sintético brilhante Suvinil cor gelo sobre duas demãos de supergalvite</t>
  </si>
  <si>
    <t>'1703</t>
  </si>
  <si>
    <t xml:space="preserve">TORNEIRAS </t>
  </si>
  <si>
    <t>'170301</t>
  </si>
  <si>
    <t>COMPOSIÇÃO - 2018.000039</t>
  </si>
  <si>
    <t>Torneira de pia de cozinha, bancada, saída lateral, tubo alto móvel, 1/4 de volta, com arejador móvel, cromada, linha Aquarius 1168-A, marca de ref. Fabrimar ou equivalente</t>
  </si>
  <si>
    <t>'170302</t>
  </si>
  <si>
    <t>COMPOSIÇÃO - 2018.000040</t>
  </si>
  <si>
    <t>Torneira pressão cromada para lavatório, linha Pressmatic, cod. 446106, marcas de referência Docol ou equivalente</t>
  </si>
  <si>
    <t>'170303</t>
  </si>
  <si>
    <t>COMPOSIÇÃO - 2018.000041</t>
  </si>
  <si>
    <t>Torneira pressão cromada para lavatório, linha Logicamatic, cod. 652806, marcas de referência Docol ou equivalente</t>
  </si>
  <si>
    <t>'170304</t>
  </si>
  <si>
    <t>COMPOSIÇÃO - 2018.000042</t>
  </si>
  <si>
    <t>Torneira de tanque e jardim, cromada, linha Aquarius, código 1128-A, marca de referência Fabrimar ou equivalente</t>
  </si>
  <si>
    <t>'1704</t>
  </si>
  <si>
    <t xml:space="preserve">OUTROS APARELHOS </t>
  </si>
  <si>
    <t>'170401</t>
  </si>
  <si>
    <t>'170402</t>
  </si>
  <si>
    <t>COMPOSIÇÃO - 2018.000030</t>
  </si>
  <si>
    <t>Chuveiro comum, 3 temperaturas, 5500w, 110v, tipo Maxi Ducha marca de referência Lorenzetti</t>
  </si>
  <si>
    <t>'170403</t>
  </si>
  <si>
    <t>COMPOSIÇÃO - 2018.000031</t>
  </si>
  <si>
    <t>Dispenser para papel higiênico em plástico ABS, tipo rolão para 300 metros, cor branco</t>
  </si>
  <si>
    <t>'170404</t>
  </si>
  <si>
    <t>LABOR - 170504 - 2</t>
  </si>
  <si>
    <t>Dispenser de plástico ABS branco para sabonete líquido, marcas de referência JSN, Iramax, Sólimp ou equivalente, com reservatório, fixado com parafusos e buchas</t>
  </si>
  <si>
    <t>'170405</t>
  </si>
  <si>
    <t>COMPOSIÇÃO - 2018.000032</t>
  </si>
  <si>
    <t>Dispenser para papel toalha interfolhado, duas dobras, em plástico ABS, cor branca</t>
  </si>
  <si>
    <t>'170406</t>
  </si>
  <si>
    <t>LABOR - 170530 - 2</t>
  </si>
  <si>
    <t>Cuba em aço inox nº 02(dim.560x340x150)mm, marcas de referência Franke, Strake, tramontina, inclusive válvula de metal 31/2" e sifão cromado 1 x 1/2", excl. torneira</t>
  </si>
  <si>
    <t>'170407</t>
  </si>
  <si>
    <t>LABOR - 170514 - 1</t>
  </si>
  <si>
    <t>Tanque simples de aço inox Fischer, mod. TQ1-S AISI 304, ou equivalente nas marcas Metalpress ou Mekal, inclusive válvula de metal 1 1/4" e sifão cromado 2", excl. torneira</t>
  </si>
  <si>
    <t>'170408</t>
  </si>
  <si>
    <t>LABOR - 170603 - 1</t>
  </si>
  <si>
    <t>Barra de apoio reta em aço inox 304 p/ portadores de necessidades especiais (NBR 9050), largura 80 cm</t>
  </si>
  <si>
    <t>'170409</t>
  </si>
  <si>
    <t>DER-ES - EDIFICAÇÕES - 170606</t>
  </si>
  <si>
    <t>Barra de apoio "U" em aço inox 304 Ø1.1/4" p/ lavatório L51 - Deca ou equivalente, p/ portadores de necessidades especiais (NBR 9050)</t>
  </si>
  <si>
    <t>'170410</t>
  </si>
  <si>
    <t>'170411</t>
  </si>
  <si>
    <t>COMPOSIÇÃO - 2018.000223</t>
  </si>
  <si>
    <t>Dispositivo de sinalização de emergência</t>
  </si>
  <si>
    <t>'18</t>
  </si>
  <si>
    <t>CLIMATIZAÇÃO</t>
  </si>
  <si>
    <t>'1801</t>
  </si>
  <si>
    <t xml:space="preserve">LINHA FRIGORÍGENA </t>
  </si>
  <si>
    <t>'180101</t>
  </si>
  <si>
    <t>COMPOSIÇÃO - 2018.000089</t>
  </si>
  <si>
    <t>Inst. linha frigorígena p/ interlig.do sist. climat.(equip. de 9 e 12k btus) incl. acess.de fix, fita PVC auto-aderente, cabo PP, tubos de cobre (linha liquida e sucção) e espuma elast. flex.(diam.1/4" e 3/8"), incl. gás ref R410</t>
  </si>
  <si>
    <t>'180102</t>
  </si>
  <si>
    <t>COMPOSIÇÃO - 2018.000090</t>
  </si>
  <si>
    <t>Inst.de linha frigorígena p/ interlig.do sist.de climat.(equip. 18k btus) incl. acess.de fix, fita PVC auto-aderente, cabo PP, tubos de cobre (linha liquida e sucção) e espuma elast. flex.(diam.1/4" e 1/2"), incl. gás ref R410</t>
  </si>
  <si>
    <t>'180103</t>
  </si>
  <si>
    <t>COMPOSIÇÃO - 2018.000091</t>
  </si>
  <si>
    <t>Inst. linha frigorígena p/ interlig.do sist. climat.(equip. de 24 e 30k btus) incl. acess.de fix, fita PVC auto-aderente, cabo PP, tubos de cobre (linha liquida e sucção) e esp. elast. flex.(diam.1/4" e 5/8"), incl. gás ref R410</t>
  </si>
  <si>
    <t>'1802</t>
  </si>
  <si>
    <t xml:space="preserve">FORNECIMENTO DE EQUIPAMENTOS DE CLIMATIZAÇÃO (EVAPORADORA E CONDENSADORA) </t>
  </si>
  <si>
    <t>'180201</t>
  </si>
  <si>
    <t>COMPOSIÇÃO - 2018.000096</t>
  </si>
  <si>
    <t>Conjunto split com capacidade nominal de 9.000BTU/h composto de unidade evaporadora tipo HiWall e unidade condensadora com descarga frontal - Fabricante: Elgin-Modelo: HAQI09B2FA/HAQE09BSNA</t>
  </si>
  <si>
    <t>'180202</t>
  </si>
  <si>
    <t>COMPOSIÇÃO - 2018.000095</t>
  </si>
  <si>
    <t>Conjunto split com capacidade nominal de 12.000BTU/h composto de unidade evaporadora tipo HiWall e unidade condensadora com descarga frontal - Fabricante: Elgin-Modelo: HAFI12B2FA/HAFE12B2NA</t>
  </si>
  <si>
    <t>'180203</t>
  </si>
  <si>
    <t>COMPOSIÇÃO - 2018.000094</t>
  </si>
  <si>
    <t>Conjunto split com capacidade nominal de 18.000BTU/h composto de unidade evaporadora tipo HiWall e unidade condensadora com descarga frontal. Fabricante: Elgin-Modelo: HAFI18B2FA/HAFE18B2NA</t>
  </si>
  <si>
    <t>'180204</t>
  </si>
  <si>
    <t>COMPOSIÇÃO - 2018.000093</t>
  </si>
  <si>
    <t>Conjunto split com capacidade nominal de 24.000BTU/h composto de unidade evaporadora tipo HiWall e unidade condensadora com descarga frontal. Fabricante: Elgin-Modelo: HWQI24B2IA/HWQE24B2NA</t>
  </si>
  <si>
    <t>'180205</t>
  </si>
  <si>
    <t>COMPOSIÇÃO - 2018.000092</t>
  </si>
  <si>
    <t>Conjunto split com capacidade nominal de 30.000BTU/h composto de unidade evaporadora tipo HiWall e unidade condensadora com descarga frontal. Fabricante: Elgin - modelo: HWFI30B2IA/HWFE30B2IA</t>
  </si>
  <si>
    <t>'1803</t>
  </si>
  <si>
    <t>INSTALAÇÃO DE EQUIPAMENTOS DE CLIMATIZAÇÃO (EVAPORADORA)</t>
  </si>
  <si>
    <t>'180301</t>
  </si>
  <si>
    <t>COMPOSIÇÃO - 2018.000101</t>
  </si>
  <si>
    <t>Instalação de unidade evaporadora 9.000Btu's - tipo: hiwall, exclusive circuitos frigorígenos</t>
  </si>
  <si>
    <t>'180302</t>
  </si>
  <si>
    <t>COMPOSIÇÃO - 2018.000100</t>
  </si>
  <si>
    <t>Instalação de unidade evaporadora 12.000Btu's - tipo: hiwall, exclusive circuitos frigorígenos</t>
  </si>
  <si>
    <t>'180303</t>
  </si>
  <si>
    <t>COMPOSIÇÃO - 2018.000099</t>
  </si>
  <si>
    <t>Instalação de unidade evaporadora 18.000Btu's - tipo: hiwall, exclusive circuitos frigorígenos</t>
  </si>
  <si>
    <t>'180304</t>
  </si>
  <si>
    <t>COMPOSIÇÃO - 2018.000098</t>
  </si>
  <si>
    <t>Instalação de unidade evaporadora 24.000Btu's - tipo: hiwall, exclusive circuitos frigorígenos</t>
  </si>
  <si>
    <t>'180305</t>
  </si>
  <si>
    <t>COMPOSIÇÃO - 2018.000097</t>
  </si>
  <si>
    <t>Instalação de unidade evaporadora 30.000Btu's - tipo: hiwall, exclusive circuitos frigorígenos</t>
  </si>
  <si>
    <t>'1804</t>
  </si>
  <si>
    <t>INSTALAÇÃO DE EQUIPAMENTOS DE CLIMATIZAÇÃO (CONDENSADORA)</t>
  </si>
  <si>
    <t>'180401</t>
  </si>
  <si>
    <t>COMPOSIÇÃO - 2018.000108</t>
  </si>
  <si>
    <t>Instalação de unidade condensadora 9.000Btu/h, exclusive circuitos frigorígenos, isolamento, suportes, gás refrigerante e acessórios</t>
  </si>
  <si>
    <t>'180402</t>
  </si>
  <si>
    <t>COMPOSIÇÃO - 2018.000106</t>
  </si>
  <si>
    <t>Instalação de unidade condensadora 12.000Btu/h, exclusive circuitos frigorígenos, isolamento, suportes, gás refrigerante e acessórios</t>
  </si>
  <si>
    <t>'180403</t>
  </si>
  <si>
    <t>COMPOSIÇÃO - 2018.000104</t>
  </si>
  <si>
    <t>Instalação de unidade condensadora 18.000Btu/h, exclusive circuitos frigorígenos, isolamento, suportes, gás refrigerante e acessórios</t>
  </si>
  <si>
    <t>'180404</t>
  </si>
  <si>
    <t>COMPOSIÇÃO - 2018.000103</t>
  </si>
  <si>
    <t>Instalação de unidade condensadora 24.000Btu/h, exclusive circuitos frigorígenos, isolamento, suportes, gás refrigerante e acessórios</t>
  </si>
  <si>
    <t>'180405</t>
  </si>
  <si>
    <t>COMPOSIÇÃO - 2018.000102</t>
  </si>
  <si>
    <t>Instalação de unidade condensadora 30.000Btu/h, exclusive circuitos frigorígenos, isolamento, suportes, gás refrigerante e acessórios</t>
  </si>
  <si>
    <t>'1805</t>
  </si>
  <si>
    <t xml:space="preserve">SISTEMA DE EXAUSTÃO </t>
  </si>
  <si>
    <t>'180501</t>
  </si>
  <si>
    <t>COMPOSIÇÃO - 2018.000110</t>
  </si>
  <si>
    <t>Ventilador de exaustão compacto, com rolamento, 127/220V Pot.: 0,05kw , vazão de 130m3/h . Fabricante OTAM S&amp;P Modelo: Silent200 ou equivalente</t>
  </si>
  <si>
    <t>'180502</t>
  </si>
  <si>
    <t>COMPOSIÇÃO - 2018.000111</t>
  </si>
  <si>
    <t>Ventilador de exaustão compacto, com rolamento, 220V Pot.: 0,29kw, vazão descarga livre - 2020m3/h Fabricante Otam S&amp;P Modelo: Mixvent TD 2000x315 ou equivalente</t>
  </si>
  <si>
    <t>'180503</t>
  </si>
  <si>
    <t>COMPOSIÇÃO - 2018.000112</t>
  </si>
  <si>
    <t>Gabinete para filtro G4+F5 - 500x250 - colarinho diâm. 315mm - FABRICANTE OTAM S&amp;P MODELO: MFL-C 315 ou equivalente</t>
  </si>
  <si>
    <t>'180504</t>
  </si>
  <si>
    <t>COMPOSIÇÃO - 2018.000113</t>
  </si>
  <si>
    <t>Duto flexível de polietileno/PVC, estruturado com arame de aço, diâm. 100mm</t>
  </si>
  <si>
    <t>'180505</t>
  </si>
  <si>
    <t>COMPOSIÇÃO - 2018.000114</t>
  </si>
  <si>
    <t>Tubo de PVC, linha leve, inclusive acessórios, diâm. 150mm</t>
  </si>
  <si>
    <t>'180506</t>
  </si>
  <si>
    <t>Tubo PVC Rígido soldável, dn 100 mm, fornecido e instalado em condutor horizontal fixado na laje do teto com fita perfurada metálica a cada metro</t>
  </si>
  <si>
    <t>'180507</t>
  </si>
  <si>
    <t>COMPOSIÇÃO - 2018.000116</t>
  </si>
  <si>
    <t>Veneziana de alumínio, tam. 600x150mm, modelo GR, marca de referência Disfustherm ou equivalente</t>
  </si>
  <si>
    <t>'180508</t>
  </si>
  <si>
    <t>COMPOSIÇÃO - 2018.000117</t>
  </si>
  <si>
    <t>Difusor com regulador de vazão redondo, diâm. 100mm, em plástico, modelo BOC 100, marca de referência OTAM S&amp;P</t>
  </si>
  <si>
    <t>'180509</t>
  </si>
  <si>
    <t>COMPOSIÇÃO - 2018.000118</t>
  </si>
  <si>
    <t>Colarinho de lona - conexão flexível entre o ventilador e o duto</t>
  </si>
  <si>
    <t>'180510</t>
  </si>
  <si>
    <t>COMPOSIÇÃO - 2018.000120</t>
  </si>
  <si>
    <t>Duto de ar confeccionado em chapa de aço galvanizado, com sistema de vedação estanque, montado com sistema flangeado e isolado termicamente com manta de lã de rocha - chapa bitola #26</t>
  </si>
  <si>
    <t>'180511</t>
  </si>
  <si>
    <t>Duto de ar confeccionado em chapa de aço galvanizado, com sistema de vedação estanque, montado com sistema flangeado e isolado termicamente com manta de lã de rocha - chapa bitola #24</t>
  </si>
  <si>
    <t>'1806</t>
  </si>
  <si>
    <t>'180601</t>
  </si>
  <si>
    <t>COMPOSIÇÃO - 2018.000121</t>
  </si>
  <si>
    <t>Caixa de passagem para condicionamento de ar tipo Split, com saída de dreno único na vertical</t>
  </si>
  <si>
    <t>'180602</t>
  </si>
  <si>
    <t>COMPOSIÇÃO - 2018.000122</t>
  </si>
  <si>
    <t>Base para apoio de condensadoras em alvenaria com blocos de concreto estrutural cheio 19x19x39cm, espessura 19cm, assentados com argamassa traço 1:4 (cimento e areia) preparo manual</t>
  </si>
  <si>
    <t>'19</t>
  </si>
  <si>
    <t>PINTURA</t>
  </si>
  <si>
    <t>'1901</t>
  </si>
  <si>
    <t xml:space="preserve">SOBRE PAREDES E FORROS </t>
  </si>
  <si>
    <t>'190101</t>
  </si>
  <si>
    <t>'190102</t>
  </si>
  <si>
    <t>'190103</t>
  </si>
  <si>
    <t>'190104</t>
  </si>
  <si>
    <t>COMPOSIÇÃO - 2018.000186</t>
  </si>
  <si>
    <t>Pintura com tinta epóxi sobre piso e parede em concreto polido, Intergard 2005 - ref. Internacional ou equiv., a três demãos, com aplicador de selador a base de epóxi, 1 demão</t>
  </si>
  <si>
    <t>'190105</t>
  </si>
  <si>
    <t>COMPOSIÇÃO - 2018.000254</t>
  </si>
  <si>
    <t>Pintura impermeabilizante com Acquella, referência Vedacit incolor</t>
  </si>
  <si>
    <t>'1902</t>
  </si>
  <si>
    <t xml:space="preserve">SOBRE CONCRETO OU BLOCOS CERÂMICOS APARENTES </t>
  </si>
  <si>
    <t>'190201</t>
  </si>
  <si>
    <t>LABOR - 190204 - 1</t>
  </si>
  <si>
    <t>Pintura com tinta acrílica, marcas de referência Suvinil, Coral ou Metalatex, inclusive selador acrílico, em cobogós de concreto, a duas demãos</t>
  </si>
  <si>
    <t>'1903</t>
  </si>
  <si>
    <t xml:space="preserve">SOBRE MADEIRA </t>
  </si>
  <si>
    <t>'190301</t>
  </si>
  <si>
    <t>LABOR - 190306 - 2</t>
  </si>
  <si>
    <t>Pintura com verniz filtro solar fosco, linha Premium, em madeira, a três demãos, marcas de referência Suvinil, Coral ou Metalatex</t>
  </si>
  <si>
    <t>'1904</t>
  </si>
  <si>
    <t xml:space="preserve">SOBRE METAL </t>
  </si>
  <si>
    <t>'190401</t>
  </si>
  <si>
    <t>'1905</t>
  </si>
  <si>
    <t xml:space="preserve">SOBRE MUROS E FACHADAS </t>
  </si>
  <si>
    <t>'190501</t>
  </si>
  <si>
    <t>LABOR - 190111 - 1</t>
  </si>
  <si>
    <t>'190502</t>
  </si>
  <si>
    <t>LABOR - 190123 - 2</t>
  </si>
  <si>
    <t>'20</t>
  </si>
  <si>
    <t>SERVIÇOS COMPLEMENTARES</t>
  </si>
  <si>
    <t>'2001</t>
  </si>
  <si>
    <t>PLATAFORMA ELEVATÓRIA</t>
  </si>
  <si>
    <t>'200101</t>
  </si>
  <si>
    <t>COMPOSIÇÃO - 2018.000043</t>
  </si>
  <si>
    <t>Plataforma elevatória semicabinada, (90x140cm), carga 275kg, com porta de acesso unilateral, (desníveis até 4m). Marcasde ref. Montelle Elevadores, Thyssenkrupp ou Mercury.</t>
  </si>
  <si>
    <t>'2002</t>
  </si>
  <si>
    <t>DIVERSOS INTERNOS</t>
  </si>
  <si>
    <t>'200201</t>
  </si>
  <si>
    <t>COMPOSIÇÃO - 2018.000073</t>
  </si>
  <si>
    <t>Guarda corpo h=1.10m, com corrimão duplo, h=90 e h=70cm, em tubo de aço inox. 1.1/2", chumbado em estrutura a cada 1.25.</t>
  </si>
  <si>
    <t>'200202</t>
  </si>
  <si>
    <t>LABOR - 200576 - 1</t>
  </si>
  <si>
    <t>Placa para inauguração de obra em alumínio polido e=4mm, dimensões 40 x 50 cm, gravação em baixo relevo, inclusive pintura e fixação</t>
  </si>
  <si>
    <t>'200203</t>
  </si>
  <si>
    <t>Alçapão de visita ao barrilete de chapa de ferro, inclusive dobradiça, marco, alizar e fechadura e pintura, dim. 0,80x0,80m, conforme detalhe</t>
  </si>
  <si>
    <t>'200204</t>
  </si>
  <si>
    <t>COMPOSIÇÃO - 21AA.000040</t>
  </si>
  <si>
    <t>Armário com portas e gavetas. Revestimento externo em fórmica e interno em laminado melamínico, conforme projeto.</t>
  </si>
  <si>
    <t>'200205</t>
  </si>
  <si>
    <t>Corrimão em aço inox ø=1 1/2", duplo, h=90cm</t>
  </si>
  <si>
    <t>'2003</t>
  </si>
  <si>
    <t>DIVERSOS EXTERNOS</t>
  </si>
  <si>
    <t>'200301</t>
  </si>
  <si>
    <t>COMPOSIÇÃO - 2018.000075</t>
  </si>
  <si>
    <t>Bicicletário em tubo de aço inox 2" fixado por flange e chumbador mecânico</t>
  </si>
  <si>
    <t>'200302</t>
  </si>
  <si>
    <t>COMPOSIÇÃO - 2018.000128</t>
  </si>
  <si>
    <t>Letra caixa em aço inox - h=25cm</t>
  </si>
  <si>
    <t>'200303</t>
  </si>
  <si>
    <t>COMPOSIÇÃO - 21AA.000057</t>
  </si>
  <si>
    <t>Conjunto de mastro p/ três bandeiras inclusive base de concreto armado e pintura.</t>
  </si>
  <si>
    <t>'2004</t>
  </si>
  <si>
    <t>REVESTIMENTO EM ACM</t>
  </si>
  <si>
    <t>'200401</t>
  </si>
  <si>
    <t>COMPOSIÇÃO - 2018.000220</t>
  </si>
  <si>
    <t>'2005</t>
  </si>
  <si>
    <t>PAISAGISMO</t>
  </si>
  <si>
    <t>'200501</t>
  </si>
  <si>
    <t>LABOR - 200326 - 1</t>
  </si>
  <si>
    <t>Fornecimento e plantio de grama em placas tipo esmeralda, inclusive fornecimento de terra vegetal</t>
  </si>
  <si>
    <t>'21</t>
  </si>
  <si>
    <t>TRATAMENTO, CONSERVAÇÃO E LIMPEZA</t>
  </si>
  <si>
    <t>'2101</t>
  </si>
  <si>
    <t>LIMPEZA PÓS OBRA</t>
  </si>
  <si>
    <t>'210101</t>
  </si>
  <si>
    <t>'210102</t>
  </si>
  <si>
    <t>LABOR - 200402 - 1</t>
  </si>
  <si>
    <t>Limpeza geral de obras (quadras, praças e jardins)</t>
  </si>
  <si>
    <t>Demolição de piso granilite(Incluindo contrapiso)</t>
  </si>
  <si>
    <t>Demolição de piso revestido com cerâmica (Incluindo contrapiso)</t>
  </si>
  <si>
    <t>Demolição de revestimento com azulejos (Incluindo emboço)</t>
  </si>
  <si>
    <t>Limpeza geral das áreas internas após demolição da edificação a reformar. (Serviço a ser realizado após as demolições para dar início à construção)</t>
  </si>
  <si>
    <t>0502 VERGAS/CONTRAVERGA</t>
  </si>
  <si>
    <t xml:space="preserve">01 </t>
  </si>
  <si>
    <t xml:space="preserve">0101 </t>
  </si>
  <si>
    <t xml:space="preserve">0102 </t>
  </si>
  <si>
    <t>0103</t>
  </si>
  <si>
    <t xml:space="preserve"> LOCAÇÃO</t>
  </si>
  <si>
    <t xml:space="preserve">0104 </t>
  </si>
  <si>
    <t xml:space="preserve">02 </t>
  </si>
  <si>
    <t xml:space="preserve">0201 </t>
  </si>
  <si>
    <t xml:space="preserve">0203 </t>
  </si>
  <si>
    <t xml:space="preserve">0204 </t>
  </si>
  <si>
    <t>Aluguel mensal container sanitário, incl porta, básc, 2 ptos luz, 1 pto aterram., 3vasos, 3lavatórios, calha mictório, 6 chuveiros (1 eletrico), torn.,registros, piso comp. Naval pintado, cert NR18 e laudo descontaminação (Sanitário / Vestiário)</t>
  </si>
  <si>
    <t xml:space="preserve">04 </t>
  </si>
  <si>
    <t xml:space="preserve">0401 </t>
  </si>
  <si>
    <t xml:space="preserve">0402 </t>
  </si>
  <si>
    <t xml:space="preserve">0403 </t>
  </si>
  <si>
    <t xml:space="preserve">0404 </t>
  </si>
  <si>
    <t xml:space="preserve">0405 </t>
  </si>
  <si>
    <t xml:space="preserve">0406 </t>
  </si>
  <si>
    <t xml:space="preserve">0407 </t>
  </si>
  <si>
    <t>Estrut. metálica constituída por perfis formados a frio, aço estrutural ASTM A-572 GR.50 (terças) ASTM A-36 (demais perfis) c/ o sistema de trat. e pint conf projeto:a. preparação de superfície: jateamento abrasivo ao padrão Sa 2.1/2 conforme norma SIS 05 5900; b. fundo: primer epóxi rico em alumínio, espessura de 80 micra; acabamento: esmalte epóxi, espessura de 80 micra;</t>
  </si>
  <si>
    <t xml:space="preserve">05 </t>
  </si>
  <si>
    <t xml:space="preserve">0501 </t>
  </si>
  <si>
    <t>0503</t>
  </si>
  <si>
    <t xml:space="preserve"> ALVENARIA ESTRUTURAL</t>
  </si>
  <si>
    <t xml:space="preserve">0504 </t>
  </si>
  <si>
    <t xml:space="preserve">0505 </t>
  </si>
  <si>
    <t>Cobertura em telha termoacustica (telha/telha) em aço galvalume trapez. 40, e=0,5mm(telha superior) e 0,43mm (inferior),pint. face. sup. e infer. cor branca, incl. pingadeira e acess. fix. nucleo em PIR (injeção contínua), e=30mm marca refencia ref. Termoroof PIR - Santo Andre; Panissol, Metform e ou Dânica (Área de telha a ser executada)</t>
  </si>
  <si>
    <t>Portão com 1 folha de abrir, 100x210cm, partes fixas para fechamentos do vão total (laterais e até o teto), com medidas variáveis nas laterais e altura total de 3,19m. Confeccionado com requadro em barra chata 1.3/4x5/16" fechamento horizontal em vergalhão 1", completo de suporte para ferrolho e ferrolho em vergalhão de aço galvanizado 1", dobradiças alongadas com abertura de 180º (gonzo 5/8") conforme detalhe em projeto, exclusive pintura</t>
  </si>
  <si>
    <t>Estrut. metálica constituída por perfis formados a frio, aço estrutural ASTM A-572 GR.50 (terças) ASTM A-36 (demais perfis) c/ o sistema de trat. e pint conf projeto: a. preparação de superfície: jateamento abrasivo ao padrão Sa 2.1/2 conforme norma SIS 05 5900; b. fundo: primer epóxi rico em alumínio, espessura de 80 micra; acabamento: esmalte epóxi, espessura de 80 micra;</t>
  </si>
  <si>
    <t>Conjunto entrada de energia com dois cômodos (um para entrada em MT e outro para saída em BT) conforme descrição na prancha 02/05 com trafo a óleo mineral ou envirotemp trifásico 150kva em subestação tipo pedestal completa de acessórios e tensões primárias 13,8/13,2/12,6/12/11,4/10,8kv e secundárias 127/220v, chave porta fusível na saida de 400a com 3nh retardado de 350a , estrutura de proteção grau de proteção ip54 e placas de identificação, padrão EDP</t>
  </si>
  <si>
    <t>Mureta de medição elétrica usando argamassa com cimento, areia e cal hidratada dimensões (c=2,10m)x(a=2,50m)e(p=0,30m) com revestimentos em chapisco e reboco, com emassamento e pintura acrílicos 3 demãos pingadeira em granito cinza comprimento 2,40m e profundidade 0,30cm com caixas de medição em kWh, tc e para disjuntor de 3x300A,exclusive o mesmo</t>
  </si>
  <si>
    <t>Textura acrílica fina, marcas de referência Suvinil, Coral ou Metalatex, aplicação de uma demão com utilização de rolo de lã para textura, sobre selador acrílico (Fachada - conforme especificação)</t>
  </si>
  <si>
    <t>Textura acrílica Permalit nobre 222, sobre uma demão de Permaselor, marca de referência Ibratin, em paredes, a uma demão (Muro - conforme especificação)</t>
  </si>
  <si>
    <t>Revestimento em placa de alumínio composto (inclusive estrutura de fixação), 4mm, linha Arch, cores conforme especificado em projeto, marca referencia Projeto Alumínio ou equivalente. Fornecimento e instalação (Quantitativo de cores conforme memória de cálculo)</t>
  </si>
  <si>
    <t>Contratado: VILLA CONSTRUTORA LTDA</t>
  </si>
  <si>
    <t>CONTRATO PCES: 009/2023</t>
  </si>
  <si>
    <t>ORDEM DE SERVIÇO: 26/06/2023</t>
  </si>
  <si>
    <t>CONCORRÊNCIA Nº: 003/2022</t>
  </si>
  <si>
    <t>PRAZO: 14 meses</t>
  </si>
  <si>
    <t>TÉRMINO: 26/08/2024</t>
  </si>
  <si>
    <t>E-DOCS 2022-Q4C3Z</t>
  </si>
  <si>
    <t>Obra: REFORMA, ADEQUAÇÃO e AMPLIAÇÃO DA 1ª DELEGACIA REGIONAL DE VITORIA/ES- End.:  Rua Construtor Camilo Gianórdoli, nº 553, Horto, Vitória / ES- - CEP - 29.306-500
500.</t>
  </si>
  <si>
    <r>
      <t>SIRLOÉ OHNESORGE MORAES JUNIOR-</t>
    </r>
    <r>
      <rPr>
        <sz val="11"/>
        <color theme="1"/>
        <rFont val="Calibri"/>
        <family val="2"/>
        <scheme val="minor"/>
      </rPr>
      <t>Eng. Responsável- VILLA CONSTRUTORA</t>
    </r>
  </si>
  <si>
    <r>
      <t xml:space="preserve">ELAINE CRISTINA RORIZ MEIRELES                            </t>
    </r>
    <r>
      <rPr>
        <sz val="11"/>
        <color theme="1"/>
        <rFont val="Calibri"/>
        <family val="2"/>
        <scheme val="minor"/>
      </rPr>
      <t xml:space="preserve">COMISSÃO GESTORA PCES </t>
    </r>
  </si>
  <si>
    <r>
      <rPr>
        <b/>
        <sz val="11"/>
        <color theme="1"/>
        <rFont val="Calibri"/>
        <family val="2"/>
        <scheme val="minor"/>
      </rPr>
      <t>DÊNES DA SILVA DUTRA-</t>
    </r>
    <r>
      <rPr>
        <sz val="11"/>
        <color theme="1"/>
        <rFont val="Calibri"/>
        <family val="2"/>
        <scheme val="minor"/>
      </rPr>
      <t xml:space="preserve">COMISSÃO GESTORA PCES </t>
    </r>
  </si>
  <si>
    <r>
      <rPr>
        <b/>
        <sz val="11"/>
        <color theme="1"/>
        <rFont val="Calibri"/>
        <family val="2"/>
        <scheme val="minor"/>
      </rPr>
      <t>ANTONIO JORGE MOREIRA RAPOSO</t>
    </r>
    <r>
      <rPr>
        <sz val="11"/>
        <color theme="1"/>
        <rFont val="Calibri"/>
        <family val="2"/>
        <scheme val="minor"/>
      </rPr>
      <t xml:space="preserve"> -                      COMISSÃO GESTORA PCES </t>
    </r>
  </si>
  <si>
    <r>
      <rPr>
        <b/>
        <sz val="11"/>
        <color theme="1"/>
        <rFont val="Calibri"/>
        <family val="2"/>
        <scheme val="minor"/>
      </rPr>
      <t xml:space="preserve">MAYARA SAMIRA DA SILVA MARQUES- </t>
    </r>
    <r>
      <rPr>
        <sz val="11"/>
        <color theme="1"/>
        <rFont val="Calibri"/>
        <family val="2"/>
        <scheme val="minor"/>
      </rPr>
      <t xml:space="preserve">                  COMISSÃO GESTORA PCES </t>
    </r>
  </si>
  <si>
    <r>
      <t>MEDIÇÃO:</t>
    </r>
    <r>
      <rPr>
        <b/>
        <sz val="9"/>
        <color rgb="FFFF0000"/>
        <rFont val="Arial"/>
        <family val="2"/>
      </rPr>
      <t>03</t>
    </r>
    <r>
      <rPr>
        <b/>
        <sz val="9"/>
        <rFont val="Arial"/>
        <family val="2"/>
      </rPr>
      <t xml:space="preserve"> - PERÍODO </t>
    </r>
    <r>
      <rPr>
        <b/>
        <sz val="9"/>
        <color rgb="FFFF0000"/>
        <rFont val="Arial"/>
        <family val="2"/>
      </rPr>
      <t>01/09/2023 a 30/09/2023</t>
    </r>
  </si>
  <si>
    <t>MEMÓRIA DE CÁLCULO</t>
  </si>
  <si>
    <t>REFORMA, ADEQUAÇÃO E AMPLIAÇÃO DA 1ª DELEGACIA REGIONAL DE VITORIA/ES</t>
  </si>
  <si>
    <t>Cliente</t>
  </si>
  <si>
    <t>Valor atual</t>
  </si>
  <si>
    <t xml:space="preserve"> Base</t>
  </si>
  <si>
    <t>Municipio</t>
  </si>
  <si>
    <t>Tipo de Obra</t>
  </si>
  <si>
    <t>Mês</t>
  </si>
  <si>
    <t>Med</t>
  </si>
  <si>
    <t>Contratada</t>
  </si>
  <si>
    <t>Contrato</t>
  </si>
  <si>
    <t>O/S</t>
  </si>
  <si>
    <t>Data Início</t>
  </si>
  <si>
    <t>Término</t>
  </si>
  <si>
    <t>Prazo</t>
  </si>
  <si>
    <t>PC-ES</t>
  </si>
  <si>
    <t>Vitória</t>
  </si>
  <si>
    <t>Reforma</t>
  </si>
  <si>
    <t>VILLA CONSTRUTORA</t>
  </si>
  <si>
    <t>009/2023</t>
  </si>
  <si>
    <t>008/2023</t>
  </si>
  <si>
    <t>ITEM</t>
  </si>
  <si>
    <t>UND</t>
  </si>
  <si>
    <t>Quant. Contratada</t>
  </si>
  <si>
    <t>Saldo atual</t>
  </si>
  <si>
    <t xml:space="preserve">PLANILHA </t>
  </si>
  <si>
    <t>010101</t>
  </si>
  <si>
    <t>m³</t>
  </si>
  <si>
    <t>x</t>
  </si>
  <si>
    <t>y</t>
  </si>
  <si>
    <t>z</t>
  </si>
  <si>
    <t>w</t>
  </si>
  <si>
    <t>Comp. (m)</t>
  </si>
  <si>
    <t>Altura (m)</t>
  </si>
  <si>
    <t>Larg ( m)</t>
  </si>
  <si>
    <t>Qtd ( unid)</t>
  </si>
  <si>
    <t>1ª medição</t>
  </si>
  <si>
    <t>1º Pavimento:</t>
  </si>
  <si>
    <t>Repouso</t>
  </si>
  <si>
    <t>Sala detentos/armários circulação</t>
  </si>
  <si>
    <t>Apoio/ Circulação</t>
  </si>
  <si>
    <t>Apoio/ Vestiário/sala delegado</t>
  </si>
  <si>
    <t xml:space="preserve">Vestiário/fachada </t>
  </si>
  <si>
    <t>Recepção/patio coberto / circulação</t>
  </si>
  <si>
    <t>Recepção/balcão</t>
  </si>
  <si>
    <t>2º Pavimento:</t>
  </si>
  <si>
    <t xml:space="preserve">Salas 01/escada </t>
  </si>
  <si>
    <t xml:space="preserve">Salas 01/Fachada frontal </t>
  </si>
  <si>
    <t>Copa /Circulação</t>
  </si>
  <si>
    <t>Copa/vestiários / sala 9</t>
  </si>
  <si>
    <t>Circulação/sala 09</t>
  </si>
  <si>
    <t>WC Masc/Fem com cicrlações e sala 03</t>
  </si>
  <si>
    <t>WC x sala 08 x tanque</t>
  </si>
  <si>
    <t>Vazio x novas básculas</t>
  </si>
  <si>
    <t>Cobertura:</t>
  </si>
  <si>
    <t>Platibanda telhado (hmédia = 1,85m) - Lado direito</t>
  </si>
  <si>
    <t>2ª medição</t>
  </si>
  <si>
    <t>Muro/Divisa fundos e lado direito do predio de 1 pavimento</t>
  </si>
  <si>
    <t>Demolição de muro existente</t>
  </si>
  <si>
    <t xml:space="preserve">Lixo </t>
  </si>
  <si>
    <t>WC FEM / Circulação</t>
  </si>
  <si>
    <t>Platibanda telhado (hmédia = 1,85m)</t>
  </si>
  <si>
    <t xml:space="preserve">Caixa d'água </t>
  </si>
  <si>
    <t>Total Executado=</t>
  </si>
  <si>
    <t>Medido até a última medição =</t>
  </si>
  <si>
    <t>Total Medido Nesta Medição=</t>
  </si>
  <si>
    <t>010102</t>
  </si>
  <si>
    <t>m²</t>
  </si>
  <si>
    <t>Almoxarifado 02</t>
  </si>
  <si>
    <t xml:space="preserve">Circulação interna incluindo portas  </t>
  </si>
  <si>
    <t>Apoio Administ  x Administ</t>
  </si>
  <si>
    <t xml:space="preserve">Recepção x Apoio Administ </t>
  </si>
  <si>
    <t>Área Técnica</t>
  </si>
  <si>
    <t>DML</t>
  </si>
  <si>
    <t>Sala Investigadores</t>
  </si>
  <si>
    <t>Administração / Apoio Administrativo</t>
  </si>
  <si>
    <t>Recepção</t>
  </si>
  <si>
    <t>Cartório 2º Plantão</t>
  </si>
  <si>
    <t>Cartório 1º Plantão</t>
  </si>
  <si>
    <t>Sala Delegado</t>
  </si>
  <si>
    <t xml:space="preserve">Circulação </t>
  </si>
  <si>
    <t>Salas (01, 02, 03, 04, 05, 06, 07,08, 09)</t>
  </si>
  <si>
    <t>010103</t>
  </si>
  <si>
    <t>1ª Medição</t>
  </si>
  <si>
    <t xml:space="preserve">Gradil ( entre a edificação de 2 pavto e a edificação 1 pavto) - sobre peitoril </t>
  </si>
  <si>
    <t xml:space="preserve">Portão correr de grade e parte fixa superior (entre a edif de 2 pavto e a edif 1 pavto) </t>
  </si>
  <si>
    <t xml:space="preserve">Celas grade/portão ( incluindo perfil I de fechamento superior) </t>
  </si>
  <si>
    <t xml:space="preserve">Celas grade teto </t>
  </si>
  <si>
    <t xml:space="preserve">Poço Ventilação </t>
  </si>
  <si>
    <t xml:space="preserve">Grade de fechamento sobre porta de acesso principal da Delegacia </t>
  </si>
  <si>
    <t xml:space="preserve">BA055 ( grades básculas) </t>
  </si>
  <si>
    <t>BA055 - (Banheiro wc masc)</t>
  </si>
  <si>
    <t>JA194B ( grades)</t>
  </si>
  <si>
    <t>JA200 (recepção /espera)</t>
  </si>
  <si>
    <t xml:space="preserve">BA055 </t>
  </si>
  <si>
    <t>BA055 ( voltadas para o poço ventilação)</t>
  </si>
  <si>
    <t>JA1080</t>
  </si>
  <si>
    <t>JA200</t>
  </si>
  <si>
    <t xml:space="preserve">Cobertura: </t>
  </si>
  <si>
    <t xml:space="preserve">Galpão - Fechamento lateral entre  desníveis d epanos de cobertura metálica </t>
  </si>
  <si>
    <t xml:space="preserve">Gradil de proteção do padrão de agua </t>
  </si>
  <si>
    <t xml:space="preserve">Guarda corpo - Vazio (ao lado da escada e wc) </t>
  </si>
  <si>
    <t>010104</t>
  </si>
  <si>
    <t>BA055</t>
  </si>
  <si>
    <t>JA194B</t>
  </si>
  <si>
    <t>PA236 - porta pricipal de acesso a espera/recepção</t>
  </si>
  <si>
    <t>VA100 (sala investigadores)</t>
  </si>
  <si>
    <t>V100</t>
  </si>
  <si>
    <t xml:space="preserve">JA176 ( fachada frontal - escada) </t>
  </si>
  <si>
    <t>PV-120 ( sala 01 x escada)</t>
  </si>
  <si>
    <t>Painel fixo vidro até o teto  (sala 01 x escada)</t>
  </si>
  <si>
    <t>Painel fixo vidro sobre peitoril  (sala 01 x escada)</t>
  </si>
  <si>
    <t>010105</t>
  </si>
  <si>
    <t>2ª Medição</t>
  </si>
  <si>
    <t>Bancos cela 01</t>
  </si>
  <si>
    <t>Bancos cela 02</t>
  </si>
  <si>
    <t>Bancos cela 03</t>
  </si>
  <si>
    <t>Bancos cela 04</t>
  </si>
  <si>
    <t xml:space="preserve">Parede laterais das celas </t>
  </si>
  <si>
    <t>Casa de Lixo:</t>
  </si>
  <si>
    <t xml:space="preserve">Laje (piso e teto) </t>
  </si>
  <si>
    <t xml:space="preserve">Pilares </t>
  </si>
  <si>
    <t xml:space="preserve">Vigas piso e teto </t>
  </si>
  <si>
    <t>Pátio:</t>
  </si>
  <si>
    <t xml:space="preserve">Laje piso (pátio, almoxarifado e celas- L1, L2,L3, L7,L8, L10, L16, L17,L18, LP (ver projeto estrutural da Edificação existente e novo projeto estrutural), a demolição inclui a faixa da altura das vigas dentro das lajes </t>
  </si>
  <si>
    <t>010106</t>
  </si>
  <si>
    <t>1º Pavimento ( ou pav térreo):</t>
  </si>
  <si>
    <t xml:space="preserve">Cortes/ demoliçôes de trechos das lajes de piso,  para viabilizar o restante das demolições no processo manual  manual na área do  piso do  pátio, almoxarifado e celas ( L1, L2,L3, L7,L8, L10, L16, L17,L18, LP) (ver projeto estrutural da Edificação existente e novo projeto estrutural), inclusive na faixa da altura de vigas/fundações existentes que poderão permanecer demolição, cujas nova lajes serão executadas.  </t>
  </si>
  <si>
    <t>Lajes piso existente de L4, L5, L6, L9,    para passagem de tubulação de esgoto e agua pluvial que terá posterior recomposição da laje conforme existente ( ver projeto hidrossanitário)</t>
  </si>
  <si>
    <t>Rasgos em  Lajes de piso existentes (L4, L13, L15, L19, L20)  para passagem de instalações de esgoto, drenos de ar condicionado, e eletrica  para  posterior  recomposição conforme existente</t>
  </si>
  <si>
    <t>Parte de Laje de piso existente de L21 para instalar a plataforma elevatória  e L22 para novas instalaÇões sanitarias dos banheiros</t>
  </si>
  <si>
    <t xml:space="preserve">Parte das Lajes de piso L11 e L14 para reforço de vigas e de laje - futura sala do arquivo </t>
  </si>
  <si>
    <t xml:space="preserve">V17 - fundação </t>
  </si>
  <si>
    <t xml:space="preserve">V1 - fundação </t>
  </si>
  <si>
    <t xml:space="preserve">V3 - fundação </t>
  </si>
  <si>
    <t xml:space="preserve">V9 - fundação </t>
  </si>
  <si>
    <t xml:space="preserve">VT1 - fundação </t>
  </si>
  <si>
    <t xml:space="preserve">VT2 - fundação </t>
  </si>
  <si>
    <t xml:space="preserve">V16 - fundação </t>
  </si>
  <si>
    <t>PAR1 (antiga piscina)</t>
  </si>
  <si>
    <t>PAR4 (antiga piscina)</t>
  </si>
  <si>
    <t>PAR5 (antiga piscina)</t>
  </si>
  <si>
    <t>PAR2 (antiga piscina)</t>
  </si>
  <si>
    <t xml:space="preserve">B1 - bloco existente </t>
  </si>
  <si>
    <t xml:space="preserve">B2- bloco existente </t>
  </si>
  <si>
    <t xml:space="preserve">B10 - bloco existente </t>
  </si>
  <si>
    <t xml:space="preserve">B11- bloco existente </t>
  </si>
  <si>
    <t xml:space="preserve">B24 - bloco existente </t>
  </si>
  <si>
    <t xml:space="preserve">B25- bloco existente </t>
  </si>
  <si>
    <t>2º Pavimento ( piso do pavimento superior):</t>
  </si>
  <si>
    <t xml:space="preserve">V1 ( Galpão fundos) </t>
  </si>
  <si>
    <t xml:space="preserve">V10 ( Galpão lateral com vizinho) - viga executada em toda a extenção da divisa </t>
  </si>
  <si>
    <t xml:space="preserve">Pilares paredes de fundos e lateral do galpão </t>
  </si>
  <si>
    <t xml:space="preserve">Parte de Laje de piso do pavimento superior (2º pav) existente de L19 para instalar a plataforma elevatória  - Estimado 5 pilares altura de piso até o nivel do petoril </t>
  </si>
  <si>
    <t>Abertura de Shaft na laje L4  do piso do pavimento superior (2º pav) - 0,45x2,60m</t>
  </si>
  <si>
    <t>Calha sobre galpão</t>
  </si>
  <si>
    <t>Calha interna telhado principal</t>
  </si>
  <si>
    <t>Calha externa telhado principal</t>
  </si>
  <si>
    <t>Cinta superior da platibanda lateral sobre galpão</t>
  </si>
  <si>
    <t>Cinta superior da platibanda fundos sobre galpão</t>
  </si>
  <si>
    <t>Cinta superior platibanda interna telhado principal</t>
  </si>
  <si>
    <t>Cinta superior platibanda fundos telhado principal</t>
  </si>
  <si>
    <t>Cinta superior da platibanda poço ventilação- telhado principal</t>
  </si>
  <si>
    <t>Cinta superior platibanda lateral externa telhado principal</t>
  </si>
  <si>
    <t>Cinta superior platibanda frontal telhado principal</t>
  </si>
  <si>
    <t>Pilares das platibandas da cobertura do 2º pavimento</t>
  </si>
  <si>
    <t>Laje apoio caixa d´água</t>
  </si>
  <si>
    <t>Apoio caixas d´água</t>
  </si>
  <si>
    <t>010107</t>
  </si>
  <si>
    <t>Área externa:</t>
  </si>
  <si>
    <t xml:space="preserve">Calçada com rua </t>
  </si>
  <si>
    <t>010108</t>
  </si>
  <si>
    <t xml:space="preserve">Trecho calçada </t>
  </si>
  <si>
    <t>010109</t>
  </si>
  <si>
    <t>unid</t>
  </si>
  <si>
    <t>Retirada de vasos sanitários - 1º pavimento</t>
  </si>
  <si>
    <t>Retirada de tanque - 1º pavimento DML</t>
  </si>
  <si>
    <t>Retirada de vasos sanitários - 2º pavimento</t>
  </si>
  <si>
    <t>Retirada de tanque - 2º pavimento DML</t>
  </si>
  <si>
    <t>010110</t>
  </si>
  <si>
    <t>Área. (m²)</t>
  </si>
  <si>
    <t>Sanitário Detentos</t>
  </si>
  <si>
    <t>Apoio</t>
  </si>
  <si>
    <t>WC Masc</t>
  </si>
  <si>
    <t>WC Fem</t>
  </si>
  <si>
    <t>Banheiro sala 08</t>
  </si>
  <si>
    <t>Bancada da circulação</t>
  </si>
  <si>
    <t>Copa</t>
  </si>
  <si>
    <t>Dep. Drogas</t>
  </si>
  <si>
    <t>WC Delegado</t>
  </si>
  <si>
    <t>Debaixo da escada</t>
  </si>
  <si>
    <t>010111</t>
  </si>
  <si>
    <t xml:space="preserve">Armário tipo escaninho - Circulação interna parede que faz divisa com o Repouso 2 </t>
  </si>
  <si>
    <t xml:space="preserve">Apoio - ( SOB BANCADA DE PIA) </t>
  </si>
  <si>
    <t xml:space="preserve">Vestiário </t>
  </si>
  <si>
    <t>Balcão Recepção tampo/armário</t>
  </si>
  <si>
    <t>Balcão Recepção -  tampo</t>
  </si>
  <si>
    <t xml:space="preserve">Copa - ( SOB BANCADA DE PIA) </t>
  </si>
  <si>
    <t xml:space="preserve">Copa - ( SOBRE BANCADA DE PIA) </t>
  </si>
  <si>
    <t>010112</t>
  </si>
  <si>
    <t>010113</t>
  </si>
  <si>
    <t>Portão casa de lixo</t>
  </si>
  <si>
    <t>Portão correr _ acesso a edificação 1 pavto</t>
  </si>
  <si>
    <t>PA236 - porta principal de acesso a espera/recepção</t>
  </si>
  <si>
    <t xml:space="preserve">Alçapão acesso à caixa dágua da cobertura sobre o 2º pavimento </t>
  </si>
  <si>
    <t xml:space="preserve">Portinhola acesso ente caixa dágua e cobertura do 2º pavimento </t>
  </si>
  <si>
    <t>010114</t>
  </si>
  <si>
    <t>JA1080 ( janelas e básculas)</t>
  </si>
  <si>
    <t>JA200 ( janelas e básculas)</t>
  </si>
  <si>
    <t>010115</t>
  </si>
  <si>
    <t>PM60</t>
  </si>
  <si>
    <t>PM80</t>
  </si>
  <si>
    <t>PM80GA</t>
  </si>
  <si>
    <t>PM90GA</t>
  </si>
  <si>
    <t>010116</t>
  </si>
  <si>
    <t>Área ( m²)</t>
  </si>
  <si>
    <t>Cobertura principal - área medida em projeto- 2º pavimento</t>
  </si>
  <si>
    <t xml:space="preserve">Cobertura sobre o poço de ventilação </t>
  </si>
  <si>
    <t>Cobertura 1 -Galpão (frente)</t>
  </si>
  <si>
    <t>Cobertura 2 -Galpão (fundos)</t>
  </si>
  <si>
    <t xml:space="preserve">Galpão - Fechamento vertical entre  desníveis de panos de cobertura metálica </t>
  </si>
  <si>
    <t>010117</t>
  </si>
  <si>
    <t>010118</t>
  </si>
  <si>
    <t xml:space="preserve">1º Pavimento: </t>
  </si>
  <si>
    <t>Pátio Coberto</t>
  </si>
  <si>
    <t>Celas</t>
  </si>
  <si>
    <t>010119</t>
  </si>
  <si>
    <t xml:space="preserve">Área ( m²) </t>
  </si>
  <si>
    <t>Piso</t>
  </si>
  <si>
    <t>Hall / Espera</t>
  </si>
  <si>
    <t>Peitoris</t>
  </si>
  <si>
    <t>BA55</t>
  </si>
  <si>
    <t>VA100</t>
  </si>
  <si>
    <t>Soleiras</t>
  </si>
  <si>
    <t>PA236</t>
  </si>
  <si>
    <t>P60</t>
  </si>
  <si>
    <t>P80</t>
  </si>
  <si>
    <t>P80GA</t>
  </si>
  <si>
    <t>P90</t>
  </si>
  <si>
    <t>P100</t>
  </si>
  <si>
    <t>JA180</t>
  </si>
  <si>
    <t>JA1140</t>
  </si>
  <si>
    <t>BA80</t>
  </si>
  <si>
    <t>BA80A</t>
  </si>
  <si>
    <t>Chapim</t>
  </si>
  <si>
    <t>3º Pavimento:</t>
  </si>
  <si>
    <t>010120</t>
  </si>
  <si>
    <t xml:space="preserve">Administração </t>
  </si>
  <si>
    <t>Apoio Administrativo</t>
  </si>
  <si>
    <t>Circulação interna (3 corredores)</t>
  </si>
  <si>
    <t>Sala Detentos 01</t>
  </si>
  <si>
    <t>Repouso 01</t>
  </si>
  <si>
    <t>Vestiário</t>
  </si>
  <si>
    <t>Sala do Delegado</t>
  </si>
  <si>
    <t>Sala 01</t>
  </si>
  <si>
    <t>Sala 02</t>
  </si>
  <si>
    <t>Sala 03</t>
  </si>
  <si>
    <t>Sala 04</t>
  </si>
  <si>
    <t>Sala 05</t>
  </si>
  <si>
    <t>Sala 06</t>
  </si>
  <si>
    <t>Sala 07</t>
  </si>
  <si>
    <t>Sala 08</t>
  </si>
  <si>
    <t>WC sala 08</t>
  </si>
  <si>
    <t>Sala 09</t>
  </si>
  <si>
    <t>Lavabo</t>
  </si>
  <si>
    <t>Pia</t>
  </si>
  <si>
    <t>Vazio</t>
  </si>
  <si>
    <t>Circulação</t>
  </si>
  <si>
    <t>010122</t>
  </si>
  <si>
    <t>3 suportes tubulares</t>
  </si>
  <si>
    <t>010123</t>
  </si>
  <si>
    <t xml:space="preserve">Guarda corpo  de escada </t>
  </si>
  <si>
    <t xml:space="preserve">Corrimão escada </t>
  </si>
  <si>
    <t>010124</t>
  </si>
  <si>
    <t>Caixa D' água</t>
  </si>
  <si>
    <t>010125</t>
  </si>
  <si>
    <t>Hall / Recepção</t>
  </si>
  <si>
    <t>Sala delegado</t>
  </si>
  <si>
    <t>Sala investigadores</t>
  </si>
  <si>
    <t>Salas 1 a 9</t>
  </si>
  <si>
    <t>010126</t>
  </si>
  <si>
    <t>Circulação 02</t>
  </si>
  <si>
    <t>010127</t>
  </si>
  <si>
    <t>Circulação 01</t>
  </si>
  <si>
    <t>Adminstrativo</t>
  </si>
  <si>
    <t>DML 01</t>
  </si>
  <si>
    <t>Sala técnica</t>
  </si>
  <si>
    <t>Vestiário detentos</t>
  </si>
  <si>
    <t>Sala 08 c/ WC</t>
  </si>
  <si>
    <t>Sala 09 c/ WC</t>
  </si>
  <si>
    <t xml:space="preserve">DML </t>
  </si>
  <si>
    <t>010129</t>
  </si>
  <si>
    <t>Desconto portas/ básculas</t>
  </si>
  <si>
    <t>WC Fem (copa)</t>
  </si>
  <si>
    <t>WC Masc (copa)</t>
  </si>
  <si>
    <t>Copa 1º Pav / Lavabo</t>
  </si>
  <si>
    <t>Banhº ASG</t>
  </si>
  <si>
    <t>WC Acess. Unissex</t>
  </si>
  <si>
    <t>Banheiro Funcionário M</t>
  </si>
  <si>
    <t>Banheiro Funcionário F</t>
  </si>
  <si>
    <t>Depósito Material de Limpeza 01</t>
  </si>
  <si>
    <t>WC Acess. Fem</t>
  </si>
  <si>
    <t>WC Acess. Masc</t>
  </si>
  <si>
    <t xml:space="preserve">WC Aces. Masc </t>
  </si>
  <si>
    <t>WC Aces. Fem</t>
  </si>
  <si>
    <t>Depósito Material de Limpeza 02</t>
  </si>
  <si>
    <t>WC Adjunto</t>
  </si>
  <si>
    <t xml:space="preserve">Casa de Lixo </t>
  </si>
  <si>
    <t>010130</t>
  </si>
  <si>
    <t>Almoxarifado</t>
  </si>
  <si>
    <t>010131</t>
  </si>
  <si>
    <t>CJ</t>
  </si>
  <si>
    <t>Dutos de ar, grelhas</t>
  </si>
  <si>
    <t>010132</t>
  </si>
  <si>
    <t>Demolições e retiradas de eletrocalhas, pontos de elétricos em geral etc,  instalações  elétricas, telecomunicações.</t>
  </si>
  <si>
    <t>1º e 2º pavimentos</t>
  </si>
  <si>
    <t>010201</t>
  </si>
  <si>
    <t>Limpeza geral das áreas internas após demolição da edificação a reformar.</t>
  </si>
  <si>
    <t>010301</t>
  </si>
  <si>
    <t xml:space="preserve"> </t>
  </si>
  <si>
    <t xml:space="preserve">Pátio Descoberto </t>
  </si>
  <si>
    <t>3ª Medição</t>
  </si>
  <si>
    <t>Área total (interno e externo)</t>
  </si>
  <si>
    <t>010302</t>
  </si>
  <si>
    <t>Equivalente no mês</t>
  </si>
  <si>
    <t>Qtd ( dias)</t>
  </si>
  <si>
    <t xml:space="preserve">Conferência da topografia primitiva e Levantamento dos  níveis do terreno após a limpeza do terreno e remoção de vegetação existente e remoção de toda a capa vegetal para aferição e conferência do volume de movimento de terra na cota de projeto.   </t>
  </si>
  <si>
    <t xml:space="preserve">Conferência de locação das fundaçãoes </t>
  </si>
  <si>
    <t>Definição de níveis após  conclusão de fundações e serviços de aterro   para  aferição  de  quantitativos  de  aterro  ou  reaterro referente a elevação de níveis de terreno.</t>
  </si>
  <si>
    <t xml:space="preserve">Conferencia dos pontos de fundação da area de ampliação </t>
  </si>
  <si>
    <t xml:space="preserve">Conferencia dos pontos do muro </t>
  </si>
  <si>
    <t>010401</t>
  </si>
  <si>
    <t xml:space="preserve">Peso (Kg) </t>
  </si>
  <si>
    <t>Peso. ( ton)</t>
  </si>
  <si>
    <t>DMT ( km)</t>
  </si>
  <si>
    <t>Adotado peso ar split 18000 BTU´s (evaporadora + condensadora)</t>
  </si>
  <si>
    <t xml:space="preserve">Grades Celas  - 4 unidades </t>
  </si>
  <si>
    <t>Peso (kg/m)</t>
  </si>
  <si>
    <t>Comp (m)</t>
  </si>
  <si>
    <t>Peso total(ton)</t>
  </si>
  <si>
    <t>Qtd. Celas</t>
  </si>
  <si>
    <t>Requadro</t>
  </si>
  <si>
    <t>Fechamento vertical</t>
  </si>
  <si>
    <t>Total</t>
  </si>
  <si>
    <t>010402</t>
  </si>
  <si>
    <t>Índice de preço para remoção de entulho decorrente da execução de obras  (Classe A CONAMA - NBR 10.004 - Classe II-B), incluindo aluguel da caçamba, carga, transporte e descarga em área licenciada</t>
  </si>
  <si>
    <t xml:space="preserve">Volume ( m³) </t>
  </si>
  <si>
    <t>Área (m²)</t>
  </si>
  <si>
    <t>Esp ( m)</t>
  </si>
  <si>
    <t>Empolamento</t>
  </si>
  <si>
    <t xml:space="preserve">Materiais provenientes das demolições </t>
  </si>
  <si>
    <t>Demolição de piso granilite</t>
  </si>
  <si>
    <t>Retirada de caixa d´ água de polietileno, inclusive tubulação de ligação</t>
  </si>
  <si>
    <t>020101</t>
  </si>
  <si>
    <t>Placa de obra</t>
  </si>
  <si>
    <t>020102</t>
  </si>
  <si>
    <t>Tapume Telha Metálica Ondulada em aço galvalume 0,50mm Branca h=2,20m, incl. montagem estr.  mad. 8"x8", c/adesivo "DER-ES" 60x60cm a cada 10m, incl. faixas  pint. esmalte sint. cores azul c/ h=30cm e rosa c/ h=10cm (Reaproveitame</t>
  </si>
  <si>
    <t>Perímetro da obra</t>
  </si>
  <si>
    <t>020103</t>
  </si>
  <si>
    <t>Movimentação de máquinas</t>
  </si>
  <si>
    <t>020104</t>
  </si>
  <si>
    <t>020201</t>
  </si>
  <si>
    <t>020202</t>
  </si>
  <si>
    <t>020203</t>
  </si>
  <si>
    <t>Aluguel mensal container para escritório, sem banheiro, dim. 6.00x2.40m, incl.  porta, 2 janelas, abert p/ ar cond., 2 pt iluminação, 2 tomadas elét. e 1 tomada telef. Isolamento térmico (teto e paredes), piso em comp. Naval, cert</t>
  </si>
  <si>
    <t>020204</t>
  </si>
  <si>
    <t>Aluguel mensal container para refeitorio, incl.  porta, 2 janelas, abert p/ ar cond., 2 pt iluminação, 2 tomadas elét. e 1 tomada telef. Isolamento térmico (paredes e teto), piso em comp. Naval pintado, cert. NR18, incl. laudo des</t>
  </si>
  <si>
    <t>Qtd (unid)</t>
  </si>
  <si>
    <t>Refeitório</t>
  </si>
  <si>
    <t>020205</t>
  </si>
  <si>
    <t>Mobilização dos conteineres</t>
  </si>
  <si>
    <t>020206</t>
  </si>
  <si>
    <t>Canteiro de obras</t>
  </si>
  <si>
    <t>020207</t>
  </si>
  <si>
    <t>020208</t>
  </si>
  <si>
    <t>020209</t>
  </si>
  <si>
    <t>020212</t>
  </si>
  <si>
    <t>Barração cimento</t>
  </si>
  <si>
    <t>020301</t>
  </si>
  <si>
    <t>Locação de andaime metálico para fachada -  tipo torre (aluguel mensal)</t>
  </si>
  <si>
    <t>Demolição das calhas</t>
  </si>
  <si>
    <t>Forma, aço e concreto das calhas</t>
  </si>
  <si>
    <t xml:space="preserve">Forma, aço e concreto das vigas da platibanda </t>
  </si>
  <si>
    <t>020302</t>
  </si>
  <si>
    <t>Fachada 01</t>
  </si>
  <si>
    <t>Fachada 02</t>
  </si>
  <si>
    <t>020401</t>
  </si>
  <si>
    <t>Área externa ( rua)</t>
  </si>
  <si>
    <t>020402</t>
  </si>
  <si>
    <t>030101</t>
  </si>
  <si>
    <t>Térreo 1º Pavimento ( Reforço)</t>
  </si>
  <si>
    <t>Prancha 01 e 2/10</t>
  </si>
  <si>
    <t>Vigas</t>
  </si>
  <si>
    <t>V1</t>
  </si>
  <si>
    <t>V2</t>
  </si>
  <si>
    <t>Prancha 01/25</t>
  </si>
  <si>
    <t xml:space="preserve">Area de Ampliação (fundação) </t>
  </si>
  <si>
    <t>BL01, 02, 03, 04, 09, 10, 11, 12, 13, 14, 15 E 16</t>
  </si>
  <si>
    <t>BL05, 06, 07, 08</t>
  </si>
  <si>
    <t xml:space="preserve">Viga 01 </t>
  </si>
  <si>
    <t>Viga 02</t>
  </si>
  <si>
    <t>Viga 03</t>
  </si>
  <si>
    <t>Viga 04</t>
  </si>
  <si>
    <t>Viga 05</t>
  </si>
  <si>
    <t>Viga 06</t>
  </si>
  <si>
    <t>Viga 07</t>
  </si>
  <si>
    <t>Viga 08</t>
  </si>
  <si>
    <t>Viga 09</t>
  </si>
  <si>
    <t>Viga 10</t>
  </si>
  <si>
    <t>Viga 11</t>
  </si>
  <si>
    <t>Viga 12</t>
  </si>
  <si>
    <t>Viga 13</t>
  </si>
  <si>
    <t>Viga 14</t>
  </si>
  <si>
    <t>Viga 15</t>
  </si>
  <si>
    <t>Viga 16</t>
  </si>
  <si>
    <t>Viga 17</t>
  </si>
  <si>
    <t>Viga 18</t>
  </si>
  <si>
    <t>Viga 19</t>
  </si>
  <si>
    <t>Viga 20</t>
  </si>
  <si>
    <t>Viga 133 e 134</t>
  </si>
  <si>
    <t>Viga V9</t>
  </si>
  <si>
    <t>V3</t>
  </si>
  <si>
    <t>V4</t>
  </si>
  <si>
    <t>V5</t>
  </si>
  <si>
    <t>V6</t>
  </si>
  <si>
    <t>040101</t>
  </si>
  <si>
    <t>M²</t>
  </si>
  <si>
    <t xml:space="preserve">Qtd ( Kg) </t>
  </si>
  <si>
    <t>H (m)</t>
  </si>
  <si>
    <t>V1 E V2</t>
  </si>
  <si>
    <t>040102</t>
  </si>
  <si>
    <t>Per (m)</t>
  </si>
  <si>
    <t>Blocos de Fundação</t>
  </si>
  <si>
    <t>Prancha 11/25</t>
  </si>
  <si>
    <t>Vigas de reforço terreo (V1, V2 e V3)</t>
  </si>
  <si>
    <t>Prancha 18/25 a 21/25</t>
  </si>
  <si>
    <t>Lajes</t>
  </si>
  <si>
    <t>040103</t>
  </si>
  <si>
    <t>040104</t>
  </si>
  <si>
    <t>Prancha 21/25</t>
  </si>
  <si>
    <t>040105</t>
  </si>
  <si>
    <t>Esp (m)</t>
  </si>
  <si>
    <t>Prancha 01/10</t>
  </si>
  <si>
    <t xml:space="preserve">Reforços de laje </t>
  </si>
  <si>
    <t>040106</t>
  </si>
  <si>
    <t>040201</t>
  </si>
  <si>
    <t>Prancha 07/10 a 10/10</t>
  </si>
  <si>
    <t>Calha - fachada externa lateral esquerda - Fundo</t>
  </si>
  <si>
    <t>Calha - fachada externa lateral esquerda - paredes</t>
  </si>
  <si>
    <t>Calha - lateral direita limite com prédio 1 pavimento - Fundo</t>
  </si>
  <si>
    <t>Calha - lateral direita limite com prédio 1 pavimento - paredes</t>
  </si>
  <si>
    <t>PC3</t>
  </si>
  <si>
    <t>PC1, PC2, PC4 A PC16</t>
  </si>
  <si>
    <t>VG1</t>
  </si>
  <si>
    <t>VG2</t>
  </si>
  <si>
    <t>VG3</t>
  </si>
  <si>
    <t>040202</t>
  </si>
  <si>
    <t xml:space="preserve">Calhas </t>
  </si>
  <si>
    <t>Prancha 06/25 a 25/25</t>
  </si>
  <si>
    <t xml:space="preserve">Pilares, Vigas e Lajes </t>
  </si>
  <si>
    <t>040203</t>
  </si>
  <si>
    <t>Cobertura  - Calhas</t>
  </si>
  <si>
    <t xml:space="preserve">Prancha 07/10 </t>
  </si>
  <si>
    <t>040204</t>
  </si>
  <si>
    <t>040205</t>
  </si>
  <si>
    <t>Calha - lateral direita limite com prédio 1 pavimento -Fundo</t>
  </si>
  <si>
    <t>Calha - lateral direita limite com prédio 1 pavimento - Paredes</t>
  </si>
  <si>
    <t xml:space="preserve">Reforço das vigas do piso 2º pavimento </t>
  </si>
  <si>
    <t xml:space="preserve">Reforço das vigas do teto  2º pavimento </t>
  </si>
  <si>
    <t>040301</t>
  </si>
  <si>
    <t xml:space="preserve">Reforço piso 2º pavimento </t>
  </si>
  <si>
    <t>040401</t>
  </si>
  <si>
    <t xml:space="preserve">Qtd </t>
  </si>
  <si>
    <t>Prancha 02/10 e 03/10</t>
  </si>
  <si>
    <t xml:space="preserve">Fixação dos pilares platibanda </t>
  </si>
  <si>
    <t xml:space="preserve">Vigas de Reforço terreo </t>
  </si>
  <si>
    <t>040402</t>
  </si>
  <si>
    <t>Qtd (FUROS)</t>
  </si>
  <si>
    <t>Ø BARRA
(mm)</t>
  </si>
  <si>
    <t>H
(m)</t>
  </si>
  <si>
    <t>CONSUMO (KG/m2 P/ 1mm)</t>
  </si>
  <si>
    <t>ESPESS. FILETE
(mm)</t>
  </si>
  <si>
    <t>040501</t>
  </si>
  <si>
    <t xml:space="preserve">Prancha 01/10 </t>
  </si>
  <si>
    <t>Mobilização/dsmobilização de equipamento</t>
  </si>
  <si>
    <t>040502</t>
  </si>
  <si>
    <t>Prancha 01/01</t>
  </si>
  <si>
    <t>Trilhos (TR37)</t>
  </si>
  <si>
    <t>040503</t>
  </si>
  <si>
    <t>Trilhos (TR45)</t>
  </si>
  <si>
    <t>050201</t>
  </si>
  <si>
    <t>PM060</t>
  </si>
  <si>
    <t>PM100</t>
  </si>
  <si>
    <t>050301</t>
  </si>
  <si>
    <t>H ( m)</t>
  </si>
  <si>
    <t xml:space="preserve">Parede de apoio de Laje de  Caixas d´agua - Cobertura </t>
  </si>
  <si>
    <t>Platibanda Lateral esquerda  ( laje técnica)</t>
  </si>
  <si>
    <t>050401</t>
  </si>
  <si>
    <t xml:space="preserve">Lateral Esquerda </t>
  </si>
  <si>
    <t>Lateral Direita</t>
  </si>
  <si>
    <t xml:space="preserve">Frontal </t>
  </si>
  <si>
    <t xml:space="preserve">Divisa do vizinho </t>
  </si>
  <si>
    <t>Sala delegado + WC + WC COPA</t>
  </si>
  <si>
    <t>WC Masc + Fem + WC Adjunto</t>
  </si>
  <si>
    <t>050601</t>
  </si>
  <si>
    <t xml:space="preserve">Pilares da platibanda </t>
  </si>
  <si>
    <t xml:space="preserve">Pilares do prédio existente </t>
  </si>
  <si>
    <t>4ª Medição</t>
  </si>
  <si>
    <t>V21</t>
  </si>
  <si>
    <t>030201</t>
  </si>
  <si>
    <t>Fundações</t>
  </si>
  <si>
    <t>B1=B2=B3=B4=B9=B10=B11=B12=B13=B14=B15=B16=BLp1=BLp2=BLp3</t>
  </si>
  <si>
    <t>B5=B6=B7=B8</t>
  </si>
  <si>
    <t>V esc (m3)</t>
  </si>
  <si>
    <t>V concreto
(m3)</t>
  </si>
  <si>
    <t>Prancha 02/25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</si>
  <si>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</si>
  <si>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</si>
  <si>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</si>
  <si>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</si>
  <si>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</si>
  <si>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</si>
  <si>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</si>
  <si>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</si>
  <si>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</si>
  <si>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</si>
  <si>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V133 e V134</t>
  </si>
  <si>
    <t>V17</t>
  </si>
  <si>
    <t>V18</t>
  </si>
  <si>
    <t>V19</t>
  </si>
  <si>
    <t>V20</t>
  </si>
  <si>
    <t>VIGA =V9  =  portão correr acesso embarque e desembarque</t>
  </si>
  <si>
    <t>Reforço -1º Pavimento do predio  existente de 2 pavimentos</t>
  </si>
  <si>
    <t>Infra Estrutura  - Reforço e adequações</t>
  </si>
  <si>
    <t>Cobertura  - Caixa dágua - Prancha 09/10</t>
  </si>
  <si>
    <t>PCD1=PCD2=PCD3=PCD4</t>
  </si>
  <si>
    <t>V1 e V2</t>
  </si>
  <si>
    <t>V3 e V4</t>
  </si>
  <si>
    <t xml:space="preserve">V1, V2, V3, V4   - Platibanda caixa dágua </t>
  </si>
  <si>
    <t>Viga topo - platibanda Calha</t>
  </si>
  <si>
    <t>Prancha 09/10</t>
  </si>
  <si>
    <t>Cobertura caixa d'água</t>
  </si>
  <si>
    <t>Pilares</t>
  </si>
  <si>
    <t>Paredes de  apoio caixa d'água</t>
  </si>
  <si>
    <t>Prancha 08/10</t>
  </si>
  <si>
    <t>Lajes das Calha x Pilares Inferiores (PC existentes)</t>
  </si>
  <si>
    <t>Platibandada Cobertura - Pilares /  Viga superior</t>
  </si>
  <si>
    <t>Pilares Prisma</t>
  </si>
  <si>
    <t>Pilares  Platibanda Fundo e Frente</t>
  </si>
  <si>
    <t>Platibanda   - Caixa dágua, excluido viga superior</t>
  </si>
  <si>
    <t>Complemento pilares platibanda</t>
  </si>
  <si>
    <t xml:space="preserve">Pilares da caixa d'agua </t>
  </si>
  <si>
    <t>050602</t>
  </si>
  <si>
    <t>PCD1=PCD2=PCD3=PCD4  - fachada externa</t>
  </si>
  <si>
    <t>Qtd ( face)</t>
  </si>
  <si>
    <t>Calha - fachada externa lateral esquerda - face interna e</t>
  </si>
  <si>
    <t>Calha  -  lateral  direita  limite  com  prédio  1  pavimento  -  face
interna e extrena</t>
  </si>
  <si>
    <t>Calha - fundo e frente - fechamento</t>
  </si>
  <si>
    <t>PC16 ( excluida altura de calha e de viga de topo)</t>
  </si>
  <si>
    <t>PC2=PC4=PC6=PC8=PC10=PC12=PC15=PC1=PC5=PC7=PC9=PC1
1=PC13=PC2=PC13(excluida altura de calha e de viga de topo)</t>
  </si>
  <si>
    <t>120101</t>
  </si>
  <si>
    <t>120102</t>
  </si>
  <si>
    <t>120103</t>
  </si>
  <si>
    <t>140201</t>
  </si>
  <si>
    <t>M</t>
  </si>
  <si>
    <t>CE-3 A CE-4</t>
  </si>
  <si>
    <t>140202</t>
  </si>
  <si>
    <t>CA-3 A CA-4</t>
  </si>
  <si>
    <t>140301</t>
  </si>
  <si>
    <t xml:space="preserve">CE-3 </t>
  </si>
  <si>
    <t>140701</t>
  </si>
  <si>
    <t>Rede de Esgoto:</t>
  </si>
  <si>
    <t>1º Pavimento</t>
  </si>
  <si>
    <t>140702</t>
  </si>
  <si>
    <t>140704</t>
  </si>
  <si>
    <t xml:space="preserve">Conferencia dos pontos dos pilares </t>
  </si>
  <si>
    <t xml:space="preserve">Entulho referente a escavação para fundação </t>
  </si>
  <si>
    <t xml:space="preserve">Alvenaria da caixa d'agua </t>
  </si>
  <si>
    <t xml:space="preserve">Vigas térreo </t>
  </si>
  <si>
    <t xml:space="preserve">sapatas corridas </t>
  </si>
  <si>
    <t>Prancha 02/10 a 06/10</t>
  </si>
  <si>
    <t>Prancha 12/25 a 13/25</t>
  </si>
  <si>
    <t>Vigas V9 a V16 e V18 a V26</t>
  </si>
  <si>
    <t>Complemento pilares da cobertura</t>
  </si>
  <si>
    <t xml:space="preserve">Pilares Platibanda </t>
  </si>
  <si>
    <t>Edificação existente</t>
  </si>
  <si>
    <t>Prancha 10/10</t>
  </si>
  <si>
    <t xml:space="preserve">Vigas Platibanda </t>
  </si>
  <si>
    <t xml:space="preserve">Reforço Vigas do teto do 2º pavimento </t>
  </si>
  <si>
    <t>Reforço Vigas do piso do  2º pavimento</t>
  </si>
  <si>
    <t>Lajes das Calha</t>
  </si>
  <si>
    <t>Prancha 01/10 A 04/10</t>
  </si>
  <si>
    <t xml:space="preserve">Lajes em vigas existentes </t>
  </si>
  <si>
    <t>PILARES</t>
  </si>
  <si>
    <t>5ª Medição</t>
  </si>
  <si>
    <t>140804</t>
  </si>
  <si>
    <t>140803</t>
  </si>
  <si>
    <t>AP-2 - TRECHO VERTICAL E HORIZONTAL</t>
  </si>
  <si>
    <t>Pluvial/Drenagem:</t>
  </si>
  <si>
    <t>Tubo  de  PVC  rígido  soldável  branco,  para  esgoto,  diâmetro
150mm (6"), inclusive conexões</t>
  </si>
  <si>
    <t>140705</t>
  </si>
  <si>
    <t>AP-5 - TRECHO VERTICAL E HORIZONTAL</t>
  </si>
  <si>
    <t>AP-4 - TRECHO VERTICAL E HORIZONTAL</t>
  </si>
  <si>
    <t>AP-3 - TRECHO VERTICAL E HORIZONTAL</t>
  </si>
  <si>
    <t>AP-1 - TRECHO VERTICAL E HORIZONTAL</t>
  </si>
  <si>
    <t>Ventilação:</t>
  </si>
  <si>
    <t>Laje de apoio caixa d`água</t>
  </si>
  <si>
    <t>Calha 02</t>
  </si>
  <si>
    <t>Calha 01</t>
  </si>
  <si>
    <t>100201</t>
  </si>
  <si>
    <t>P22 - Nível +1,91m até nível +7,44m</t>
  </si>
  <si>
    <t>P21 - Nível +1,91m até nível +6,42m</t>
  </si>
  <si>
    <t>P25 - Nível +1,91m até nível +8,76m</t>
  </si>
  <si>
    <t>P18 - Nível +1,91m até nível +6,42m</t>
  </si>
  <si>
    <t>P24 - Nível t+1,91m até nível +8,76m</t>
  </si>
  <si>
    <t>P23 - Nível +1,91m até nível +7,44m</t>
  </si>
  <si>
    <t>P17 = P19   Nível +1,91m  até nível +6,42m</t>
  </si>
  <si>
    <t>Muro 1= Muro 8</t>
  </si>
  <si>
    <t>Muro 2=Muro 3= = Muro 4 = Muro 5 = Muro 6=Muro 7</t>
  </si>
  <si>
    <t>Banheiro Funcion. Fem</t>
  </si>
  <si>
    <t>Banheiro Funcion. Masc</t>
  </si>
  <si>
    <t>Repouso Masculino</t>
  </si>
  <si>
    <t>WC Fem / WC Masc</t>
  </si>
  <si>
    <t>Muro lateral esquerda</t>
  </si>
  <si>
    <t>Muro lateral direita</t>
  </si>
  <si>
    <t xml:space="preserve">Alvenaria das Celas </t>
  </si>
  <si>
    <t>Vigas e lajes existentes para execução dos reforços estruturais, conforme croqui</t>
  </si>
  <si>
    <t>040602</t>
  </si>
  <si>
    <t>P26 - Nível topo bloco de fundação (+1,76m) até nível +8,76m</t>
  </si>
  <si>
    <t>P25 - Nível topo bloco de fundação (+1,76m) até nível +8,76m</t>
  </si>
  <si>
    <t>P24 - Nível topo bloco de fundação (+1,76m) até nível +8,76m</t>
  </si>
  <si>
    <t>P23 - Nível topo bloco de fundação (+1,76m) até nível +7,44m</t>
  </si>
  <si>
    <t>P22 - Nível topo bloco de fundação (+1,76m) até nível +7,44m</t>
  </si>
  <si>
    <t>P21 - Nível topo bloco de fundação (+1,76m) até nível +6,42m</t>
  </si>
  <si>
    <t>P20 - Nível topo bloco de fundação (+1,76m) até nível +5,32m</t>
  </si>
  <si>
    <t>P18 - Nível topo bloco de fundação (+1,76m) até nível +6,42m</t>
  </si>
  <si>
    <t>P08 - Nível topo bloco de fundação (+1,76m) até nível +6,42m</t>
  </si>
  <si>
    <t>P06 - Nível topo bloco de fundação (+1,76m) até nível +5,32m</t>
  </si>
  <si>
    <t>P17 = P19</t>
  </si>
  <si>
    <t>PILARES   -   Níível  topo  bloco  de  fundação  (+1,76m)  até  nível
+4,41m</t>
  </si>
  <si>
    <t>PILAR  -Muro  com  divisa  lateral  direita  /  subestação  -  Níível
(+1,76m) até nível + m</t>
  </si>
  <si>
    <t>Muro 3 = Muro 6</t>
  </si>
  <si>
    <t>Muro 2 = Muro 4 = Muro 5 = Muro 7</t>
  </si>
  <si>
    <t>Muro 1=Muro 8</t>
  </si>
  <si>
    <t>Vigas Platibanda  - Nível +11,57m</t>
  </si>
  <si>
    <t>Pilares Platibanda - Nível +8,47m até nível +11,57m</t>
  </si>
  <si>
    <t>Completmento das calhas (vigas/pilares)</t>
  </si>
  <si>
    <t xml:space="preserve">Prancha - 10/10'Cobertura - novas calhas </t>
  </si>
  <si>
    <t xml:space="preserve">Complemento calhas </t>
  </si>
  <si>
    <t>Vigas superior  - Muro</t>
  </si>
  <si>
    <t>Pilares - Prancha 10/25</t>
  </si>
  <si>
    <t>Pilares - Prancha 09/25</t>
  </si>
  <si>
    <t>Pilares - Prancha 08/25</t>
  </si>
  <si>
    <t>Pilares - Prancha 07/25</t>
  </si>
  <si>
    <t>L11</t>
  </si>
  <si>
    <t>L10</t>
  </si>
  <si>
    <t>L9</t>
  </si>
  <si>
    <t>L8</t>
  </si>
  <si>
    <t>L7</t>
  </si>
  <si>
    <t>L6</t>
  </si>
  <si>
    <t>L5</t>
  </si>
  <si>
    <t>L4</t>
  </si>
  <si>
    <t>L3</t>
  </si>
  <si>
    <t>L2</t>
  </si>
  <si>
    <t>L1</t>
  </si>
  <si>
    <t>5ª medição</t>
  </si>
  <si>
    <t>040107</t>
  </si>
  <si>
    <t>Vigas térreo (+1,91)</t>
  </si>
  <si>
    <t>Recomposições  de  lajes  após  execução  de  rasgos/demolições
para passagem tubulações</t>
  </si>
  <si>
    <t>Prancha - 12/25 - V9 a V16 e V18 a V20</t>
  </si>
  <si>
    <t>Prancha - 03/10</t>
  </si>
  <si>
    <t xml:space="preserve">Desconto </t>
  </si>
  <si>
    <t>Prancha - 06/10</t>
  </si>
  <si>
    <t>Prancha - 05/10</t>
  </si>
  <si>
    <t>Prancha - 04/10</t>
  </si>
  <si>
    <t xml:space="preserve">Complemento da 4º Medição </t>
  </si>
  <si>
    <t>Desconto serviço não executado</t>
  </si>
  <si>
    <t>Lajes terreo Ampliação LI a L11</t>
  </si>
  <si>
    <t>Muro  trecho estaqueado - Prancha 02/25</t>
  </si>
  <si>
    <t>Muros:</t>
  </si>
  <si>
    <t>Blocos  ( topo = +1,76)</t>
  </si>
  <si>
    <t xml:space="preserve">Alvenaria muros patio de ampliação </t>
  </si>
  <si>
    <t xml:space="preserve">Alvenaria muro lateral </t>
  </si>
  <si>
    <t xml:space="preserve">Local para corte e dobra de ferragem </t>
  </si>
  <si>
    <t>020211</t>
  </si>
  <si>
    <t xml:space="preserve">Local de carpintaria </t>
  </si>
  <si>
    <t>020210</t>
  </si>
  <si>
    <t xml:space="preserve">Canteiro em volta da edificação 
Calçada entre rua e edficação </t>
  </si>
  <si>
    <t>6ª Medição</t>
  </si>
  <si>
    <t>Descanso ASG</t>
  </si>
  <si>
    <t>Lateral direita e fundo da área impermeabilizada ( laje técnica) excluido viga superior</t>
  </si>
  <si>
    <t>Fechamento de janelas</t>
  </si>
  <si>
    <t>PM / GM</t>
  </si>
  <si>
    <t>Alvenaria interna</t>
  </si>
  <si>
    <t>6ª medição</t>
  </si>
  <si>
    <t>Reforma da  Existente</t>
  </si>
  <si>
    <t>Vigas - segundo piso (+5,32)</t>
  </si>
  <si>
    <t>PM90</t>
  </si>
  <si>
    <t>JA90</t>
  </si>
  <si>
    <t>BA080</t>
  </si>
  <si>
    <t>BA120</t>
  </si>
  <si>
    <t>BA200</t>
  </si>
  <si>
    <t xml:space="preserve">1º Pavimento </t>
  </si>
  <si>
    <t xml:space="preserve">2º Pavimento </t>
  </si>
  <si>
    <t>WC Delegado 1</t>
  </si>
  <si>
    <t>Copa (Predio existente)</t>
  </si>
  <si>
    <t>Complemento da area da caixa d`água</t>
  </si>
  <si>
    <t>WC ACES. UNISSEX</t>
  </si>
  <si>
    <t xml:space="preserve">BANHO FUNC. M e F </t>
  </si>
  <si>
    <t xml:space="preserve">MURETA DA COPA </t>
  </si>
  <si>
    <t xml:space="preserve">WC DELEGADO 1 </t>
  </si>
  <si>
    <t xml:space="preserve">BANHO ASG </t>
  </si>
  <si>
    <t>DESC. ASG</t>
  </si>
  <si>
    <t xml:space="preserve">MURO LATERAL EXTERNO </t>
  </si>
  <si>
    <t>WC ACES. UNISSEX (EXTERNO)</t>
  </si>
  <si>
    <t>BANHO FUNC. M e F (EXTERNO)</t>
  </si>
  <si>
    <t>WC DELEGADO 1 (EXTERNO E MEIA PAREDE INTERNA)</t>
  </si>
  <si>
    <t>BANHO ASG (EXTERNO)</t>
  </si>
  <si>
    <t xml:space="preserve">Parede de apoio de Laje de  Caixas d´agua - Cobertura        </t>
  </si>
  <si>
    <t>Platibanda   - Caixa dágua</t>
  </si>
  <si>
    <t>Platibanda   sobre calhas</t>
  </si>
  <si>
    <t xml:space="preserve">Platibanda Lateral Esquerda </t>
  </si>
  <si>
    <t xml:space="preserve">Platibanda lateral direita e fundo da área impermeabilizada ( laje técnica) </t>
  </si>
  <si>
    <t>Platibanda Fundo e frente</t>
  </si>
  <si>
    <t>Qtd (mês)</t>
  </si>
  <si>
    <t>Lajes L1 A L11</t>
  </si>
  <si>
    <t xml:space="preserve">Vigas e Lajes </t>
  </si>
  <si>
    <t xml:space="preserve">Segundo piso </t>
  </si>
  <si>
    <t xml:space="preserve">Platibanda lateral direita e esquerda </t>
  </si>
  <si>
    <t>Prisma de ventilação ( 2º Pvto)</t>
  </si>
  <si>
    <t>Escada de acesso</t>
  </si>
  <si>
    <t xml:space="preserve">Recolocação das cercas que devido ao tempo foram se deteriorando </t>
  </si>
  <si>
    <t xml:space="preserve">Acesso do Guincho </t>
  </si>
  <si>
    <t xml:space="preserve">Laje da Caixa d'água </t>
  </si>
  <si>
    <t xml:space="preserve">Acesso a laje tecnica </t>
  </si>
  <si>
    <t xml:space="preserve">Beiral da laje tecnica </t>
  </si>
  <si>
    <t xml:space="preserve">Acesso a area nova </t>
  </si>
  <si>
    <t>Aluguel mensal container sanitário, incl porta, básc, 2 ptos luz, 1 pto aterram., 3vasos, 3lavatórios, calha mictório, 6 chuveiros (1 eletrico), torn.,registros, piso comp. Naval pintado, cert NR18 e laudo descontaminação</t>
  </si>
  <si>
    <t>Sanitário</t>
  </si>
  <si>
    <t>Aluguel mensal container para almoxarifado, incl.  porta, 2 janelas, 1 pt iluminação, Isolamento térmico (teto), piso em comp. Naval pintado, cert. NR18, incl. laudo descontaminação.</t>
  </si>
  <si>
    <t>7ª Medição</t>
  </si>
  <si>
    <t>Prancha 09/10 - cobertura</t>
  </si>
  <si>
    <t>Bases cx dágua</t>
  </si>
  <si>
    <t xml:space="preserve">Fundo bases </t>
  </si>
  <si>
    <t>Paredes celas (furos laje de piso e teto para ancoragem ferragens)</t>
  </si>
  <si>
    <t>ADITIVO</t>
  </si>
  <si>
    <t xml:space="preserve">Área ( m3) </t>
  </si>
  <si>
    <t>Alvenaria das Celas internas</t>
  </si>
  <si>
    <t>Balcão ocorrência</t>
  </si>
  <si>
    <t>Salas investigadores/repouso fem</t>
  </si>
  <si>
    <t>Balcão recepção principal</t>
  </si>
  <si>
    <t xml:space="preserve">Alvenaria platibanda laje nova </t>
  </si>
  <si>
    <t>Pilares celas</t>
  </si>
  <si>
    <t>Alvenarias celas</t>
  </si>
  <si>
    <t>100202</t>
  </si>
  <si>
    <t>Alvenarias internas cx dágua</t>
  </si>
  <si>
    <t>Area da caixa d`água</t>
  </si>
  <si>
    <t>Platibanda   sobre calhas (externo)</t>
  </si>
  <si>
    <t>130101</t>
  </si>
  <si>
    <t>Térreo</t>
  </si>
  <si>
    <t>1º pav</t>
  </si>
  <si>
    <t>130702</t>
  </si>
  <si>
    <t>V1 - nivel +1,91  (prancha 02/25)</t>
  </si>
  <si>
    <t>V9 -  nivel +1,91  (prancha 02/25)</t>
  </si>
  <si>
    <t>V12 -  nivel +1,91  (prancha 02/25)</t>
  </si>
  <si>
    <t>V13 -  nivel +1,91  (prancha 02/25)</t>
  </si>
  <si>
    <t>V17 - nivel +1,91  (prancha 02/25)</t>
  </si>
  <si>
    <t>ENTRE OS LIMITES COM EDIFICAÇÃO VIZINHA E PRÉDIO A SER REFORMAO DA DELEGACIA</t>
  </si>
  <si>
    <t>L (m)</t>
  </si>
  <si>
    <t>130703</t>
  </si>
  <si>
    <t>Conforme  indicado  e  levantado  nas  plantas  de  paginação  de piso  de arquitetura</t>
  </si>
  <si>
    <t>Junta de bordo</t>
  </si>
  <si>
    <t>Junta de meio</t>
  </si>
  <si>
    <t>% executado</t>
  </si>
  <si>
    <t>2º Pavimento</t>
  </si>
  <si>
    <t>140801</t>
  </si>
  <si>
    <t>Caixa  sifonada  de  PVC,  dim.  150x150x50mm,  com  grelha  e porta grelha em aço inox</t>
  </si>
  <si>
    <t>140802</t>
  </si>
  <si>
    <t>Caixa  sifonada  de  PVC,  dim.  100x100x50mm,  com  grelha  e porta grelha em aço inox</t>
  </si>
  <si>
    <t>140805</t>
  </si>
  <si>
    <t>Prancha 16/25 - Cobertura plano 1</t>
  </si>
  <si>
    <t>Pilares - Prancha 06/25</t>
  </si>
  <si>
    <t>P17=P19 - Nível (+5,32m) até +6,42m</t>
  </si>
  <si>
    <t>P18 - Nível (+5,32m) até +6,42m</t>
  </si>
  <si>
    <t>P8 - Nível (+5,32m) até +6,42m</t>
  </si>
  <si>
    <t>P21=P22=P23 - Nível (+5,32m) até +6,42m</t>
  </si>
  <si>
    <t>P27=P28=P29=P30 - Nível (+5,32m) até +6,42m</t>
  </si>
  <si>
    <t>8ª Medição</t>
  </si>
  <si>
    <t>8º Medição</t>
  </si>
  <si>
    <t xml:space="preserve">Alvenaria externa </t>
  </si>
  <si>
    <t>H(m)</t>
  </si>
  <si>
    <t>1002</t>
  </si>
  <si>
    <t>Telhado 1 pavimento</t>
  </si>
  <si>
    <t>090101</t>
  </si>
  <si>
    <t>Recepçao</t>
  </si>
  <si>
    <t xml:space="preserve">Ocorrência </t>
  </si>
  <si>
    <t xml:space="preserve">circulação 1 </t>
  </si>
  <si>
    <t>Investigadores</t>
  </si>
  <si>
    <t>Repouso Feminino</t>
  </si>
  <si>
    <t>Laje descoberta</t>
  </si>
  <si>
    <t xml:space="preserve">Alvenaria térreo </t>
  </si>
  <si>
    <t>Mureta</t>
  </si>
  <si>
    <t xml:space="preserve">Copa </t>
  </si>
  <si>
    <t>Ocorrência</t>
  </si>
  <si>
    <t>Repouso feminino /masculino</t>
  </si>
  <si>
    <t>A</t>
  </si>
  <si>
    <t>Iaje descoberta (esquerda)</t>
  </si>
  <si>
    <t>Departamento Material de Limpeza 01</t>
  </si>
  <si>
    <t>Copa 1º Pav</t>
  </si>
  <si>
    <t>Ocorrência PC</t>
  </si>
  <si>
    <t>Circulação Funcionários</t>
  </si>
  <si>
    <t>Refeitório / Copa</t>
  </si>
  <si>
    <t>Cartório 01</t>
  </si>
  <si>
    <t>Cartório 02</t>
  </si>
  <si>
    <t>Cartório 03</t>
  </si>
  <si>
    <t>Circulação Público</t>
  </si>
  <si>
    <t>Circulação Conduzidos</t>
  </si>
  <si>
    <t>Almoxarifado 01</t>
  </si>
  <si>
    <t>Reprografia</t>
  </si>
  <si>
    <t>Arquivo</t>
  </si>
  <si>
    <t>Fotografia / Reconhecimento</t>
  </si>
  <si>
    <t>Vítima</t>
  </si>
  <si>
    <t>Departamento Material de Limpeza 02</t>
  </si>
  <si>
    <t>Inteligência Estatística</t>
  </si>
  <si>
    <t>Espera</t>
  </si>
  <si>
    <t>Dep. Social</t>
  </si>
  <si>
    <t>Apoio Adm</t>
  </si>
  <si>
    <t>Sala Adjunto</t>
  </si>
  <si>
    <t>Circulação (03 corredores)</t>
  </si>
  <si>
    <t>T.I.</t>
  </si>
  <si>
    <t>Reunião</t>
  </si>
  <si>
    <t>Sessão Criminal 02</t>
  </si>
  <si>
    <t>Sessão Criminal 01</t>
  </si>
  <si>
    <t>Manutenção</t>
  </si>
  <si>
    <t>Seção Informática</t>
  </si>
  <si>
    <t>Copa / Lavabo</t>
  </si>
  <si>
    <t>Embarque / Desembarque / Circulação 03</t>
  </si>
  <si>
    <t>Circulação celas / Cela 01</t>
  </si>
  <si>
    <t>Cela 03</t>
  </si>
  <si>
    <t>Cela 04</t>
  </si>
  <si>
    <t>WC Masc + Fem + WC Adjunto - 2 pav</t>
  </si>
  <si>
    <t>LABOR - 141414 - 1LABOR - 141414 - 1</t>
  </si>
  <si>
    <t>9ª Medição</t>
  </si>
  <si>
    <t>Shaft elétrico 1° pavimento</t>
  </si>
  <si>
    <t>Alvenaria térreo</t>
  </si>
  <si>
    <t xml:space="preserve">WCF </t>
  </si>
  <si>
    <t xml:space="preserve">WCM </t>
  </si>
  <si>
    <t>PM/PG</t>
  </si>
  <si>
    <t>Sapata corrida muro lateral - V25/V26</t>
  </si>
  <si>
    <t>Sapata corrida muro frontal - V24</t>
  </si>
  <si>
    <t>Muros frontal/lateral - V24/V25/V26</t>
  </si>
  <si>
    <t>Sapata corrida muro lateral - V26</t>
  </si>
  <si>
    <t>Sapata corrida muro lateral - V25</t>
  </si>
  <si>
    <t>0402</t>
  </si>
  <si>
    <t xml:space="preserve">Pilares - Prancha 09/25  </t>
  </si>
  <si>
    <t>P23 (+5,32m) até nível +7,44m</t>
  </si>
  <si>
    <t>P24  (+5,32m) até nível +8,76m</t>
  </si>
  <si>
    <t>P25  (+5,32m) até nível +8,76m</t>
  </si>
  <si>
    <t>P26  (+5,32m) até nível +8,76m</t>
  </si>
  <si>
    <t xml:space="preserve">Pilares - Prancha 10/25  </t>
  </si>
  <si>
    <t>P27=P29 - Nível +5,32m até nível +6,58m</t>
  </si>
  <si>
    <t>P28=P30 - Nível +5,32m até nível +6,72m</t>
  </si>
  <si>
    <t>Prancha 05/25</t>
  </si>
  <si>
    <t>inclinada</t>
  </si>
  <si>
    <t>Prancha 04/25</t>
  </si>
  <si>
    <t>Vigas - cobertura plano 02 (+7,72)</t>
  </si>
  <si>
    <t>Vigas - cobertura plano 03 (+8,76)</t>
  </si>
  <si>
    <t>Seção (m2)</t>
  </si>
  <si>
    <t>Desconto</t>
  </si>
  <si>
    <t>Infra Estrutura  - Reforço e adequações (medição Douglas)</t>
  </si>
  <si>
    <t>Infra Estrutura  - Reforço e adequações (validado)</t>
  </si>
  <si>
    <t>Sapatas corrida muro frontal</t>
  </si>
  <si>
    <t>Complemento</t>
  </si>
  <si>
    <t>040701</t>
  </si>
  <si>
    <t xml:space="preserve">Prancha 01/01 - Reforço Vigas do piso do  2º pavimento </t>
  </si>
  <si>
    <t xml:space="preserve">Prancha 01/01 - Reforço Vigas do teto do 2º pavimento - plano de cobertura </t>
  </si>
  <si>
    <t>C(m)</t>
  </si>
  <si>
    <t xml:space="preserve">Nº de pontos </t>
  </si>
  <si>
    <t>Espessura (m)</t>
  </si>
  <si>
    <t xml:space="preserve">Estimado para area de peças estruturais com processo de corrosão </t>
  </si>
  <si>
    <t>PORTAS:</t>
  </si>
  <si>
    <t>PM080</t>
  </si>
  <si>
    <t>PM090</t>
  </si>
  <si>
    <t>PA060B</t>
  </si>
  <si>
    <t>PA090</t>
  </si>
  <si>
    <t>JANELAS:</t>
  </si>
  <si>
    <t>JA100</t>
  </si>
  <si>
    <t>JA160</t>
  </si>
  <si>
    <t>BÁSCULAS:</t>
  </si>
  <si>
    <t>LATERAL</t>
  </si>
  <si>
    <t>SUP     1                   SUP+INF 2</t>
  </si>
  <si>
    <t xml:space="preserve">H </t>
  </si>
  <si>
    <t>ESP</t>
  </si>
  <si>
    <t>Qnt</t>
  </si>
  <si>
    <t>PM060B</t>
  </si>
  <si>
    <t>BA080A</t>
  </si>
  <si>
    <t>COBOGÓS:</t>
  </si>
  <si>
    <t>CV800</t>
  </si>
  <si>
    <t>Descontos</t>
  </si>
  <si>
    <t>Wc Assecível 1ªpav</t>
  </si>
  <si>
    <t>Wc Assecível  2ºpav</t>
  </si>
  <si>
    <t>Alvenaria 1º Pav</t>
  </si>
  <si>
    <t>Pilares 1 pavimento</t>
  </si>
  <si>
    <t>Comp(m)</t>
  </si>
  <si>
    <t>H(m)  - Tela</t>
  </si>
  <si>
    <t>Qtd por face</t>
  </si>
  <si>
    <t>Qtd de faixa de tela</t>
  </si>
  <si>
    <t xml:space="preserve">Construção de 1 pavimento </t>
  </si>
  <si>
    <t xml:space="preserve">Vigas - piso segundo pavimento  (+5,32) - voltadas para fachadas e nas platibandas internas ( viga/ou rufo com parede)  </t>
  </si>
  <si>
    <t xml:space="preserve">V1 - fachada externa e face interna </t>
  </si>
  <si>
    <t xml:space="preserve">V5 - fachada externa e face interna </t>
  </si>
  <si>
    <t>Vigas - cobertura plano 01 (+6,42)</t>
  </si>
  <si>
    <t xml:space="preserve">V1- fachada externa e face interna da platibanda </t>
  </si>
  <si>
    <t xml:space="preserve">V2- fachada externa  </t>
  </si>
  <si>
    <t xml:space="preserve">V3- fachada externa  </t>
  </si>
  <si>
    <t xml:space="preserve">V4- fachada  face interna da platibanda </t>
  </si>
  <si>
    <t xml:space="preserve">V5- fachada externa e face interna da platibanda </t>
  </si>
  <si>
    <t xml:space="preserve">V6- fachada externa  </t>
  </si>
  <si>
    <t xml:space="preserve">V7- fachada externa  </t>
  </si>
  <si>
    <t xml:space="preserve">Platibandada Cobertura - Pilares /  Viga superior </t>
  </si>
  <si>
    <t xml:space="preserve">Pilares Prisma </t>
  </si>
  <si>
    <t>Viga superior - Prisma de Vetilação - Platibanda Fundo</t>
  </si>
  <si>
    <t>Viga superior - Platibanda Fundo</t>
  </si>
  <si>
    <t xml:space="preserve">Viga / Rufo Fundos / prisma </t>
  </si>
  <si>
    <t>Edificação existente - 2 pavimentos</t>
  </si>
  <si>
    <t xml:space="preserve">Complementos:  </t>
  </si>
  <si>
    <t>Parede perrpendicular com parede - Térreo</t>
  </si>
  <si>
    <t>Parede perrpendicular com parede - 1º pav</t>
  </si>
  <si>
    <t>060101</t>
  </si>
  <si>
    <t>060102</t>
  </si>
  <si>
    <t>060103</t>
  </si>
  <si>
    <t>060104</t>
  </si>
  <si>
    <t>060105</t>
  </si>
  <si>
    <t>Portas de madeira :</t>
  </si>
  <si>
    <t>Banheiro ASG</t>
  </si>
  <si>
    <t>WC Sala Delegado</t>
  </si>
  <si>
    <t>Desc. ASG</t>
  </si>
  <si>
    <t>Ocorrencia /PC</t>
  </si>
  <si>
    <t>Banheiro Funcionário Masculino</t>
  </si>
  <si>
    <t>Banheiro Funcionário Feminino</t>
  </si>
  <si>
    <t>PM/GM</t>
  </si>
  <si>
    <t>WC Feminino</t>
  </si>
  <si>
    <t>Complementação - estrutura telhado 1º pav</t>
  </si>
  <si>
    <t>090201</t>
  </si>
  <si>
    <t>Telhado 1º pav</t>
  </si>
  <si>
    <t>P060</t>
  </si>
  <si>
    <t>P080</t>
  </si>
  <si>
    <t>P090</t>
  </si>
  <si>
    <t xml:space="preserve">Desconto geral </t>
  </si>
  <si>
    <t>Cela 02</t>
  </si>
  <si>
    <t xml:space="preserve">Cobertura 1 e 2 </t>
  </si>
  <si>
    <t xml:space="preserve">Predio a construir </t>
  </si>
  <si>
    <t>Platibanda frente - nivel de 7,72 até 8,76</t>
  </si>
  <si>
    <t>Platibanda Fechamento telhado</t>
  </si>
  <si>
    <t xml:space="preserve">Platibanda lateral esquerda </t>
  </si>
  <si>
    <t>Vazio de ventilação - area técnica da cobertura 1</t>
  </si>
  <si>
    <t xml:space="preserve">Visita laje técnica </t>
  </si>
  <si>
    <t>Platibanda Prisma Ventilação (interna)</t>
  </si>
  <si>
    <t xml:space="preserve">Platibanda  Prisma ventilaçao (fundo) </t>
  </si>
  <si>
    <t>,</t>
  </si>
  <si>
    <t xml:space="preserve">P20, P23 - nivel +1,91  até nível 5,32m ( cobertura)  -  Prancha 02/25) </t>
  </si>
  <si>
    <t xml:space="preserve">P17  - face externa com vizinho   -  nivel +1,91  até  6,42 -  Prancha 02/25 e 03/25)  </t>
  </si>
  <si>
    <t xml:space="preserve">P17  - face interna com delegacia  e externa com delegacia -   -  nivel +1,91  até  6,42 -  Prancha 02/25 e 03/25)  </t>
  </si>
  <si>
    <t xml:space="preserve">P26  - face interna com delegacia  e externa com delegacia -   -  nivel +1,91  até  8,76 -  Prancha 02/25 e 03/25)  </t>
  </si>
  <si>
    <t xml:space="preserve">P20 e P23  - nivel +1,91  até  cobertura  nível 5,32 -  Prancha 02/25 e 03/25) </t>
  </si>
  <si>
    <t xml:space="preserve">P24 e P25  - nivel +1,91  até nível 8,76   -  Prancha 02/25 e 03/05 </t>
  </si>
  <si>
    <t xml:space="preserve">V7  - divisa com a delegacia -  Prancha 03/25 - nível +5,32 </t>
  </si>
  <si>
    <t>V2 e  V3 - Vigas inclinadas com paredes vizinhas  (nível 8,76 ao nível 7,72e a parede  frontal a permanecer) -  Prancha 03/25.</t>
  </si>
  <si>
    <t>140402</t>
  </si>
  <si>
    <t>140403</t>
  </si>
  <si>
    <t>140404</t>
  </si>
  <si>
    <t>Agua fria:</t>
  </si>
  <si>
    <t>Cobertura</t>
  </si>
  <si>
    <t>C (m)</t>
  </si>
  <si>
    <t/>
  </si>
  <si>
    <t>140602</t>
  </si>
  <si>
    <t>140601</t>
  </si>
  <si>
    <t>140603</t>
  </si>
  <si>
    <t>140604</t>
  </si>
  <si>
    <t>140605</t>
  </si>
  <si>
    <t>140606</t>
  </si>
  <si>
    <t>140607</t>
  </si>
  <si>
    <t>140608</t>
  </si>
  <si>
    <t>140609</t>
  </si>
  <si>
    <t>140610</t>
  </si>
  <si>
    <t>140611</t>
  </si>
  <si>
    <t>Alimentação:</t>
  </si>
  <si>
    <t>Reservatório Superior</t>
  </si>
  <si>
    <t>Qt</t>
  </si>
  <si>
    <t>140703</t>
  </si>
  <si>
    <t>Cobertura - tubo ventilador</t>
  </si>
  <si>
    <t>140706</t>
  </si>
  <si>
    <t>140707</t>
  </si>
  <si>
    <t>Unid.</t>
  </si>
  <si>
    <t>141001</t>
  </si>
  <si>
    <t>ARES-CONDICIONADOS 2º PAVIMENTO</t>
  </si>
  <si>
    <t>ARES-CONDICIONADOS 1º PAVIMENTO</t>
  </si>
  <si>
    <t>% (executado)</t>
  </si>
  <si>
    <t>170107</t>
  </si>
  <si>
    <t>unid.</t>
  </si>
  <si>
    <t>200101</t>
  </si>
  <si>
    <t>Plataforma elevatória</t>
  </si>
  <si>
    <t>030202</t>
  </si>
  <si>
    <t>10ª Medição</t>
  </si>
  <si>
    <t>Aditivo (9ª medição)</t>
  </si>
  <si>
    <t>010128</t>
  </si>
  <si>
    <t>A (m2)</t>
  </si>
  <si>
    <t>P (m)</t>
  </si>
  <si>
    <t>M2</t>
  </si>
  <si>
    <t>Parede frontal</t>
  </si>
  <si>
    <t>Apoio/ Vestiário</t>
  </si>
  <si>
    <t>Entulho inerente à obra</t>
  </si>
  <si>
    <t>Saldo</t>
  </si>
  <si>
    <t>Visita caixa dágua</t>
  </si>
  <si>
    <t>Caixa exaustão na lajes</t>
  </si>
  <si>
    <t>Apoio de equipamentos Ar condicionado</t>
  </si>
  <si>
    <t>Telhado edificação nova (ampliação)</t>
  </si>
  <si>
    <t>090401</t>
  </si>
  <si>
    <t>Telhado principal</t>
  </si>
  <si>
    <t>Telhado bloco novo</t>
  </si>
  <si>
    <t>110101</t>
  </si>
  <si>
    <t>110102</t>
  </si>
  <si>
    <t>Circulação Celas</t>
  </si>
  <si>
    <t>Cela 01</t>
  </si>
  <si>
    <t xml:space="preserve">parede com o vizinho </t>
  </si>
  <si>
    <t>Wc  acessivel fem 1° pav</t>
  </si>
  <si>
    <t>Wc  acessivel mas 1° pav</t>
  </si>
  <si>
    <t>Wc  acessivel fem 2° pav</t>
  </si>
  <si>
    <t>Wc  acessivel mas 2° pav</t>
  </si>
  <si>
    <t>Parede plataforma</t>
  </si>
  <si>
    <t xml:space="preserve">copa  </t>
  </si>
  <si>
    <t>Dml</t>
  </si>
  <si>
    <t>120201</t>
  </si>
  <si>
    <t>120202</t>
  </si>
  <si>
    <t>B060</t>
  </si>
  <si>
    <t>H revest. (m)</t>
  </si>
  <si>
    <t>Parede</t>
  </si>
  <si>
    <t>Área com desconto vãos (m²)</t>
  </si>
  <si>
    <t>Wc acess fem 1ºpav</t>
  </si>
  <si>
    <t>Wc acess mas 1ºpav</t>
  </si>
  <si>
    <t>Wc acess fem 2ºpav</t>
  </si>
  <si>
    <t>Wc acess mas 2ºpav</t>
  </si>
  <si>
    <t>Primeiro Pavimento</t>
  </si>
  <si>
    <t>Segundo Pavimento</t>
  </si>
  <si>
    <t>Área externa</t>
  </si>
  <si>
    <t>16020208</t>
  </si>
  <si>
    <t>16020209</t>
  </si>
  <si>
    <t>16020210</t>
  </si>
  <si>
    <t>16020211</t>
  </si>
  <si>
    <t>16020212</t>
  </si>
  <si>
    <t>16020213</t>
  </si>
  <si>
    <t>16020214</t>
  </si>
  <si>
    <t>16020215</t>
  </si>
  <si>
    <t>180602</t>
  </si>
  <si>
    <t>30k btu</t>
  </si>
  <si>
    <t>24k btu</t>
  </si>
  <si>
    <t>18k btu</t>
  </si>
  <si>
    <t>12k btu</t>
  </si>
  <si>
    <t>9kbtu</t>
  </si>
  <si>
    <t>h(m)</t>
  </si>
  <si>
    <t>Bases (Qnt)</t>
  </si>
  <si>
    <t>Vitória, 05 de Junho de 2024.</t>
  </si>
  <si>
    <t>11ª Medição</t>
  </si>
  <si>
    <t>Apoios cx d'água</t>
  </si>
  <si>
    <t>Vigas cobertura - obra nova</t>
  </si>
  <si>
    <t>Parede fundos</t>
  </si>
  <si>
    <t>Muro rua Tito Machado</t>
  </si>
  <si>
    <t>Detentos</t>
  </si>
  <si>
    <t>Sapata corrida mureta frontal - V22</t>
  </si>
  <si>
    <t>Sapata corrida mureta lateral - V23</t>
  </si>
  <si>
    <t>PORTÕES</t>
  </si>
  <si>
    <t>PA400A</t>
  </si>
  <si>
    <t>JA880</t>
  </si>
  <si>
    <t>BA300</t>
  </si>
  <si>
    <t>090301</t>
  </si>
  <si>
    <t>090302</t>
  </si>
  <si>
    <t>0901</t>
  </si>
  <si>
    <t>ESTRUTURA PARA TELHADO</t>
  </si>
  <si>
    <t>0902</t>
  </si>
  <si>
    <t>0903</t>
  </si>
  <si>
    <t>Telhado 2º pav</t>
  </si>
  <si>
    <t>L Rufo (m)</t>
  </si>
  <si>
    <t>Esp Rufo (m)</t>
  </si>
  <si>
    <t>H = Parede acima do rufo</t>
  </si>
  <si>
    <t>1101</t>
  </si>
  <si>
    <t>REVESTIMENTO COM ARGAMASSA</t>
  </si>
  <si>
    <t>11</t>
  </si>
  <si>
    <t>TETOS E FORROS</t>
  </si>
  <si>
    <t>Reboco tipo paulista de argamassa de cimento,  cal hidratada CH1 e areia lavada traço 1:0.5:6, espessura 25 mm</t>
  </si>
  <si>
    <t>10</t>
  </si>
  <si>
    <t>IMPERMEABILIZAÇÃO</t>
  </si>
  <si>
    <t>IMPERMEABILIZAÇÃO CALHAS, LAJES DESCOBERTAS, BALDRAMES, PAREDES E JARDINEIRAS</t>
  </si>
  <si>
    <t>Platibanda esquerda 1º pav</t>
  </si>
  <si>
    <t>Apoio equipamento Arcon</t>
  </si>
  <si>
    <t>Parede balcão Copa/Refeitório</t>
  </si>
  <si>
    <t>Complemento Parede direita com área técnica</t>
  </si>
  <si>
    <t>Banco Hall de espera</t>
  </si>
  <si>
    <t>Muro fundos/vizinho Rua Tito Machado</t>
  </si>
  <si>
    <t>13</t>
  </si>
  <si>
    <t>PISOS INTERNOS</t>
  </si>
  <si>
    <t>1301</t>
  </si>
  <si>
    <t>LASTRO DE CONTRAPISO</t>
  </si>
  <si>
    <t>1302</t>
  </si>
  <si>
    <t>ACABAMENTOS</t>
  </si>
  <si>
    <t>130201</t>
  </si>
  <si>
    <t>130202</t>
  </si>
  <si>
    <t>Seção informática</t>
  </si>
  <si>
    <t>Seção Criminal</t>
  </si>
  <si>
    <t>Seção criminal</t>
  </si>
  <si>
    <t>TI</t>
  </si>
  <si>
    <t>Reunião/Treinamento</t>
  </si>
  <si>
    <t>1402</t>
  </si>
  <si>
    <t>TUBULAÇÃO DE LIGAÇÃO DE CAIXAS</t>
  </si>
  <si>
    <t>Rede de esgoto:</t>
  </si>
  <si>
    <t>CES-1 A CE-1</t>
  </si>
  <si>
    <t>CG-1 A CE-1</t>
  </si>
  <si>
    <t>CE-1 A CE-2</t>
  </si>
  <si>
    <t>CES-2 A CE-2</t>
  </si>
  <si>
    <t>CE-1</t>
  </si>
  <si>
    <t>CE-2</t>
  </si>
  <si>
    <t>CE-4</t>
  </si>
  <si>
    <t>140302</t>
  </si>
  <si>
    <t>CES 01</t>
  </si>
  <si>
    <t>CES 02</t>
  </si>
  <si>
    <t>140303</t>
  </si>
  <si>
    <t>CG01</t>
  </si>
  <si>
    <t>140304</t>
  </si>
  <si>
    <t>Rede de Drenagem:</t>
  </si>
  <si>
    <t>CAS01</t>
  </si>
  <si>
    <t>140307</t>
  </si>
  <si>
    <t>CA01 a CA04</t>
  </si>
  <si>
    <t>REDE DE ÁGUA FRIA - TUBOS SOLDÁVEIS DE PVC</t>
  </si>
  <si>
    <t>1407</t>
  </si>
  <si>
    <t>REDE DE ESGOTO - TUBOS DE PVC</t>
  </si>
  <si>
    <t>1408</t>
  </si>
  <si>
    <t>CAIXAS DE PVC/EQUIPAMENTOS</t>
  </si>
  <si>
    <t>1410</t>
  </si>
  <si>
    <t>REDES DE DRENOS DE AR CONDICIONADO</t>
  </si>
  <si>
    <t>040206</t>
  </si>
  <si>
    <t>12ª Medição</t>
  </si>
  <si>
    <t>Parede divisa Pátio coberto</t>
  </si>
  <si>
    <t>Parede divisa Rua Tito Machado</t>
  </si>
  <si>
    <t>Parede divisa pátio coberto</t>
  </si>
  <si>
    <t>Sapata corrida mureta em arco - V26</t>
  </si>
  <si>
    <t>12ª medição</t>
  </si>
  <si>
    <t>07</t>
  </si>
  <si>
    <t>0702</t>
  </si>
  <si>
    <t>070201</t>
  </si>
  <si>
    <t>Báscula para vidro em alumínio anodizado preto, linha 25, completa, com tranca, caixilho, alizar e  contramarco, exclusive vidro</t>
  </si>
  <si>
    <t>1º PAVIMENTO</t>
  </si>
  <si>
    <t>2º PAVIMENTO</t>
  </si>
  <si>
    <t>0703</t>
  </si>
  <si>
    <t>070301</t>
  </si>
  <si>
    <t>Esquadria  em  alumínio,  2  módulos,  tipo  1  fixo  e  1  correr, perfil  série  25  em  alumínio  anodizado  preto  e  vidro  6mm refletivo   de   baixa   emissividade   na   cor   prata,   fixado   com borracha preta EPDM, exclusive vidro</t>
  </si>
  <si>
    <t>1001</t>
  </si>
  <si>
    <t>IMPERMEABILIZAÇÃO DE ÁREAS MOLHADAS</t>
  </si>
  <si>
    <t>100101</t>
  </si>
  <si>
    <t>Impermeabilização  com  4  demãos  de  resina  termoplástica estruturada em pontos críticos com tela de poliéster consumo
4.0kg/m2</t>
  </si>
  <si>
    <t>A(m²)</t>
  </si>
  <si>
    <t>P(m²)</t>
  </si>
  <si>
    <t>H lateral (m)</t>
  </si>
  <si>
    <t>WC Masculino</t>
  </si>
  <si>
    <t>Banho ASG</t>
  </si>
  <si>
    <t>WC Acess Unissex</t>
  </si>
  <si>
    <t>Banh Func M</t>
  </si>
  <si>
    <t>Banh Func F</t>
  </si>
  <si>
    <t>Dep. Mat. Limpeza 01</t>
  </si>
  <si>
    <t>WC Acess Masc</t>
  </si>
  <si>
    <t>WC Acess Fem</t>
  </si>
  <si>
    <t>WC Masc Acessível</t>
  </si>
  <si>
    <t>Dep. Mat. Limpeza 02</t>
  </si>
  <si>
    <t>Parede plataforma 2º pav</t>
  </si>
  <si>
    <t>PPE090</t>
  </si>
  <si>
    <t>Banco cela 01</t>
  </si>
  <si>
    <t>Banco cela 02</t>
  </si>
  <si>
    <t>Banco cela 03</t>
  </si>
  <si>
    <t>Banco cela 04</t>
  </si>
  <si>
    <t>Parede lateral plataforma 2º pav</t>
  </si>
  <si>
    <t>Mureta frontal do gradil (V22 e V23)</t>
  </si>
  <si>
    <t>Deposito Material de Limpeza 02</t>
  </si>
  <si>
    <t>Circulação/ Hall de espera</t>
  </si>
  <si>
    <t>Circulação/Hall Espera 01</t>
  </si>
  <si>
    <t>CE-2 AO PI DA CESAN</t>
  </si>
  <si>
    <t>CE-4 AO PI DA CESAN</t>
  </si>
  <si>
    <t>Rede de drenagem:</t>
  </si>
  <si>
    <t>CA-1 A CA-2</t>
  </si>
  <si>
    <t>CA-2 A CAS-1</t>
  </si>
  <si>
    <t>CA-4 A CAS-1</t>
  </si>
  <si>
    <t>CAS-1 A REDE PÚBLICA</t>
  </si>
  <si>
    <t>CAIXA EMPREGANDO ARGAMASSA DE CIMENTO, CAL E AREIA</t>
  </si>
  <si>
    <t>140306</t>
  </si>
  <si>
    <t>Jardim</t>
  </si>
  <si>
    <t>ENTRADA E ENERGIA</t>
  </si>
  <si>
    <t>150106</t>
  </si>
  <si>
    <t>CAIXA ENTRADA QGBT</t>
  </si>
  <si>
    <t>140203</t>
  </si>
  <si>
    <t>1501</t>
  </si>
  <si>
    <t>SOBRE PAREDES E FORRO</t>
  </si>
  <si>
    <t>190101</t>
  </si>
  <si>
    <t>12º Medição</t>
  </si>
  <si>
    <t>P(m)</t>
  </si>
  <si>
    <t>PP100</t>
  </si>
  <si>
    <t>PG150</t>
  </si>
  <si>
    <t>P400</t>
  </si>
  <si>
    <t>Embarque/Desembarque/Circ02</t>
  </si>
  <si>
    <t>Copa/Lavabo</t>
  </si>
  <si>
    <t>Circulação/Hall Espera</t>
  </si>
  <si>
    <t>Circulação celas /Cela 01</t>
  </si>
  <si>
    <t>VÃO</t>
  </si>
  <si>
    <t>13ª Medição</t>
  </si>
  <si>
    <t>Fachada</t>
  </si>
  <si>
    <t>020303</t>
  </si>
  <si>
    <t>0403</t>
  </si>
  <si>
    <t>ESTRUTURA METÁLICA</t>
  </si>
  <si>
    <t>0505</t>
  </si>
  <si>
    <t>050501</t>
  </si>
  <si>
    <t>Inteligência estatística</t>
  </si>
  <si>
    <t>Seção criminal 1</t>
  </si>
  <si>
    <t>Seção criminal 2</t>
  </si>
  <si>
    <t>T.I. + Circulaçã</t>
  </si>
  <si>
    <t>Porta</t>
  </si>
  <si>
    <t>Visor</t>
  </si>
  <si>
    <t>Recepção + Circulação</t>
  </si>
  <si>
    <t>Apoio Admin.</t>
  </si>
  <si>
    <t>Cartório 1</t>
  </si>
  <si>
    <t>Cartório 2</t>
  </si>
  <si>
    <t>050502</t>
  </si>
  <si>
    <t>050503</t>
  </si>
  <si>
    <t>mm</t>
  </si>
  <si>
    <t>070303</t>
  </si>
  <si>
    <t>VA90</t>
  </si>
  <si>
    <t>Refeitório/Copa</t>
  </si>
  <si>
    <t>Mureta em arco do gradil</t>
  </si>
  <si>
    <t>Desc ASG</t>
  </si>
  <si>
    <t>1202</t>
  </si>
  <si>
    <t>Hall/Espera</t>
  </si>
  <si>
    <t>Banh ASG</t>
  </si>
  <si>
    <t>DML 02</t>
  </si>
  <si>
    <t>A (m²)</t>
  </si>
  <si>
    <t>Recepção celas</t>
  </si>
  <si>
    <t>1303</t>
  </si>
  <si>
    <t>DEGRAUS, RODAPÉS, SOLEIRAS E PEITORIS</t>
  </si>
  <si>
    <t>130301</t>
  </si>
  <si>
    <t>XXª Medição</t>
  </si>
  <si>
    <t>130302</t>
  </si>
  <si>
    <t>130303</t>
  </si>
  <si>
    <t>130304</t>
  </si>
  <si>
    <t>WC Acess M</t>
  </si>
  <si>
    <t>WC Acess F</t>
  </si>
  <si>
    <t>WC Acess M Interno</t>
  </si>
  <si>
    <t>WC adjunto</t>
  </si>
  <si>
    <t>WC Acess F Interno</t>
  </si>
  <si>
    <t>130305</t>
  </si>
  <si>
    <t>130306</t>
  </si>
  <si>
    <t>130307</t>
  </si>
  <si>
    <t>Qtd</t>
  </si>
  <si>
    <t>1306</t>
  </si>
  <si>
    <t>130603</t>
  </si>
  <si>
    <t>Calçada Rua Tito Machado</t>
  </si>
  <si>
    <t>1307</t>
  </si>
  <si>
    <t>JUNTAS DE DILATAÇÃO</t>
  </si>
  <si>
    <t>Coletor lateral</t>
  </si>
  <si>
    <t>140308</t>
  </si>
  <si>
    <t>Canaleta entrada bem/desemb a CA-3</t>
  </si>
  <si>
    <t>150203</t>
  </si>
  <si>
    <t>150305</t>
  </si>
  <si>
    <t>16020206</t>
  </si>
  <si>
    <t>16020204</t>
  </si>
  <si>
    <t>16020203</t>
  </si>
  <si>
    <t>16020202</t>
  </si>
  <si>
    <t>16020201</t>
  </si>
  <si>
    <t>13º Medição</t>
  </si>
  <si>
    <t>QUADROS ELÉTRICOS</t>
  </si>
  <si>
    <t>14ª Medição</t>
  </si>
  <si>
    <t>Recepção/Reprografia/Vítima</t>
  </si>
  <si>
    <t>Fotografia/Reconhecimento</t>
  </si>
  <si>
    <t>Sala do Delegado + fechamento corredor</t>
  </si>
  <si>
    <t>Parede WC</t>
  </si>
  <si>
    <t>Copa 1º pav/Lavabo</t>
  </si>
  <si>
    <t>Jardim calçamento interno</t>
  </si>
  <si>
    <t>141002</t>
  </si>
  <si>
    <t>DR-1</t>
  </si>
  <si>
    <t>DR-2</t>
  </si>
  <si>
    <t>141003</t>
  </si>
  <si>
    <t>141004</t>
  </si>
  <si>
    <t>1411</t>
  </si>
  <si>
    <t>141101</t>
  </si>
  <si>
    <t>Diâmetro</t>
  </si>
  <si>
    <t>141102</t>
  </si>
  <si>
    <t>Rasgos Sanitários</t>
  </si>
  <si>
    <t>40mm - dreno AC</t>
  </si>
  <si>
    <t>50mm</t>
  </si>
  <si>
    <t>Rasgos Sanitários - 40mm</t>
  </si>
  <si>
    <t>Água fria</t>
  </si>
  <si>
    <t>CAIXA TRANSFORMADOR</t>
  </si>
  <si>
    <t>150108</t>
  </si>
  <si>
    <t>150111</t>
  </si>
  <si>
    <t>LINHA FRIGORÍGENA</t>
  </si>
  <si>
    <t>180101</t>
  </si>
  <si>
    <t>1ºPavimento</t>
  </si>
  <si>
    <t>12kbtu</t>
  </si>
  <si>
    <t>2ºPavimento</t>
  </si>
  <si>
    <t>% concluido</t>
  </si>
  <si>
    <t>180102</t>
  </si>
  <si>
    <t>18kbtu</t>
  </si>
  <si>
    <t>180103</t>
  </si>
  <si>
    <t>24kbtu</t>
  </si>
  <si>
    <t>30kbtu</t>
  </si>
  <si>
    <t>14º Medição</t>
  </si>
  <si>
    <t>Manuntenção</t>
  </si>
  <si>
    <t>15ª Medição</t>
  </si>
  <si>
    <t>050101</t>
  </si>
  <si>
    <t>Circulação de conduzidos</t>
  </si>
  <si>
    <t>Báscula</t>
  </si>
  <si>
    <t>Alm 01</t>
  </si>
  <si>
    <t>Alm 02</t>
  </si>
  <si>
    <t>Repouso Feminino/Masculino</t>
  </si>
  <si>
    <t>Paredes internas plataforma</t>
  </si>
  <si>
    <t>Copa 1º Pav/Lavabo</t>
  </si>
  <si>
    <t>WC Fem (Copa)</t>
  </si>
  <si>
    <t>WC Masc (Copa)</t>
  </si>
  <si>
    <t>141104</t>
  </si>
  <si>
    <t>Alimentação e água fria - barrilete</t>
  </si>
  <si>
    <t>Alimentação e água fria - 2º pavto</t>
  </si>
  <si>
    <t>141105</t>
  </si>
  <si>
    <t>Água pluvial/ventilação - barrilete</t>
  </si>
  <si>
    <t>Água pluvial/ventilação/TQ - 2º pavto</t>
  </si>
  <si>
    <t>141106</t>
  </si>
  <si>
    <t>Água pluvial/ventilação/TQ - barrilete</t>
  </si>
  <si>
    <t>150204</t>
  </si>
  <si>
    <t>150205</t>
  </si>
  <si>
    <t>150208</t>
  </si>
  <si>
    <t>Área técnica</t>
  </si>
  <si>
    <t>150212</t>
  </si>
  <si>
    <t>150218</t>
  </si>
  <si>
    <t>150229</t>
  </si>
  <si>
    <t>Curva "L" em alumínio  ref. Engeduto CL90 114/2 PBR</t>
  </si>
  <si>
    <t>150231</t>
  </si>
  <si>
    <t>150303</t>
  </si>
  <si>
    <t>150304</t>
  </si>
  <si>
    <t>150306</t>
  </si>
  <si>
    <t>150307</t>
  </si>
  <si>
    <t>150308</t>
  </si>
  <si>
    <t>160201</t>
  </si>
  <si>
    <t>CAIXAS DE PASSAGEM EMBUTIR E SOBREPOR EM PAREDES E SOLO</t>
  </si>
  <si>
    <t>16020101</t>
  </si>
  <si>
    <t>16020102</t>
  </si>
  <si>
    <t>16020106</t>
  </si>
  <si>
    <t>16020216</t>
  </si>
  <si>
    <t>16020217</t>
  </si>
  <si>
    <t>16020218</t>
  </si>
  <si>
    <t>16020219</t>
  </si>
  <si>
    <t>1702</t>
  </si>
  <si>
    <t>BANCADAS</t>
  </si>
  <si>
    <t>170201</t>
  </si>
  <si>
    <t>Dml 02</t>
  </si>
  <si>
    <t>WC Fem 2º pav</t>
  </si>
  <si>
    <t>170202</t>
  </si>
  <si>
    <t>170203</t>
  </si>
  <si>
    <t>170204</t>
  </si>
  <si>
    <t>180601</t>
  </si>
  <si>
    <t>15º Medição</t>
  </si>
  <si>
    <t>Circulação funcionários</t>
  </si>
  <si>
    <t>Descanço ASG</t>
  </si>
  <si>
    <t>180510</t>
  </si>
  <si>
    <t>180511</t>
  </si>
  <si>
    <t>16ª Medição</t>
  </si>
  <si>
    <t>16º Medição</t>
  </si>
  <si>
    <t>Muro vizinho Construtor Camilo</t>
  </si>
  <si>
    <t>1º pavimento</t>
  </si>
  <si>
    <t>Copa 1º pav</t>
  </si>
  <si>
    <t>Banh Func. M</t>
  </si>
  <si>
    <t>Banh Func. F</t>
  </si>
  <si>
    <t>Circulação (3 corredores)</t>
  </si>
  <si>
    <t>V90</t>
  </si>
  <si>
    <t>V200</t>
  </si>
  <si>
    <t>150225</t>
  </si>
  <si>
    <t>FIOS E CABOS</t>
  </si>
  <si>
    <t>Área Externa</t>
  </si>
  <si>
    <t>Primeriro Pavimento</t>
  </si>
  <si>
    <t>16020105</t>
  </si>
  <si>
    <t>16020207</t>
  </si>
  <si>
    <t>1603</t>
  </si>
  <si>
    <t>INSTALAÇÕES DE CFTV ,CATV,ALARMES SENSORIAL E DE BARREIRA</t>
  </si>
  <si>
    <t>160301</t>
  </si>
  <si>
    <t>CAIXAS DE PASSAGEM</t>
  </si>
  <si>
    <t>16030101</t>
  </si>
  <si>
    <t>16030102</t>
  </si>
  <si>
    <t>160302</t>
  </si>
  <si>
    <t>16030201</t>
  </si>
  <si>
    <t>ELETRODUTOS E CONEXÕES</t>
  </si>
  <si>
    <t>16030202</t>
  </si>
  <si>
    <t>16030203</t>
  </si>
  <si>
    <t>16030204</t>
  </si>
  <si>
    <t>16030205</t>
  </si>
  <si>
    <t>16030206</t>
  </si>
  <si>
    <t>16030207</t>
  </si>
  <si>
    <t>WC Delegadi 2º pav</t>
  </si>
  <si>
    <t>SISTEMA DE EXAUSTÃO</t>
  </si>
  <si>
    <t>Fachada Camilo Ginórdoli</t>
  </si>
  <si>
    <t>0706</t>
  </si>
  <si>
    <t>070603</t>
  </si>
  <si>
    <t>JA100 (repouso masc e fem)</t>
  </si>
  <si>
    <t>JA160 (copa)</t>
  </si>
  <si>
    <t>JA880 (cartório 1/2/3 e delegado)</t>
  </si>
  <si>
    <t>BA080 (WCM e Lavabo, WC Masc, acessivel, WC sl)</t>
  </si>
  <si>
    <t>BA120 (recepção)</t>
  </si>
  <si>
    <t>BA200 (PM/PG, Hall/Espera)</t>
  </si>
  <si>
    <t>BA300 (investigadores</t>
  </si>
  <si>
    <t>JA200 (Intel/Estat)</t>
  </si>
  <si>
    <t>JA180 (escada)</t>
  </si>
  <si>
    <t>BA055 (copa, dml)</t>
  </si>
  <si>
    <t>BA080 (copa)</t>
  </si>
  <si>
    <t>BA080 (WC Fem Masc, acessível, wc sl deleg, wc fem)</t>
  </si>
  <si>
    <t>17ª Medição</t>
  </si>
  <si>
    <t>17º Medição</t>
  </si>
  <si>
    <t>Alm. 01</t>
  </si>
  <si>
    <t>Alm. 02</t>
  </si>
  <si>
    <t>Reprog.</t>
  </si>
  <si>
    <t>Seção Criminal 01</t>
  </si>
  <si>
    <t>Seção Criminal 02</t>
  </si>
  <si>
    <t>070101</t>
  </si>
  <si>
    <t>0701</t>
  </si>
  <si>
    <t>PORTA EM ALUMÍNIO</t>
  </si>
  <si>
    <t>WC Masc Copa</t>
  </si>
  <si>
    <t>WC Fem Copa</t>
  </si>
  <si>
    <t>070302</t>
  </si>
  <si>
    <t>VT100</t>
  </si>
  <si>
    <t>VT200</t>
  </si>
  <si>
    <t>0704</t>
  </si>
  <si>
    <t>070401</t>
  </si>
  <si>
    <t>070402</t>
  </si>
  <si>
    <t>070403</t>
  </si>
  <si>
    <t>Casa de lixo</t>
  </si>
  <si>
    <t>Lixo</t>
  </si>
  <si>
    <t>Circulação/Hall de Espera</t>
  </si>
  <si>
    <t>Repouso Fem</t>
  </si>
  <si>
    <t>Repouso Masc</t>
  </si>
  <si>
    <t>130704</t>
  </si>
  <si>
    <t>P20, P23 - nivel +1,91</t>
  </si>
  <si>
    <t xml:space="preserve">P17  - nivel +1,91 </t>
  </si>
  <si>
    <t>P26  - nivel +1,92</t>
  </si>
  <si>
    <t>P24, P25 - nivel +1,91</t>
  </si>
  <si>
    <t>V7 - nível +5,32</t>
  </si>
  <si>
    <t>Entre paredes do Banh. ASG com a Descanso ASG e Paredes da sala investigação</t>
  </si>
  <si>
    <t>Entre paredes dos box dos vasos sanitaios da PM/GM</t>
  </si>
  <si>
    <t>V7 - nível +8,72</t>
  </si>
  <si>
    <t>V2, V3 - nível +8,72</t>
  </si>
  <si>
    <t>Entre mureta lateral no vível cobertura 1º PAVIMENTO e parede lateral direita edificação existente da delegacia</t>
  </si>
  <si>
    <t>INTERRUPTORES, TOMADAS E CHAVE SELETORA</t>
  </si>
  <si>
    <t>160203</t>
  </si>
  <si>
    <t>CABOS</t>
  </si>
  <si>
    <t>16020301</t>
  </si>
  <si>
    <t>16020302</t>
  </si>
  <si>
    <t>160303</t>
  </si>
  <si>
    <t>16030301</t>
  </si>
  <si>
    <t>180504</t>
  </si>
  <si>
    <t>180505</t>
  </si>
  <si>
    <t>180506</t>
  </si>
  <si>
    <t>Platibanda área técnica</t>
  </si>
  <si>
    <t>Interna</t>
  </si>
  <si>
    <t>Externa</t>
  </si>
  <si>
    <t>0502</t>
  </si>
  <si>
    <t>17ª</t>
  </si>
  <si>
    <t>01/12/2024 - 31/12/2024</t>
  </si>
  <si>
    <t>18ª Medição</t>
  </si>
  <si>
    <t>18º Medição</t>
  </si>
  <si>
    <t>Reunião/Trein.</t>
  </si>
  <si>
    <t>Cart. 02</t>
  </si>
  <si>
    <t>Cart. 01</t>
  </si>
  <si>
    <t>Reconhecimento</t>
  </si>
  <si>
    <t>WC Func Masc</t>
  </si>
  <si>
    <t>WC Masc (PM100)</t>
  </si>
  <si>
    <t>060106</t>
  </si>
  <si>
    <t>060107</t>
  </si>
  <si>
    <t>WC. Fem</t>
  </si>
  <si>
    <t>060108</t>
  </si>
  <si>
    <t>0602</t>
  </si>
  <si>
    <t>060201</t>
  </si>
  <si>
    <t>060202</t>
  </si>
  <si>
    <t>060203</t>
  </si>
  <si>
    <t>060205</t>
  </si>
  <si>
    <t>060206</t>
  </si>
  <si>
    <t>070602</t>
  </si>
  <si>
    <t>Acesso PM/GM</t>
  </si>
  <si>
    <t>Executado %</t>
  </si>
  <si>
    <t>1102</t>
  </si>
  <si>
    <t>REBAIXAMENTOS</t>
  </si>
  <si>
    <t>110201</t>
  </si>
  <si>
    <t>WC Fem Acessível</t>
  </si>
  <si>
    <t>WCF Copa</t>
  </si>
  <si>
    <t>WCM Copa</t>
  </si>
  <si>
    <t>WC Acssível Unissex</t>
  </si>
  <si>
    <t>Banho Func M</t>
  </si>
  <si>
    <t>Banho Func F</t>
  </si>
  <si>
    <t>110202</t>
  </si>
  <si>
    <t>Circ Func</t>
  </si>
  <si>
    <t>Cartória 03</t>
  </si>
  <si>
    <t>110203</t>
  </si>
  <si>
    <t>Copa/Refeitório</t>
  </si>
  <si>
    <t>2º pavimento</t>
  </si>
  <si>
    <t>Alimentação</t>
  </si>
  <si>
    <t>Pluvial/Drenagem</t>
  </si>
  <si>
    <t>AP-1 TRECHO VERTICAL E HORIZONTAL</t>
  </si>
  <si>
    <t>AP-3 TRECHO VERTICAL E HORIZONTAL</t>
  </si>
  <si>
    <t>AP-4 TRECHO VERTICAL E HORIZONTAL</t>
  </si>
  <si>
    <t>AP-5 TRECHO VERTICAL E HORIZONTAL</t>
  </si>
  <si>
    <t>LAJE DOS RESERVATÓRIOS</t>
  </si>
  <si>
    <t>AP-2 TRECHO VERTICAL E HORIZONTAL</t>
  </si>
  <si>
    <t>150122</t>
  </si>
  <si>
    <t>Mureta de medição elétrica usando argamassa com cimento, areia e cal hidratada dimensões (c=2,10m)x(a=2,50m)e(p=0,30m) com revestimentos em chapisco e reboco, com emassamento e pintura acrílicos 3 demãos</t>
  </si>
  <si>
    <t>170101</t>
  </si>
  <si>
    <t>170102</t>
  </si>
  <si>
    <t>Bacia sifonada de louça branca sem abertura frontal para portadores de necessidades especiais, Vogue Plus Conforto - Linha Conforto, mod P510, incl. assento poliester, ref.AP51,marca de ref. Deca ou equivalente, sem abertura front</t>
  </si>
  <si>
    <t>FORNECIMENTO DE EQUIPAMENTOS DE CLIMATIZAÇÃO (EVAPORADORA E CONDENSADORA)</t>
  </si>
  <si>
    <t>180204</t>
  </si>
  <si>
    <t>Conjunto split com capacidade nominal de 24.000BTU/h composto de unidade evaporadora tipo HiWall  e unidade condensadora com descarga frontal. Fabricante: Elgin-Modelo: HWQI24B2IA/HWQE24B2NA</t>
  </si>
  <si>
    <t>Sala PM/GM</t>
  </si>
  <si>
    <t>180304</t>
  </si>
  <si>
    <t>180404</t>
  </si>
  <si>
    <t>180502</t>
  </si>
  <si>
    <t>Ventilador de exaustão compacto, com rolamento, 220V Pot.: 0,29kw, vazão descarga livre - 2020m3/h Fabricante  Otam S&amp;P Modelo: Mixvent TD 2000x315 ou equivalente</t>
  </si>
  <si>
    <t>180503</t>
  </si>
  <si>
    <t>Gabinete para filtro G4+F5 - 500x250 - colarinho diâm. 315mm - FABRICANTE  OTAM S&amp;P  MODELO: MFL-C 315 ou equivalente</t>
  </si>
  <si>
    <t>Telhado principal interno</t>
  </si>
  <si>
    <t>Telhado Principal p área técnica</t>
  </si>
  <si>
    <t>Forros 1º Pavimento</t>
  </si>
  <si>
    <t>Forros 2º Pavimento</t>
  </si>
  <si>
    <t>WC Masc Acess</t>
  </si>
  <si>
    <t>200401</t>
  </si>
  <si>
    <t>Revestimento em placa de alumínio composto (inclusive estrutura de fixação), 4mm, linha Arch, cores conforme especificado em projeto, marca referencia Projeto Alumínio ou equivalente. Fornecimento e instalação</t>
  </si>
  <si>
    <t>Azul Cobalto</t>
  </si>
  <si>
    <t>Fachada Rua Tito Machdo</t>
  </si>
  <si>
    <t>Parte lateral da Rua Construtor Camilo</t>
  </si>
  <si>
    <t>Fachada Rua Construtor Camilo</t>
  </si>
  <si>
    <t>Cinza Prata</t>
  </si>
  <si>
    <t>Parte Curva da fachada</t>
  </si>
  <si>
    <t>Vermelho</t>
  </si>
  <si>
    <t>Marquise</t>
  </si>
  <si>
    <t>22</t>
  </si>
  <si>
    <t>SERVIÇOS NOVOS ADICIONADOS</t>
  </si>
  <si>
    <t>2201</t>
  </si>
  <si>
    <t xml:space="preserve">SINAPI/98671 </t>
  </si>
  <si>
    <t>PISO EM GRANITO APLICADO EM AMBIENTES INTERNOS. AF_09/2020</t>
  </si>
  <si>
    <t>LABOR-010259</t>
  </si>
  <si>
    <t>Remoção Rodapé de madeira - h=10cm</t>
  </si>
  <si>
    <t>LABOR-130315</t>
  </si>
  <si>
    <t xml:space="preserve"> Rodapé de mármore ou granito, assentado com argamassa de cimento, cal hidratada CH1 e areia no traço 1:0,5:8, incl.
rejuntamento com cimento branco, h=7cm</t>
  </si>
  <si>
    <t>LABOR-190114</t>
  </si>
  <si>
    <t>Selador acrílico a uma demão, marcas de referência Suvinil, Coral ou Metalatex</t>
  </si>
  <si>
    <t>Composição</t>
  </si>
  <si>
    <t>Concertina Dupla, em aço galvanizado, espiral de Ø = 450 mm, 5 clipes p/espiral, lâmina de 30mm e fio interno = 2,75mm, inclusive instalação</t>
  </si>
  <si>
    <t>LABOR-071701</t>
  </si>
  <si>
    <t>Película Prata Espelhada-Sala de reconhecimento</t>
  </si>
  <si>
    <t>LABOR-160713</t>
  </si>
  <si>
    <t>Porta de correr de chapa galvanizada nº 14 - pintura com esmalte sintetico acetinado sobre zarcão, com tela quebra chama em malha 2 a 5mm</t>
  </si>
  <si>
    <t>SINAPI-100434</t>
  </si>
  <si>
    <t>CALHA DE BEIRAL, SEMICIRCULAR DE PVC, DIAMETRO 125 MM, INCLUINDO CABECEIRAS, EMENDAS, BOCAIS, SUPORTES E VEDAÇÕES, EXCLUINDO CONDUTORES, INCLUSO TRANSPORTE VERTICAL. AF_07/2019</t>
  </si>
  <si>
    <t>SINAPI-89511</t>
  </si>
  <si>
    <t>TUBO PVC, SÉRIE R, ÁGUA PLUVIAL, DN 75 MM, FORNECIDO E INSTALADO EM RAMAL DE ENCAMINHAMENTO. AF_12/2014</t>
  </si>
  <si>
    <t>SINAPI-89526</t>
  </si>
  <si>
    <t>CURVA 87 GRAUS E 30 MINUTOS, PVC, SERIE R, ÁGUA PLUVIAL, DN 75 MM, JUNTA ELÁSTICA, FORNECIDO E INSTALADO EM RAMAL DE ENCAMINHAMENTO. AF_12/2014</t>
  </si>
  <si>
    <t>Chapa de aço para proteção da cela</t>
  </si>
  <si>
    <t>Alvenaria externa paredão frontal esquerda</t>
  </si>
  <si>
    <t>Wc Masc/Fem. do PM/GM</t>
  </si>
  <si>
    <t>Wc Acess. Masc/Fem.</t>
  </si>
  <si>
    <t>Banheiros Wc Masc/ Wc Fem (2ª Pavimento) - Prancha 03/05 - Levantamento cadastral</t>
  </si>
  <si>
    <t xml:space="preserve">Parede final do corredor/ wc sala 8 (2ª Pavimento) - Prancha 03/05 (Levantamento cadastral) </t>
  </si>
  <si>
    <t xml:space="preserve">Vestiário - Prancha 03/05 (Levantamento cadastral) </t>
  </si>
  <si>
    <t xml:space="preserve">Sanitários Vestiário e Sala 09 - Prancha 03/05 (Levantamento cadastral) </t>
  </si>
  <si>
    <t>Prisma de ventilação (deslocamento alvenaria)</t>
  </si>
  <si>
    <t>Caixa dágua</t>
  </si>
  <si>
    <t>Vão PM080 da Sala dos Investigadores/Teleflagrante</t>
  </si>
  <si>
    <t>19ª medição</t>
  </si>
  <si>
    <t xml:space="preserve">Pátio coberto + almoxarifado + celas </t>
  </si>
  <si>
    <t>L1 (edif. Existente)</t>
  </si>
  <si>
    <t>L2  (edif. Existente)</t>
  </si>
  <si>
    <t>L3  (edif. Existente)</t>
  </si>
  <si>
    <t>L6  (edif. Existente)</t>
  </si>
  <si>
    <t>Sanitário 14ª medição</t>
  </si>
  <si>
    <t>Sanitário 15ª medição</t>
  </si>
  <si>
    <t>Sanitário 17ª medição</t>
  </si>
  <si>
    <t>Sanitário 18ª medição</t>
  </si>
  <si>
    <t>Sanitário 19ª medição</t>
  </si>
  <si>
    <t xml:space="preserve">Mês 11/2024 - Fachada </t>
  </si>
  <si>
    <t xml:space="preserve">Mês 10/2024 - Fachada </t>
  </si>
  <si>
    <t xml:space="preserve">Mês 12/2024 - Fachada </t>
  </si>
  <si>
    <t xml:space="preserve">Mês 01/2025 - Fachada </t>
  </si>
  <si>
    <t xml:space="preserve">Mês 02/2025 - Fachada </t>
  </si>
  <si>
    <t>Edificação nova</t>
  </si>
  <si>
    <t>19ª Medição</t>
  </si>
  <si>
    <t>Áreas de vigas e elementos estruturais de fundações que foram demolidas,  com utilização  de rompedor pneumático (1º Pavimento)</t>
  </si>
  <si>
    <t>Lajes subestação</t>
  </si>
  <si>
    <t>Fundação muro vizinho</t>
  </si>
  <si>
    <t>Laje 1</t>
  </si>
  <si>
    <t>Laje 2</t>
  </si>
  <si>
    <t>Laje 3</t>
  </si>
  <si>
    <t>Laje 4</t>
  </si>
  <si>
    <t>Muro vizinho</t>
  </si>
  <si>
    <t>Muro do vizinho</t>
  </si>
  <si>
    <t>Banco hall/espera 2</t>
  </si>
  <si>
    <t>Banco PM/GM</t>
  </si>
  <si>
    <t>Casa lixo - PL01 = PL03</t>
  </si>
  <si>
    <t>Casa lixo - PL02 = PL04</t>
  </si>
  <si>
    <t>Casa lixo - Laje</t>
  </si>
  <si>
    <t>Muro vizinho - pilar</t>
  </si>
  <si>
    <t>Banco - Cela 01</t>
  </si>
  <si>
    <t>Banco - Cela 02</t>
  </si>
  <si>
    <t>Banco - Cela 03</t>
  </si>
  <si>
    <t>Banco - Cela 04</t>
  </si>
  <si>
    <t>Bancos das celas</t>
  </si>
  <si>
    <t>Bancos hall</t>
  </si>
  <si>
    <t>Calha cobertura</t>
  </si>
  <si>
    <t>Estrutura casa do lixo</t>
  </si>
  <si>
    <t>Pilar muro vizinho</t>
  </si>
  <si>
    <t>Paredes celas (furos laje de piso para ancoragem ferragens)</t>
  </si>
  <si>
    <t>Paredes celas (furos laje de teto para ancoragem ferragens)</t>
  </si>
  <si>
    <t>Prisma de ventilação</t>
  </si>
  <si>
    <t>Muro do vizinho (R. Tito Machado)</t>
  </si>
  <si>
    <t>Parede divisória Sala Investigadores/Teleflagrante</t>
  </si>
  <si>
    <t>Parede interna fosso do elevador</t>
  </si>
  <si>
    <t>Divisa com vizinho - lateral direira e fundos</t>
  </si>
  <si>
    <t>Muros de divisa com vizinho - lateral direita e fundos</t>
  </si>
  <si>
    <t>Muro do vizinho (lado esquerdo)</t>
  </si>
  <si>
    <t>Fachada lateral (divisa com jardim)</t>
  </si>
  <si>
    <t>Copa/lavabo/PMGM</t>
  </si>
  <si>
    <t>recepção+circ. 1</t>
  </si>
  <si>
    <t>Reprog/Circ. pub</t>
  </si>
  <si>
    <t>Hall/espera</t>
  </si>
  <si>
    <t>Circ. Conduzidos</t>
  </si>
  <si>
    <t>Wc Delegado 1</t>
  </si>
  <si>
    <t>Escada</t>
  </si>
  <si>
    <t>Espera 2</t>
  </si>
  <si>
    <t>reuniao/treinamentos</t>
  </si>
  <si>
    <t>Recepção 2</t>
  </si>
  <si>
    <t>AC Sala Investigadores/Teleflagrante</t>
  </si>
  <si>
    <t>WC Func Feminino</t>
  </si>
  <si>
    <r>
      <rPr>
        <b/>
        <i/>
        <sz val="10"/>
        <color rgb="FF0070BF"/>
        <rFont val="Calibri"/>
        <family val="2"/>
      </rPr>
      <t>1º Pavimento</t>
    </r>
  </si>
  <si>
    <t>BA80B (fotografia/reconhec.)</t>
  </si>
  <si>
    <t>BA300 (Investigadores)</t>
  </si>
  <si>
    <r>
      <rPr>
        <b/>
        <i/>
        <sz val="10"/>
        <color rgb="FF0070BF"/>
        <rFont val="Calibri"/>
        <family val="2"/>
      </rPr>
      <t>2º Pavimento</t>
    </r>
  </si>
  <si>
    <t>Prisma ventilação</t>
  </si>
  <si>
    <t>VA55</t>
  </si>
  <si>
    <t>Circulação publico</t>
  </si>
  <si>
    <t>Almoxarifado 1</t>
  </si>
  <si>
    <t>Almoxarifado 2</t>
  </si>
  <si>
    <t>Circulação conduzidos</t>
  </si>
  <si>
    <t>Fotografia reconhecimento</t>
  </si>
  <si>
    <t>Recepção ocorrência</t>
  </si>
  <si>
    <t>Ocorrência/PC</t>
  </si>
  <si>
    <t>Circulação 03</t>
  </si>
  <si>
    <t>Embarque/desembarque/circulação 3</t>
  </si>
  <si>
    <t>Copa/lavabo</t>
  </si>
  <si>
    <t>Circulação/hall espera</t>
  </si>
  <si>
    <t>Fotografia/reconhecimento</t>
  </si>
  <si>
    <t>130204</t>
  </si>
  <si>
    <t>Quant.</t>
  </si>
  <si>
    <t>Investigadores 01</t>
  </si>
  <si>
    <t>Investigadores 02</t>
  </si>
  <si>
    <t>WC  Aces. Unissex</t>
  </si>
  <si>
    <t>Elevador</t>
  </si>
  <si>
    <t>Circulação func.</t>
  </si>
  <si>
    <t>140305</t>
  </si>
  <si>
    <t>Frente a casa do lixo</t>
  </si>
  <si>
    <t>CAIXA Subestação</t>
  </si>
  <si>
    <t>2 º pavimento</t>
  </si>
  <si>
    <t>200202</t>
  </si>
  <si>
    <t>200201</t>
  </si>
  <si>
    <t>200203</t>
  </si>
  <si>
    <t>200204</t>
  </si>
  <si>
    <t>200205</t>
  </si>
  <si>
    <t>Telhado</t>
  </si>
  <si>
    <t>210101</t>
  </si>
  <si>
    <t>210102</t>
  </si>
  <si>
    <t>220101</t>
  </si>
  <si>
    <t>220102</t>
  </si>
  <si>
    <t>220103</t>
  </si>
  <si>
    <t>220104</t>
  </si>
  <si>
    <t>220105</t>
  </si>
  <si>
    <t>220106</t>
  </si>
  <si>
    <t>220107</t>
  </si>
  <si>
    <t>220108</t>
  </si>
  <si>
    <t>220109</t>
  </si>
  <si>
    <t>220110</t>
  </si>
  <si>
    <t>220111</t>
  </si>
  <si>
    <t>220112</t>
  </si>
  <si>
    <t>Fachada lateral direita - área ACM (Rua Tito Machado)</t>
  </si>
  <si>
    <t>Fachada curvada</t>
  </si>
  <si>
    <t>Fachada frontal</t>
  </si>
  <si>
    <t>Paredao frontal</t>
  </si>
  <si>
    <t>Fachada lateral esquerda</t>
  </si>
  <si>
    <t>h (m)</t>
  </si>
  <si>
    <t>Desmobilização dos conteineres</t>
  </si>
  <si>
    <t>20ª medição</t>
  </si>
  <si>
    <t>Mês 03/2025 - Fachada</t>
  </si>
  <si>
    <t>20ª Medição</t>
  </si>
  <si>
    <t>V concreto magro(m3)</t>
  </si>
  <si>
    <t xml:space="preserve">Porta de entrada </t>
  </si>
  <si>
    <t>WC ASG</t>
  </si>
  <si>
    <t>20º Medição</t>
  </si>
  <si>
    <t>Cart. 03</t>
  </si>
  <si>
    <r>
      <rPr>
        <i/>
        <sz val="12"/>
        <color rgb="FF0070BF"/>
        <rFont val="Calibri"/>
        <family val="2"/>
      </rPr>
      <t>1º Pavimento</t>
    </r>
  </si>
  <si>
    <t>WC acess. Unissex</t>
  </si>
  <si>
    <t>WC acess. Fem</t>
  </si>
  <si>
    <t>WC acess. Masc</t>
  </si>
  <si>
    <t>Ocorrencia/PC</t>
  </si>
  <si>
    <t>WC Funcionário Masc</t>
  </si>
  <si>
    <t>WC Funcionário Fem</t>
  </si>
  <si>
    <t>Circulação cartórios</t>
  </si>
  <si>
    <t>0801</t>
  </si>
  <si>
    <t>080101</t>
  </si>
  <si>
    <t>080102</t>
  </si>
  <si>
    <t>0802</t>
  </si>
  <si>
    <t>ESPELHO</t>
  </si>
  <si>
    <t>080201</t>
  </si>
  <si>
    <t>0803</t>
  </si>
  <si>
    <t>080301</t>
  </si>
  <si>
    <t>1304</t>
  </si>
  <si>
    <t>SINALIZAÇÃO TÁTIL</t>
  </si>
  <si>
    <t>130401</t>
  </si>
  <si>
    <t>130402</t>
  </si>
  <si>
    <t>130403</t>
  </si>
  <si>
    <t>130404</t>
  </si>
  <si>
    <t>20ª MEDIÇÃO</t>
  </si>
  <si>
    <t>Calçada</t>
  </si>
  <si>
    <t>1305</t>
  </si>
  <si>
    <t>130501</t>
  </si>
  <si>
    <t>130502</t>
  </si>
  <si>
    <t>130601</t>
  </si>
  <si>
    <t>130602</t>
  </si>
  <si>
    <t>150107</t>
  </si>
  <si>
    <t>150112</t>
  </si>
  <si>
    <t>150120</t>
  </si>
  <si>
    <t>Transformador</t>
  </si>
  <si>
    <t>externa</t>
  </si>
  <si>
    <t>Mês 04/2025 - Fachada</t>
  </si>
  <si>
    <t>21ª medição</t>
  </si>
  <si>
    <t>21ª Medição</t>
  </si>
  <si>
    <t>070304</t>
  </si>
  <si>
    <t>VAZIO VENTILAÇÃO banheiros funcionários na cobertura</t>
  </si>
  <si>
    <t>Janelas de venilação</t>
  </si>
  <si>
    <r>
      <rPr>
        <b/>
        <i/>
        <sz val="9"/>
        <color rgb="FF0070BF"/>
        <rFont val="Calibri"/>
        <family val="2"/>
      </rPr>
      <t>Coberturas</t>
    </r>
  </si>
  <si>
    <t>VAZIO VENTILAÇÃO REPOUSOS - VA90</t>
  </si>
  <si>
    <t>Marquise Frontal ( conforme projeto 01/01)</t>
  </si>
  <si>
    <t>Telhado prisma ventilação</t>
  </si>
  <si>
    <t>Telhado ventilação salas repouso</t>
  </si>
  <si>
    <t>Calçada frente</t>
  </si>
  <si>
    <t>150101</t>
  </si>
  <si>
    <t>150102</t>
  </si>
  <si>
    <t>150103</t>
  </si>
  <si>
    <t>150104</t>
  </si>
  <si>
    <t>150105</t>
  </si>
  <si>
    <t>Àrea externa/Técnica</t>
  </si>
  <si>
    <t>Aterramento do prédio</t>
  </si>
  <si>
    <t>Aterramento externo</t>
  </si>
  <si>
    <t>QGBT</t>
  </si>
  <si>
    <t>Subestação</t>
  </si>
  <si>
    <t>150110</t>
  </si>
  <si>
    <t>150309</t>
  </si>
  <si>
    <t>150310</t>
  </si>
  <si>
    <t>16030103</t>
  </si>
  <si>
    <t>16030104</t>
  </si>
  <si>
    <t>16030105</t>
  </si>
  <si>
    <t xml:space="preserve">Área Externa </t>
  </si>
  <si>
    <t>16030302</t>
  </si>
  <si>
    <t>16030303</t>
  </si>
  <si>
    <t>WC func. M</t>
  </si>
  <si>
    <t>WC func. F</t>
  </si>
  <si>
    <t xml:space="preserve">WC fem copa </t>
  </si>
  <si>
    <t>WC masc copa</t>
  </si>
  <si>
    <t>WC delegado</t>
  </si>
  <si>
    <t>WC masc. 2º pavimento</t>
  </si>
  <si>
    <t>170103</t>
  </si>
  <si>
    <t>170401</t>
  </si>
  <si>
    <t>170402</t>
  </si>
  <si>
    <t>WC Func M</t>
  </si>
  <si>
    <t>WC Func F</t>
  </si>
  <si>
    <t xml:space="preserve">WC Fem Copa </t>
  </si>
  <si>
    <t xml:space="preserve">WC Acess Fem </t>
  </si>
  <si>
    <t>WC Aces. Masc</t>
  </si>
  <si>
    <t>180507</t>
  </si>
  <si>
    <t>180508</t>
  </si>
  <si>
    <t>22ª Medição</t>
  </si>
  <si>
    <t>Tubulação de elétrica e lógica</t>
  </si>
  <si>
    <t>0705</t>
  </si>
  <si>
    <t>070501</t>
  </si>
  <si>
    <t>070502</t>
  </si>
  <si>
    <t>070503</t>
  </si>
  <si>
    <t>070504</t>
  </si>
  <si>
    <t>070505</t>
  </si>
  <si>
    <t>070506</t>
  </si>
  <si>
    <t>PG 100</t>
  </si>
  <si>
    <t>PG 200</t>
  </si>
  <si>
    <t>Gradil Muro</t>
  </si>
  <si>
    <t>070601</t>
  </si>
  <si>
    <t xml:space="preserve">22ª Medição </t>
  </si>
  <si>
    <t>Hall entrada</t>
  </si>
  <si>
    <r>
      <rPr>
        <i/>
        <sz val="9"/>
        <color rgb="FFFF0000"/>
        <rFont val="Calibri"/>
        <family val="2"/>
      </rPr>
      <t>Descontos</t>
    </r>
  </si>
  <si>
    <t>Rodapé instalado nas celas conforme planilha e retirada conforme orientação da DEMP</t>
  </si>
  <si>
    <t>Area externa</t>
  </si>
  <si>
    <t>1ª pavimento</t>
  </si>
  <si>
    <t>Sala Investigação/Teleflagrante</t>
  </si>
  <si>
    <t>180201</t>
  </si>
  <si>
    <t>180202</t>
  </si>
  <si>
    <t>180203</t>
  </si>
  <si>
    <t>180205</t>
  </si>
  <si>
    <t>16020103</t>
  </si>
  <si>
    <t>16020403</t>
  </si>
  <si>
    <t>16020404</t>
  </si>
  <si>
    <t>Segundo pavimento</t>
  </si>
  <si>
    <t>Primeiro pavimento</t>
  </si>
  <si>
    <t>WC Func. M</t>
  </si>
  <si>
    <t>WC Func. F</t>
  </si>
  <si>
    <t xml:space="preserve">WC Delegado </t>
  </si>
  <si>
    <t>Balcão recepção</t>
  </si>
  <si>
    <t>Balcão 2º pavimento</t>
  </si>
  <si>
    <t>Balcão copa 1º pavimento</t>
  </si>
  <si>
    <t>Banco espera 01</t>
  </si>
  <si>
    <t>Banco espera 02</t>
  </si>
  <si>
    <t>Bancadas</t>
  </si>
  <si>
    <t>Falta 1  Inteligência/estatística</t>
  </si>
  <si>
    <t>200303</t>
  </si>
  <si>
    <t>Mastros</t>
  </si>
  <si>
    <t>060109</t>
  </si>
  <si>
    <t>23º Medição</t>
  </si>
  <si>
    <t>WC PCD</t>
  </si>
  <si>
    <t>23ª Medição</t>
  </si>
  <si>
    <t>060301</t>
  </si>
  <si>
    <t>PM 060</t>
  </si>
  <si>
    <t>PM 080</t>
  </si>
  <si>
    <t>PM 090</t>
  </si>
  <si>
    <t>PM 080 GA</t>
  </si>
  <si>
    <t>PM 090 GA</t>
  </si>
  <si>
    <t>PM 0100</t>
  </si>
  <si>
    <t>PG 250</t>
  </si>
  <si>
    <t>PG 400</t>
  </si>
  <si>
    <t xml:space="preserve">23ª Medição </t>
  </si>
  <si>
    <t>23ª MEDIÇÃO</t>
  </si>
  <si>
    <t>170105</t>
  </si>
  <si>
    <t>190102</t>
  </si>
  <si>
    <t>Área do forro de gesso</t>
  </si>
  <si>
    <t>190103</t>
  </si>
  <si>
    <t>190301</t>
  </si>
  <si>
    <t>190502</t>
  </si>
  <si>
    <t xml:space="preserve">Fachada </t>
  </si>
  <si>
    <t>Telhado marquise</t>
  </si>
  <si>
    <t>130203</t>
  </si>
  <si>
    <t>150114</t>
  </si>
  <si>
    <t>24ª Medição</t>
  </si>
  <si>
    <t>Vidros faltantes colocados;</t>
  </si>
  <si>
    <t>Pátio Descoberto</t>
  </si>
  <si>
    <t>Acesso da escada</t>
  </si>
  <si>
    <t>170106</t>
  </si>
  <si>
    <t>170301</t>
  </si>
  <si>
    <t>170302</t>
  </si>
  <si>
    <t>16010101</t>
  </si>
  <si>
    <t>160101</t>
  </si>
  <si>
    <t>OUTRAS INSTALAÇÕES</t>
  </si>
  <si>
    <t>INSTALAÇÕES DE INCÊNDIO</t>
  </si>
  <si>
    <t>EXTINTORES</t>
  </si>
  <si>
    <t>Extintor  de   incêndio   de  gás   carbônico  CO2   5  B:C   (6  Kg), inclusive  suporte  para  fixação,  EXCLUSIVE  placa  sinalizadora
em PVC fotoluminescente</t>
  </si>
  <si>
    <t>Embarque e desembarque</t>
  </si>
  <si>
    <t>16010102</t>
  </si>
  <si>
    <t>Corredor Reprografia</t>
  </si>
  <si>
    <t>Circulação (escada)</t>
  </si>
  <si>
    <t>Circulação (sanitários)</t>
  </si>
  <si>
    <t>ILUMINAÇÃO DE EMERGENCIA E SINALIZAÇÃO</t>
  </si>
  <si>
    <t>16010201</t>
  </si>
  <si>
    <t>160102</t>
  </si>
  <si>
    <t>Conforme projeto</t>
  </si>
  <si>
    <t>16010202</t>
  </si>
  <si>
    <t>170303</t>
  </si>
  <si>
    <t>1703</t>
  </si>
  <si>
    <t>TORNEIRA</t>
  </si>
  <si>
    <t>170403</t>
  </si>
  <si>
    <t>Depósito de Material de Limpeza 01</t>
  </si>
  <si>
    <t>Banheiro Func M</t>
  </si>
  <si>
    <t>Banheiro Func F</t>
  </si>
  <si>
    <t>WC Delegado 1º Pav</t>
  </si>
  <si>
    <t>WC Delegado 2º Pav</t>
  </si>
  <si>
    <t>Copa 2º Pav</t>
  </si>
  <si>
    <t>WC Fem 2º Pav</t>
  </si>
  <si>
    <t>WC Adjunto Pav</t>
  </si>
  <si>
    <t>Depósito de Material de Limpeza 02</t>
  </si>
  <si>
    <t>170304</t>
  </si>
  <si>
    <t>1704</t>
  </si>
  <si>
    <t>OUTROS APARELHOS</t>
  </si>
  <si>
    <t>170404</t>
  </si>
  <si>
    <t>170405</t>
  </si>
  <si>
    <t>170406</t>
  </si>
  <si>
    <t>170407</t>
  </si>
  <si>
    <t>170408</t>
  </si>
  <si>
    <t>170409</t>
  </si>
  <si>
    <t>170410</t>
  </si>
  <si>
    <t>180301</t>
  </si>
  <si>
    <t>Descarga ASG</t>
  </si>
  <si>
    <t>Sala Cartório 01</t>
  </si>
  <si>
    <t>Sala Cartório 02</t>
  </si>
  <si>
    <t>Apoio Administração</t>
  </si>
  <si>
    <t>Departamento Social</t>
  </si>
  <si>
    <t>T.I 01</t>
  </si>
  <si>
    <t>T.I 02</t>
  </si>
  <si>
    <t>180302</t>
  </si>
  <si>
    <t>ALM. 02</t>
  </si>
  <si>
    <t>ALM. 01</t>
  </si>
  <si>
    <t>Copa/ Refeitório</t>
  </si>
  <si>
    <t>180303</t>
  </si>
  <si>
    <t>180401</t>
  </si>
  <si>
    <t>180402</t>
  </si>
  <si>
    <t>180403</t>
  </si>
  <si>
    <t>180501</t>
  </si>
  <si>
    <t>190201</t>
  </si>
  <si>
    <t>Cobogós concreto fachada - por trás da brise</t>
  </si>
  <si>
    <t>200301</t>
  </si>
  <si>
    <t>Caixa Poste</t>
  </si>
  <si>
    <t>150109</t>
  </si>
  <si>
    <t>Entrada elétrica</t>
  </si>
  <si>
    <t>150121</t>
  </si>
  <si>
    <t>150123</t>
  </si>
  <si>
    <t>Placas de identificação das fases (1,2,3 e R) em alumínioPlacas de identificação das fases (1,2,3 e R) em alumínio</t>
  </si>
  <si>
    <t>16020401</t>
  </si>
  <si>
    <t>16020402</t>
  </si>
  <si>
    <t>16030401</t>
  </si>
  <si>
    <t>16030402</t>
  </si>
  <si>
    <t>Laje técnica</t>
  </si>
  <si>
    <t>25ª Medição</t>
  </si>
  <si>
    <t>PA60:</t>
  </si>
  <si>
    <t>Banh. Func. Masc</t>
  </si>
  <si>
    <t>Banh. Func. Fem.</t>
  </si>
  <si>
    <t>PA60A:</t>
  </si>
  <si>
    <t>PA060</t>
  </si>
  <si>
    <t>070701</t>
  </si>
  <si>
    <t>0707</t>
  </si>
  <si>
    <t>Fachada Rua Construtor Camilo Gianórdoli</t>
  </si>
  <si>
    <t>070702</t>
  </si>
  <si>
    <t>070703</t>
  </si>
  <si>
    <t>25º Medição</t>
  </si>
  <si>
    <t>Bebedouro</t>
  </si>
  <si>
    <t>130701</t>
  </si>
  <si>
    <t>Fundação  -  entre  a  sapata  corrida  da  base  do   gradil  com  as fundações estaqueadas</t>
  </si>
  <si>
    <t>Viga da SC com bloco/viga e pilarete do Muro 8</t>
  </si>
  <si>
    <t>Viga da SC com estrutura da parede frontal do prédio existente</t>
  </si>
  <si>
    <t>L(m)</t>
  </si>
  <si>
    <t>140101</t>
  </si>
  <si>
    <t>1401</t>
  </si>
  <si>
    <t>ENTRADA DE ÁGUA</t>
  </si>
  <si>
    <t>14</t>
  </si>
  <si>
    <t>INSTALAÇÕES HIDROSSANITÁRIAS</t>
  </si>
  <si>
    <t>Und</t>
  </si>
  <si>
    <t>16020501</t>
  </si>
  <si>
    <t>EQUIPAMENTOS E ACESSÓRIOS</t>
  </si>
  <si>
    <t>16020502</t>
  </si>
  <si>
    <t>16020503</t>
  </si>
  <si>
    <t>16020504</t>
  </si>
  <si>
    <t>16020505</t>
  </si>
  <si>
    <t>16020506</t>
  </si>
  <si>
    <t>16020507</t>
  </si>
  <si>
    <t>16020508</t>
  </si>
  <si>
    <t>16020509</t>
  </si>
  <si>
    <t>16020510</t>
  </si>
  <si>
    <t>16020511</t>
  </si>
  <si>
    <t>16020512</t>
  </si>
  <si>
    <t>PLACAS/ESPELHOS</t>
  </si>
  <si>
    <t>160305</t>
  </si>
  <si>
    <t>16030501</t>
  </si>
  <si>
    <t>16030502</t>
  </si>
  <si>
    <t>16030503</t>
  </si>
  <si>
    <t>16030504</t>
  </si>
  <si>
    <t>16030505</t>
  </si>
  <si>
    <t>16030506</t>
  </si>
  <si>
    <t>16030507</t>
  </si>
  <si>
    <t>16030508</t>
  </si>
  <si>
    <t>16030509</t>
  </si>
  <si>
    <t>16030510</t>
  </si>
  <si>
    <t>16030511</t>
  </si>
  <si>
    <t>Cozinha</t>
  </si>
  <si>
    <t>WC Unissex</t>
  </si>
  <si>
    <t>Recepção 3</t>
  </si>
  <si>
    <t>Ocorrencia</t>
  </si>
  <si>
    <t>180305</t>
  </si>
  <si>
    <t>180405</t>
  </si>
  <si>
    <t>Hall/Recepção</t>
  </si>
  <si>
    <t>200302</t>
  </si>
  <si>
    <t>Fachada Rua Tito Machado</t>
  </si>
  <si>
    <t>Portas quadros elétricos</t>
  </si>
  <si>
    <t>Conforme projeto climatização</t>
  </si>
  <si>
    <t>Teste muflas - entrada de energia</t>
  </si>
  <si>
    <t>Porta de madeira - Recepção das celas</t>
  </si>
  <si>
    <t>26ª Medição</t>
  </si>
  <si>
    <t>Recepção 1</t>
  </si>
  <si>
    <t>Portão garagem</t>
  </si>
  <si>
    <t>VISOR:</t>
  </si>
  <si>
    <t>Embarque/Desembarque</t>
  </si>
  <si>
    <t>Retirada do poste antigo</t>
  </si>
  <si>
    <t>16020513</t>
  </si>
  <si>
    <t>16020303</t>
  </si>
  <si>
    <t>16030304</t>
  </si>
  <si>
    <t>16030305</t>
  </si>
  <si>
    <t>170411</t>
  </si>
  <si>
    <t>190104</t>
  </si>
  <si>
    <t>190105</t>
  </si>
  <si>
    <t>Platibanda</t>
  </si>
  <si>
    <t>Telhado principal- interno</t>
  </si>
  <si>
    <t>Telhado principal para área técnica descoberta</t>
  </si>
  <si>
    <t>Fachada Tito Machado</t>
  </si>
  <si>
    <t>Muro rua Tito</t>
  </si>
  <si>
    <t>Forros</t>
  </si>
  <si>
    <t>WC Masc Acessivel</t>
  </si>
  <si>
    <t>WC Acess  Fem</t>
  </si>
  <si>
    <t>WC Acess  Masc</t>
  </si>
  <si>
    <t>PD (m)</t>
  </si>
  <si>
    <t>Parede ( m)</t>
  </si>
  <si>
    <t>WC Acess. Masc.</t>
  </si>
  <si>
    <t>WC Acess. Fem.</t>
  </si>
  <si>
    <t>WC Masc.</t>
  </si>
  <si>
    <t>PM080GA</t>
  </si>
  <si>
    <t>Circulação Cartórios</t>
  </si>
  <si>
    <t>26º Medição</t>
  </si>
  <si>
    <t>Armário TIPO 1 - Copa - 1º pavimento
Sob bancada                                                                                                                                              3,45                    0,76                                                                                             1                                         2,62
Sobre bancada                                                                                                                                        2,215                    0,6                                                                                              1                                         1,33 Armário TIPO 2 - Copa - 2º pavimento                                                                                                                                                                                                                                                                            0,00
Sob bancada                                                                                                                                              1,53                    0,76                                                                                             1                                         1,16
Sobre bancada                                                                                                                                          1,53                      0,6                                                                                              1                                         0,92 Armário TIPO 3 - DML1 - 1º pavimento                                                                                                                                                                                                                                                                           0,00
Sob bancada                                                                                                                                               1,5                      0,65                                                                                             1                                         0,98 Armário TIPO 4 - DML 2 - 21º pavimento                                                                                                                                                                                                                                                                       0,00
Sob bancada                                                                                                                                              1,81                    0,67                                                                                             1                                         1,21</t>
  </si>
  <si>
    <t>200501</t>
  </si>
  <si>
    <t>Area (m²)</t>
  </si>
  <si>
    <t>Jardim 1</t>
  </si>
  <si>
    <t>Jardim 2</t>
  </si>
  <si>
    <t>VALOR A ESTORNAR</t>
  </si>
  <si>
    <t>REAJUSTE FINANCEIRO</t>
  </si>
  <si>
    <t>ESTORNADO NA 4ª MEDIÇÃO</t>
  </si>
  <si>
    <t>MEDIÇÃO</t>
  </si>
  <si>
    <t>TOTAL VA+R</t>
  </si>
  <si>
    <t>GOVERNO DO ESTADO DO ESPÍRITO SANTO-POLÍCIA CIVIL</t>
  </si>
  <si>
    <t>CONTRATADA: VILLA CONSTRUTORA LTDA</t>
  </si>
  <si>
    <r>
      <rPr>
        <b/>
        <sz val="9"/>
        <rFont val="Arial"/>
        <family val="2"/>
      </rPr>
      <t xml:space="preserve">Objeto: </t>
    </r>
    <r>
      <rPr>
        <sz val="9"/>
        <rFont val="Arial"/>
        <family val="2"/>
      </rPr>
      <t>Contratação de empresa para execução da obra Reforma, Adequação e Ampliação da 1ª Delegacia Regional de Vitória/ES, com fornecimento de mão-de-obra e materiais.</t>
    </r>
  </si>
  <si>
    <t>PRAZO: 29 meses</t>
  </si>
  <si>
    <t>TÉRMINO: 26.11.2025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</si>
</sst>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&quot;R$&quot;* #,##0.00_);_(&quot;R$&quot;* \(#,##0.00\);_(&quot;R$&quot;* &quot;-&quot;??_);_(@_)"/>
    <numFmt numFmtId="165" formatCode="dd/mm/yy;@"/>
    <numFmt numFmtId="166" formatCode="[$-416]mmm/yy;@"/>
    <numFmt numFmtId="167" formatCode="00\ª"/>
    <numFmt numFmtId="168" formatCode="00"/>
    <numFmt numFmtId="169" formatCode="dd/mm/yy"/>
    <numFmt numFmtId="170" formatCode="_(* #,##0.00_);_(* \(#,##0.00\);_(* &quot;-&quot;??_);_(@_)"/>
    <numFmt numFmtId="171" formatCode="#,##0.00;[Red]\(#,##0.00\)"/>
    <numFmt numFmtId="172" formatCode="0.00;[Red]0.00"/>
  </numFmts>
  <fonts count="9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b/>
      <sz val="9"/>
      <color theme="1"/>
      <name val="Arial"/>
      <family val="2"/>
    </font>
    <font>
      <b/>
      <sz val="12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b/>
      <sz val="9"/>
      <color indexed="62"/>
      <name val="Humanst521 BT"/>
      <family val="2"/>
    </font>
    <font>
      <b/>
      <sz val="8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9"/>
      <color theme="1"/>
      <name val="Arial"/>
      <family val="2"/>
    </font>
    <font>
      <sz val="9"/>
      <color theme="3" tint="0.39997558519241921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i/>
      <u/>
      <sz val="11"/>
      <name val="Calibri"/>
      <family val="2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</font>
    <font>
      <sz val="9"/>
      <color rgb="FFFF0000"/>
      <name val="Arial"/>
      <family val="2"/>
    </font>
    <font>
      <sz val="11"/>
      <color theme="1"/>
      <name val="Calibri"/>
      <family val="2"/>
    </font>
    <font>
      <i/>
      <u/>
      <sz val="11"/>
      <color theme="1"/>
      <name val="Calibri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9"/>
      <color rgb="FF0070C0"/>
      <name val="Arial"/>
      <family val="2"/>
    </font>
    <font>
      <i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b/>
      <i/>
      <sz val="10"/>
      <name val="Calibri"/>
      <family val="2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i/>
      <sz val="11"/>
      <name val="Calibri"/>
      <family val="2"/>
    </font>
    <font>
      <b/>
      <sz val="11"/>
      <color rgb="FF0070C0"/>
      <name val="Calibri"/>
      <family val="2"/>
    </font>
    <font>
      <b/>
      <i/>
      <sz val="11"/>
      <color rgb="FF0070C0"/>
      <name val="Calibri"/>
      <family val="2"/>
    </font>
    <font>
      <b/>
      <sz val="9"/>
      <color rgb="FF0070C0"/>
      <name val="Arial"/>
      <family val="2"/>
    </font>
    <font>
      <sz val="11"/>
      <color rgb="FFFF0000"/>
      <name val="Calibri"/>
      <family val="2"/>
      <scheme val="minor"/>
    </font>
    <font>
      <sz val="9"/>
      <name val="Calibri"/>
      <family val="2"/>
    </font>
    <font>
      <sz val="9"/>
      <color theme="1"/>
      <name val="Calibri"/>
      <family val="2"/>
      <scheme val="minor"/>
    </font>
    <font>
      <b/>
      <i/>
      <sz val="9"/>
      <name val="Arial"/>
      <family val="2"/>
    </font>
    <font>
      <b/>
      <i/>
      <sz val="9"/>
      <color rgb="FF0070C0"/>
      <name val="Arial"/>
      <family val="2"/>
    </font>
    <font>
      <sz val="11"/>
      <color rgb="FFFF0000"/>
      <name val="Calibri"/>
      <family val="2"/>
    </font>
    <font>
      <i/>
      <sz val="11"/>
      <color rgb="FF0070C0"/>
      <name val="Calibri"/>
      <family val="2"/>
    </font>
    <font>
      <i/>
      <sz val="9"/>
      <color rgb="FF0070C0"/>
      <name val="Calibri"/>
      <family val="2"/>
    </font>
    <font>
      <i/>
      <sz val="9"/>
      <color rgb="FFFF0000"/>
      <name val="Calibri"/>
      <family val="2"/>
    </font>
    <font>
      <i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name val="Calibri"/>
      <family val="2"/>
    </font>
    <font>
      <i/>
      <sz val="10"/>
      <color rgb="FFFF0000"/>
      <name val="Calibri"/>
      <family val="2"/>
    </font>
    <font>
      <b/>
      <i/>
      <sz val="10"/>
      <color rgb="FF0070C0"/>
      <name val="Calibri"/>
      <family val="2"/>
    </font>
    <font>
      <i/>
      <sz val="9"/>
      <color rgb="FFFF0000"/>
      <name val="Arial"/>
      <family val="2"/>
    </font>
    <font>
      <b/>
      <i/>
      <sz val="9"/>
      <color rgb="FFFF0000"/>
      <name val="Arial"/>
      <family val="2"/>
    </font>
    <font>
      <i/>
      <sz val="11"/>
      <color theme="4"/>
      <name val="Calibri"/>
      <family val="2"/>
      <scheme val="minor"/>
    </font>
    <font>
      <i/>
      <sz val="10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</font>
    <font>
      <sz val="8"/>
      <name val="Arial"/>
      <family val="2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i/>
      <sz val="10"/>
      <color theme="1"/>
      <name val="Arial"/>
      <family val="2"/>
    </font>
    <font>
      <b/>
      <i/>
      <sz val="10"/>
      <color rgb="FF0070BF"/>
      <name val="Calibri"/>
      <family val="2"/>
    </font>
    <font>
      <i/>
      <sz val="12"/>
      <name val="Calibri"/>
      <family val="2"/>
    </font>
    <font>
      <i/>
      <sz val="12"/>
      <color rgb="FF0070BF"/>
      <name val="Calibri"/>
      <family val="2"/>
    </font>
    <font>
      <sz val="12"/>
      <name val="Calibri"/>
      <family val="2"/>
    </font>
    <font>
      <sz val="10"/>
      <color rgb="FF000000"/>
      <name val="Times New Roman"/>
      <family val="1"/>
    </font>
    <font>
      <b/>
      <i/>
      <sz val="9"/>
      <name val="Calibri"/>
      <family val="2"/>
    </font>
    <font>
      <b/>
      <i/>
      <sz val="9"/>
      <color rgb="FF0070BF"/>
      <name val="Calibri"/>
      <family val="2"/>
    </font>
    <font>
      <sz val="10"/>
      <color rgb="FF000000"/>
      <name val="Times New Roman"/>
      <family val="1"/>
    </font>
    <font>
      <i/>
      <sz val="9"/>
      <name val="Calibri"/>
      <family val="2"/>
    </font>
    <font>
      <sz val="9"/>
      <color rgb="FF000000"/>
      <name val="Calibri"/>
      <family val="2"/>
    </font>
    <font>
      <u/>
      <sz val="11"/>
      <color theme="1"/>
      <name val="Calibri"/>
      <family val="2"/>
      <scheme val="minor"/>
    </font>
    <font>
      <b/>
      <sz val="11"/>
      <color rgb="FF002060"/>
      <name val="Calibri"/>
      <family val="2"/>
    </font>
    <font>
      <b/>
      <sz val="11"/>
      <color rgb="FFFF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44">
    <border>
      <left/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dashDotDot">
        <color indexed="64"/>
      </right>
      <top style="thin">
        <color indexed="64"/>
      </top>
      <bottom style="thin">
        <color indexed="64"/>
      </bottom>
      <diagonal/>
    </border>
    <border>
      <left style="dashDotDot">
        <color indexed="64"/>
      </left>
      <right style="dashDotDot">
        <color indexed="64"/>
      </right>
      <top style="thin">
        <color indexed="64"/>
      </top>
      <bottom style="thin">
        <color indexed="64"/>
      </bottom>
      <diagonal/>
    </border>
    <border>
      <left style="dashDotDot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/>
      <top style="thin">
        <color indexed="64"/>
      </top>
      <bottom/>
      <diagonal style="hair">
        <color indexed="64"/>
      </diagonal>
    </border>
    <border diagonalUp="1">
      <left/>
      <right/>
      <top style="thin">
        <color indexed="64"/>
      </top>
      <bottom/>
      <diagonal style="hair">
        <color indexed="64"/>
      </diagonal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 diagonalUp="1">
      <left style="medium">
        <color indexed="64"/>
      </left>
      <right/>
      <top/>
      <bottom style="hair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 diagonalUp="1">
      <left/>
      <right/>
      <top/>
      <bottom/>
      <diagonal style="hair">
        <color indexed="64"/>
      </diagonal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 diagonalUp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Up="1">
      <left/>
      <right style="thin">
        <color indexed="64"/>
      </right>
      <top/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hair">
        <color rgb="FF000000"/>
      </right>
      <top/>
      <bottom style="hair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auto="1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rgb="FF000000"/>
      </left>
      <right style="thin">
        <color auto="1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auto="1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thin">
        <color auto="1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 style="hair">
        <color rgb="FF000000"/>
      </right>
      <top/>
      <bottom/>
      <diagonal/>
    </border>
    <border>
      <left style="thin">
        <color indexed="64"/>
      </left>
      <right style="hair">
        <color rgb="FF000000"/>
      </right>
      <top style="thin">
        <color indexed="64"/>
      </top>
      <bottom style="hair">
        <color rgb="FF000000"/>
      </bottom>
      <diagonal/>
    </border>
    <border diagonalUp="1">
      <left/>
      <right style="thin">
        <color indexed="64"/>
      </right>
      <top/>
      <bottom/>
      <diagonal style="hair">
        <color indexed="64"/>
      </diagonal>
    </border>
    <border diagonalUp="1">
      <left style="medium">
        <color indexed="64"/>
      </left>
      <right/>
      <top/>
      <bottom/>
      <diagonal style="hair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hair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/>
      <top/>
      <bottom style="thin">
        <color indexed="64"/>
      </bottom>
      <diagonal style="hair">
        <color indexed="64"/>
      </diagonal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indexed="64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 style="thin">
        <color indexed="64"/>
      </top>
      <bottom style="hair">
        <color rgb="FF000000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>
      <left style="thin">
        <color auto="1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rgb="FF000000"/>
      </right>
      <top style="thin">
        <color indexed="64"/>
      </top>
      <bottom/>
      <diagonal/>
    </border>
    <border>
      <left style="medium">
        <color indexed="64"/>
      </left>
      <right style="hair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rgb="FF000000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indexed="64"/>
      </top>
      <bottom style="thin">
        <color indexed="64"/>
      </bottom>
      <diagonal/>
    </border>
  </borders>
  <cellStyleXfs count="15">
    <xf numFmtId="0" fontId="0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9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0" fontId="85" fillId="0" borderId="0"/>
    <xf numFmtId="0" fontId="88" fillId="0" borderId="0"/>
  </cellStyleXfs>
  <cellXfs count="1969">
    <xf numFmtId="0" fontId="0" fillId="0" borderId="0" xfId="0"/>
    <xf numFmtId="164" fontId="5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 indent="1"/>
    </xf>
    <xf numFmtId="2" fontId="5" fillId="0" borderId="0" xfId="0" applyNumberFormat="1" applyFont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 indent="1"/>
    </xf>
    <xf numFmtId="164" fontId="5" fillId="2" borderId="2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 indent="1"/>
    </xf>
    <xf numFmtId="164" fontId="2" fillId="3" borderId="2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 indent="1"/>
    </xf>
    <xf numFmtId="164" fontId="5" fillId="0" borderId="2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 indent="1"/>
    </xf>
    <xf numFmtId="0" fontId="5" fillId="0" borderId="9" xfId="0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2" fontId="5" fillId="0" borderId="9" xfId="0" applyNumberFormat="1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1" fillId="7" borderId="6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center" vertical="center"/>
    </xf>
    <xf numFmtId="0" fontId="1" fillId="11" borderId="6" xfId="0" applyFont="1" applyFill="1" applyBorder="1" applyAlignment="1">
      <alignment horizontal="center" vertical="center"/>
    </xf>
    <xf numFmtId="49" fontId="2" fillId="12" borderId="2" xfId="0" applyNumberFormat="1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2" borderId="5" xfId="0" applyFont="1" applyFill="1" applyBorder="1" applyAlignment="1">
      <alignment horizontal="center" vertical="center" wrapText="1"/>
    </xf>
    <xf numFmtId="0" fontId="2" fillId="12" borderId="6" xfId="0" applyFont="1" applyFill="1" applyBorder="1" applyAlignment="1">
      <alignment horizontal="left" vertical="center" wrapText="1" indent="1"/>
    </xf>
    <xf numFmtId="0" fontId="2" fillId="12" borderId="6" xfId="0" applyFont="1" applyFill="1" applyBorder="1" applyAlignment="1">
      <alignment horizontal="center" vertical="center" wrapText="1"/>
    </xf>
    <xf numFmtId="164" fontId="2" fillId="12" borderId="6" xfId="0" applyNumberFormat="1" applyFont="1" applyFill="1" applyBorder="1" applyAlignment="1">
      <alignment horizontal="center" vertical="center" wrapText="1"/>
    </xf>
    <xf numFmtId="2" fontId="2" fillId="12" borderId="6" xfId="0" applyNumberFormat="1" applyFont="1" applyFill="1" applyBorder="1" applyAlignment="1">
      <alignment horizontal="center" vertical="center" wrapText="1"/>
    </xf>
    <xf numFmtId="43" fontId="0" fillId="0" borderId="0" xfId="0" applyNumberFormat="1"/>
    <xf numFmtId="43" fontId="0" fillId="0" borderId="6" xfId="0" applyNumberFormat="1" applyBorder="1"/>
    <xf numFmtId="2" fontId="0" fillId="0" borderId="0" xfId="0" applyNumberFormat="1" applyAlignment="1">
      <alignment vertical="center"/>
    </xf>
    <xf numFmtId="2" fontId="0" fillId="0" borderId="6" xfId="0" applyNumberFormat="1" applyBorder="1" applyAlignment="1">
      <alignment horizontal="center" vertical="center"/>
    </xf>
    <xf numFmtId="49" fontId="2" fillId="14" borderId="0" xfId="0" applyNumberFormat="1" applyFont="1" applyFill="1" applyAlignment="1">
      <alignment vertical="center" wrapText="1"/>
    </xf>
    <xf numFmtId="0" fontId="16" fillId="0" borderId="0" xfId="0" applyFont="1" applyAlignment="1">
      <alignment vertical="center"/>
    </xf>
    <xf numFmtId="0" fontId="1" fillId="0" borderId="0" xfId="0" applyFont="1"/>
    <xf numFmtId="0" fontId="0" fillId="0" borderId="22" xfId="0" applyBorder="1"/>
    <xf numFmtId="2" fontId="12" fillId="0" borderId="22" xfId="0" applyNumberFormat="1" applyFont="1" applyBorder="1" applyAlignment="1">
      <alignment vertical="center"/>
    </xf>
    <xf numFmtId="2" fontId="13" fillId="0" borderId="22" xfId="0" applyNumberFormat="1" applyFont="1" applyBorder="1" applyAlignment="1">
      <alignment vertical="center"/>
    </xf>
    <xf numFmtId="2" fontId="11" fillId="0" borderId="22" xfId="0" applyNumberFormat="1" applyFont="1" applyBorder="1" applyAlignment="1">
      <alignment vertical="center"/>
    </xf>
    <xf numFmtId="2" fontId="12" fillId="0" borderId="22" xfId="0" applyNumberFormat="1" applyFont="1" applyBorder="1" applyAlignment="1">
      <alignment horizontal="left" vertical="center" wrapText="1"/>
    </xf>
    <xf numFmtId="2" fontId="0" fillId="0" borderId="22" xfId="0" applyNumberFormat="1" applyBorder="1" applyAlignment="1">
      <alignment vertical="center"/>
    </xf>
    <xf numFmtId="43" fontId="0" fillId="0" borderId="22" xfId="0" applyNumberFormat="1" applyBorder="1"/>
    <xf numFmtId="2" fontId="13" fillId="0" borderId="1" xfId="0" applyNumberFormat="1" applyFont="1" applyBorder="1" applyAlignment="1">
      <alignment vertical="center" wrapText="1"/>
    </xf>
    <xf numFmtId="0" fontId="12" fillId="0" borderId="22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49" fontId="12" fillId="14" borderId="22" xfId="0" applyNumberFormat="1" applyFont="1" applyFill="1" applyBorder="1" applyAlignment="1">
      <alignment vertical="center"/>
    </xf>
    <xf numFmtId="49" fontId="12" fillId="14" borderId="22" xfId="0" applyNumberFormat="1" applyFont="1" applyFill="1" applyBorder="1" applyAlignment="1">
      <alignment vertical="center" wrapText="1"/>
    </xf>
    <xf numFmtId="2" fontId="12" fillId="0" borderId="22" xfId="0" applyNumberFormat="1" applyFont="1" applyBorder="1" applyAlignment="1">
      <alignment horizontal="right" vertical="center" wrapText="1"/>
    </xf>
    <xf numFmtId="2" fontId="12" fillId="0" borderId="22" xfId="0" applyNumberFormat="1" applyFont="1" applyBorder="1" applyAlignment="1">
      <alignment vertical="center" wrapText="1"/>
    </xf>
    <xf numFmtId="49" fontId="13" fillId="14" borderId="1" xfId="0" applyNumberFormat="1" applyFont="1" applyFill="1" applyBorder="1" applyAlignment="1">
      <alignment vertical="center" wrapText="1"/>
    </xf>
    <xf numFmtId="2" fontId="14" fillId="0" borderId="22" xfId="0" applyNumberFormat="1" applyFont="1" applyBorder="1" applyAlignment="1">
      <alignment vertical="center" wrapText="1"/>
    </xf>
    <xf numFmtId="49" fontId="1" fillId="12" borderId="28" xfId="0" applyNumberFormat="1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left" vertical="center" wrapText="1" indent="1"/>
    </xf>
    <xf numFmtId="164" fontId="1" fillId="12" borderId="3" xfId="0" applyNumberFormat="1" applyFont="1" applyFill="1" applyBorder="1" applyAlignment="1">
      <alignment horizontal="center" vertical="center" wrapText="1"/>
    </xf>
    <xf numFmtId="2" fontId="1" fillId="12" borderId="3" xfId="0" applyNumberFormat="1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2" fontId="1" fillId="5" borderId="3" xfId="0" applyNumberFormat="1" applyFont="1" applyFill="1" applyBorder="1" applyAlignment="1">
      <alignment horizontal="center" vertical="center"/>
    </xf>
    <xf numFmtId="43" fontId="1" fillId="7" borderId="3" xfId="0" applyNumberFormat="1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0" fontId="0" fillId="0" borderId="6" xfId="0" applyNumberFormat="1" applyBorder="1" applyAlignment="1">
      <alignment horizontal="center" vertical="top"/>
    </xf>
    <xf numFmtId="2" fontId="0" fillId="0" borderId="29" xfId="0" applyNumberFormat="1" applyBorder="1" applyAlignment="1">
      <alignment horizontal="center" vertical="center"/>
    </xf>
    <xf numFmtId="43" fontId="0" fillId="0" borderId="29" xfId="0" applyNumberFormat="1" applyBorder="1"/>
    <xf numFmtId="44" fontId="20" fillId="0" borderId="2" xfId="1" applyFont="1" applyBorder="1" applyAlignment="1">
      <alignment horizontal="right" vertical="center" shrinkToFit="1"/>
    </xf>
    <xf numFmtId="0" fontId="0" fillId="0" borderId="30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44" fontId="1" fillId="12" borderId="3" xfId="0" applyNumberFormat="1" applyFont="1" applyFill="1" applyBorder="1" applyAlignment="1">
      <alignment horizontal="center" vertical="center" wrapText="1"/>
    </xf>
    <xf numFmtId="0" fontId="0" fillId="16" borderId="0" xfId="0" applyFill="1"/>
    <xf numFmtId="49" fontId="2" fillId="17" borderId="2" xfId="0" applyNumberFormat="1" applyFont="1" applyFill="1" applyBorder="1" applyAlignment="1">
      <alignment horizontal="center" vertical="center" wrapText="1"/>
    </xf>
    <xf numFmtId="2" fontId="0" fillId="17" borderId="6" xfId="0" applyNumberFormat="1" applyFill="1" applyBorder="1" applyAlignment="1">
      <alignment horizontal="center" vertical="center"/>
    </xf>
    <xf numFmtId="43" fontId="0" fillId="17" borderId="6" xfId="0" applyNumberFormat="1" applyFill="1" applyBorder="1"/>
    <xf numFmtId="0" fontId="0" fillId="17" borderId="0" xfId="0" applyFill="1"/>
    <xf numFmtId="49" fontId="2" fillId="5" borderId="2" xfId="0" applyNumberFormat="1" applyFont="1" applyFill="1" applyBorder="1" applyAlignment="1">
      <alignment horizontal="center" vertical="center" wrapText="1"/>
    </xf>
    <xf numFmtId="0" fontId="17" fillId="17" borderId="35" xfId="0" quotePrefix="1" applyFont="1" applyFill="1" applyBorder="1" applyAlignment="1">
      <alignment horizontal="center" vertical="center" wrapText="1"/>
    </xf>
    <xf numFmtId="0" fontId="1" fillId="5" borderId="37" xfId="0" quotePrefix="1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1" fillId="5" borderId="6" xfId="0" applyNumberFormat="1" applyFont="1" applyFill="1" applyBorder="1" applyAlignment="1">
      <alignment horizontal="center" vertical="center"/>
    </xf>
    <xf numFmtId="10" fontId="1" fillId="5" borderId="6" xfId="0" applyNumberFormat="1" applyFont="1" applyFill="1" applyBorder="1" applyAlignment="1">
      <alignment horizontal="center" vertical="top"/>
    </xf>
    <xf numFmtId="43" fontId="1" fillId="5" borderId="6" xfId="0" applyNumberFormat="1" applyFont="1" applyFill="1" applyBorder="1"/>
    <xf numFmtId="0" fontId="1" fillId="5" borderId="0" xfId="0" applyFont="1" applyFill="1"/>
    <xf numFmtId="44" fontId="1" fillId="5" borderId="32" xfId="0" quotePrefix="1" applyNumberFormat="1" applyFont="1" applyFill="1" applyBorder="1" applyAlignment="1">
      <alignment vertical="top" wrapText="1"/>
    </xf>
    <xf numFmtId="44" fontId="19" fillId="5" borderId="2" xfId="1" applyFont="1" applyFill="1" applyBorder="1" applyAlignment="1">
      <alignment horizontal="right" vertical="center" shrinkToFit="1"/>
    </xf>
    <xf numFmtId="44" fontId="1" fillId="17" borderId="32" xfId="0" quotePrefix="1" applyNumberFormat="1" applyFont="1" applyFill="1" applyBorder="1" applyAlignment="1">
      <alignment vertical="top" wrapText="1"/>
    </xf>
    <xf numFmtId="0" fontId="1" fillId="5" borderId="30" xfId="0" applyFont="1" applyFill="1" applyBorder="1" applyAlignment="1">
      <alignment horizontal="left" vertical="center" wrapText="1"/>
    </xf>
    <xf numFmtId="49" fontId="17" fillId="17" borderId="2" xfId="0" applyNumberFormat="1" applyFont="1" applyFill="1" applyBorder="1" applyAlignment="1">
      <alignment horizontal="center" vertical="center" wrapText="1"/>
    </xf>
    <xf numFmtId="44" fontId="21" fillId="17" borderId="2" xfId="1" applyFont="1" applyFill="1" applyBorder="1" applyAlignment="1">
      <alignment horizontal="right" vertical="center" shrinkToFit="1"/>
    </xf>
    <xf numFmtId="2" fontId="17" fillId="17" borderId="6" xfId="0" applyNumberFormat="1" applyFont="1" applyFill="1" applyBorder="1" applyAlignment="1">
      <alignment horizontal="center" vertical="center"/>
    </xf>
    <xf numFmtId="44" fontId="17" fillId="17" borderId="6" xfId="0" applyNumberFormat="1" applyFont="1" applyFill="1" applyBorder="1"/>
    <xf numFmtId="10" fontId="17" fillId="17" borderId="6" xfId="0" applyNumberFormat="1" applyFont="1" applyFill="1" applyBorder="1" applyAlignment="1">
      <alignment horizontal="center" vertical="top"/>
    </xf>
    <xf numFmtId="43" fontId="17" fillId="17" borderId="6" xfId="0" applyNumberFormat="1" applyFont="1" applyFill="1" applyBorder="1"/>
    <xf numFmtId="0" fontId="17" fillId="17" borderId="0" xfId="0" applyFont="1" applyFill="1"/>
    <xf numFmtId="0" fontId="1" fillId="5" borderId="30" xfId="0" applyFont="1" applyFill="1" applyBorder="1" applyAlignment="1">
      <alignment horizontal="center" vertical="center" wrapText="1"/>
    </xf>
    <xf numFmtId="0" fontId="1" fillId="5" borderId="34" xfId="0" applyFont="1" applyFill="1" applyBorder="1" applyAlignment="1">
      <alignment vertical="top" wrapText="1"/>
    </xf>
    <xf numFmtId="0" fontId="17" fillId="17" borderId="30" xfId="0" applyFont="1" applyFill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1" fillId="5" borderId="33" xfId="0" quotePrefix="1" applyFont="1" applyFill="1" applyBorder="1" applyAlignment="1">
      <alignment horizontal="center" vertical="center" wrapText="1"/>
    </xf>
    <xf numFmtId="0" fontId="17" fillId="17" borderId="33" xfId="0" quotePrefix="1" applyFont="1" applyFill="1" applyBorder="1" applyAlignment="1">
      <alignment vertical="center" wrapText="1"/>
    </xf>
    <xf numFmtId="43" fontId="17" fillId="17" borderId="6" xfId="0" applyNumberFormat="1" applyFont="1" applyFill="1" applyBorder="1" applyAlignment="1">
      <alignment vertical="center"/>
    </xf>
    <xf numFmtId="0" fontId="17" fillId="17" borderId="0" xfId="0" applyFont="1" applyFill="1" applyAlignment="1">
      <alignment vertical="center"/>
    </xf>
    <xf numFmtId="49" fontId="2" fillId="5" borderId="2" xfId="0" applyNumberFormat="1" applyFont="1" applyFill="1" applyBorder="1" applyAlignment="1">
      <alignment horizontal="left" vertical="center" wrapText="1"/>
    </xf>
    <xf numFmtId="44" fontId="19" fillId="5" borderId="2" xfId="1" applyFont="1" applyFill="1" applyBorder="1" applyAlignment="1">
      <alignment horizontal="left" vertical="center" shrinkToFit="1"/>
    </xf>
    <xf numFmtId="2" fontId="1" fillId="5" borderId="6" xfId="0" applyNumberFormat="1" applyFont="1" applyFill="1" applyBorder="1" applyAlignment="1">
      <alignment horizontal="left" vertical="center"/>
    </xf>
    <xf numFmtId="43" fontId="1" fillId="5" borderId="6" xfId="0" applyNumberFormat="1" applyFont="1" applyFill="1" applyBorder="1" applyAlignment="1">
      <alignment horizontal="left"/>
    </xf>
    <xf numFmtId="0" fontId="1" fillId="5" borderId="0" xfId="0" applyFont="1" applyFill="1" applyAlignment="1">
      <alignment horizontal="left"/>
    </xf>
    <xf numFmtId="0" fontId="1" fillId="5" borderId="33" xfId="0" quotePrefix="1" applyFont="1" applyFill="1" applyBorder="1" applyAlignment="1">
      <alignment horizontal="left" vertical="center" wrapText="1"/>
    </xf>
    <xf numFmtId="43" fontId="1" fillId="5" borderId="6" xfId="0" applyNumberFormat="1" applyFont="1" applyFill="1" applyBorder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44" fontId="20" fillId="5" borderId="2" xfId="1" applyFont="1" applyFill="1" applyBorder="1" applyAlignment="1">
      <alignment horizontal="right" vertical="center" shrinkToFit="1"/>
    </xf>
    <xf numFmtId="2" fontId="0" fillId="5" borderId="6" xfId="0" applyNumberFormat="1" applyFill="1" applyBorder="1" applyAlignment="1">
      <alignment horizontal="center" vertical="center"/>
    </xf>
    <xf numFmtId="44" fontId="0" fillId="5" borderId="6" xfId="0" applyNumberFormat="1" applyFill="1" applyBorder="1"/>
    <xf numFmtId="43" fontId="0" fillId="5" borderId="6" xfId="0" applyNumberFormat="1" applyFill="1" applyBorder="1"/>
    <xf numFmtId="0" fontId="0" fillId="5" borderId="0" xfId="0" applyFill="1"/>
    <xf numFmtId="2" fontId="0" fillId="5" borderId="29" xfId="0" applyNumberFormat="1" applyFill="1" applyBorder="1" applyAlignment="1">
      <alignment horizontal="center" vertical="center"/>
    </xf>
    <xf numFmtId="43" fontId="0" fillId="5" borderId="29" xfId="0" applyNumberFormat="1" applyFill="1" applyBorder="1" applyAlignment="1">
      <alignment vertical="center"/>
    </xf>
    <xf numFmtId="43" fontId="0" fillId="5" borderId="6" xfId="0" applyNumberFormat="1" applyFill="1" applyBorder="1" applyAlignment="1">
      <alignment vertical="center"/>
    </xf>
    <xf numFmtId="0" fontId="0" fillId="5" borderId="0" xfId="0" applyFill="1" applyAlignment="1">
      <alignment vertical="center"/>
    </xf>
    <xf numFmtId="44" fontId="0" fillId="0" borderId="30" xfId="0" applyNumberFormat="1" applyBorder="1" applyAlignment="1">
      <alignment horizontal="right" vertical="center" wrapText="1"/>
    </xf>
    <xf numFmtId="44" fontId="0" fillId="0" borderId="31" xfId="0" applyNumberFormat="1" applyBorder="1" applyAlignment="1">
      <alignment horizontal="right" vertical="center" wrapText="1"/>
    </xf>
    <xf numFmtId="4" fontId="0" fillId="0" borderId="30" xfId="0" applyNumberFormat="1" applyBorder="1" applyAlignment="1">
      <alignment horizontal="center" vertical="center" wrapText="1"/>
    </xf>
    <xf numFmtId="0" fontId="1" fillId="5" borderId="34" xfId="0" applyFont="1" applyFill="1" applyBorder="1" applyAlignment="1">
      <alignment vertical="center" wrapText="1"/>
    </xf>
    <xf numFmtId="0" fontId="1" fillId="5" borderId="39" xfId="0" applyFont="1" applyFill="1" applyBorder="1" applyAlignment="1">
      <alignment vertical="center" wrapText="1"/>
    </xf>
    <xf numFmtId="4" fontId="0" fillId="0" borderId="41" xfId="0" applyNumberFormat="1" applyBorder="1" applyAlignment="1">
      <alignment horizontal="center" vertical="center" wrapText="1"/>
    </xf>
    <xf numFmtId="3" fontId="0" fillId="0" borderId="30" xfId="0" applyNumberForma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0" xfId="0" applyAlignment="1">
      <alignment vertical="center"/>
    </xf>
    <xf numFmtId="44" fontId="0" fillId="0" borderId="0" xfId="0" applyNumberFormat="1" applyAlignment="1">
      <alignment vertical="center"/>
    </xf>
    <xf numFmtId="4" fontId="0" fillId="0" borderId="31" xfId="0" applyNumberFormat="1" applyBorder="1" applyAlignment="1">
      <alignment horizontal="center" vertical="center" wrapText="1"/>
    </xf>
    <xf numFmtId="0" fontId="17" fillId="17" borderId="30" xfId="0" applyFont="1" applyFill="1" applyBorder="1" applyAlignment="1">
      <alignment horizontal="left" vertical="top" wrapText="1"/>
    </xf>
    <xf numFmtId="44" fontId="17" fillId="17" borderId="30" xfId="0" applyNumberFormat="1" applyFont="1" applyFill="1" applyBorder="1" applyAlignment="1">
      <alignment horizontal="right" vertical="center" wrapText="1"/>
    </xf>
    <xf numFmtId="2" fontId="17" fillId="17" borderId="29" xfId="0" applyNumberFormat="1" applyFont="1" applyFill="1" applyBorder="1" applyAlignment="1">
      <alignment horizontal="center" vertical="center"/>
    </xf>
    <xf numFmtId="43" fontId="17" fillId="17" borderId="29" xfId="0" applyNumberFormat="1" applyFont="1" applyFill="1" applyBorder="1"/>
    <xf numFmtId="49" fontId="17" fillId="17" borderId="0" xfId="0" applyNumberFormat="1" applyFont="1" applyFill="1" applyAlignment="1">
      <alignment vertical="center" wrapText="1"/>
    </xf>
    <xf numFmtId="43" fontId="0" fillId="5" borderId="29" xfId="0" applyNumberFormat="1" applyFill="1" applyBorder="1"/>
    <xf numFmtId="49" fontId="2" fillId="5" borderId="0" xfId="0" applyNumberFormat="1" applyFont="1" applyFill="1" applyAlignment="1">
      <alignment vertical="center" wrapText="1"/>
    </xf>
    <xf numFmtId="44" fontId="1" fillId="5" borderId="6" xfId="0" applyNumberFormat="1" applyFont="1" applyFill="1" applyBorder="1" applyAlignment="1">
      <alignment vertical="center"/>
    </xf>
    <xf numFmtId="43" fontId="1" fillId="5" borderId="6" xfId="0" applyNumberFormat="1" applyFont="1" applyFill="1" applyBorder="1" applyAlignment="1">
      <alignment vertical="center"/>
    </xf>
    <xf numFmtId="0" fontId="1" fillId="5" borderId="0" xfId="0" applyFont="1" applyFill="1" applyAlignment="1">
      <alignment vertical="center"/>
    </xf>
    <xf numFmtId="49" fontId="2" fillId="5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/>
    </xf>
    <xf numFmtId="164" fontId="2" fillId="5" borderId="0" xfId="0" applyNumberFormat="1" applyFont="1" applyFill="1" applyAlignment="1">
      <alignment horizontal="center" vertical="center" wrapText="1"/>
    </xf>
    <xf numFmtId="2" fontId="2" fillId="5" borderId="0" xfId="0" applyNumberFormat="1" applyFont="1" applyFill="1" applyAlignment="1">
      <alignment horizontal="center" vertical="center" wrapText="1"/>
    </xf>
    <xf numFmtId="0" fontId="0" fillId="0" borderId="30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1" fillId="5" borderId="40" xfId="0" applyFont="1" applyFill="1" applyBorder="1" applyAlignment="1">
      <alignment vertical="center" wrapText="1"/>
    </xf>
    <xf numFmtId="0" fontId="17" fillId="17" borderId="30" xfId="0" applyFont="1" applyFill="1" applyBorder="1" applyAlignment="1">
      <alignment horizontal="left" vertical="center" wrapText="1"/>
    </xf>
    <xf numFmtId="0" fontId="1" fillId="5" borderId="33" xfId="0" quotePrefix="1" applyFont="1" applyFill="1" applyBorder="1" applyAlignment="1">
      <alignment vertical="center" wrapText="1"/>
    </xf>
    <xf numFmtId="44" fontId="0" fillId="7" borderId="22" xfId="1" applyFont="1" applyFill="1" applyBorder="1"/>
    <xf numFmtId="44" fontId="0" fillId="14" borderId="22" xfId="1" applyFont="1" applyFill="1" applyBorder="1"/>
    <xf numFmtId="44" fontId="0" fillId="7" borderId="22" xfId="1" quotePrefix="1" applyFont="1" applyFill="1" applyBorder="1"/>
    <xf numFmtId="0" fontId="1" fillId="0" borderId="43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32" xfId="0" applyFont="1" applyBorder="1" applyAlignment="1">
      <alignment vertical="top" wrapText="1"/>
    </xf>
    <xf numFmtId="0" fontId="1" fillId="0" borderId="0" xfId="0" applyFont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4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32" xfId="0" applyFont="1" applyBorder="1" applyAlignment="1">
      <alignment vertical="center"/>
    </xf>
    <xf numFmtId="0" fontId="1" fillId="0" borderId="43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32" xfId="0" applyFont="1" applyBorder="1" applyAlignment="1">
      <alignment vertical="top"/>
    </xf>
    <xf numFmtId="44" fontId="0" fillId="0" borderId="0" xfId="0" applyNumberFormat="1"/>
    <xf numFmtId="10" fontId="0" fillId="0" borderId="6" xfId="0" applyNumberFormat="1" applyBorder="1" applyAlignment="1">
      <alignment horizontal="center" vertical="center"/>
    </xf>
    <xf numFmtId="43" fontId="0" fillId="0" borderId="6" xfId="0" applyNumberFormat="1" applyBorder="1" applyAlignment="1">
      <alignment vertical="center"/>
    </xf>
    <xf numFmtId="43" fontId="0" fillId="0" borderId="6" xfId="0" applyNumberFormat="1" applyBorder="1" applyAlignment="1">
      <alignment horizontal="center" vertical="center"/>
    </xf>
    <xf numFmtId="0" fontId="1" fillId="16" borderId="2" xfId="0" applyFont="1" applyFill="1" applyBorder="1" applyAlignment="1">
      <alignment horizontal="center" vertical="center"/>
    </xf>
    <xf numFmtId="10" fontId="1" fillId="16" borderId="2" xfId="0" applyNumberFormat="1" applyFont="1" applyFill="1" applyBorder="1"/>
    <xf numFmtId="10" fontId="17" fillId="16" borderId="2" xfId="0" applyNumberFormat="1" applyFont="1" applyFill="1" applyBorder="1"/>
    <xf numFmtId="0" fontId="1" fillId="0" borderId="2" xfId="0" applyFont="1" applyBorder="1" applyAlignment="1">
      <alignment vertical="top" wrapText="1"/>
    </xf>
    <xf numFmtId="10" fontId="17" fillId="16" borderId="2" xfId="2" applyNumberFormat="1" applyFont="1" applyFill="1" applyBorder="1"/>
    <xf numFmtId="2" fontId="22" fillId="0" borderId="2" xfId="0" applyNumberFormat="1" applyFont="1" applyBorder="1" applyAlignment="1">
      <alignment horizontal="center" vertical="center"/>
    </xf>
    <xf numFmtId="4" fontId="12" fillId="0" borderId="66" xfId="4" applyNumberFormat="1" applyFont="1" applyFill="1" applyBorder="1" applyAlignment="1">
      <alignment horizontal="center" vertical="center"/>
    </xf>
    <xf numFmtId="171" fontId="12" fillId="0" borderId="68" xfId="4" applyNumberFormat="1" applyFont="1" applyFill="1" applyBorder="1" applyAlignment="1">
      <alignment horizontal="center" vertical="center"/>
    </xf>
    <xf numFmtId="170" fontId="29" fillId="0" borderId="75" xfId="4" applyFont="1" applyFill="1" applyBorder="1" applyAlignment="1">
      <alignment horizontal="center" vertical="center"/>
    </xf>
    <xf numFmtId="170" fontId="29" fillId="0" borderId="96" xfId="4" applyFont="1" applyFill="1" applyBorder="1" applyAlignment="1">
      <alignment horizontal="center" vertical="center"/>
    </xf>
    <xf numFmtId="170" fontId="29" fillId="0" borderId="0" xfId="4" applyFont="1" applyFill="1" applyBorder="1" applyAlignment="1">
      <alignment horizontal="center" vertical="center"/>
    </xf>
    <xf numFmtId="170" fontId="29" fillId="0" borderId="98" xfId="4" applyFont="1" applyFill="1" applyBorder="1" applyAlignment="1">
      <alignment horizontal="center" vertical="center"/>
    </xf>
    <xf numFmtId="170" fontId="29" fillId="0" borderId="71" xfId="4" applyFont="1" applyFill="1" applyBorder="1" applyAlignment="1">
      <alignment horizontal="center" vertical="center"/>
    </xf>
    <xf numFmtId="170" fontId="29" fillId="0" borderId="123" xfId="4" applyFont="1" applyFill="1" applyBorder="1" applyAlignment="1">
      <alignment horizontal="center" vertical="center"/>
    </xf>
    <xf numFmtId="4" fontId="9" fillId="0" borderId="75" xfId="3" applyNumberFormat="1" applyFont="1" applyFill="1" applyBorder="1" applyAlignment="1">
      <alignment horizontal="center" vertical="center"/>
    </xf>
    <xf numFmtId="170" fontId="29" fillId="0" borderId="104" xfId="4" applyFont="1" applyFill="1" applyBorder="1" applyAlignment="1">
      <alignment horizontal="center" vertical="center"/>
    </xf>
    <xf numFmtId="170" fontId="29" fillId="0" borderId="134" xfId="4" applyFont="1" applyFill="1" applyBorder="1" applyAlignment="1">
      <alignment horizontal="center" vertical="center"/>
    </xf>
    <xf numFmtId="170" fontId="29" fillId="0" borderId="144" xfId="4" applyFont="1" applyFill="1" applyBorder="1" applyAlignment="1">
      <alignment horizontal="center" vertical="center"/>
    </xf>
    <xf numFmtId="170" fontId="29" fillId="0" borderId="147" xfId="4" applyFont="1" applyFill="1" applyBorder="1" applyAlignment="1">
      <alignment horizontal="center" vertical="center"/>
    </xf>
    <xf numFmtId="170" fontId="29" fillId="0" borderId="26" xfId="4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4" fontId="9" fillId="0" borderId="123" xfId="3" applyNumberFormat="1" applyFont="1" applyFill="1" applyBorder="1" applyAlignment="1">
      <alignment horizontal="center" vertical="center"/>
    </xf>
    <xf numFmtId="4" fontId="12" fillId="0" borderId="60" xfId="4" applyNumberFormat="1" applyFont="1" applyFill="1" applyBorder="1" applyAlignment="1">
      <alignment horizontal="right" vertical="center"/>
    </xf>
    <xf numFmtId="4" fontId="12" fillId="0" borderId="0" xfId="4" applyNumberFormat="1" applyFont="1" applyFill="1" applyBorder="1" applyAlignment="1">
      <alignment horizontal="right" vertical="center"/>
    </xf>
    <xf numFmtId="170" fontId="29" fillId="0" borderId="2" xfId="4" applyFont="1" applyFill="1" applyBorder="1" applyAlignment="1">
      <alignment horizontal="center" vertical="center"/>
    </xf>
    <xf numFmtId="4" fontId="12" fillId="0" borderId="49" xfId="4" applyNumberFormat="1" applyFont="1" applyFill="1" applyBorder="1" applyAlignment="1">
      <alignment horizontal="right" vertical="center"/>
    </xf>
    <xf numFmtId="4" fontId="12" fillId="0" borderId="13" xfId="4" applyNumberFormat="1" applyFont="1" applyFill="1" applyBorder="1" applyAlignment="1">
      <alignment horizontal="right" vertical="center"/>
    </xf>
    <xf numFmtId="4" fontId="12" fillId="0" borderId="63" xfId="4" applyNumberFormat="1" applyFont="1" applyFill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44" fontId="0" fillId="0" borderId="2" xfId="0" applyNumberFormat="1" applyBorder="1" applyAlignment="1">
      <alignment horizontal="center" vertical="center" wrapText="1"/>
    </xf>
    <xf numFmtId="44" fontId="20" fillId="0" borderId="2" xfId="1" applyFont="1" applyBorder="1" applyAlignment="1">
      <alignment horizontal="center" vertical="center" shrinkToFit="1"/>
    </xf>
    <xf numFmtId="44" fontId="19" fillId="5" borderId="2" xfId="1" applyFont="1" applyFill="1" applyBorder="1" applyAlignment="1">
      <alignment horizontal="center" vertical="center" shrinkToFit="1"/>
    </xf>
    <xf numFmtId="44" fontId="21" fillId="17" borderId="2" xfId="1" applyFont="1" applyFill="1" applyBorder="1" applyAlignment="1">
      <alignment horizontal="center" vertical="center" shrinkToFit="1"/>
    </xf>
    <xf numFmtId="44" fontId="0" fillId="14" borderId="2" xfId="1" applyFont="1" applyFill="1" applyBorder="1" applyAlignment="1">
      <alignment horizontal="center" vertical="center"/>
    </xf>
    <xf numFmtId="44" fontId="0" fillId="0" borderId="2" xfId="1" quotePrefix="1" applyFont="1" applyFill="1" applyBorder="1" applyAlignment="1">
      <alignment horizontal="center" vertical="center"/>
    </xf>
    <xf numFmtId="44" fontId="0" fillId="0" borderId="2" xfId="1" applyFont="1" applyFill="1" applyBorder="1" applyAlignment="1">
      <alignment horizontal="center" vertical="center"/>
    </xf>
    <xf numFmtId="0" fontId="17" fillId="17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44" fontId="20" fillId="5" borderId="2" xfId="1" applyFont="1" applyFill="1" applyBorder="1" applyAlignment="1">
      <alignment horizontal="center" vertical="center" shrinkToFit="1"/>
    </xf>
    <xf numFmtId="0" fontId="0" fillId="5" borderId="0" xfId="0" applyFill="1" applyAlignment="1">
      <alignment horizontal="center" vertical="center"/>
    </xf>
    <xf numFmtId="49" fontId="17" fillId="17" borderId="0" xfId="0" applyNumberFormat="1" applyFont="1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0" fontId="0" fillId="16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17" borderId="0" xfId="0" applyFill="1" applyAlignment="1">
      <alignment horizontal="center" vertical="center"/>
    </xf>
    <xf numFmtId="0" fontId="1" fillId="12" borderId="2" xfId="0" applyFont="1" applyFill="1" applyBorder="1" applyAlignment="1">
      <alignment horizontal="center" vertical="center" wrapText="1"/>
    </xf>
    <xf numFmtId="44" fontId="1" fillId="12" borderId="2" xfId="0" applyNumberFormat="1" applyFont="1" applyFill="1" applyBorder="1" applyAlignment="1">
      <alignment horizontal="center" vertical="center" wrapText="1"/>
    </xf>
    <xf numFmtId="2" fontId="1" fillId="12" borderId="2" xfId="0" applyNumberFormat="1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7" fillId="17" borderId="2" xfId="0" quotePrefix="1" applyFont="1" applyFill="1" applyBorder="1" applyAlignment="1">
      <alignment horizontal="center" vertical="center" wrapText="1"/>
    </xf>
    <xf numFmtId="44" fontId="1" fillId="17" borderId="2" xfId="0" quotePrefix="1" applyNumberFormat="1" applyFont="1" applyFill="1" applyBorder="1" applyAlignment="1">
      <alignment horizontal="center" vertical="center" wrapText="1"/>
    </xf>
    <xf numFmtId="0" fontId="1" fillId="5" borderId="2" xfId="0" quotePrefix="1" applyFont="1" applyFill="1" applyBorder="1" applyAlignment="1">
      <alignment horizontal="center" vertical="center" wrapText="1"/>
    </xf>
    <xf numFmtId="44" fontId="1" fillId="5" borderId="2" xfId="0" quotePrefix="1" applyNumberFormat="1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7" fillId="17" borderId="2" xfId="0" applyFont="1" applyFill="1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44" fontId="17" fillId="17" borderId="2" xfId="0" applyNumberFormat="1" applyFont="1" applyFill="1" applyBorder="1" applyAlignment="1">
      <alignment horizontal="center" vertical="center" wrapText="1"/>
    </xf>
    <xf numFmtId="44" fontId="1" fillId="5" borderId="2" xfId="0" applyNumberFormat="1" applyFont="1" applyFill="1" applyBorder="1" applyAlignment="1">
      <alignment horizontal="center" vertical="center"/>
    </xf>
    <xf numFmtId="44" fontId="17" fillId="17" borderId="2" xfId="0" applyNumberFormat="1" applyFont="1" applyFill="1" applyBorder="1" applyAlignment="1">
      <alignment horizontal="center" vertical="center"/>
    </xf>
    <xf numFmtId="44" fontId="0" fillId="5" borderId="2" xfId="0" applyNumberFormat="1" applyFill="1" applyBorder="1" applyAlignment="1">
      <alignment horizontal="center" vertical="center"/>
    </xf>
    <xf numFmtId="171" fontId="13" fillId="0" borderId="68" xfId="4" applyNumberFormat="1" applyFont="1" applyFill="1" applyBorder="1" applyAlignment="1">
      <alignment horizontal="center" vertical="center"/>
    </xf>
    <xf numFmtId="0" fontId="47" fillId="0" borderId="2" xfId="0" applyFont="1" applyBorder="1" applyAlignment="1">
      <alignment horizontal="center" vertical="center" wrapText="1"/>
    </xf>
    <xf numFmtId="44" fontId="47" fillId="0" borderId="2" xfId="0" applyNumberFormat="1" applyFont="1" applyBorder="1" applyAlignment="1">
      <alignment horizontal="center" vertical="center" wrapText="1"/>
    </xf>
    <xf numFmtId="44" fontId="48" fillId="0" borderId="2" xfId="1" applyFont="1" applyBorder="1" applyAlignment="1">
      <alignment horizontal="center" vertical="center" shrinkToFit="1"/>
    </xf>
    <xf numFmtId="0" fontId="47" fillId="0" borderId="0" xfId="0" applyFont="1" applyAlignment="1">
      <alignment horizontal="center" vertical="center"/>
    </xf>
    <xf numFmtId="4" fontId="12" fillId="0" borderId="26" xfId="4" applyNumberFormat="1" applyFont="1" applyFill="1" applyBorder="1" applyAlignment="1">
      <alignment horizontal="right" vertical="center"/>
    </xf>
    <xf numFmtId="4" fontId="12" fillId="0" borderId="25" xfId="4" applyNumberFormat="1" applyFont="1" applyFill="1" applyBorder="1" applyAlignment="1">
      <alignment horizontal="center" vertical="center"/>
    </xf>
    <xf numFmtId="171" fontId="12" fillId="0" borderId="115" xfId="4" applyNumberFormat="1" applyFont="1" applyFill="1" applyBorder="1" applyAlignment="1">
      <alignment horizontal="center" vertical="center"/>
    </xf>
    <xf numFmtId="4" fontId="12" fillId="0" borderId="178" xfId="4" applyNumberFormat="1" applyFont="1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71" fontId="12" fillId="0" borderId="0" xfId="4" applyNumberFormat="1" applyFont="1" applyFill="1" applyBorder="1" applyAlignment="1">
      <alignment horizontal="left" vertical="center"/>
    </xf>
    <xf numFmtId="4" fontId="12" fillId="0" borderId="2" xfId="4" applyNumberFormat="1" applyFont="1" applyFill="1" applyBorder="1" applyAlignment="1">
      <alignment horizontal="right" vertical="center"/>
    </xf>
    <xf numFmtId="170" fontId="29" fillId="0" borderId="14" xfId="4" applyFont="1" applyFill="1" applyBorder="1" applyAlignment="1">
      <alignment horizontal="center" vertical="center"/>
    </xf>
    <xf numFmtId="4" fontId="12" fillId="0" borderId="2" xfId="0" applyNumberFormat="1" applyFont="1" applyBorder="1" applyAlignment="1">
      <alignment horizontal="right" vertical="center"/>
    </xf>
    <xf numFmtId="4" fontId="14" fillId="0" borderId="23" xfId="0" applyNumberFormat="1" applyFont="1" applyBorder="1" applyAlignment="1">
      <alignment horizontal="right" vertical="center"/>
    </xf>
    <xf numFmtId="0" fontId="0" fillId="0" borderId="14" xfId="0" applyBorder="1"/>
    <xf numFmtId="0" fontId="0" fillId="0" borderId="26" xfId="0" applyBorder="1"/>
    <xf numFmtId="0" fontId="0" fillId="0" borderId="71" xfId="0" applyBorder="1"/>
    <xf numFmtId="0" fontId="0" fillId="0" borderId="75" xfId="0" applyBorder="1"/>
    <xf numFmtId="0" fontId="0" fillId="0" borderId="123" xfId="0" applyBorder="1"/>
    <xf numFmtId="0" fontId="12" fillId="0" borderId="0" xfId="0" applyFont="1" applyAlignment="1">
      <alignment horizontal="right" vertical="center"/>
    </xf>
    <xf numFmtId="0" fontId="30" fillId="0" borderId="0" xfId="0" applyFont="1" applyAlignment="1">
      <alignment horizontal="center" vertical="center" wrapText="1"/>
    </xf>
    <xf numFmtId="44" fontId="0" fillId="0" borderId="0" xfId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" fontId="12" fillId="0" borderId="0" xfId="5" applyNumberFormat="1" applyFont="1" applyFill="1" applyBorder="1" applyAlignment="1">
      <alignment horizontal="center" vertical="center"/>
    </xf>
    <xf numFmtId="171" fontId="12" fillId="0" borderId="77" xfId="4" applyNumberFormat="1" applyFont="1" applyFill="1" applyBorder="1" applyAlignment="1">
      <alignment horizontal="center" vertical="center"/>
    </xf>
    <xf numFmtId="4" fontId="66" fillId="0" borderId="32" xfId="0" applyNumberFormat="1" applyFont="1" applyBorder="1" applyAlignment="1">
      <alignment vertical="center"/>
    </xf>
    <xf numFmtId="4" fontId="66" fillId="0" borderId="32" xfId="0" applyNumberFormat="1" applyFont="1" applyBorder="1" applyAlignment="1">
      <alignment horizontal="right" vertical="center"/>
    </xf>
    <xf numFmtId="43" fontId="12" fillId="0" borderId="126" xfId="3" applyFont="1" applyFill="1" applyBorder="1" applyAlignment="1">
      <alignment horizontal="right" vertical="center"/>
    </xf>
    <xf numFmtId="2" fontId="29" fillId="0" borderId="71" xfId="0" applyNumberFormat="1" applyFont="1" applyBorder="1" applyAlignment="1">
      <alignment horizontal="center" vertical="center"/>
    </xf>
    <xf numFmtId="0" fontId="29" fillId="0" borderId="71" xfId="0" applyFont="1" applyBorder="1" applyAlignment="1">
      <alignment horizontal="justify" vertical="center" wrapText="1"/>
    </xf>
    <xf numFmtId="2" fontId="29" fillId="0" borderId="93" xfId="0" applyNumberFormat="1" applyFont="1" applyBorder="1" applyAlignment="1">
      <alignment horizontal="center" vertical="center"/>
    </xf>
    <xf numFmtId="0" fontId="29" fillId="0" borderId="75" xfId="0" applyFont="1" applyBorder="1" applyAlignment="1">
      <alignment horizontal="justify" vertical="center" wrapText="1"/>
    </xf>
    <xf numFmtId="0" fontId="0" fillId="0" borderId="75" xfId="0" applyBorder="1" applyAlignment="1">
      <alignment horizontal="center"/>
    </xf>
    <xf numFmtId="2" fontId="29" fillId="0" borderId="75" xfId="0" applyNumberFormat="1" applyFont="1" applyBorder="1" applyAlignment="1">
      <alignment horizontal="center" vertical="center"/>
    </xf>
    <xf numFmtId="2" fontId="14" fillId="0" borderId="81" xfId="0" applyNumberFormat="1" applyFont="1" applyBorder="1" applyAlignment="1">
      <alignment vertical="center"/>
    </xf>
    <xf numFmtId="2" fontId="29" fillId="0" borderId="123" xfId="0" applyNumberFormat="1" applyFont="1" applyBorder="1" applyAlignment="1">
      <alignment horizontal="center" vertical="center"/>
    </xf>
    <xf numFmtId="0" fontId="29" fillId="0" borderId="123" xfId="0" applyFont="1" applyBorder="1" applyAlignment="1">
      <alignment horizontal="justify" vertical="center" wrapText="1"/>
    </xf>
    <xf numFmtId="2" fontId="29" fillId="0" borderId="126" xfId="0" applyNumberFormat="1" applyFont="1" applyBorder="1" applyAlignment="1">
      <alignment horizontal="center" vertical="center"/>
    </xf>
    <xf numFmtId="2" fontId="29" fillId="0" borderId="98" xfId="0" applyNumberFormat="1" applyFont="1" applyBorder="1" applyAlignment="1">
      <alignment horizontal="center" vertical="center"/>
    </xf>
    <xf numFmtId="0" fontId="29" fillId="0" borderId="98" xfId="0" applyFont="1" applyBorder="1" applyAlignment="1">
      <alignment horizontal="justify" vertical="center" wrapText="1"/>
    </xf>
    <xf numFmtId="2" fontId="29" fillId="0" borderId="168" xfId="0" applyNumberFormat="1" applyFont="1" applyBorder="1" applyAlignment="1">
      <alignment horizontal="center" vertical="center"/>
    </xf>
    <xf numFmtId="0" fontId="29" fillId="0" borderId="168" xfId="0" applyFont="1" applyBorder="1" applyAlignment="1">
      <alignment horizontal="justify" vertical="center" wrapText="1"/>
    </xf>
    <xf numFmtId="2" fontId="29" fillId="0" borderId="134" xfId="0" applyNumberFormat="1" applyFont="1" applyBorder="1" applyAlignment="1">
      <alignment horizontal="center" vertical="center"/>
    </xf>
    <xf numFmtId="0" fontId="29" fillId="0" borderId="134" xfId="0" applyFont="1" applyBorder="1" applyAlignment="1">
      <alignment horizontal="justify" vertical="center" wrapText="1"/>
    </xf>
    <xf numFmtId="0" fontId="29" fillId="0" borderId="135" xfId="0" applyFont="1" applyBorder="1" applyAlignment="1">
      <alignment horizontal="justify" vertical="center" wrapText="1"/>
    </xf>
    <xf numFmtId="0" fontId="0" fillId="0" borderId="134" xfId="0" applyBorder="1" applyAlignment="1">
      <alignment horizontal="center"/>
    </xf>
    <xf numFmtId="2" fontId="29" fillId="0" borderId="172" xfId="0" applyNumberFormat="1" applyFont="1" applyBorder="1" applyAlignment="1">
      <alignment horizontal="center" vertical="center"/>
    </xf>
    <xf numFmtId="0" fontId="29" fillId="0" borderId="172" xfId="0" applyFont="1" applyBorder="1" applyAlignment="1">
      <alignment horizontal="justify" vertical="center" wrapText="1"/>
    </xf>
    <xf numFmtId="0" fontId="0" fillId="0" borderId="177" xfId="0" applyBorder="1" applyAlignment="1">
      <alignment horizontal="center"/>
    </xf>
    <xf numFmtId="0" fontId="29" fillId="0" borderId="177" xfId="0" applyFont="1" applyBorder="1" applyAlignment="1">
      <alignment horizontal="justify" vertical="center" wrapText="1"/>
    </xf>
    <xf numFmtId="2" fontId="29" fillId="0" borderId="177" xfId="0" applyNumberFormat="1" applyFont="1" applyBorder="1" applyAlignment="1">
      <alignment horizontal="center" vertical="center"/>
    </xf>
    <xf numFmtId="0" fontId="29" fillId="0" borderId="96" xfId="0" applyFont="1" applyBorder="1" applyAlignment="1">
      <alignment horizontal="justify" vertical="center" wrapText="1"/>
    </xf>
    <xf numFmtId="0" fontId="0" fillId="0" borderId="96" xfId="0" applyBorder="1" applyAlignment="1">
      <alignment horizontal="center"/>
    </xf>
    <xf numFmtId="2" fontId="29" fillId="0" borderId="96" xfId="0" applyNumberFormat="1" applyFont="1" applyBorder="1" applyAlignment="1">
      <alignment horizontal="center" vertical="center"/>
    </xf>
    <xf numFmtId="0" fontId="0" fillId="0" borderId="167" xfId="0" applyBorder="1" applyAlignment="1">
      <alignment horizontal="justify" vertical="center" wrapText="1"/>
    </xf>
    <xf numFmtId="0" fontId="0" fillId="0" borderId="168" xfId="0" applyBorder="1" applyAlignment="1">
      <alignment horizontal="center" vertical="center" wrapText="1"/>
    </xf>
    <xf numFmtId="0" fontId="12" fillId="0" borderId="169" xfId="0" applyFont="1" applyBorder="1" applyAlignment="1">
      <alignment horizontal="center" vertical="center" wrapText="1"/>
    </xf>
    <xf numFmtId="0" fontId="0" fillId="0" borderId="135" xfId="0" applyBorder="1" applyAlignment="1">
      <alignment horizontal="justify" vertical="center" wrapText="1"/>
    </xf>
    <xf numFmtId="2" fontId="0" fillId="0" borderId="104" xfId="0" applyNumberFormat="1" applyBorder="1" applyAlignment="1">
      <alignment horizontal="center" vertical="center"/>
    </xf>
    <xf numFmtId="2" fontId="12" fillId="0" borderId="170" xfId="0" applyNumberFormat="1" applyFont="1" applyBorder="1" applyAlignment="1">
      <alignment horizontal="center" vertical="center" wrapText="1"/>
    </xf>
    <xf numFmtId="0" fontId="0" fillId="0" borderId="171" xfId="0" applyBorder="1" applyAlignment="1">
      <alignment vertical="center" wrapText="1"/>
    </xf>
    <xf numFmtId="4" fontId="14" fillId="0" borderId="2" xfId="0" applyNumberFormat="1" applyFont="1" applyBorder="1" applyAlignment="1">
      <alignment horizontal="right" vertical="center"/>
    </xf>
    <xf numFmtId="0" fontId="30" fillId="0" borderId="32" xfId="0" applyFont="1" applyBorder="1" applyAlignment="1">
      <alignment horizontal="center" vertical="center" wrapText="1"/>
    </xf>
    <xf numFmtId="0" fontId="30" fillId="0" borderId="44" xfId="0" applyFont="1" applyBorder="1" applyAlignment="1">
      <alignment horizontal="center" vertical="center" wrapText="1"/>
    </xf>
    <xf numFmtId="0" fontId="30" fillId="0" borderId="140" xfId="0" applyFont="1" applyBorder="1" applyAlignment="1">
      <alignment horizontal="center" vertical="center" wrapText="1"/>
    </xf>
    <xf numFmtId="0" fontId="47" fillId="0" borderId="0" xfId="0" applyFont="1"/>
    <xf numFmtId="4" fontId="12" fillId="0" borderId="23" xfId="0" applyNumberFormat="1" applyFont="1" applyBorder="1" applyAlignment="1">
      <alignment horizontal="right" vertical="center"/>
    </xf>
    <xf numFmtId="44" fontId="0" fillId="0" borderId="0" xfId="1" applyFont="1" applyAlignment="1">
      <alignment horizontal="center" vertical="center"/>
    </xf>
    <xf numFmtId="0" fontId="40" fillId="0" borderId="23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165" fontId="26" fillId="0" borderId="2" xfId="0" applyNumberFormat="1" applyFont="1" applyBorder="1" applyAlignment="1">
      <alignment horizontal="center" vertical="center"/>
    </xf>
    <xf numFmtId="49" fontId="26" fillId="0" borderId="58" xfId="0" applyNumberFormat="1" applyFont="1" applyBorder="1" applyAlignment="1">
      <alignment horizontal="center" vertical="center"/>
    </xf>
    <xf numFmtId="4" fontId="40" fillId="0" borderId="23" xfId="0" applyNumberFormat="1" applyFont="1" applyBorder="1" applyAlignment="1">
      <alignment horizontal="center" vertical="center"/>
    </xf>
    <xf numFmtId="17" fontId="26" fillId="0" borderId="2" xfId="0" applyNumberFormat="1" applyFont="1" applyBorder="1" applyAlignment="1">
      <alignment horizontal="center" vertical="center"/>
    </xf>
    <xf numFmtId="167" fontId="26" fillId="0" borderId="2" xfId="0" applyNumberFormat="1" applyFont="1" applyBorder="1" applyAlignment="1">
      <alignment horizontal="center" vertical="center"/>
    </xf>
    <xf numFmtId="169" fontId="26" fillId="0" borderId="2" xfId="0" applyNumberFormat="1" applyFont="1" applyBorder="1" applyAlignment="1">
      <alignment horizontal="center" vertical="center"/>
    </xf>
    <xf numFmtId="0" fontId="26" fillId="0" borderId="58" xfId="0" applyFont="1" applyBorder="1" applyAlignment="1">
      <alignment horizontal="center" vertical="center"/>
    </xf>
    <xf numFmtId="0" fontId="27" fillId="0" borderId="63" xfId="0" applyFont="1" applyBorder="1" applyAlignment="1">
      <alignment horizontal="center" vertical="center"/>
    </xf>
    <xf numFmtId="0" fontId="27" fillId="0" borderId="64" xfId="0" applyFont="1" applyBorder="1" applyAlignment="1">
      <alignment horizontal="center" vertical="center"/>
    </xf>
    <xf numFmtId="0" fontId="29" fillId="0" borderId="0" xfId="0" applyFont="1"/>
    <xf numFmtId="0" fontId="12" fillId="0" borderId="71" xfId="0" applyFont="1" applyBorder="1" applyAlignment="1">
      <alignment horizontal="center" vertical="center"/>
    </xf>
    <xf numFmtId="2" fontId="11" fillId="0" borderId="75" xfId="0" applyNumberFormat="1" applyFont="1" applyBorder="1" applyAlignment="1">
      <alignment horizontal="center" vertical="center" wrapText="1"/>
    </xf>
    <xf numFmtId="2" fontId="12" fillId="0" borderId="75" xfId="0" applyNumberFormat="1" applyFont="1" applyBorder="1" applyAlignment="1">
      <alignment horizontal="right" vertical="center" wrapText="1"/>
    </xf>
    <xf numFmtId="0" fontId="12" fillId="0" borderId="49" xfId="0" applyFont="1" applyBorder="1" applyAlignment="1">
      <alignment horizontal="right" vertical="center"/>
    </xf>
    <xf numFmtId="0" fontId="14" fillId="0" borderId="49" xfId="0" applyFont="1" applyBorder="1" applyAlignment="1">
      <alignment horizontal="right" vertical="center"/>
    </xf>
    <xf numFmtId="0" fontId="12" fillId="0" borderId="49" xfId="0" applyFont="1" applyBorder="1" applyAlignment="1">
      <alignment horizontal="center" vertical="center"/>
    </xf>
    <xf numFmtId="2" fontId="11" fillId="0" borderId="71" xfId="0" applyNumberFormat="1" applyFont="1" applyBorder="1" applyAlignment="1">
      <alignment horizontal="center" vertical="center" wrapText="1"/>
    </xf>
    <xf numFmtId="2" fontId="12" fillId="0" borderId="81" xfId="0" applyNumberFormat="1" applyFont="1" applyBorder="1" applyAlignment="1">
      <alignment horizontal="right" vertical="center" wrapText="1"/>
    </xf>
    <xf numFmtId="2" fontId="11" fillId="0" borderId="123" xfId="0" applyNumberFormat="1" applyFont="1" applyBorder="1" applyAlignment="1">
      <alignment horizontal="center" vertical="center" wrapText="1"/>
    </xf>
    <xf numFmtId="2" fontId="12" fillId="0" borderId="126" xfId="0" applyNumberFormat="1" applyFont="1" applyBorder="1" applyAlignment="1">
      <alignment horizontal="right" vertical="center" wrapText="1"/>
    </xf>
    <xf numFmtId="2" fontId="11" fillId="0" borderId="98" xfId="0" applyNumberFormat="1" applyFont="1" applyBorder="1" applyAlignment="1">
      <alignment horizontal="center" vertical="center" wrapText="1"/>
    </xf>
    <xf numFmtId="2" fontId="11" fillId="0" borderId="96" xfId="0" applyNumberFormat="1" applyFont="1" applyBorder="1" applyAlignment="1">
      <alignment horizontal="center" vertical="center" wrapText="1"/>
    </xf>
    <xf numFmtId="0" fontId="12" fillId="0" borderId="99" xfId="0" applyFont="1" applyBorder="1" applyAlignment="1">
      <alignment vertical="center"/>
    </xf>
    <xf numFmtId="0" fontId="11" fillId="0" borderId="101" xfId="0" applyFont="1" applyBorder="1" applyAlignment="1">
      <alignment horizontal="center" vertical="center"/>
    </xf>
    <xf numFmtId="2" fontId="29" fillId="0" borderId="104" xfId="0" applyNumberFormat="1" applyFont="1" applyBorder="1" applyAlignment="1">
      <alignment horizontal="center" vertical="center"/>
    </xf>
    <xf numFmtId="0" fontId="0" fillId="0" borderId="103" xfId="0" applyBorder="1" applyAlignment="1">
      <alignment horizontal="justify" vertical="center" wrapText="1"/>
    </xf>
    <xf numFmtId="0" fontId="29" fillId="0" borderId="101" xfId="0" applyFont="1" applyBorder="1" applyAlignment="1">
      <alignment horizontal="left" vertical="center"/>
    </xf>
    <xf numFmtId="2" fontId="29" fillId="0" borderId="104" xfId="0" applyNumberFormat="1" applyFont="1" applyBorder="1" applyAlignment="1">
      <alignment horizontal="center" wrapText="1"/>
    </xf>
    <xf numFmtId="0" fontId="14" fillId="0" borderId="95" xfId="0" applyFont="1" applyBorder="1" applyAlignment="1">
      <alignment vertical="center" wrapText="1" shrinkToFit="1"/>
    </xf>
    <xf numFmtId="0" fontId="14" fillId="0" borderId="75" xfId="0" applyFont="1" applyBorder="1" applyAlignment="1">
      <alignment vertical="center" wrapText="1" shrinkToFit="1"/>
    </xf>
    <xf numFmtId="0" fontId="29" fillId="0" borderId="103" xfId="0" applyFont="1" applyBorder="1" applyAlignment="1">
      <alignment horizontal="justify" vertical="center" wrapText="1"/>
    </xf>
    <xf numFmtId="2" fontId="29" fillId="0" borderId="75" xfId="0" applyNumberFormat="1" applyFont="1" applyBorder="1" applyAlignment="1">
      <alignment horizontal="center" vertical="center" wrapText="1" shrinkToFit="1"/>
    </xf>
    <xf numFmtId="0" fontId="29" fillId="0" borderId="105" xfId="0" applyFont="1" applyBorder="1" applyAlignment="1">
      <alignment horizontal="justify" vertical="center" wrapText="1"/>
    </xf>
    <xf numFmtId="2" fontId="29" fillId="0" borderId="106" xfId="0" applyNumberFormat="1" applyFont="1" applyBorder="1" applyAlignment="1">
      <alignment horizontal="center" vertical="center"/>
    </xf>
    <xf numFmtId="2" fontId="12" fillId="0" borderId="107" xfId="0" applyNumberFormat="1" applyFont="1" applyBorder="1" applyAlignment="1">
      <alignment horizontal="right" vertical="center" wrapText="1"/>
    </xf>
    <xf numFmtId="0" fontId="14" fillId="0" borderId="75" xfId="0" applyFont="1" applyBorder="1" applyAlignment="1">
      <alignment horizontal="justify" vertical="center" wrapText="1"/>
    </xf>
    <xf numFmtId="0" fontId="12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2" fontId="29" fillId="0" borderId="2" xfId="0" applyNumberFormat="1" applyFont="1" applyBorder="1" applyAlignment="1">
      <alignment horizontal="center" vertical="center"/>
    </xf>
    <xf numFmtId="2" fontId="29" fillId="0" borderId="2" xfId="0" applyNumberFormat="1" applyFont="1" applyBorder="1" applyAlignment="1">
      <alignment horizontal="center" vertical="center" wrapText="1" shrinkToFit="1"/>
    </xf>
    <xf numFmtId="2" fontId="12" fillId="0" borderId="76" xfId="0" applyNumberFormat="1" applyFont="1" applyBorder="1" applyAlignment="1">
      <alignment horizontal="right" vertical="center" wrapText="1"/>
    </xf>
    <xf numFmtId="0" fontId="29" fillId="0" borderId="111" xfId="0" applyFont="1" applyBorder="1" applyAlignment="1">
      <alignment horizontal="justify" vertical="center" wrapText="1"/>
    </xf>
    <xf numFmtId="0" fontId="29" fillId="0" borderId="112" xfId="0" applyFont="1" applyBorder="1" applyAlignment="1">
      <alignment horizontal="justify" vertical="center" wrapText="1"/>
    </xf>
    <xf numFmtId="0" fontId="29" fillId="0" borderId="25" xfId="0" applyFont="1" applyBorder="1" applyAlignment="1">
      <alignment horizontal="justify" vertical="center" wrapText="1"/>
    </xf>
    <xf numFmtId="2" fontId="29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 wrapText="1"/>
    </xf>
    <xf numFmtId="2" fontId="12" fillId="0" borderId="32" xfId="0" applyNumberFormat="1" applyFont="1" applyBorder="1" applyAlignment="1">
      <alignment horizontal="right" vertical="center" wrapText="1"/>
    </xf>
    <xf numFmtId="0" fontId="29" fillId="0" borderId="1" xfId="0" applyFont="1" applyBorder="1" applyAlignment="1">
      <alignment horizontal="justify" vertical="center" wrapText="1"/>
    </xf>
    <xf numFmtId="2" fontId="11" fillId="0" borderId="2" xfId="0" applyNumberFormat="1" applyFont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right" vertical="center" wrapText="1"/>
    </xf>
    <xf numFmtId="0" fontId="29" fillId="0" borderId="2" xfId="0" applyFont="1" applyBorder="1" applyAlignment="1">
      <alignment horizontal="justify" vertical="center" wrapText="1"/>
    </xf>
    <xf numFmtId="0" fontId="29" fillId="0" borderId="2" xfId="0" applyFont="1" applyBorder="1" applyAlignment="1">
      <alignment horizontal="left" vertical="center" wrapText="1" shrinkToFit="1"/>
    </xf>
    <xf numFmtId="2" fontId="12" fillId="0" borderId="2" xfId="0" applyNumberFormat="1" applyFont="1" applyBorder="1" applyAlignment="1">
      <alignment horizontal="right" vertical="center"/>
    </xf>
    <xf numFmtId="0" fontId="14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/>
    </xf>
    <xf numFmtId="0" fontId="29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left" vertical="center"/>
    </xf>
    <xf numFmtId="0" fontId="14" fillId="0" borderId="102" xfId="0" applyFont="1" applyBorder="1" applyAlignment="1">
      <alignment horizontal="justify" vertical="center" wrapText="1"/>
    </xf>
    <xf numFmtId="0" fontId="29" fillId="0" borderId="102" xfId="0" applyFont="1" applyBorder="1" applyAlignment="1">
      <alignment horizontal="justify" vertical="center" wrapText="1"/>
    </xf>
    <xf numFmtId="0" fontId="29" fillId="0" borderId="154" xfId="0" applyFont="1" applyBorder="1" applyAlignment="1">
      <alignment horizontal="justify" vertical="center" wrapText="1"/>
    </xf>
    <xf numFmtId="0" fontId="29" fillId="0" borderId="80" xfId="0" applyFont="1" applyBorder="1" applyAlignment="1">
      <alignment horizontal="justify" vertical="center" wrapText="1"/>
    </xf>
    <xf numFmtId="0" fontId="29" fillId="0" borderId="86" xfId="0" applyFont="1" applyBorder="1" applyAlignment="1">
      <alignment horizontal="justify" vertical="center" wrapText="1"/>
    </xf>
    <xf numFmtId="0" fontId="29" fillId="0" borderId="103" xfId="0" applyFont="1" applyBorder="1" applyAlignment="1">
      <alignment horizontal="center" vertical="center" wrapText="1"/>
    </xf>
    <xf numFmtId="0" fontId="0" fillId="0" borderId="46" xfId="0" applyBorder="1" applyAlignment="1">
      <alignment horizontal="center"/>
    </xf>
    <xf numFmtId="0" fontId="49" fillId="0" borderId="46" xfId="0" applyFont="1" applyBorder="1" applyAlignment="1">
      <alignment horizontal="right"/>
    </xf>
    <xf numFmtId="0" fontId="0" fillId="0" borderId="47" xfId="0" applyBorder="1" applyAlignment="1">
      <alignment horizontal="center"/>
    </xf>
    <xf numFmtId="0" fontId="29" fillId="0" borderId="103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1" fillId="0" borderId="122" xfId="0" applyFont="1" applyBorder="1" applyAlignment="1">
      <alignment horizontal="center" vertical="center"/>
    </xf>
    <xf numFmtId="2" fontId="29" fillId="0" borderId="123" xfId="0" applyNumberFormat="1" applyFont="1" applyBorder="1" applyAlignment="1">
      <alignment horizontal="center" vertical="center" wrapText="1" shrinkToFit="1"/>
    </xf>
    <xf numFmtId="0" fontId="29" fillId="0" borderId="155" xfId="0" applyFont="1" applyBorder="1" applyAlignment="1">
      <alignment horizontal="left" vertical="center" wrapText="1"/>
    </xf>
    <xf numFmtId="2" fontId="12" fillId="0" borderId="93" xfId="0" applyNumberFormat="1" applyFont="1" applyBorder="1" applyAlignment="1">
      <alignment horizontal="right" vertical="center" wrapText="1"/>
    </xf>
    <xf numFmtId="0" fontId="29" fillId="0" borderId="137" xfId="0" applyFont="1" applyBorder="1" applyAlignment="1">
      <alignment horizontal="justify" vertical="center" wrapText="1"/>
    </xf>
    <xf numFmtId="0" fontId="29" fillId="0" borderId="101" xfId="0" applyFont="1" applyBorder="1" applyAlignment="1">
      <alignment horizontal="left" vertical="center" wrapText="1"/>
    </xf>
    <xf numFmtId="0" fontId="29" fillId="0" borderId="101" xfId="0" applyFont="1" applyBorder="1" applyAlignment="1">
      <alignment horizontal="justify" vertical="center" wrapText="1"/>
    </xf>
    <xf numFmtId="0" fontId="29" fillId="0" borderId="155" xfId="0" applyFont="1" applyBorder="1" applyAlignment="1">
      <alignment horizontal="justify" vertical="center" wrapText="1"/>
    </xf>
    <xf numFmtId="0" fontId="30" fillId="0" borderId="49" xfId="0" applyFont="1" applyBorder="1" applyAlignment="1">
      <alignment horizontal="center" vertical="center" wrapText="1"/>
    </xf>
    <xf numFmtId="0" fontId="30" fillId="0" borderId="50" xfId="0" applyFont="1" applyBorder="1" applyAlignment="1">
      <alignment horizontal="center" vertical="center" wrapText="1"/>
    </xf>
    <xf numFmtId="0" fontId="29" fillId="0" borderId="121" xfId="0" applyFont="1" applyBorder="1" applyAlignment="1">
      <alignment horizontal="justify" vertical="center" wrapText="1"/>
    </xf>
    <xf numFmtId="2" fontId="29" fillId="0" borderId="101" xfId="0" applyNumberFormat="1" applyFont="1" applyBorder="1" applyAlignment="1">
      <alignment horizontal="left" vertical="center" wrapText="1"/>
    </xf>
    <xf numFmtId="0" fontId="29" fillId="0" borderId="149" xfId="0" applyFont="1" applyBorder="1" applyAlignment="1">
      <alignment horizontal="justify" vertical="center" wrapText="1"/>
    </xf>
    <xf numFmtId="0" fontId="29" fillId="0" borderId="122" xfId="0" applyFont="1" applyBorder="1" applyAlignment="1">
      <alignment horizontal="justify" vertical="center" wrapText="1"/>
    </xf>
    <xf numFmtId="0" fontId="29" fillId="0" borderId="146" xfId="0" applyFont="1" applyBorder="1" applyAlignment="1">
      <alignment horizontal="justify" vertical="center" wrapText="1"/>
    </xf>
    <xf numFmtId="2" fontId="29" fillId="0" borderId="147" xfId="0" applyNumberFormat="1" applyFont="1" applyBorder="1" applyAlignment="1">
      <alignment horizontal="center" vertical="center"/>
    </xf>
    <xf numFmtId="0" fontId="11" fillId="0" borderId="116" xfId="0" applyFont="1" applyBorder="1" applyAlignment="1">
      <alignment horizontal="center" vertical="center"/>
    </xf>
    <xf numFmtId="2" fontId="29" fillId="0" borderId="116" xfId="0" applyNumberFormat="1" applyFont="1" applyBorder="1" applyAlignment="1">
      <alignment horizontal="center" vertical="center"/>
    </xf>
    <xf numFmtId="2" fontId="29" fillId="0" borderId="116" xfId="0" applyNumberFormat="1" applyFont="1" applyBorder="1" applyAlignment="1">
      <alignment horizontal="center" vertical="center" wrapText="1" shrinkToFit="1"/>
    </xf>
    <xf numFmtId="0" fontId="14" fillId="0" borderId="151" xfId="0" applyFont="1" applyBorder="1" applyAlignment="1">
      <alignment horizontal="justify" vertical="center" wrapText="1"/>
    </xf>
    <xf numFmtId="0" fontId="14" fillId="0" borderId="80" xfId="0" applyFont="1" applyBorder="1" applyAlignment="1">
      <alignment horizontal="left" vertical="center"/>
    </xf>
    <xf numFmtId="0" fontId="14" fillId="0" borderId="80" xfId="0" applyFont="1" applyBorder="1" applyAlignment="1">
      <alignment horizontal="justify" vertical="center" wrapText="1"/>
    </xf>
    <xf numFmtId="0" fontId="0" fillId="0" borderId="80" xfId="0" applyBorder="1"/>
    <xf numFmtId="0" fontId="49" fillId="0" borderId="81" xfId="0" applyFont="1" applyBorder="1" applyAlignment="1">
      <alignment horizontal="right"/>
    </xf>
    <xf numFmtId="0" fontId="14" fillId="0" borderId="82" xfId="0" applyFont="1" applyBorder="1" applyAlignment="1">
      <alignment horizontal="left" vertical="center"/>
    </xf>
    <xf numFmtId="0" fontId="14" fillId="0" borderId="121" xfId="0" applyFont="1" applyBorder="1" applyAlignment="1">
      <alignment horizontal="left" vertical="center"/>
    </xf>
    <xf numFmtId="0" fontId="29" fillId="0" borderId="121" xfId="0" applyFont="1" applyBorder="1" applyAlignment="1">
      <alignment horizontal="left" vertical="center"/>
    </xf>
    <xf numFmtId="0" fontId="29" fillId="0" borderId="122" xfId="0" applyFont="1" applyBorder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0" fillId="0" borderId="121" xfId="0" applyBorder="1" applyAlignment="1">
      <alignment horizontal="justify" vertical="center" wrapText="1"/>
    </xf>
    <xf numFmtId="0" fontId="11" fillId="0" borderId="71" xfId="0" applyFont="1" applyBorder="1" applyAlignment="1">
      <alignment horizontal="center" vertical="center"/>
    </xf>
    <xf numFmtId="2" fontId="29" fillId="0" borderId="71" xfId="0" applyNumberFormat="1" applyFont="1" applyBorder="1" applyAlignment="1">
      <alignment horizontal="center" vertical="center" wrapText="1" shrinkToFit="1"/>
    </xf>
    <xf numFmtId="0" fontId="14" fillId="0" borderId="93" xfId="0" applyFont="1" applyBorder="1" applyAlignment="1">
      <alignment horizontal="right" vertical="center"/>
    </xf>
    <xf numFmtId="0" fontId="37" fillId="0" borderId="101" xfId="0" applyFont="1" applyBorder="1" applyAlignment="1">
      <alignment horizontal="justify" vertical="center" wrapText="1"/>
    </xf>
    <xf numFmtId="0" fontId="14" fillId="0" borderId="81" xfId="0" applyFont="1" applyBorder="1" applyAlignment="1">
      <alignment horizontal="right" vertical="center"/>
    </xf>
    <xf numFmtId="0" fontId="35" fillId="0" borderId="101" xfId="0" applyFont="1" applyBorder="1" applyAlignment="1">
      <alignment horizontal="justify" vertical="center" wrapText="1"/>
    </xf>
    <xf numFmtId="0" fontId="0" fillId="0" borderId="101" xfId="0" applyBorder="1" applyAlignment="1">
      <alignment horizontal="justify" vertical="center" wrapText="1"/>
    </xf>
    <xf numFmtId="4" fontId="49" fillId="0" borderId="81" xfId="0" applyNumberFormat="1" applyFont="1" applyBorder="1" applyAlignment="1">
      <alignment horizontal="right" vertical="center"/>
    </xf>
    <xf numFmtId="0" fontId="29" fillId="0" borderId="101" xfId="0" applyFont="1" applyBorder="1" applyAlignment="1">
      <alignment horizontal="justify" vertical="center"/>
    </xf>
    <xf numFmtId="4" fontId="49" fillId="0" borderId="93" xfId="0" applyNumberFormat="1" applyFont="1" applyBorder="1" applyAlignment="1">
      <alignment horizontal="right" vertical="center"/>
    </xf>
    <xf numFmtId="4" fontId="49" fillId="0" borderId="126" xfId="0" applyNumberFormat="1" applyFont="1" applyBorder="1" applyAlignment="1">
      <alignment horizontal="right" vertical="center"/>
    </xf>
    <xf numFmtId="0" fontId="30" fillId="0" borderId="77" xfId="0" applyFont="1" applyBorder="1" applyAlignment="1">
      <alignment horizontal="center" vertical="center" wrapText="1"/>
    </xf>
    <xf numFmtId="0" fontId="14" fillId="0" borderId="121" xfId="0" applyFont="1" applyBorder="1" applyAlignment="1">
      <alignment horizontal="justify" vertical="center" wrapText="1"/>
    </xf>
    <xf numFmtId="0" fontId="11" fillId="0" borderId="75" xfId="0" applyFont="1" applyBorder="1" applyAlignment="1">
      <alignment horizontal="center" vertical="center"/>
    </xf>
    <xf numFmtId="0" fontId="14" fillId="0" borderId="101" xfId="0" applyFont="1" applyBorder="1" applyAlignment="1">
      <alignment horizontal="left" vertical="center"/>
    </xf>
    <xf numFmtId="0" fontId="51" fillId="0" borderId="121" xfId="0" applyFont="1" applyBorder="1" applyAlignment="1">
      <alignment horizontal="justify" vertical="center" wrapText="1"/>
    </xf>
    <xf numFmtId="0" fontId="47" fillId="0" borderId="71" xfId="0" applyFont="1" applyBorder="1" applyAlignment="1">
      <alignment horizontal="center"/>
    </xf>
    <xf numFmtId="2" fontId="50" fillId="0" borderId="71" xfId="0" applyNumberFormat="1" applyFont="1" applyBorder="1" applyAlignment="1">
      <alignment horizontal="center" vertical="center"/>
    </xf>
    <xf numFmtId="2" fontId="50" fillId="0" borderId="71" xfId="0" applyNumberFormat="1" applyFont="1" applyBorder="1" applyAlignment="1">
      <alignment vertical="center"/>
    </xf>
    <xf numFmtId="2" fontId="50" fillId="0" borderId="93" xfId="0" applyNumberFormat="1" applyFont="1" applyBorder="1" applyAlignment="1">
      <alignment horizontal="center" vertical="center"/>
    </xf>
    <xf numFmtId="0" fontId="11" fillId="0" borderId="101" xfId="0" applyFont="1" applyBorder="1" applyAlignment="1">
      <alignment horizontal="left" vertical="center"/>
    </xf>
    <xf numFmtId="0" fontId="47" fillId="0" borderId="75" xfId="0" applyFont="1" applyBorder="1" applyAlignment="1">
      <alignment horizontal="center"/>
    </xf>
    <xf numFmtId="2" fontId="50" fillId="0" borderId="75" xfId="0" applyNumberFormat="1" applyFont="1" applyBorder="1" applyAlignment="1">
      <alignment horizontal="center" vertical="center"/>
    </xf>
    <xf numFmtId="2" fontId="50" fillId="0" borderId="75" xfId="0" applyNumberFormat="1" applyFont="1" applyBorder="1" applyAlignment="1">
      <alignment vertical="center"/>
    </xf>
    <xf numFmtId="0" fontId="11" fillId="0" borderId="122" xfId="0" applyFont="1" applyBorder="1" applyAlignment="1">
      <alignment horizontal="left" vertical="center"/>
    </xf>
    <xf numFmtId="0" fontId="47" fillId="0" borderId="123" xfId="0" applyFont="1" applyBorder="1" applyAlignment="1">
      <alignment horizontal="center"/>
    </xf>
    <xf numFmtId="2" fontId="50" fillId="0" borderId="123" xfId="0" applyNumberFormat="1" applyFont="1" applyBorder="1" applyAlignment="1">
      <alignment horizontal="center" vertical="center"/>
    </xf>
    <xf numFmtId="2" fontId="50" fillId="0" borderId="123" xfId="0" applyNumberFormat="1" applyFont="1" applyBorder="1" applyAlignment="1">
      <alignment vertical="center"/>
    </xf>
    <xf numFmtId="0" fontId="14" fillId="0" borderId="101" xfId="0" applyFont="1" applyBorder="1" applyAlignment="1">
      <alignment horizontal="justify" vertical="center" wrapText="1"/>
    </xf>
    <xf numFmtId="0" fontId="36" fillId="0" borderId="149" xfId="0" applyFont="1" applyBorder="1" applyAlignment="1">
      <alignment horizontal="justify" vertical="center" wrapText="1"/>
    </xf>
    <xf numFmtId="0" fontId="14" fillId="0" borderId="137" xfId="0" applyFont="1" applyBorder="1" applyAlignment="1">
      <alignment horizontal="justify" vertical="center" wrapText="1"/>
    </xf>
    <xf numFmtId="4" fontId="12" fillId="0" borderId="18" xfId="0" applyNumberFormat="1" applyFont="1" applyBorder="1" applyAlignment="1">
      <alignment horizontal="right" vertical="center"/>
    </xf>
    <xf numFmtId="0" fontId="29" fillId="0" borderId="124" xfId="0" applyFont="1" applyBorder="1" applyAlignment="1">
      <alignment horizontal="justify" vertical="center" wrapText="1"/>
    </xf>
    <xf numFmtId="0" fontId="29" fillId="0" borderId="125" xfId="0" applyFont="1" applyBorder="1" applyAlignment="1">
      <alignment horizontal="justify" vertical="center" wrapText="1"/>
    </xf>
    <xf numFmtId="0" fontId="29" fillId="0" borderId="44" xfId="0" applyFont="1" applyBorder="1" applyAlignment="1">
      <alignment horizontal="justify" vertical="center" wrapText="1"/>
    </xf>
    <xf numFmtId="0" fontId="51" fillId="0" borderId="121" xfId="0" applyFont="1" applyBorder="1" applyAlignment="1">
      <alignment horizontal="left" wrapText="1"/>
    </xf>
    <xf numFmtId="2" fontId="50" fillId="0" borderId="71" xfId="0" applyNumberFormat="1" applyFont="1" applyBorder="1" applyAlignment="1">
      <alignment horizontal="center"/>
    </xf>
    <xf numFmtId="2" fontId="50" fillId="0" borderId="9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1" fillId="0" borderId="101" xfId="0" applyFont="1" applyBorder="1" applyAlignment="1">
      <alignment horizontal="left"/>
    </xf>
    <xf numFmtId="2" fontId="50" fillId="0" borderId="75" xfId="0" applyNumberFormat="1" applyFont="1" applyBorder="1" applyAlignment="1">
      <alignment horizontal="center"/>
    </xf>
    <xf numFmtId="2" fontId="12" fillId="0" borderId="81" xfId="0" applyNumberFormat="1" applyFont="1" applyBorder="1" applyAlignment="1">
      <alignment horizontal="right" wrapText="1"/>
    </xf>
    <xf numFmtId="0" fontId="11" fillId="0" borderId="122" xfId="0" applyFont="1" applyBorder="1" applyAlignment="1">
      <alignment horizontal="left"/>
    </xf>
    <xf numFmtId="2" fontId="50" fillId="0" borderId="123" xfId="0" applyNumberFormat="1" applyFont="1" applyBorder="1" applyAlignment="1">
      <alignment horizontal="center"/>
    </xf>
    <xf numFmtId="0" fontId="35" fillId="0" borderId="103" xfId="0" applyFont="1" applyBorder="1" applyAlignment="1">
      <alignment horizontal="justify" vertical="center" wrapText="1"/>
    </xf>
    <xf numFmtId="2" fontId="12" fillId="0" borderId="0" xfId="0" applyNumberFormat="1" applyFont="1" applyAlignment="1">
      <alignment horizontal="right" vertical="center" wrapText="1"/>
    </xf>
    <xf numFmtId="0" fontId="11" fillId="0" borderId="149" xfId="0" applyFont="1" applyBorder="1" applyAlignment="1">
      <alignment horizontal="center" vertical="center"/>
    </xf>
    <xf numFmtId="2" fontId="29" fillId="0" borderId="96" xfId="0" applyNumberFormat="1" applyFont="1" applyBorder="1" applyAlignment="1">
      <alignment horizontal="center" vertical="center" wrapText="1" shrinkToFit="1"/>
    </xf>
    <xf numFmtId="2" fontId="29" fillId="0" borderId="26" xfId="0" applyNumberFormat="1" applyFont="1" applyBorder="1" applyAlignment="1">
      <alignment horizontal="center" vertical="center"/>
    </xf>
    <xf numFmtId="2" fontId="11" fillId="0" borderId="26" xfId="0" applyNumberFormat="1" applyFont="1" applyBorder="1" applyAlignment="1">
      <alignment horizontal="center" vertical="center" wrapText="1"/>
    </xf>
    <xf numFmtId="2" fontId="12" fillId="0" borderId="27" xfId="0" applyNumberFormat="1" applyFont="1" applyBorder="1" applyAlignment="1">
      <alignment horizontal="right" vertical="center" wrapText="1"/>
    </xf>
    <xf numFmtId="0" fontId="29" fillId="0" borderId="165" xfId="0" applyFont="1" applyBorder="1" applyAlignment="1">
      <alignment horizontal="justify" vertical="center" wrapText="1"/>
    </xf>
    <xf numFmtId="4" fontId="66" fillId="0" borderId="81" xfId="0" applyNumberFormat="1" applyFont="1" applyBorder="1" applyAlignment="1">
      <alignment horizontal="right" vertical="center"/>
    </xf>
    <xf numFmtId="0" fontId="0" fillId="0" borderId="75" xfId="0" applyBorder="1" applyAlignment="1">
      <alignment horizontal="center" vertical="center"/>
    </xf>
    <xf numFmtId="0" fontId="0" fillId="0" borderId="96" xfId="0" applyBorder="1" applyAlignment="1">
      <alignment horizontal="center" vertical="center"/>
    </xf>
    <xf numFmtId="4" fontId="66" fillId="0" borderId="107" xfId="0" applyNumberFormat="1" applyFont="1" applyBorder="1" applyAlignment="1">
      <alignment horizontal="right" vertical="center"/>
    </xf>
    <xf numFmtId="4" fontId="66" fillId="0" borderId="93" xfId="0" applyNumberFormat="1" applyFont="1" applyBorder="1" applyAlignment="1">
      <alignment horizontal="right" vertical="center"/>
    </xf>
    <xf numFmtId="0" fontId="53" fillId="0" borderId="44" xfId="0" applyFont="1" applyBorder="1" applyAlignment="1">
      <alignment horizontal="justify" vertical="center" wrapText="1"/>
    </xf>
    <xf numFmtId="2" fontId="31" fillId="0" borderId="0" xfId="0" applyNumberFormat="1" applyFont="1" applyAlignment="1">
      <alignment horizontal="center" vertical="center"/>
    </xf>
    <xf numFmtId="0" fontId="51" fillId="0" borderId="44" xfId="0" applyFont="1" applyBorder="1" applyAlignment="1">
      <alignment horizontal="justify" vertical="center" wrapText="1"/>
    </xf>
    <xf numFmtId="0" fontId="31" fillId="0" borderId="44" xfId="0" applyFont="1" applyBorder="1" applyAlignment="1">
      <alignment horizontal="justify" vertical="center" wrapText="1"/>
    </xf>
    <xf numFmtId="0" fontId="31" fillId="0" borderId="25" xfId="0" applyFont="1" applyBorder="1" applyAlignment="1">
      <alignment horizontal="justify" vertical="center" wrapText="1"/>
    </xf>
    <xf numFmtId="2" fontId="31" fillId="0" borderId="26" xfId="0" applyNumberFormat="1" applyFont="1" applyBorder="1" applyAlignment="1">
      <alignment horizontal="center" vertical="center"/>
    </xf>
    <xf numFmtId="0" fontId="14" fillId="0" borderId="121" xfId="0" applyFont="1" applyBorder="1" applyAlignment="1">
      <alignment horizontal="center" vertical="center"/>
    </xf>
    <xf numFmtId="2" fontId="11" fillId="0" borderId="93" xfId="0" applyNumberFormat="1" applyFont="1" applyBorder="1" applyAlignment="1">
      <alignment horizontal="right" vertical="center" wrapText="1"/>
    </xf>
    <xf numFmtId="0" fontId="29" fillId="0" borderId="137" xfId="0" applyFont="1" applyBorder="1" applyAlignment="1">
      <alignment horizontal="left" vertical="center" wrapText="1"/>
    </xf>
    <xf numFmtId="0" fontId="52" fillId="0" borderId="13" xfId="0" applyFont="1" applyBorder="1" applyAlignment="1">
      <alignment horizontal="justify" vertic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4" fontId="66" fillId="0" borderId="24" xfId="0" applyNumberFormat="1" applyFont="1" applyBorder="1" applyAlignment="1">
      <alignment horizontal="right" vertical="center"/>
    </xf>
    <xf numFmtId="0" fontId="52" fillId="0" borderId="44" xfId="0" applyFont="1" applyBorder="1" applyAlignment="1">
      <alignment horizontal="justify" vertical="center" wrapText="1"/>
    </xf>
    <xf numFmtId="0" fontId="31" fillId="0" borderId="103" xfId="0" applyFont="1" applyBorder="1" applyAlignment="1">
      <alignment horizontal="justify" vertical="center" wrapText="1"/>
    </xf>
    <xf numFmtId="2" fontId="31" fillId="0" borderId="0" xfId="0" applyNumberFormat="1" applyFont="1" applyAlignment="1">
      <alignment horizontal="center" wrapText="1"/>
    </xf>
    <xf numFmtId="0" fontId="12" fillId="0" borderId="131" xfId="0" applyFont="1" applyBorder="1" applyAlignment="1">
      <alignment vertical="center"/>
    </xf>
    <xf numFmtId="0" fontId="12" fillId="0" borderId="132" xfId="0" applyFont="1" applyBorder="1" applyAlignment="1">
      <alignment horizontal="center" vertical="center"/>
    </xf>
    <xf numFmtId="0" fontId="11" fillId="0" borderId="131" xfId="0" applyFont="1" applyBorder="1" applyAlignment="1">
      <alignment horizontal="center" vertical="center"/>
    </xf>
    <xf numFmtId="2" fontId="29" fillId="0" borderId="132" xfId="0" applyNumberFormat="1" applyFont="1" applyBorder="1" applyAlignment="1">
      <alignment horizontal="center" vertical="center"/>
    </xf>
    <xf numFmtId="2" fontId="29" fillId="0" borderId="132" xfId="0" applyNumberFormat="1" applyFont="1" applyBorder="1" applyAlignment="1">
      <alignment horizontal="center" vertical="center" wrapText="1" shrinkToFit="1"/>
    </xf>
    <xf numFmtId="2" fontId="31" fillId="0" borderId="0" xfId="0" applyNumberFormat="1" applyFont="1" applyAlignment="1">
      <alignment horizontal="center" vertical="center" wrapText="1"/>
    </xf>
    <xf numFmtId="2" fontId="31" fillId="0" borderId="26" xfId="0" applyNumberFormat="1" applyFont="1" applyBorder="1" applyAlignment="1">
      <alignment horizontal="center" vertical="center" wrapText="1"/>
    </xf>
    <xf numFmtId="0" fontId="29" fillId="0" borderId="132" xfId="0" applyFont="1" applyBorder="1" applyAlignment="1">
      <alignment horizontal="justify" vertical="center" wrapText="1"/>
    </xf>
    <xf numFmtId="2" fontId="11" fillId="0" borderId="132" xfId="0" applyNumberFormat="1" applyFont="1" applyBorder="1" applyAlignment="1">
      <alignment horizontal="center" vertical="center" wrapText="1"/>
    </xf>
    <xf numFmtId="4" fontId="66" fillId="0" borderId="133" xfId="0" applyNumberFormat="1" applyFont="1" applyBorder="1" applyAlignment="1">
      <alignment horizontal="right" vertical="center"/>
    </xf>
    <xf numFmtId="0" fontId="53" fillId="0" borderId="101" xfId="0" applyFont="1" applyBorder="1" applyAlignment="1">
      <alignment horizontal="justify" vertical="center" wrapText="1"/>
    </xf>
    <xf numFmtId="2" fontId="31" fillId="0" borderId="75" xfId="0" applyNumberFormat="1" applyFont="1" applyBorder="1" applyAlignment="1">
      <alignment horizontal="center" vertical="center"/>
    </xf>
    <xf numFmtId="0" fontId="51" fillId="0" borderId="101" xfId="0" applyFont="1" applyBorder="1" applyAlignment="1">
      <alignment horizontal="justify" vertical="center" wrapText="1"/>
    </xf>
    <xf numFmtId="0" fontId="31" fillId="0" borderId="101" xfId="0" applyFont="1" applyBorder="1" applyAlignment="1">
      <alignment horizontal="justify" vertical="center" wrapText="1"/>
    </xf>
    <xf numFmtId="2" fontId="31" fillId="0" borderId="75" xfId="0" applyNumberFormat="1" applyFont="1" applyBorder="1" applyAlignment="1">
      <alignment wrapText="1"/>
    </xf>
    <xf numFmtId="0" fontId="31" fillId="0" borderId="122" xfId="0" applyFont="1" applyBorder="1" applyAlignment="1">
      <alignment horizontal="justify" vertical="center" wrapText="1"/>
    </xf>
    <xf numFmtId="2" fontId="31" fillId="0" borderId="123" xfId="0" applyNumberFormat="1" applyFont="1" applyBorder="1" applyAlignment="1">
      <alignment wrapText="1"/>
    </xf>
    <xf numFmtId="2" fontId="31" fillId="0" borderId="123" xfId="0" applyNumberFormat="1" applyFont="1" applyBorder="1" applyAlignment="1">
      <alignment horizontal="center" vertical="center"/>
    </xf>
    <xf numFmtId="4" fontId="66" fillId="0" borderId="126" xfId="0" applyNumberFormat="1" applyFont="1" applyBorder="1" applyAlignment="1">
      <alignment horizontal="right" vertical="center"/>
    </xf>
    <xf numFmtId="0" fontId="29" fillId="0" borderId="127" xfId="0" applyFont="1" applyBorder="1" applyAlignment="1">
      <alignment horizontal="left" vertical="center"/>
    </xf>
    <xf numFmtId="0" fontId="11" fillId="0" borderId="84" xfId="0" applyFont="1" applyBorder="1" applyAlignment="1">
      <alignment horizontal="center" vertical="center"/>
    </xf>
    <xf numFmtId="2" fontId="29" fillId="0" borderId="98" xfId="0" applyNumberFormat="1" applyFont="1" applyBorder="1" applyAlignment="1">
      <alignment horizontal="center" vertical="center" wrapText="1" shrinkToFit="1"/>
    </xf>
    <xf numFmtId="0" fontId="14" fillId="0" borderId="76" xfId="0" applyFont="1" applyBorder="1" applyAlignment="1">
      <alignment horizontal="right" vertical="center"/>
    </xf>
    <xf numFmtId="0" fontId="12" fillId="0" borderId="121" xfId="0" applyFont="1" applyBorder="1" applyAlignment="1">
      <alignment horizontal="left" vertical="center"/>
    </xf>
    <xf numFmtId="0" fontId="14" fillId="0" borderId="93" xfId="0" applyFont="1" applyBorder="1" applyAlignment="1">
      <alignment horizontal="center" vertical="center"/>
    </xf>
    <xf numFmtId="2" fontId="11" fillId="0" borderId="81" xfId="0" applyNumberFormat="1" applyFont="1" applyBorder="1" applyAlignment="1">
      <alignment horizontal="right" vertical="center" wrapText="1"/>
    </xf>
    <xf numFmtId="2" fontId="29" fillId="0" borderId="2" xfId="0" applyNumberFormat="1" applyFont="1" applyBorder="1" applyAlignment="1">
      <alignment horizontal="center" vertical="center" wrapText="1"/>
    </xf>
    <xf numFmtId="0" fontId="12" fillId="0" borderId="151" xfId="0" applyFont="1" applyBorder="1" applyAlignment="1">
      <alignment horizontal="left" vertical="center"/>
    </xf>
    <xf numFmtId="2" fontId="29" fillId="0" borderId="71" xfId="0" applyNumberFormat="1" applyFont="1" applyBorder="1" applyAlignment="1">
      <alignment horizontal="center" vertical="center" wrapText="1"/>
    </xf>
    <xf numFmtId="0" fontId="29" fillId="0" borderId="141" xfId="0" applyFont="1" applyBorder="1" applyAlignment="1">
      <alignment horizontal="left" vertical="center"/>
    </xf>
    <xf numFmtId="0" fontId="11" fillId="0" borderId="138" xfId="0" applyFont="1" applyBorder="1" applyAlignment="1">
      <alignment horizontal="center" vertical="center"/>
    </xf>
    <xf numFmtId="2" fontId="29" fillId="0" borderId="138" xfId="0" applyNumberFormat="1" applyFont="1" applyBorder="1" applyAlignment="1">
      <alignment horizontal="center" vertical="center"/>
    </xf>
    <xf numFmtId="2" fontId="29" fillId="0" borderId="138" xfId="0" applyNumberFormat="1" applyFont="1" applyBorder="1" applyAlignment="1">
      <alignment horizontal="center" vertical="center" wrapText="1" shrinkToFit="1"/>
    </xf>
    <xf numFmtId="0" fontId="14" fillId="0" borderId="139" xfId="0" applyFont="1" applyBorder="1" applyAlignment="1">
      <alignment horizontal="right" vertical="center"/>
    </xf>
    <xf numFmtId="2" fontId="11" fillId="0" borderId="104" xfId="0" applyNumberFormat="1" applyFont="1" applyBorder="1" applyAlignment="1">
      <alignment horizontal="center" vertical="center" wrapText="1"/>
    </xf>
    <xf numFmtId="2" fontId="12" fillId="0" borderId="142" xfId="0" applyNumberFormat="1" applyFont="1" applyBorder="1" applyAlignment="1">
      <alignment horizontal="right" vertical="center" wrapText="1"/>
    </xf>
    <xf numFmtId="2" fontId="11" fillId="0" borderId="134" xfId="0" applyNumberFormat="1" applyFont="1" applyBorder="1" applyAlignment="1">
      <alignment horizontal="center" vertical="center" wrapText="1"/>
    </xf>
    <xf numFmtId="2" fontId="12" fillId="0" borderId="136" xfId="0" applyNumberFormat="1" applyFont="1" applyBorder="1" applyAlignment="1">
      <alignment horizontal="right" vertical="center" wrapText="1"/>
    </xf>
    <xf numFmtId="0" fontId="29" fillId="0" borderId="143" xfId="0" applyFont="1" applyBorder="1" applyAlignment="1">
      <alignment horizontal="justify" vertical="center" wrapText="1"/>
    </xf>
    <xf numFmtId="2" fontId="29" fillId="0" borderId="144" xfId="0" applyNumberFormat="1" applyFont="1" applyBorder="1" applyAlignment="1">
      <alignment horizontal="center" vertical="center"/>
    </xf>
    <xf numFmtId="2" fontId="11" fillId="0" borderId="144" xfId="0" applyNumberFormat="1" applyFont="1" applyBorder="1" applyAlignment="1">
      <alignment horizontal="center" vertical="center" wrapText="1"/>
    </xf>
    <xf numFmtId="2" fontId="12" fillId="0" borderId="145" xfId="0" applyNumberFormat="1" applyFont="1" applyBorder="1" applyAlignment="1">
      <alignment horizontal="right" vertical="center" wrapText="1"/>
    </xf>
    <xf numFmtId="2" fontId="11" fillId="0" borderId="147" xfId="0" applyNumberFormat="1" applyFont="1" applyBorder="1" applyAlignment="1">
      <alignment horizontal="center" vertical="center" wrapText="1"/>
    </xf>
    <xf numFmtId="2" fontId="12" fillId="0" borderId="148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1" fillId="0" borderId="178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1" fillId="0" borderId="2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justify" vertical="center" wrapText="1"/>
    </xf>
    <xf numFmtId="2" fontId="0" fillId="0" borderId="2" xfId="0" applyNumberFormat="1" applyBorder="1" applyAlignment="1">
      <alignment horizontal="center" vertical="center" wrapText="1"/>
    </xf>
    <xf numFmtId="2" fontId="1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 wrapText="1" shrinkToFi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49" fillId="0" borderId="2" xfId="0" applyFont="1" applyBorder="1" applyAlignment="1">
      <alignment horizontal="right"/>
    </xf>
    <xf numFmtId="0" fontId="49" fillId="0" borderId="14" xfId="0" applyFont="1" applyBorder="1" applyAlignment="1">
      <alignment horizontal="right"/>
    </xf>
    <xf numFmtId="2" fontId="12" fillId="0" borderId="93" xfId="0" applyNumberFormat="1" applyFont="1" applyBorder="1" applyAlignment="1">
      <alignment horizontal="center" vertical="center" wrapText="1"/>
    </xf>
    <xf numFmtId="0" fontId="49" fillId="0" borderId="0" xfId="0" applyFont="1" applyAlignment="1">
      <alignment horizontal="right"/>
    </xf>
    <xf numFmtId="2" fontId="12" fillId="0" borderId="81" xfId="0" applyNumberFormat="1" applyFont="1" applyBorder="1" applyAlignment="1">
      <alignment horizontal="center" vertical="center" wrapText="1"/>
    </xf>
    <xf numFmtId="0" fontId="49" fillId="0" borderId="26" xfId="0" applyFont="1" applyBorder="1" applyAlignment="1">
      <alignment horizontal="right"/>
    </xf>
    <xf numFmtId="2" fontId="12" fillId="0" borderId="126" xfId="0" applyNumberFormat="1" applyFont="1" applyBorder="1" applyAlignment="1">
      <alignment horizontal="center" vertical="center" wrapText="1"/>
    </xf>
    <xf numFmtId="0" fontId="41" fillId="0" borderId="121" xfId="0" applyFont="1" applyBorder="1" applyAlignment="1">
      <alignment horizontal="justify" vertical="center" wrapText="1"/>
    </xf>
    <xf numFmtId="2" fontId="12" fillId="0" borderId="107" xfId="0" applyNumberFormat="1" applyFont="1" applyBorder="1" applyAlignment="1">
      <alignment horizontal="center" vertical="center" wrapText="1"/>
    </xf>
    <xf numFmtId="0" fontId="41" fillId="0" borderId="149" xfId="0" applyFont="1" applyBorder="1" applyAlignment="1">
      <alignment horizontal="justify" vertical="center" wrapText="1"/>
    </xf>
    <xf numFmtId="0" fontId="53" fillId="0" borderId="1" xfId="0" applyFont="1" applyBorder="1" applyAlignment="1">
      <alignment horizontal="justify" vertical="center" wrapText="1"/>
    </xf>
    <xf numFmtId="0" fontId="57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justify" vertical="center" wrapText="1"/>
    </xf>
    <xf numFmtId="2" fontId="29" fillId="0" borderId="14" xfId="0" applyNumberFormat="1" applyFont="1" applyBorder="1" applyAlignment="1">
      <alignment horizontal="center" vertical="center"/>
    </xf>
    <xf numFmtId="2" fontId="11" fillId="0" borderId="14" xfId="0" applyNumberFormat="1" applyFont="1" applyBorder="1" applyAlignment="1">
      <alignment horizontal="center" vertical="center" wrapText="1"/>
    </xf>
    <xf numFmtId="2" fontId="12" fillId="0" borderId="14" xfId="0" applyNumberFormat="1" applyFont="1" applyBorder="1" applyAlignment="1">
      <alignment horizontal="right" vertical="center" wrapText="1"/>
    </xf>
    <xf numFmtId="0" fontId="30" fillId="0" borderId="24" xfId="0" applyFont="1" applyBorder="1" applyAlignment="1">
      <alignment horizontal="center" vertical="center" wrapText="1"/>
    </xf>
    <xf numFmtId="0" fontId="0" fillId="0" borderId="44" xfId="0" applyBorder="1" applyAlignment="1">
      <alignment horizontal="justify" vertical="center" wrapText="1"/>
    </xf>
    <xf numFmtId="4" fontId="0" fillId="0" borderId="0" xfId="0" applyNumberFormat="1" applyAlignment="1">
      <alignment horizontal="center" vertical="center" wrapText="1"/>
    </xf>
    <xf numFmtId="2" fontId="57" fillId="0" borderId="0" xfId="0" applyNumberFormat="1" applyFont="1" applyAlignment="1">
      <alignment horizontal="center" vertical="center"/>
    </xf>
    <xf numFmtId="4" fontId="1" fillId="0" borderId="32" xfId="0" applyNumberFormat="1" applyFont="1" applyBorder="1" applyAlignment="1">
      <alignment horizontal="center" vertical="center"/>
    </xf>
    <xf numFmtId="0" fontId="32" fillId="0" borderId="44" xfId="0" applyFont="1" applyBorder="1" applyAlignment="1">
      <alignment horizontal="justify" vertical="center" wrapText="1"/>
    </xf>
    <xf numFmtId="4" fontId="31" fillId="0" borderId="0" xfId="0" applyNumberFormat="1" applyFont="1" applyAlignment="1">
      <alignment horizontal="center" vertical="center" wrapText="1"/>
    </xf>
    <xf numFmtId="0" fontId="0" fillId="0" borderId="25" xfId="0" applyBorder="1" applyAlignment="1">
      <alignment horizontal="justify" vertical="center" wrapText="1"/>
    </xf>
    <xf numFmtId="2" fontId="0" fillId="0" borderId="26" xfId="0" applyNumberFormat="1" applyBorder="1" applyAlignment="1">
      <alignment horizontal="center" vertical="center"/>
    </xf>
    <xf numFmtId="4" fontId="31" fillId="0" borderId="26" xfId="0" applyNumberFormat="1" applyFont="1" applyBorder="1" applyAlignment="1">
      <alignment horizontal="center" vertical="center" wrapText="1"/>
    </xf>
    <xf numFmtId="4" fontId="0" fillId="0" borderId="26" xfId="0" applyNumberFormat="1" applyBorder="1" applyAlignment="1">
      <alignment horizontal="center" vertical="center" wrapText="1"/>
    </xf>
    <xf numFmtId="2" fontId="57" fillId="0" borderId="26" xfId="0" applyNumberFormat="1" applyFont="1" applyBorder="1" applyAlignment="1">
      <alignment horizontal="center" vertical="center"/>
    </xf>
    <xf numFmtId="4" fontId="1" fillId="0" borderId="27" xfId="0" applyNumberFormat="1" applyFont="1" applyBorder="1" applyAlignment="1">
      <alignment horizontal="center" vertical="center"/>
    </xf>
    <xf numFmtId="0" fontId="36" fillId="0" borderId="101" xfId="0" applyFont="1" applyBorder="1" applyAlignment="1">
      <alignment horizontal="justify" vertical="center" wrapText="1"/>
    </xf>
    <xf numFmtId="2" fontId="36" fillId="0" borderId="75" xfId="0" applyNumberFormat="1" applyFont="1" applyBorder="1" applyAlignment="1">
      <alignment horizontal="center" vertical="center"/>
    </xf>
    <xf numFmtId="2" fontId="36" fillId="0" borderId="75" xfId="0" applyNumberFormat="1" applyFont="1" applyBorder="1" applyAlignment="1">
      <alignment horizontal="center" vertical="center" wrapText="1"/>
    </xf>
    <xf numFmtId="2" fontId="13" fillId="0" borderId="81" xfId="0" applyNumberFormat="1" applyFont="1" applyBorder="1" applyAlignment="1">
      <alignment horizontal="right" vertical="center" wrapText="1"/>
    </xf>
    <xf numFmtId="0" fontId="55" fillId="0" borderId="0" xfId="0" applyFont="1"/>
    <xf numFmtId="2" fontId="29" fillId="0" borderId="71" xfId="0" applyNumberFormat="1" applyFont="1" applyBorder="1" applyAlignment="1">
      <alignment horizontal="left" vertical="center"/>
    </xf>
    <xf numFmtId="2" fontId="12" fillId="0" borderId="71" xfId="0" applyNumberFormat="1" applyFont="1" applyBorder="1" applyAlignment="1">
      <alignment horizontal="right" vertical="center" wrapText="1"/>
    </xf>
    <xf numFmtId="2" fontId="29" fillId="0" borderId="75" xfId="0" applyNumberFormat="1" applyFont="1" applyBorder="1" applyAlignment="1">
      <alignment horizontal="left" vertical="center"/>
    </xf>
    <xf numFmtId="2" fontId="29" fillId="0" borderId="81" xfId="0" applyNumberFormat="1" applyFont="1" applyBorder="1" applyAlignment="1">
      <alignment horizontal="center" vertical="center"/>
    </xf>
    <xf numFmtId="2" fontId="29" fillId="0" borderId="123" xfId="0" applyNumberFormat="1" applyFont="1" applyBorder="1" applyAlignment="1">
      <alignment horizontal="left" vertical="center"/>
    </xf>
    <xf numFmtId="2" fontId="12" fillId="0" borderId="123" xfId="0" applyNumberFormat="1" applyFont="1" applyBorder="1" applyAlignment="1">
      <alignment horizontal="right" vertical="center" wrapText="1"/>
    </xf>
    <xf numFmtId="2" fontId="36" fillId="0" borderId="123" xfId="0" applyNumberFormat="1" applyFont="1" applyBorder="1" applyAlignment="1">
      <alignment horizontal="left" vertical="center"/>
    </xf>
    <xf numFmtId="2" fontId="36" fillId="0" borderId="123" xfId="0" applyNumberFormat="1" applyFont="1" applyBorder="1" applyAlignment="1">
      <alignment horizontal="center" vertical="center"/>
    </xf>
    <xf numFmtId="2" fontId="36" fillId="0" borderId="123" xfId="0" applyNumberFormat="1" applyFont="1" applyBorder="1" applyAlignment="1">
      <alignment horizontal="center" vertical="center" wrapText="1"/>
    </xf>
    <xf numFmtId="2" fontId="13" fillId="0" borderId="123" xfId="0" applyNumberFormat="1" applyFont="1" applyBorder="1" applyAlignment="1">
      <alignment horizontal="right" vertical="center" wrapText="1"/>
    </xf>
    <xf numFmtId="2" fontId="36" fillId="0" borderId="126" xfId="0" applyNumberFormat="1" applyFont="1" applyBorder="1" applyAlignment="1">
      <alignment horizontal="center" vertical="center"/>
    </xf>
    <xf numFmtId="2" fontId="29" fillId="0" borderId="79" xfId="0" applyNumberFormat="1" applyFont="1" applyBorder="1" applyAlignment="1">
      <alignment horizontal="center" vertical="center"/>
    </xf>
    <xf numFmtId="2" fontId="11" fillId="0" borderId="123" xfId="0" applyNumberFormat="1" applyFont="1" applyBorder="1" applyAlignment="1">
      <alignment horizontal="left" vertical="center" wrapText="1"/>
    </xf>
    <xf numFmtId="2" fontId="29" fillId="0" borderId="126" xfId="0" applyNumberFormat="1" applyFont="1" applyBorder="1" applyAlignment="1">
      <alignment horizontal="left" vertical="center"/>
    </xf>
    <xf numFmtId="0" fontId="53" fillId="0" borderId="71" xfId="0" applyFont="1" applyBorder="1" applyAlignment="1">
      <alignment horizontal="justify" vertical="center" wrapText="1"/>
    </xf>
    <xf numFmtId="0" fontId="57" fillId="0" borderId="93" xfId="0" applyFont="1" applyBorder="1"/>
    <xf numFmtId="0" fontId="31" fillId="0" borderId="75" xfId="0" applyFont="1" applyBorder="1" applyAlignment="1">
      <alignment horizontal="justify" vertical="center" wrapText="1"/>
    </xf>
    <xf numFmtId="0" fontId="31" fillId="0" borderId="123" xfId="0" applyFont="1" applyBorder="1" applyAlignment="1">
      <alignment horizontal="justify" vertical="center" wrapText="1"/>
    </xf>
    <xf numFmtId="0" fontId="11" fillId="0" borderId="71" xfId="0" applyFont="1" applyBorder="1" applyAlignment="1">
      <alignment horizontal="center" vertical="center" wrapText="1"/>
    </xf>
    <xf numFmtId="0" fontId="29" fillId="0" borderId="71" xfId="0" applyFont="1" applyBorder="1" applyAlignment="1">
      <alignment horizontal="center" vertical="center" wrapText="1"/>
    </xf>
    <xf numFmtId="2" fontId="29" fillId="0" borderId="93" xfId="0" applyNumberFormat="1" applyFont="1" applyBorder="1" applyAlignment="1">
      <alignment horizontal="left" vertical="center"/>
    </xf>
    <xf numFmtId="2" fontId="11" fillId="0" borderId="75" xfId="0" applyNumberFormat="1" applyFont="1" applyBorder="1" applyAlignment="1">
      <alignment horizontal="center" vertical="center"/>
    </xf>
    <xf numFmtId="0" fontId="12" fillId="0" borderId="75" xfId="0" applyFont="1" applyBorder="1" applyAlignment="1">
      <alignment horizontal="justify" vertical="center" wrapText="1"/>
    </xf>
    <xf numFmtId="0" fontId="11" fillId="0" borderId="75" xfId="0" applyFont="1" applyBorder="1" applyAlignment="1">
      <alignment horizontal="center" vertical="center" wrapText="1"/>
    </xf>
    <xf numFmtId="0" fontId="29" fillId="0" borderId="75" xfId="0" applyFont="1" applyBorder="1" applyAlignment="1">
      <alignment horizontal="center"/>
    </xf>
    <xf numFmtId="0" fontId="11" fillId="0" borderId="75" xfId="0" applyFont="1" applyBorder="1" applyAlignment="1">
      <alignment horizontal="justify" vertical="center" wrapText="1"/>
    </xf>
    <xf numFmtId="0" fontId="58" fillId="0" borderId="75" xfId="0" applyFont="1" applyBorder="1" applyAlignment="1">
      <alignment horizontal="justify" vertical="center" wrapText="1"/>
    </xf>
    <xf numFmtId="4" fontId="29" fillId="0" borderId="75" xfId="0" applyNumberFormat="1" applyFont="1" applyBorder="1" applyAlignment="1">
      <alignment vertical="center"/>
    </xf>
    <xf numFmtId="0" fontId="59" fillId="0" borderId="75" xfId="0" applyFont="1" applyBorder="1" applyAlignment="1">
      <alignment horizontal="justify" vertical="center" wrapText="1"/>
    </xf>
    <xf numFmtId="0" fontId="11" fillId="0" borderId="75" xfId="0" applyFont="1" applyBorder="1" applyAlignment="1">
      <alignment horizontal="left" vertical="center" wrapText="1"/>
    </xf>
    <xf numFmtId="0" fontId="11" fillId="0" borderId="123" xfId="0" applyFont="1" applyBorder="1" applyAlignment="1">
      <alignment horizontal="left" vertical="center" wrapText="1"/>
    </xf>
    <xf numFmtId="2" fontId="11" fillId="0" borderId="123" xfId="0" applyNumberFormat="1" applyFont="1" applyBorder="1" applyAlignment="1">
      <alignment horizontal="center" vertical="center"/>
    </xf>
    <xf numFmtId="0" fontId="0" fillId="0" borderId="178" xfId="0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32" fillId="0" borderId="103" xfId="0" applyFont="1" applyBorder="1" applyAlignment="1">
      <alignment horizontal="justify" vertical="center" wrapText="1"/>
    </xf>
    <xf numFmtId="0" fontId="61" fillId="0" borderId="103" xfId="0" applyFont="1" applyBorder="1" applyAlignment="1">
      <alignment horizontal="justify" vertical="center" wrapText="1"/>
    </xf>
    <xf numFmtId="0" fontId="12" fillId="0" borderId="0" xfId="0" applyFont="1" applyAlignment="1">
      <alignment horizontal="center" vertical="center" wrapText="1"/>
    </xf>
    <xf numFmtId="2" fontId="12" fillId="0" borderId="0" xfId="0" applyNumberFormat="1" applyFont="1" applyAlignment="1">
      <alignment horizontal="center" vertical="center" wrapText="1"/>
    </xf>
    <xf numFmtId="4" fontId="12" fillId="0" borderId="63" xfId="0" applyNumberFormat="1" applyFont="1" applyBorder="1" applyAlignment="1">
      <alignment horizontal="right" vertical="center"/>
    </xf>
    <xf numFmtId="0" fontId="14" fillId="0" borderId="98" xfId="0" applyFont="1" applyBorder="1" applyAlignment="1">
      <alignment horizontal="center" vertical="center"/>
    </xf>
    <xf numFmtId="2" fontId="14" fillId="0" borderId="75" xfId="0" applyNumberFormat="1" applyFont="1" applyBorder="1" applyAlignment="1">
      <alignment vertical="center"/>
    </xf>
    <xf numFmtId="0" fontId="0" fillId="0" borderId="101" xfId="0" applyBorder="1"/>
    <xf numFmtId="0" fontId="0" fillId="0" borderId="101" xfId="0" applyBorder="1" applyAlignment="1">
      <alignment wrapText="1"/>
    </xf>
    <xf numFmtId="0" fontId="49" fillId="0" borderId="81" xfId="0" applyFont="1" applyBorder="1" applyAlignment="1">
      <alignment horizontal="right" vertical="center"/>
    </xf>
    <xf numFmtId="0" fontId="0" fillId="0" borderId="71" xfId="0" applyBorder="1" applyAlignment="1">
      <alignment horizontal="center"/>
    </xf>
    <xf numFmtId="0" fontId="12" fillId="0" borderId="26" xfId="0" applyFont="1" applyBorder="1" applyAlignment="1">
      <alignment horizontal="right" vertical="center"/>
    </xf>
    <xf numFmtId="0" fontId="30" fillId="0" borderId="26" xfId="0" applyFont="1" applyBorder="1" applyAlignment="1">
      <alignment horizontal="center" vertical="center" wrapText="1"/>
    </xf>
    <xf numFmtId="2" fontId="29" fillId="0" borderId="75" xfId="0" applyNumberFormat="1" applyFont="1" applyBorder="1" applyAlignment="1">
      <alignment horizontal="right" vertical="center"/>
    </xf>
    <xf numFmtId="2" fontId="49" fillId="0" borderId="81" xfId="0" applyNumberFormat="1" applyFont="1" applyBorder="1" applyAlignment="1">
      <alignment horizontal="right" vertical="center"/>
    </xf>
    <xf numFmtId="2" fontId="11" fillId="0" borderId="71" xfId="0" applyNumberFormat="1" applyFont="1" applyBorder="1" applyAlignment="1">
      <alignment horizontal="right" vertical="center" wrapText="1"/>
    </xf>
    <xf numFmtId="2" fontId="11" fillId="0" borderId="75" xfId="0" applyNumberFormat="1" applyFont="1" applyBorder="1" applyAlignment="1">
      <alignment horizontal="right" vertical="center" wrapText="1"/>
    </xf>
    <xf numFmtId="0" fontId="57" fillId="0" borderId="0" xfId="0" applyFont="1"/>
    <xf numFmtId="0" fontId="41" fillId="0" borderId="101" xfId="0" applyFont="1" applyBorder="1" applyAlignment="1">
      <alignment horizontal="justify" vertical="center" wrapText="1"/>
    </xf>
    <xf numFmtId="2" fontId="41" fillId="0" borderId="75" xfId="0" applyNumberFormat="1" applyFont="1" applyBorder="1" applyAlignment="1">
      <alignment horizontal="center" vertical="center"/>
    </xf>
    <xf numFmtId="2" fontId="41" fillId="0" borderId="75" xfId="0" applyNumberFormat="1" applyFont="1" applyBorder="1" applyAlignment="1">
      <alignment horizontal="center" vertical="center" wrapText="1"/>
    </xf>
    <xf numFmtId="2" fontId="54" fillId="0" borderId="81" xfId="0" applyNumberFormat="1" applyFont="1" applyBorder="1" applyAlignment="1">
      <alignment horizontal="right" vertical="center" wrapText="1"/>
    </xf>
    <xf numFmtId="0" fontId="41" fillId="0" borderId="122" xfId="0" applyFont="1" applyBorder="1" applyAlignment="1">
      <alignment horizontal="justify" vertical="center" wrapText="1"/>
    </xf>
    <xf numFmtId="2" fontId="41" fillId="0" borderId="123" xfId="0" applyNumberFormat="1" applyFont="1" applyBorder="1" applyAlignment="1">
      <alignment horizontal="center" vertical="center"/>
    </xf>
    <xf numFmtId="2" fontId="41" fillId="0" borderId="123" xfId="0" applyNumberFormat="1" applyFont="1" applyBorder="1" applyAlignment="1">
      <alignment horizontal="center" vertical="center" wrapText="1"/>
    </xf>
    <xf numFmtId="2" fontId="54" fillId="0" borderId="126" xfId="0" applyNumberFormat="1" applyFont="1" applyBorder="1" applyAlignment="1">
      <alignment horizontal="right" vertical="center" wrapText="1"/>
    </xf>
    <xf numFmtId="0" fontId="62" fillId="0" borderId="121" xfId="0" applyFont="1" applyBorder="1" applyAlignment="1">
      <alignment horizontal="justify" vertical="center" wrapText="1"/>
    </xf>
    <xf numFmtId="4" fontId="57" fillId="0" borderId="71" xfId="0" applyNumberFormat="1" applyFont="1" applyBorder="1" applyAlignment="1">
      <alignment horizontal="center" vertical="center"/>
    </xf>
    <xf numFmtId="2" fontId="57" fillId="0" borderId="71" xfId="0" applyNumberFormat="1" applyFont="1" applyBorder="1" applyAlignment="1">
      <alignment horizontal="center" vertical="center"/>
    </xf>
    <xf numFmtId="0" fontId="57" fillId="0" borderId="71" xfId="0" applyFont="1" applyBorder="1"/>
    <xf numFmtId="0" fontId="57" fillId="0" borderId="101" xfId="0" applyFont="1" applyBorder="1" applyAlignment="1">
      <alignment horizontal="justify" vertical="center" wrapText="1"/>
    </xf>
    <xf numFmtId="4" fontId="57" fillId="0" borderId="75" xfId="0" applyNumberFormat="1" applyFont="1" applyBorder="1" applyAlignment="1">
      <alignment horizontal="center" vertical="center"/>
    </xf>
    <xf numFmtId="2" fontId="57" fillId="0" borderId="75" xfId="0" applyNumberFormat="1" applyFont="1" applyBorder="1" applyAlignment="1">
      <alignment horizontal="center" vertical="center"/>
    </xf>
    <xf numFmtId="4" fontId="57" fillId="0" borderId="75" xfId="0" applyNumberFormat="1" applyFont="1" applyBorder="1" applyAlignment="1">
      <alignment vertical="center"/>
    </xf>
    <xf numFmtId="0" fontId="63" fillId="0" borderId="101" xfId="0" applyFont="1" applyBorder="1" applyAlignment="1">
      <alignment horizontal="justify" vertical="center" wrapText="1"/>
    </xf>
    <xf numFmtId="4" fontId="63" fillId="0" borderId="75" xfId="0" applyNumberFormat="1" applyFont="1" applyBorder="1" applyAlignment="1">
      <alignment horizontal="center" vertical="center"/>
    </xf>
    <xf numFmtId="2" fontId="63" fillId="0" borderId="75" xfId="0" applyNumberFormat="1" applyFont="1" applyBorder="1" applyAlignment="1">
      <alignment horizontal="center" vertical="center"/>
    </xf>
    <xf numFmtId="0" fontId="56" fillId="0" borderId="101" xfId="0" applyFont="1" applyBorder="1" applyAlignment="1">
      <alignment horizontal="justify" vertical="center" wrapText="1"/>
    </xf>
    <xf numFmtId="4" fontId="56" fillId="0" borderId="75" xfId="0" applyNumberFormat="1" applyFont="1" applyBorder="1" applyAlignment="1">
      <alignment horizontal="center" vertical="center"/>
    </xf>
    <xf numFmtId="0" fontId="62" fillId="0" borderId="101" xfId="0" applyFont="1" applyBorder="1" applyAlignment="1">
      <alignment horizontal="justify" vertical="center" wrapText="1"/>
    </xf>
    <xf numFmtId="0" fontId="64" fillId="0" borderId="122" xfId="0" applyFont="1" applyBorder="1"/>
    <xf numFmtId="0" fontId="57" fillId="0" borderId="123" xfId="0" applyFont="1" applyBorder="1"/>
    <xf numFmtId="2" fontId="65" fillId="0" borderId="126" xfId="0" applyNumberFormat="1" applyFont="1" applyBorder="1"/>
    <xf numFmtId="0" fontId="11" fillId="0" borderId="123" xfId="0" applyFont="1" applyBorder="1" applyAlignment="1">
      <alignment horizontal="justify" vertical="center" wrapText="1"/>
    </xf>
    <xf numFmtId="0" fontId="59" fillId="0" borderId="71" xfId="0" applyFont="1" applyBorder="1" applyAlignment="1">
      <alignment horizontal="justify" vertical="center" wrapText="1"/>
    </xf>
    <xf numFmtId="4" fontId="11" fillId="0" borderId="75" xfId="0" applyNumberFormat="1" applyFont="1" applyBorder="1" applyAlignment="1">
      <alignment horizontal="center" vertical="center"/>
    </xf>
    <xf numFmtId="2" fontId="14" fillId="0" borderId="81" xfId="0" applyNumberFormat="1" applyFont="1" applyBorder="1" applyAlignment="1">
      <alignment horizontal="right" vertical="center"/>
    </xf>
    <xf numFmtId="4" fontId="29" fillId="0" borderId="75" xfId="0" applyNumberFormat="1" applyFont="1" applyBorder="1" applyAlignment="1">
      <alignment horizontal="center" vertical="center" wrapText="1"/>
    </xf>
    <xf numFmtId="0" fontId="11" fillId="0" borderId="75" xfId="0" applyFont="1" applyBorder="1" applyAlignment="1">
      <alignment horizontal="justify" vertical="center"/>
    </xf>
    <xf numFmtId="0" fontId="29" fillId="0" borderId="123" xfId="0" applyFont="1" applyBorder="1" applyAlignment="1">
      <alignment horizontal="center"/>
    </xf>
    <xf numFmtId="2" fontId="14" fillId="0" borderId="126" xfId="0" applyNumberFormat="1" applyFont="1" applyBorder="1" applyAlignment="1">
      <alignment horizontal="right" vertical="center"/>
    </xf>
    <xf numFmtId="0" fontId="0" fillId="0" borderId="71" xfId="0" applyBorder="1" applyAlignment="1">
      <alignment horizontal="justify" vertical="center" wrapText="1"/>
    </xf>
    <xf numFmtId="0" fontId="0" fillId="0" borderId="75" xfId="0" applyBorder="1" applyAlignment="1">
      <alignment horizontal="justify" vertical="center" wrapText="1"/>
    </xf>
    <xf numFmtId="0" fontId="1" fillId="0" borderId="71" xfId="0" applyFont="1" applyBorder="1"/>
    <xf numFmtId="0" fontId="49" fillId="0" borderId="93" xfId="0" applyFont="1" applyBorder="1" applyAlignment="1">
      <alignment horizontal="right"/>
    </xf>
    <xf numFmtId="2" fontId="31" fillId="0" borderId="104" xfId="0" applyNumberFormat="1" applyFont="1" applyBorder="1" applyAlignment="1">
      <alignment horizontal="center" wrapText="1"/>
    </xf>
    <xf numFmtId="2" fontId="49" fillId="0" borderId="76" xfId="0" applyNumberFormat="1" applyFont="1" applyBorder="1" applyAlignment="1">
      <alignment horizontal="right"/>
    </xf>
    <xf numFmtId="2" fontId="0" fillId="0" borderId="104" xfId="0" applyNumberFormat="1" applyBorder="1" applyAlignment="1">
      <alignment horizontal="center" wrapText="1"/>
    </xf>
    <xf numFmtId="0" fontId="1" fillId="0" borderId="75" xfId="0" applyFont="1" applyBorder="1"/>
    <xf numFmtId="0" fontId="0" fillId="0" borderId="98" xfId="0" applyBorder="1" applyAlignment="1">
      <alignment horizontal="center"/>
    </xf>
    <xf numFmtId="0" fontId="49" fillId="0" borderId="76" xfId="0" applyFont="1" applyBorder="1" applyAlignment="1">
      <alignment horizontal="right"/>
    </xf>
    <xf numFmtId="4" fontId="0" fillId="0" borderId="0" xfId="0" applyNumberFormat="1"/>
    <xf numFmtId="0" fontId="0" fillId="0" borderId="105" xfId="0" applyBorder="1" applyAlignment="1">
      <alignment horizontal="justify" vertical="center" wrapText="1"/>
    </xf>
    <xf numFmtId="2" fontId="29" fillId="0" borderId="97" xfId="0" applyNumberFormat="1" applyFont="1" applyBorder="1" applyAlignment="1">
      <alignment horizontal="center" vertical="center"/>
    </xf>
    <xf numFmtId="2" fontId="11" fillId="0" borderId="97" xfId="0" applyNumberFormat="1" applyFont="1" applyBorder="1" applyAlignment="1">
      <alignment horizontal="center" vertical="center" wrapText="1"/>
    </xf>
    <xf numFmtId="0" fontId="49" fillId="0" borderId="180" xfId="0" applyFont="1" applyBorder="1" applyAlignment="1">
      <alignment horizontal="right"/>
    </xf>
    <xf numFmtId="0" fontId="29" fillId="0" borderId="0" xfId="0" applyFont="1" applyAlignment="1">
      <alignment horizontal="justify" vertical="center" wrapText="1"/>
    </xf>
    <xf numFmtId="0" fontId="31" fillId="0" borderId="105" xfId="0" applyFont="1" applyBorder="1" applyAlignment="1">
      <alignment horizontal="justify" vertical="center" wrapText="1"/>
    </xf>
    <xf numFmtId="2" fontId="31" fillId="0" borderId="106" xfId="0" applyNumberFormat="1" applyFont="1" applyBorder="1" applyAlignment="1">
      <alignment horizontal="center" wrapText="1"/>
    </xf>
    <xf numFmtId="2" fontId="14" fillId="0" borderId="93" xfId="0" applyNumberFormat="1" applyFont="1" applyBorder="1" applyAlignment="1">
      <alignment horizontal="right" vertical="center"/>
    </xf>
    <xf numFmtId="2" fontId="29" fillId="0" borderId="98" xfId="0" applyNumberFormat="1" applyFont="1" applyBorder="1" applyAlignment="1">
      <alignment horizontal="left" vertical="center"/>
    </xf>
    <xf numFmtId="2" fontId="29" fillId="0" borderId="191" xfId="0" applyNumberFormat="1" applyFont="1" applyBorder="1" applyAlignment="1">
      <alignment horizontal="left" vertical="center"/>
    </xf>
    <xf numFmtId="2" fontId="11" fillId="0" borderId="191" xfId="0" applyNumberFormat="1" applyFont="1" applyBorder="1" applyAlignment="1">
      <alignment horizontal="center" vertical="center" wrapText="1"/>
    </xf>
    <xf numFmtId="0" fontId="29" fillId="0" borderId="191" xfId="0" applyFont="1" applyBorder="1" applyAlignment="1">
      <alignment horizontal="justify" vertical="center" wrapText="1"/>
    </xf>
    <xf numFmtId="2" fontId="29" fillId="0" borderId="191" xfId="0" applyNumberFormat="1" applyFont="1" applyBorder="1" applyAlignment="1">
      <alignment horizontal="center" vertical="center"/>
    </xf>
    <xf numFmtId="0" fontId="42" fillId="0" borderId="167" xfId="0" applyFont="1" applyBorder="1" applyAlignment="1">
      <alignment vertical="top" wrapText="1"/>
    </xf>
    <xf numFmtId="0" fontId="5" fillId="0" borderId="168" xfId="0" applyFont="1" applyBorder="1" applyAlignment="1">
      <alignment vertical="top" wrapText="1"/>
    </xf>
    <xf numFmtId="0" fontId="5" fillId="0" borderId="168" xfId="0" applyFont="1" applyBorder="1" applyAlignment="1">
      <alignment horizontal="center" vertical="center" wrapText="1"/>
    </xf>
    <xf numFmtId="0" fontId="2" fillId="0" borderId="169" xfId="0" applyFont="1" applyBorder="1" applyAlignment="1">
      <alignment horizontal="right" vertical="center" wrapText="1"/>
    </xf>
    <xf numFmtId="0" fontId="43" fillId="0" borderId="135" xfId="0" applyFont="1" applyBorder="1" applyAlignment="1">
      <alignment vertical="top" wrapText="1"/>
    </xf>
    <xf numFmtId="0" fontId="43" fillId="0" borderId="134" xfId="0" applyFont="1" applyBorder="1" applyAlignment="1">
      <alignment vertical="top" wrapText="1"/>
    </xf>
    <xf numFmtId="2" fontId="44" fillId="0" borderId="134" xfId="0" applyNumberFormat="1" applyFont="1" applyBorder="1" applyAlignment="1">
      <alignment horizontal="center" vertical="center" shrinkToFit="1"/>
    </xf>
    <xf numFmtId="0" fontId="2" fillId="0" borderId="134" xfId="0" applyFont="1" applyBorder="1" applyAlignment="1">
      <alignment horizontal="right" vertical="center" wrapText="1"/>
    </xf>
    <xf numFmtId="0" fontId="5" fillId="0" borderId="134" xfId="0" applyFont="1" applyBorder="1" applyAlignment="1">
      <alignment horizontal="center" vertical="center" wrapText="1"/>
    </xf>
    <xf numFmtId="0" fontId="43" fillId="0" borderId="176" xfId="0" applyFont="1" applyBorder="1" applyAlignment="1">
      <alignment vertical="top" wrapText="1"/>
    </xf>
    <xf numFmtId="0" fontId="43" fillId="0" borderId="177" xfId="0" applyFont="1" applyBorder="1" applyAlignment="1">
      <alignment vertical="top" wrapText="1"/>
    </xf>
    <xf numFmtId="2" fontId="44" fillId="0" borderId="177" xfId="0" applyNumberFormat="1" applyFont="1" applyBorder="1" applyAlignment="1">
      <alignment horizontal="center" vertical="center" shrinkToFit="1"/>
    </xf>
    <xf numFmtId="0" fontId="5" fillId="0" borderId="177" xfId="0" applyFont="1" applyBorder="1" applyAlignment="1">
      <alignment horizontal="center" vertical="center" wrapText="1"/>
    </xf>
    <xf numFmtId="0" fontId="2" fillId="0" borderId="177" xfId="0" applyFont="1" applyBorder="1" applyAlignment="1">
      <alignment horizontal="right" vertical="center" wrapText="1"/>
    </xf>
    <xf numFmtId="0" fontId="31" fillId="0" borderId="146" xfId="0" applyFont="1" applyBorder="1" applyAlignment="1">
      <alignment horizontal="justify" vertical="center" wrapText="1"/>
    </xf>
    <xf numFmtId="2" fontId="60" fillId="0" borderId="147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2" fontId="31" fillId="0" borderId="147" xfId="0" applyNumberFormat="1" applyFont="1" applyBorder="1" applyAlignment="1">
      <alignment horizontal="center" vertical="center"/>
    </xf>
    <xf numFmtId="0" fontId="2" fillId="0" borderId="148" xfId="0" applyFont="1" applyBorder="1" applyAlignment="1">
      <alignment horizontal="right" vertical="center" wrapText="1"/>
    </xf>
    <xf numFmtId="2" fontId="60" fillId="0" borderId="104" xfId="0" applyNumberFormat="1" applyFont="1" applyBorder="1" applyAlignment="1">
      <alignment horizontal="center" vertical="center"/>
    </xf>
    <xf numFmtId="2" fontId="31" fillId="0" borderId="104" xfId="0" applyNumberFormat="1" applyFont="1" applyBorder="1" applyAlignment="1">
      <alignment horizontal="center" vertical="center"/>
    </xf>
    <xf numFmtId="0" fontId="2" fillId="0" borderId="136" xfId="0" applyFont="1" applyBorder="1" applyAlignment="1">
      <alignment horizontal="right" vertical="center" wrapText="1"/>
    </xf>
    <xf numFmtId="0" fontId="43" fillId="0" borderId="167" xfId="0" applyFont="1" applyBorder="1" applyAlignment="1">
      <alignment vertical="top" wrapText="1"/>
    </xf>
    <xf numFmtId="0" fontId="57" fillId="0" borderId="169" xfId="0" applyFont="1" applyBorder="1" applyAlignment="1">
      <alignment horizontal="center" vertical="center" wrapText="1"/>
    </xf>
    <xf numFmtId="0" fontId="45" fillId="0" borderId="135" xfId="0" applyFont="1" applyBorder="1" applyAlignment="1">
      <alignment vertical="top" wrapText="1"/>
    </xf>
    <xf numFmtId="0" fontId="45" fillId="0" borderId="134" xfId="0" applyFont="1" applyBorder="1" applyAlignment="1">
      <alignment vertical="top" wrapText="1"/>
    </xf>
    <xf numFmtId="0" fontId="5" fillId="0" borderId="134" xfId="0" applyFont="1" applyBorder="1" applyAlignment="1">
      <alignment horizontal="center" vertical="center"/>
    </xf>
    <xf numFmtId="0" fontId="57" fillId="0" borderId="170" xfId="0" applyFont="1" applyBorder="1" applyAlignment="1">
      <alignment horizontal="center" vertical="center" wrapText="1"/>
    </xf>
    <xf numFmtId="2" fontId="44" fillId="0" borderId="134" xfId="0" applyNumberFormat="1" applyFont="1" applyBorder="1" applyAlignment="1">
      <alignment vertical="top" shrinkToFit="1"/>
    </xf>
    <xf numFmtId="2" fontId="5" fillId="0" borderId="134" xfId="0" applyNumberFormat="1" applyFont="1" applyBorder="1" applyAlignment="1">
      <alignment horizontal="center" vertical="center" wrapText="1"/>
    </xf>
    <xf numFmtId="0" fontId="5" fillId="0" borderId="134" xfId="0" applyFont="1" applyBorder="1" applyAlignment="1">
      <alignment wrapText="1"/>
    </xf>
    <xf numFmtId="0" fontId="43" fillId="0" borderId="171" xfId="0" applyFont="1" applyBorder="1" applyAlignment="1">
      <alignment vertical="top" wrapText="1"/>
    </xf>
    <xf numFmtId="0" fontId="43" fillId="0" borderId="172" xfId="0" applyFont="1" applyBorder="1" applyAlignment="1">
      <alignment vertical="top" wrapText="1"/>
    </xf>
    <xf numFmtId="2" fontId="44" fillId="0" borderId="172" xfId="0" applyNumberFormat="1" applyFont="1" applyBorder="1" applyAlignment="1">
      <alignment vertical="top" shrinkToFit="1"/>
    </xf>
    <xf numFmtId="2" fontId="5" fillId="0" borderId="172" xfId="0" applyNumberFormat="1" applyFont="1" applyBorder="1" applyAlignment="1">
      <alignment horizontal="center" vertical="center" wrapText="1"/>
    </xf>
    <xf numFmtId="0" fontId="57" fillId="0" borderId="173" xfId="0" applyFont="1" applyBorder="1" applyAlignment="1">
      <alignment horizontal="center" vertical="center" wrapText="1"/>
    </xf>
    <xf numFmtId="0" fontId="0" fillId="0" borderId="167" xfId="0" applyBorder="1" applyAlignment="1">
      <alignment horizontal="left" vertical="center" wrapText="1"/>
    </xf>
    <xf numFmtId="0" fontId="12" fillId="0" borderId="168" xfId="0" applyFont="1" applyBorder="1" applyAlignment="1">
      <alignment horizontal="center" vertical="center" wrapText="1"/>
    </xf>
    <xf numFmtId="0" fontId="0" fillId="0" borderId="135" xfId="0" applyBorder="1" applyAlignment="1">
      <alignment horizontal="left" vertical="center" wrapText="1"/>
    </xf>
    <xf numFmtId="2" fontId="0" fillId="0" borderId="134" xfId="0" applyNumberFormat="1" applyBorder="1" applyAlignment="1">
      <alignment horizontal="center" vertical="center"/>
    </xf>
    <xf numFmtId="0" fontId="12" fillId="0" borderId="134" xfId="0" applyFont="1" applyBorder="1" applyAlignment="1">
      <alignment horizontal="center" vertical="center" wrapText="1"/>
    </xf>
    <xf numFmtId="0" fontId="0" fillId="0" borderId="135" xfId="0" applyBorder="1" applyAlignment="1">
      <alignment vertical="center" wrapText="1"/>
    </xf>
    <xf numFmtId="0" fontId="12" fillId="0" borderId="172" xfId="0" applyFont="1" applyBorder="1" applyAlignment="1">
      <alignment horizontal="center" vertical="center" wrapText="1"/>
    </xf>
    <xf numFmtId="0" fontId="0" fillId="0" borderId="122" xfId="0" applyBorder="1"/>
    <xf numFmtId="0" fontId="0" fillId="0" borderId="123" xfId="0" applyBorder="1" applyAlignment="1">
      <alignment horizontal="center"/>
    </xf>
    <xf numFmtId="0" fontId="49" fillId="0" borderId="126" xfId="0" applyFont="1" applyBorder="1" applyAlignment="1">
      <alignment horizontal="right"/>
    </xf>
    <xf numFmtId="0" fontId="0" fillId="0" borderId="149" xfId="0" applyBorder="1" applyAlignment="1">
      <alignment horizontal="justify" vertical="center" wrapText="1"/>
    </xf>
    <xf numFmtId="2" fontId="0" fillId="0" borderId="71" xfId="0" applyNumberFormat="1" applyBorder="1" applyAlignment="1">
      <alignment horizontal="center" vertical="center"/>
    </xf>
    <xf numFmtId="2" fontId="0" fillId="0" borderId="75" xfId="0" applyNumberFormat="1" applyBorder="1" applyAlignment="1">
      <alignment horizontal="center" vertical="center"/>
    </xf>
    <xf numFmtId="0" fontId="0" fillId="0" borderId="122" xfId="0" applyBorder="1" applyAlignment="1">
      <alignment horizontal="justify" vertical="center" wrapText="1"/>
    </xf>
    <xf numFmtId="2" fontId="0" fillId="0" borderId="123" xfId="0" applyNumberFormat="1" applyBorder="1" applyAlignment="1">
      <alignment horizontal="center" vertical="center"/>
    </xf>
    <xf numFmtId="2" fontId="49" fillId="0" borderId="81" xfId="0" applyNumberFormat="1" applyFont="1" applyBorder="1" applyAlignment="1">
      <alignment horizontal="right"/>
    </xf>
    <xf numFmtId="2" fontId="0" fillId="0" borderId="71" xfId="0" applyNumberFormat="1" applyBorder="1" applyAlignment="1">
      <alignment horizontal="center"/>
    </xf>
    <xf numFmtId="2" fontId="0" fillId="0" borderId="123" xfId="0" applyNumberFormat="1" applyBorder="1" applyAlignment="1">
      <alignment horizontal="center"/>
    </xf>
    <xf numFmtId="166" fontId="26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4" fontId="12" fillId="0" borderId="0" xfId="4" applyNumberFormat="1" applyFont="1" applyFill="1" applyBorder="1" applyAlignment="1">
      <alignment horizontal="center" vertical="center"/>
    </xf>
    <xf numFmtId="171" fontId="12" fillId="0" borderId="0" xfId="4" applyNumberFormat="1" applyFont="1" applyFill="1" applyBorder="1" applyAlignment="1">
      <alignment horizontal="center" vertical="center"/>
    </xf>
    <xf numFmtId="9" fontId="11" fillId="0" borderId="0" xfId="0" applyNumberFormat="1" applyFont="1" applyAlignment="1">
      <alignment horizontal="center" vertical="center" wrapText="1"/>
    </xf>
    <xf numFmtId="4" fontId="14" fillId="0" borderId="0" xfId="4" applyNumberFormat="1" applyFont="1" applyFill="1" applyBorder="1" applyAlignment="1">
      <alignment horizontal="right"/>
    </xf>
    <xf numFmtId="1" fontId="11" fillId="0" borderId="0" xfId="0" applyNumberFormat="1" applyFont="1" applyAlignment="1">
      <alignment horizontal="center" vertical="center" wrapText="1"/>
    </xf>
    <xf numFmtId="4" fontId="12" fillId="0" borderId="0" xfId="0" applyNumberFormat="1" applyFont="1" applyAlignment="1">
      <alignment horizontal="right" vertical="center"/>
    </xf>
    <xf numFmtId="4" fontId="14" fillId="0" borderId="0" xfId="0" applyNumberFormat="1" applyFont="1" applyAlignment="1">
      <alignment horizontal="right" vertical="center"/>
    </xf>
    <xf numFmtId="0" fontId="30" fillId="0" borderId="0" xfId="0" applyFont="1" applyAlignment="1">
      <alignment horizontal="center" vertical="center"/>
    </xf>
    <xf numFmtId="0" fontId="37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38" fillId="0" borderId="0" xfId="0" applyFont="1" applyAlignment="1">
      <alignment horizontal="justify" vertical="center" wrapText="1"/>
    </xf>
    <xf numFmtId="0" fontId="33" fillId="0" borderId="0" xfId="0" applyFont="1" applyAlignment="1">
      <alignment horizontal="justify" vertical="center" wrapText="1"/>
    </xf>
    <xf numFmtId="0" fontId="37" fillId="0" borderId="0" xfId="0" applyFont="1" applyAlignment="1">
      <alignment horizontal="justify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vertical="center" wrapText="1" shrinkToFit="1"/>
    </xf>
    <xf numFmtId="0" fontId="29" fillId="0" borderId="0" xfId="0" applyFont="1" applyAlignment="1">
      <alignment horizontal="center" vertical="center" wrapText="1" shrinkToFit="1"/>
    </xf>
    <xf numFmtId="0" fontId="29" fillId="0" borderId="0" xfId="0" applyFont="1" applyAlignment="1">
      <alignment horizontal="left" vertical="center"/>
    </xf>
    <xf numFmtId="2" fontId="29" fillId="0" borderId="0" xfId="0" applyNumberFormat="1" applyFont="1" applyAlignment="1">
      <alignment horizontal="center" wrapText="1"/>
    </xf>
    <xf numFmtId="0" fontId="14" fillId="0" borderId="0" xfId="0" applyFont="1" applyAlignment="1">
      <alignment vertical="center" wrapText="1" shrinkToFit="1"/>
    </xf>
    <xf numFmtId="0" fontId="14" fillId="0" borderId="0" xfId="0" applyFont="1" applyAlignment="1">
      <alignment horizontal="left" vertical="center" wrapText="1" shrinkToFit="1"/>
    </xf>
    <xf numFmtId="0" fontId="29" fillId="0" borderId="0" xfId="0" applyFont="1" applyAlignment="1">
      <alignment horizontal="left" vertical="center" wrapText="1" shrinkToFit="1"/>
    </xf>
    <xf numFmtId="4" fontId="0" fillId="0" borderId="200" xfId="0" applyNumberFormat="1" applyBorder="1" applyAlignment="1">
      <alignment horizontal="center" vertical="center"/>
    </xf>
    <xf numFmtId="4" fontId="67" fillId="0" borderId="200" xfId="0" applyNumberFormat="1" applyFont="1" applyBorder="1" applyAlignment="1">
      <alignment horizontal="center" vertical="center"/>
    </xf>
    <xf numFmtId="2" fontId="67" fillId="0" borderId="104" xfId="0" applyNumberFormat="1" applyFont="1" applyBorder="1" applyAlignment="1">
      <alignment horizontal="center" vertical="center"/>
    </xf>
    <xf numFmtId="2" fontId="0" fillId="0" borderId="106" xfId="0" applyNumberFormat="1" applyBorder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2" fontId="0" fillId="0" borderId="142" xfId="0" applyNumberFormat="1" applyBorder="1" applyAlignment="1">
      <alignment horizontal="center" vertical="center"/>
    </xf>
    <xf numFmtId="2" fontId="60" fillId="0" borderId="142" xfId="0" applyNumberFormat="1" applyFont="1" applyBorder="1" applyAlignment="1">
      <alignment horizontal="center" vertical="center"/>
    </xf>
    <xf numFmtId="2" fontId="29" fillId="0" borderId="201" xfId="0" applyNumberFormat="1" applyFont="1" applyBorder="1" applyAlignment="1">
      <alignment horizontal="center" vertical="center"/>
    </xf>
    <xf numFmtId="2" fontId="0" fillId="0" borderId="201" xfId="0" applyNumberFormat="1" applyBorder="1" applyAlignment="1">
      <alignment horizontal="center" vertical="center"/>
    </xf>
    <xf numFmtId="2" fontId="0" fillId="0" borderId="202" xfId="0" applyNumberForma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0" fillId="0" borderId="102" xfId="0" applyBorder="1" applyAlignment="1">
      <alignment horizontal="left" vertical="center" wrapText="1"/>
    </xf>
    <xf numFmtId="0" fontId="67" fillId="0" borderId="102" xfId="0" applyFont="1" applyBorder="1" applyAlignment="1">
      <alignment horizontal="left" vertical="center" wrapText="1"/>
    </xf>
    <xf numFmtId="0" fontId="31" fillId="0" borderId="102" xfId="0" applyFont="1" applyBorder="1" applyAlignment="1">
      <alignment horizontal="left" vertical="center" wrapText="1"/>
    </xf>
    <xf numFmtId="0" fontId="0" fillId="0" borderId="102" xfId="0" applyBorder="1" applyAlignment="1">
      <alignment horizontal="justify" vertical="center" wrapText="1"/>
    </xf>
    <xf numFmtId="0" fontId="67" fillId="0" borderId="102" xfId="0" applyFont="1" applyBorder="1" applyAlignment="1">
      <alignment horizontal="justify" vertical="center" wrapText="1"/>
    </xf>
    <xf numFmtId="0" fontId="31" fillId="0" borderId="102" xfId="0" applyFont="1" applyBorder="1" applyAlignment="1">
      <alignment horizontal="justify" vertical="center" wrapText="1"/>
    </xf>
    <xf numFmtId="0" fontId="31" fillId="0" borderId="203" xfId="0" applyFont="1" applyBorder="1" applyAlignment="1">
      <alignment horizontal="justify" vertical="center" wrapText="1"/>
    </xf>
    <xf numFmtId="0" fontId="12" fillId="0" borderId="204" xfId="0" applyFont="1" applyBorder="1" applyAlignment="1">
      <alignment horizontal="center" vertical="center"/>
    </xf>
    <xf numFmtId="0" fontId="31" fillId="0" borderId="205" xfId="0" applyFont="1" applyBorder="1" applyAlignment="1">
      <alignment horizontal="center" vertical="center" wrapText="1"/>
    </xf>
    <xf numFmtId="0" fontId="29" fillId="0" borderId="82" xfId="0" applyFont="1" applyBorder="1" applyAlignment="1">
      <alignment horizontal="justify" vertical="center" wrapText="1"/>
    </xf>
    <xf numFmtId="0" fontId="29" fillId="0" borderId="151" xfId="0" applyFont="1" applyBorder="1" applyAlignment="1">
      <alignment horizontal="justify" vertical="center" wrapText="1"/>
    </xf>
    <xf numFmtId="0" fontId="47" fillId="0" borderId="2" xfId="0" applyFont="1" applyBorder="1" applyAlignment="1">
      <alignment vertical="center" wrapText="1"/>
    </xf>
    <xf numFmtId="0" fontId="1" fillId="12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7" fillId="17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4" fontId="66" fillId="0" borderId="81" xfId="0" applyNumberFormat="1" applyFont="1" applyBorder="1" applyAlignment="1">
      <alignment vertical="center"/>
    </xf>
    <xf numFmtId="4" fontId="66" fillId="0" borderId="126" xfId="0" applyNumberFormat="1" applyFont="1" applyBorder="1" applyAlignment="1">
      <alignment vertical="center"/>
    </xf>
    <xf numFmtId="44" fontId="20" fillId="0" borderId="2" xfId="1" applyFont="1" applyFill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right" vertical="center"/>
    </xf>
    <xf numFmtId="0" fontId="31" fillId="0" borderId="121" xfId="0" applyFont="1" applyBorder="1" applyAlignment="1">
      <alignment horizontal="justify" vertical="center" wrapText="1"/>
    </xf>
    <xf numFmtId="2" fontId="31" fillId="0" borderId="71" xfId="0" applyNumberFormat="1" applyFont="1" applyBorder="1" applyAlignment="1">
      <alignment horizontal="center" vertical="center"/>
    </xf>
    <xf numFmtId="0" fontId="58" fillId="0" borderId="75" xfId="0" applyFont="1" applyBorder="1" applyAlignment="1">
      <alignment vertical="center" wrapText="1"/>
    </xf>
    <xf numFmtId="0" fontId="58" fillId="0" borderId="81" xfId="0" applyFont="1" applyBorder="1" applyAlignment="1">
      <alignment vertical="center" wrapText="1"/>
    </xf>
    <xf numFmtId="0" fontId="0" fillId="0" borderId="2" xfId="0" applyBorder="1" applyAlignment="1">
      <alignment horizontal="left" vertical="top" wrapText="1"/>
    </xf>
    <xf numFmtId="4" fontId="12" fillId="0" borderId="116" xfId="4" applyNumberFormat="1" applyFont="1" applyFill="1" applyBorder="1" applyAlignment="1">
      <alignment horizontal="right" vertical="center"/>
    </xf>
    <xf numFmtId="0" fontId="31" fillId="0" borderId="30" xfId="0" applyFont="1" applyBorder="1" applyAlignment="1">
      <alignment horizontal="center" vertical="center" wrapText="1"/>
    </xf>
    <xf numFmtId="0" fontId="31" fillId="0" borderId="71" xfId="0" applyFont="1" applyBorder="1" applyAlignment="1">
      <alignment horizontal="center" vertical="center" wrapText="1"/>
    </xf>
    <xf numFmtId="0" fontId="0" fillId="0" borderId="71" xfId="0" applyBorder="1" applyAlignment="1">
      <alignment horizontal="center" vertical="center" wrapText="1"/>
    </xf>
    <xf numFmtId="2" fontId="0" fillId="0" borderId="75" xfId="0" applyNumberFormat="1" applyBorder="1" applyAlignment="1">
      <alignment horizontal="center" wrapText="1"/>
    </xf>
    <xf numFmtId="2" fontId="0" fillId="0" borderId="123" xfId="0" applyNumberFormat="1" applyBorder="1" applyAlignment="1">
      <alignment horizontal="center" wrapText="1"/>
    </xf>
    <xf numFmtId="2" fontId="29" fillId="0" borderId="81" xfId="0" applyNumberFormat="1" applyFont="1" applyBorder="1" applyAlignment="1">
      <alignment vertical="center"/>
    </xf>
    <xf numFmtId="0" fontId="53" fillId="0" borderId="121" xfId="0" applyFont="1" applyBorder="1" applyAlignment="1">
      <alignment horizontal="justify" vertical="center" wrapText="1"/>
    </xf>
    <xf numFmtId="0" fontId="12" fillId="0" borderId="71" xfId="0" applyFont="1" applyBorder="1" applyAlignment="1">
      <alignment horizontal="left" vertical="center" wrapText="1"/>
    </xf>
    <xf numFmtId="0" fontId="12" fillId="0" borderId="93" xfId="0" applyFont="1" applyBorder="1" applyAlignment="1">
      <alignment horizontal="left" vertical="center" wrapText="1"/>
    </xf>
    <xf numFmtId="2" fontId="43" fillId="0" borderId="75" xfId="0" applyNumberFormat="1" applyFont="1" applyBorder="1" applyAlignment="1">
      <alignment horizontal="center"/>
    </xf>
    <xf numFmtId="0" fontId="12" fillId="0" borderId="75" xfId="0" applyFont="1" applyBorder="1" applyAlignment="1">
      <alignment horizontal="left" vertical="center" wrapText="1"/>
    </xf>
    <xf numFmtId="4" fontId="0" fillId="0" borderId="75" xfId="0" applyNumberFormat="1" applyBorder="1" applyAlignment="1">
      <alignment horizontal="center" vertical="center"/>
    </xf>
    <xf numFmtId="0" fontId="0" fillId="0" borderId="75" xfId="0" applyBorder="1" applyAlignment="1">
      <alignment horizontal="center" vertical="center" wrapText="1"/>
    </xf>
    <xf numFmtId="0" fontId="12" fillId="0" borderId="71" xfId="0" applyFont="1" applyBorder="1" applyAlignment="1">
      <alignment horizontal="center" vertical="center" wrapText="1"/>
    </xf>
    <xf numFmtId="0" fontId="50" fillId="0" borderId="71" xfId="0" applyFont="1" applyBorder="1"/>
    <xf numFmtId="2" fontId="50" fillId="0" borderId="93" xfId="0" applyNumberFormat="1" applyFont="1" applyBorder="1"/>
    <xf numFmtId="0" fontId="50" fillId="0" borderId="75" xfId="0" applyFont="1" applyBorder="1"/>
    <xf numFmtId="2" fontId="50" fillId="0" borderId="81" xfId="0" applyNumberFormat="1" applyFont="1" applyBorder="1"/>
    <xf numFmtId="0" fontId="50" fillId="0" borderId="123" xfId="0" applyFont="1" applyBorder="1"/>
    <xf numFmtId="2" fontId="50" fillId="0" borderId="126" xfId="0" applyNumberFormat="1" applyFont="1" applyBorder="1"/>
    <xf numFmtId="0" fontId="50" fillId="0" borderId="121" xfId="0" applyFont="1" applyBorder="1"/>
    <xf numFmtId="0" fontId="50" fillId="0" borderId="101" xfId="0" applyFont="1" applyBorder="1"/>
    <xf numFmtId="0" fontId="50" fillId="0" borderId="122" xfId="0" applyFont="1" applyBorder="1"/>
    <xf numFmtId="0" fontId="11" fillId="0" borderId="71" xfId="0" applyFont="1" applyBorder="1" applyAlignment="1">
      <alignment horizontal="justify" vertical="center" wrapText="1"/>
    </xf>
    <xf numFmtId="0" fontId="47" fillId="0" borderId="2" xfId="0" quotePrefix="1" applyFont="1" applyBorder="1" applyAlignment="1">
      <alignment horizontal="center" vertical="center" wrapText="1"/>
    </xf>
    <xf numFmtId="4" fontId="47" fillId="0" borderId="2" xfId="0" applyNumberFormat="1" applyFont="1" applyBorder="1" applyAlignment="1">
      <alignment horizontal="center" vertical="center" wrapText="1"/>
    </xf>
    <xf numFmtId="44" fontId="48" fillId="0" borderId="2" xfId="1" applyFont="1" applyFill="1" applyBorder="1" applyAlignment="1">
      <alignment horizontal="center" vertical="center" shrinkToFit="1"/>
    </xf>
    <xf numFmtId="0" fontId="61" fillId="0" borderId="167" xfId="0" applyFont="1" applyBorder="1" applyAlignment="1">
      <alignment horizontal="justify" vertical="center" wrapText="1"/>
    </xf>
    <xf numFmtId="2" fontId="0" fillId="0" borderId="168" xfId="0" applyNumberFormat="1" applyBorder="1" applyAlignment="1">
      <alignment horizontal="center" wrapText="1"/>
    </xf>
    <xf numFmtId="4" fontId="0" fillId="0" borderId="169" xfId="0" applyNumberFormat="1" applyBorder="1" applyAlignment="1">
      <alignment horizontal="center" vertical="center"/>
    </xf>
    <xf numFmtId="2" fontId="0" fillId="0" borderId="168" xfId="0" applyNumberFormat="1" applyBorder="1" applyAlignment="1">
      <alignment horizontal="center" vertical="center"/>
    </xf>
    <xf numFmtId="4" fontId="0" fillId="0" borderId="209" xfId="0" applyNumberFormat="1" applyBorder="1" applyAlignment="1">
      <alignment vertical="center"/>
    </xf>
    <xf numFmtId="0" fontId="67" fillId="0" borderId="103" xfId="0" applyFont="1" applyBorder="1" applyAlignment="1">
      <alignment horizontal="justify" vertical="center" wrapText="1"/>
    </xf>
    <xf numFmtId="2" fontId="67" fillId="0" borderId="104" xfId="0" applyNumberFormat="1" applyFont="1" applyBorder="1" applyAlignment="1">
      <alignment horizontal="center" wrapText="1"/>
    </xf>
    <xf numFmtId="4" fontId="67" fillId="0" borderId="209" xfId="0" applyNumberFormat="1" applyFont="1" applyBorder="1" applyAlignment="1">
      <alignment vertical="center"/>
    </xf>
    <xf numFmtId="4" fontId="31" fillId="0" borderId="200" xfId="0" applyNumberFormat="1" applyFont="1" applyBorder="1" applyAlignment="1">
      <alignment horizontal="center" vertical="center"/>
    </xf>
    <xf numFmtId="0" fontId="43" fillId="0" borderId="30" xfId="0" applyFont="1" applyBorder="1" applyAlignment="1">
      <alignment horizontal="center" vertical="center" wrapText="1"/>
    </xf>
    <xf numFmtId="4" fontId="0" fillId="0" borderId="169" xfId="0" applyNumberFormat="1" applyBorder="1" applyAlignment="1">
      <alignment vertical="center"/>
    </xf>
    <xf numFmtId="4" fontId="12" fillId="0" borderId="2" xfId="4" applyNumberFormat="1" applyFont="1" applyFill="1" applyBorder="1" applyAlignment="1">
      <alignment horizontal="center" vertical="center"/>
    </xf>
    <xf numFmtId="171" fontId="12" fillId="0" borderId="2" xfId="4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justify" vertical="center" wrapText="1"/>
    </xf>
    <xf numFmtId="0" fontId="12" fillId="0" borderId="93" xfId="0" applyFont="1" applyBorder="1" applyAlignment="1">
      <alignment horizontal="center" vertical="center" wrapText="1"/>
    </xf>
    <xf numFmtId="0" fontId="0" fillId="0" borderId="122" xfId="0" applyBorder="1" applyAlignment="1">
      <alignment vertical="center" wrapText="1"/>
    </xf>
    <xf numFmtId="4" fontId="12" fillId="0" borderId="2" xfId="4" applyNumberFormat="1" applyFont="1" applyFill="1" applyBorder="1" applyAlignment="1">
      <alignment horizontal="left" vertical="center"/>
    </xf>
    <xf numFmtId="171" fontId="12" fillId="0" borderId="2" xfId="4" applyNumberFormat="1" applyFont="1" applyFill="1" applyBorder="1" applyAlignment="1">
      <alignment horizontal="left" vertical="center"/>
    </xf>
    <xf numFmtId="4" fontId="12" fillId="20" borderId="66" xfId="4" applyNumberFormat="1" applyFont="1" applyFill="1" applyBorder="1" applyAlignment="1">
      <alignment horizontal="center" vertical="center"/>
    </xf>
    <xf numFmtId="171" fontId="12" fillId="20" borderId="68" xfId="4" applyNumberFormat="1" applyFont="1" applyFill="1" applyBorder="1" applyAlignment="1">
      <alignment horizontal="center" vertical="center"/>
    </xf>
    <xf numFmtId="0" fontId="0" fillId="20" borderId="0" xfId="0" applyFill="1"/>
    <xf numFmtId="4" fontId="12" fillId="0" borderId="23" xfId="4" applyNumberFormat="1" applyFont="1" applyFill="1" applyBorder="1" applyAlignment="1">
      <alignment horizontal="center" vertical="center"/>
    </xf>
    <xf numFmtId="4" fontId="12" fillId="0" borderId="23" xfId="4" applyNumberFormat="1" applyFont="1" applyFill="1" applyBorder="1" applyAlignment="1">
      <alignment horizontal="right" vertical="center"/>
    </xf>
    <xf numFmtId="0" fontId="0" fillId="0" borderId="210" xfId="0" applyBorder="1" applyAlignment="1">
      <alignment horizontal="justify" vertical="center" wrapText="1"/>
    </xf>
    <xf numFmtId="0" fontId="12" fillId="0" borderId="13" xfId="0" applyFont="1" applyBorder="1" applyAlignment="1">
      <alignment horizontal="center" vertical="center"/>
    </xf>
    <xf numFmtId="2" fontId="29" fillId="0" borderId="14" xfId="0" applyNumberFormat="1" applyFont="1" applyBorder="1" applyAlignment="1">
      <alignment horizontal="center" vertical="center" wrapText="1" shrinkToFit="1"/>
    </xf>
    <xf numFmtId="0" fontId="14" fillId="0" borderId="24" xfId="0" applyFont="1" applyBorder="1" applyAlignment="1">
      <alignment horizontal="right" vertical="center"/>
    </xf>
    <xf numFmtId="0" fontId="11" fillId="0" borderId="14" xfId="0" applyFont="1" applyBorder="1" applyAlignment="1">
      <alignment horizontal="center" vertical="center"/>
    </xf>
    <xf numFmtId="2" fontId="0" fillId="0" borderId="2" xfId="0" applyNumberFormat="1" applyBorder="1" applyAlignment="1">
      <alignment horizontal="center" wrapText="1"/>
    </xf>
    <xf numFmtId="2" fontId="0" fillId="0" borderId="75" xfId="0" applyNumberFormat="1" applyBorder="1" applyAlignment="1">
      <alignment horizontal="center"/>
    </xf>
    <xf numFmtId="0" fontId="47" fillId="0" borderId="2" xfId="0" applyFont="1" applyBorder="1" applyAlignment="1">
      <alignment horizontal="left" vertical="center" wrapText="1"/>
    </xf>
    <xf numFmtId="0" fontId="12" fillId="0" borderId="77" xfId="0" applyFont="1" applyBorder="1" applyAlignment="1">
      <alignment horizontal="center" vertical="center" wrapText="1"/>
    </xf>
    <xf numFmtId="0" fontId="1" fillId="0" borderId="102" xfId="0" applyFont="1" applyBorder="1" applyAlignment="1">
      <alignment horizontal="justify" vertical="center" wrapText="1"/>
    </xf>
    <xf numFmtId="2" fontId="29" fillId="0" borderId="200" xfId="0" applyNumberFormat="1" applyFont="1" applyBorder="1" applyAlignment="1">
      <alignment horizontal="center" vertical="center"/>
    </xf>
    <xf numFmtId="2" fontId="14" fillId="0" borderId="107" xfId="0" applyNumberFormat="1" applyFont="1" applyBorder="1" applyAlignment="1">
      <alignment vertical="center"/>
    </xf>
    <xf numFmtId="0" fontId="29" fillId="0" borderId="75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right" vertical="center"/>
    </xf>
    <xf numFmtId="2" fontId="29" fillId="0" borderId="0" xfId="0" applyNumberFormat="1" applyFont="1" applyAlignment="1">
      <alignment horizontal="left" vertical="center"/>
    </xf>
    <xf numFmtId="2" fontId="14" fillId="0" borderId="32" xfId="0" applyNumberFormat="1" applyFont="1" applyBorder="1" applyAlignment="1">
      <alignment horizontal="right" vertical="center"/>
    </xf>
    <xf numFmtId="0" fontId="14" fillId="0" borderId="32" xfId="0" applyFont="1" applyBorder="1" applyAlignment="1">
      <alignment horizontal="right" vertical="center"/>
    </xf>
    <xf numFmtId="0" fontId="14" fillId="0" borderId="2" xfId="0" applyFont="1" applyBorder="1" applyAlignment="1">
      <alignment horizontal="justify" vertical="center" wrapText="1"/>
    </xf>
    <xf numFmtId="0" fontId="12" fillId="0" borderId="32" xfId="0" applyFont="1" applyBorder="1" applyAlignment="1">
      <alignment horizontal="right" vertical="center"/>
    </xf>
    <xf numFmtId="4" fontId="12" fillId="0" borderId="44" xfId="4" applyNumberFormat="1" applyFont="1" applyFill="1" applyBorder="1" applyAlignment="1">
      <alignment horizontal="right" vertical="center"/>
    </xf>
    <xf numFmtId="0" fontId="30" fillId="0" borderId="117" xfId="0" applyFont="1" applyBorder="1" applyAlignment="1">
      <alignment horizontal="center" vertical="center" wrapText="1"/>
    </xf>
    <xf numFmtId="2" fontId="0" fillId="0" borderId="0" xfId="0" applyNumberFormat="1"/>
    <xf numFmtId="0" fontId="12" fillId="0" borderId="14" xfId="0" applyFont="1" applyBorder="1" applyAlignment="1">
      <alignment horizontal="right" vertical="center"/>
    </xf>
    <xf numFmtId="0" fontId="12" fillId="0" borderId="24" xfId="0" applyFont="1" applyBorder="1" applyAlignment="1">
      <alignment horizontal="right" vertical="center"/>
    </xf>
    <xf numFmtId="0" fontId="68" fillId="0" borderId="101" xfId="0" applyFont="1" applyBorder="1" applyAlignment="1">
      <alignment horizontal="justify" vertical="center" wrapText="1"/>
    </xf>
    <xf numFmtId="2" fontId="29" fillId="0" borderId="75" xfId="0" applyNumberFormat="1" applyFont="1" applyBorder="1" applyAlignment="1">
      <alignment horizontal="center" vertical="center" wrapText="1"/>
    </xf>
    <xf numFmtId="4" fontId="12" fillId="0" borderId="49" xfId="0" applyNumberFormat="1" applyFont="1" applyBorder="1" applyAlignment="1">
      <alignment horizontal="right" vertical="center"/>
    </xf>
    <xf numFmtId="2" fontId="29" fillId="0" borderId="98" xfId="0" applyNumberFormat="1" applyFont="1" applyBorder="1" applyAlignment="1">
      <alignment horizontal="center" vertical="center" wrapText="1"/>
    </xf>
    <xf numFmtId="0" fontId="29" fillId="0" borderId="98" xfId="0" applyFont="1" applyBorder="1" applyAlignment="1">
      <alignment horizontal="center" vertical="center" wrapText="1"/>
    </xf>
    <xf numFmtId="2" fontId="29" fillId="0" borderId="76" xfId="0" applyNumberFormat="1" applyFont="1" applyBorder="1" applyAlignment="1">
      <alignment horizontal="center" vertical="center"/>
    </xf>
    <xf numFmtId="0" fontId="29" fillId="0" borderId="96" xfId="0" applyFont="1" applyBorder="1" applyAlignment="1">
      <alignment horizontal="center" vertical="center" wrapText="1"/>
    </xf>
    <xf numFmtId="2" fontId="29" fillId="0" borderId="96" xfId="0" applyNumberFormat="1" applyFont="1" applyBorder="1" applyAlignment="1">
      <alignment horizontal="center" vertical="center" wrapText="1"/>
    </xf>
    <xf numFmtId="0" fontId="69" fillId="0" borderId="75" xfId="0" applyFont="1" applyBorder="1" applyAlignment="1">
      <alignment horizontal="justify" vertical="center" wrapText="1"/>
    </xf>
    <xf numFmtId="2" fontId="69" fillId="0" borderId="75" xfId="0" applyNumberFormat="1" applyFont="1" applyBorder="1" applyAlignment="1">
      <alignment horizontal="center" vertical="center"/>
    </xf>
    <xf numFmtId="2" fontId="69" fillId="0" borderId="75" xfId="0" applyNumberFormat="1" applyFont="1" applyBorder="1" applyAlignment="1">
      <alignment horizontal="center" vertical="center" wrapText="1"/>
    </xf>
    <xf numFmtId="2" fontId="70" fillId="0" borderId="81" xfId="0" applyNumberFormat="1" applyFont="1" applyBorder="1" applyAlignment="1">
      <alignment horizontal="right" vertical="center" wrapText="1"/>
    </xf>
    <xf numFmtId="0" fontId="11" fillId="0" borderId="96" xfId="0" applyFont="1" applyBorder="1" applyAlignment="1">
      <alignment horizontal="justify" vertical="center" wrapText="1"/>
    </xf>
    <xf numFmtId="2" fontId="29" fillId="0" borderId="97" xfId="0" applyNumberFormat="1" applyFont="1" applyBorder="1" applyAlignment="1">
      <alignment horizontal="left" vertical="center"/>
    </xf>
    <xf numFmtId="0" fontId="29" fillId="0" borderId="97" xfId="0" applyFont="1" applyBorder="1" applyAlignment="1">
      <alignment horizontal="justify" vertical="center" wrapText="1"/>
    </xf>
    <xf numFmtId="2" fontId="14" fillId="0" borderId="107" xfId="0" applyNumberFormat="1" applyFont="1" applyBorder="1" applyAlignment="1">
      <alignment horizontal="right" vertical="center"/>
    </xf>
    <xf numFmtId="2" fontId="14" fillId="0" borderId="71" xfId="0" applyNumberFormat="1" applyFont="1" applyBorder="1" applyAlignment="1">
      <alignment horizontal="left" vertical="center"/>
    </xf>
    <xf numFmtId="2" fontId="14" fillId="0" borderId="98" xfId="0" applyNumberFormat="1" applyFont="1" applyBorder="1" applyAlignment="1">
      <alignment horizontal="left" vertical="center"/>
    </xf>
    <xf numFmtId="2" fontId="14" fillId="0" borderId="72" xfId="0" applyNumberFormat="1" applyFont="1" applyBorder="1" applyAlignment="1">
      <alignment horizontal="right" vertical="center"/>
    </xf>
    <xf numFmtId="170" fontId="29" fillId="0" borderId="97" xfId="4" applyFont="1" applyFill="1" applyBorder="1" applyAlignment="1">
      <alignment horizontal="center" vertical="center"/>
    </xf>
    <xf numFmtId="0" fontId="14" fillId="0" borderId="27" xfId="0" applyFont="1" applyBorder="1" applyAlignment="1">
      <alignment horizontal="right" vertical="center"/>
    </xf>
    <xf numFmtId="2" fontId="0" fillId="0" borderId="104" xfId="0" applyNumberFormat="1" applyBorder="1" applyAlignment="1">
      <alignment horizontal="left" wrapText="1"/>
    </xf>
    <xf numFmtId="2" fontId="71" fillId="0" borderId="104" xfId="0" applyNumberFormat="1" applyFont="1" applyBorder="1" applyAlignment="1">
      <alignment horizontal="left" wrapText="1"/>
    </xf>
    <xf numFmtId="2" fontId="71" fillId="0" borderId="104" xfId="0" applyNumberFormat="1" applyFont="1" applyBorder="1" applyAlignment="1">
      <alignment horizontal="center" vertical="center"/>
    </xf>
    <xf numFmtId="2" fontId="72" fillId="0" borderId="104" xfId="0" applyNumberFormat="1" applyFont="1" applyBorder="1" applyAlignment="1">
      <alignment horizontal="left" wrapText="1"/>
    </xf>
    <xf numFmtId="2" fontId="72" fillId="0" borderId="104" xfId="0" applyNumberFormat="1" applyFont="1" applyBorder="1" applyAlignment="1">
      <alignment horizontal="center" vertical="center"/>
    </xf>
    <xf numFmtId="2" fontId="5" fillId="0" borderId="104" xfId="0" applyNumberFormat="1" applyFont="1" applyBorder="1" applyAlignment="1">
      <alignment horizontal="left" wrapText="1"/>
    </xf>
    <xf numFmtId="4" fontId="72" fillId="0" borderId="209" xfId="0" applyNumberFormat="1" applyFont="1" applyBorder="1" applyAlignment="1">
      <alignment vertical="center"/>
    </xf>
    <xf numFmtId="2" fontId="0" fillId="0" borderId="104" xfId="0" applyNumberFormat="1" applyBorder="1" applyAlignment="1">
      <alignment horizontal="right" vertical="center"/>
    </xf>
    <xf numFmtId="2" fontId="73" fillId="0" borderId="104" xfId="0" applyNumberFormat="1" applyFont="1" applyBorder="1" applyAlignment="1">
      <alignment horizontal="center" vertical="center"/>
    </xf>
    <xf numFmtId="2" fontId="73" fillId="0" borderId="104" xfId="0" applyNumberFormat="1" applyFont="1" applyBorder="1" applyAlignment="1">
      <alignment horizontal="right" vertical="center"/>
    </xf>
    <xf numFmtId="0" fontId="32" fillId="0" borderId="46" xfId="0" quotePrefix="1" applyFont="1" applyBorder="1" applyAlignment="1">
      <alignment horizontal="left" vertical="center" wrapText="1"/>
    </xf>
    <xf numFmtId="0" fontId="32" fillId="0" borderId="47" xfId="0" quotePrefix="1" applyFont="1" applyBorder="1" applyAlignment="1">
      <alignment horizontal="left" vertical="center" wrapText="1"/>
    </xf>
    <xf numFmtId="2" fontId="29" fillId="0" borderId="2" xfId="0" applyNumberFormat="1" applyFont="1" applyBorder="1" applyAlignment="1">
      <alignment vertical="center" wrapText="1" shrinkToFit="1"/>
    </xf>
    <xf numFmtId="0" fontId="14" fillId="0" borderId="2" xfId="0" applyFont="1" applyBorder="1" applyAlignment="1">
      <alignment vertical="center"/>
    </xf>
    <xf numFmtId="0" fontId="53" fillId="0" borderId="103" xfId="0" applyFont="1" applyBorder="1" applyAlignment="1">
      <alignment horizontal="justify" vertical="center" wrapText="1"/>
    </xf>
    <xf numFmtId="0" fontId="63" fillId="0" borderId="103" xfId="0" applyFont="1" applyBorder="1" applyAlignment="1">
      <alignment horizontal="justify" vertical="center" wrapText="1"/>
    </xf>
    <xf numFmtId="0" fontId="63" fillId="0" borderId="215" xfId="0" applyFont="1" applyBorder="1" applyAlignment="1">
      <alignment horizontal="justify" vertical="center" wrapText="1"/>
    </xf>
    <xf numFmtId="0" fontId="63" fillId="0" borderId="134" xfId="0" applyFont="1" applyBorder="1" applyAlignment="1">
      <alignment horizontal="justify" vertical="center" wrapText="1"/>
    </xf>
    <xf numFmtId="2" fontId="63" fillId="0" borderId="134" xfId="0" applyNumberFormat="1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116" xfId="0" applyFont="1" applyBorder="1" applyAlignment="1">
      <alignment horizontal="center" vertical="center" wrapText="1"/>
    </xf>
    <xf numFmtId="2" fontId="74" fillId="0" borderId="93" xfId="0" applyNumberFormat="1" applyFont="1" applyBorder="1" applyAlignment="1">
      <alignment horizontal="right" vertical="center" wrapText="1"/>
    </xf>
    <xf numFmtId="2" fontId="0" fillId="0" borderId="106" xfId="0" applyNumberFormat="1" applyBorder="1" applyAlignment="1">
      <alignment horizontal="left" wrapText="1"/>
    </xf>
    <xf numFmtId="2" fontId="0" fillId="0" borderId="106" xfId="0" applyNumberFormat="1" applyBorder="1" applyAlignment="1">
      <alignment horizontal="right" vertical="center"/>
    </xf>
    <xf numFmtId="2" fontId="71" fillId="0" borderId="147" xfId="0" applyNumberFormat="1" applyFont="1" applyBorder="1" applyAlignment="1">
      <alignment horizontal="left" wrapText="1"/>
    </xf>
    <xf numFmtId="2" fontId="71" fillId="0" borderId="147" xfId="0" applyNumberFormat="1" applyFont="1" applyBorder="1" applyAlignment="1">
      <alignment horizontal="center" vertical="center"/>
    </xf>
    <xf numFmtId="2" fontId="0" fillId="0" borderId="147" xfId="0" applyNumberFormat="1" applyBorder="1" applyAlignment="1">
      <alignment horizontal="center" vertical="center"/>
    </xf>
    <xf numFmtId="4" fontId="0" fillId="0" borderId="148" xfId="0" applyNumberFormat="1" applyBorder="1" applyAlignment="1">
      <alignment vertical="center"/>
    </xf>
    <xf numFmtId="4" fontId="0" fillId="0" borderId="142" xfId="0" applyNumberFormat="1" applyBorder="1" applyAlignment="1">
      <alignment vertical="center"/>
    </xf>
    <xf numFmtId="2" fontId="0" fillId="0" borderId="201" xfId="0" applyNumberFormat="1" applyBorder="1" applyAlignment="1">
      <alignment horizontal="left" wrapText="1"/>
    </xf>
    <xf numFmtId="2" fontId="0" fillId="0" borderId="202" xfId="0" applyNumberFormat="1" applyBorder="1" applyAlignment="1">
      <alignment horizontal="right" vertical="center"/>
    </xf>
    <xf numFmtId="0" fontId="0" fillId="0" borderId="165" xfId="0" applyBorder="1" applyAlignment="1">
      <alignment horizontal="justify" vertical="center" wrapText="1"/>
    </xf>
    <xf numFmtId="2" fontId="0" fillId="0" borderId="97" xfId="0" applyNumberFormat="1" applyBorder="1" applyAlignment="1">
      <alignment horizontal="center" vertical="center"/>
    </xf>
    <xf numFmtId="0" fontId="14" fillId="0" borderId="116" xfId="0" applyFont="1" applyBorder="1" applyAlignment="1">
      <alignment horizontal="right" vertical="center"/>
    </xf>
    <xf numFmtId="2" fontId="0" fillId="0" borderId="97" xfId="0" applyNumberFormat="1" applyBorder="1" applyAlignment="1">
      <alignment horizontal="center"/>
    </xf>
    <xf numFmtId="2" fontId="12" fillId="0" borderId="180" xfId="0" applyNumberFormat="1" applyFont="1" applyBorder="1" applyAlignment="1">
      <alignment horizontal="right" vertical="center" wrapText="1"/>
    </xf>
    <xf numFmtId="0" fontId="2" fillId="0" borderId="121" xfId="0" applyFont="1" applyBorder="1" applyAlignment="1">
      <alignment horizontal="justify" vertical="center" wrapText="1"/>
    </xf>
    <xf numFmtId="2" fontId="2" fillId="0" borderId="104" xfId="0" applyNumberFormat="1" applyFont="1" applyBorder="1" applyAlignment="1">
      <alignment horizontal="left" wrapText="1"/>
    </xf>
    <xf numFmtId="0" fontId="12" fillId="0" borderId="216" xfId="0" applyFont="1" applyBorder="1" applyAlignment="1">
      <alignment vertical="center"/>
    </xf>
    <xf numFmtId="0" fontId="12" fillId="0" borderId="22" xfId="0" applyFont="1" applyBorder="1" applyAlignment="1">
      <alignment horizontal="right" vertical="center"/>
    </xf>
    <xf numFmtId="2" fontId="14" fillId="0" borderId="76" xfId="0" applyNumberFormat="1" applyFont="1" applyBorder="1" applyAlignment="1">
      <alignment horizontal="right" vertical="center"/>
    </xf>
    <xf numFmtId="2" fontId="12" fillId="0" borderId="218" xfId="0" applyNumberFormat="1" applyFont="1" applyBorder="1" applyAlignment="1">
      <alignment horizontal="right" vertical="center" wrapText="1"/>
    </xf>
    <xf numFmtId="4" fontId="12" fillId="0" borderId="22" xfId="4" applyNumberFormat="1" applyFont="1" applyFill="1" applyBorder="1" applyAlignment="1">
      <alignment horizontal="right" vertical="center"/>
    </xf>
    <xf numFmtId="0" fontId="30" fillId="0" borderId="22" xfId="0" applyFont="1" applyBorder="1" applyAlignment="1">
      <alignment horizontal="center" vertical="center" wrapText="1"/>
    </xf>
    <xf numFmtId="4" fontId="12" fillId="0" borderId="18" xfId="4" applyNumberFormat="1" applyFont="1" applyFill="1" applyBorder="1" applyAlignment="1">
      <alignment horizontal="center" vertical="center"/>
    </xf>
    <xf numFmtId="171" fontId="12" fillId="0" borderId="18" xfId="4" applyNumberFormat="1" applyFont="1" applyFill="1" applyBorder="1" applyAlignment="1">
      <alignment horizontal="center" vertical="center"/>
    </xf>
    <xf numFmtId="0" fontId="49" fillId="0" borderId="121" xfId="0" applyFont="1" applyBorder="1" applyAlignment="1">
      <alignment horizontal="justify" vertical="center" wrapText="1"/>
    </xf>
    <xf numFmtId="4" fontId="12" fillId="0" borderId="14" xfId="4" applyNumberFormat="1" applyFont="1" applyFill="1" applyBorder="1" applyAlignment="1">
      <alignment horizontal="right" vertical="center"/>
    </xf>
    <xf numFmtId="0" fontId="12" fillId="0" borderId="14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2" fontId="11" fillId="0" borderId="98" xfId="0" applyNumberFormat="1" applyFont="1" applyBorder="1" applyAlignment="1">
      <alignment horizontal="left" vertical="center" wrapText="1"/>
    </xf>
    <xf numFmtId="2" fontId="69" fillId="0" borderId="98" xfId="0" applyNumberFormat="1" applyFont="1" applyBorder="1" applyAlignment="1">
      <alignment horizontal="left" vertical="center" wrapText="1"/>
    </xf>
    <xf numFmtId="0" fontId="32" fillId="0" borderId="46" xfId="0" quotePrefix="1" applyFont="1" applyBorder="1" applyAlignment="1">
      <alignment horizontal="center" vertical="center" wrapText="1"/>
    </xf>
    <xf numFmtId="0" fontId="58" fillId="0" borderId="75" xfId="0" applyFont="1" applyBorder="1" applyAlignment="1">
      <alignment horizontal="center" vertical="center" wrapText="1"/>
    </xf>
    <xf numFmtId="0" fontId="12" fillId="0" borderId="75" xfId="0" applyFont="1" applyBorder="1" applyAlignment="1">
      <alignment horizontal="center" vertical="center" wrapText="1"/>
    </xf>
    <xf numFmtId="0" fontId="57" fillId="0" borderId="123" xfId="0" applyFont="1" applyBorder="1" applyAlignment="1">
      <alignment horizontal="center"/>
    </xf>
    <xf numFmtId="0" fontId="50" fillId="0" borderId="71" xfId="0" applyFont="1" applyBorder="1" applyAlignment="1">
      <alignment horizontal="center"/>
    </xf>
    <xf numFmtId="0" fontId="50" fillId="0" borderId="75" xfId="0" applyFont="1" applyBorder="1" applyAlignment="1">
      <alignment horizontal="center"/>
    </xf>
    <xf numFmtId="0" fontId="50" fillId="0" borderId="123" xfId="0" applyFont="1" applyBorder="1" applyAlignment="1">
      <alignment horizontal="center"/>
    </xf>
    <xf numFmtId="0" fontId="29" fillId="0" borderId="191" xfId="0" applyFont="1" applyBorder="1" applyAlignment="1">
      <alignment horizontal="center" vertical="center" wrapText="1"/>
    </xf>
    <xf numFmtId="0" fontId="29" fillId="0" borderId="97" xfId="0" applyFont="1" applyBorder="1" applyAlignment="1">
      <alignment horizontal="center" vertical="center" wrapText="1"/>
    </xf>
    <xf numFmtId="0" fontId="29" fillId="0" borderId="123" xfId="0" applyFont="1" applyBorder="1" applyAlignment="1">
      <alignment horizontal="center" vertical="center" wrapText="1"/>
    </xf>
    <xf numFmtId="0" fontId="5" fillId="0" borderId="168" xfId="0" applyFont="1" applyBorder="1" applyAlignment="1">
      <alignment horizontal="center" vertical="top" wrapText="1"/>
    </xf>
    <xf numFmtId="0" fontId="45" fillId="0" borderId="134" xfId="0" applyFont="1" applyBorder="1" applyAlignment="1">
      <alignment horizontal="center" vertical="top" wrapText="1"/>
    </xf>
    <xf numFmtId="2" fontId="44" fillId="0" borderId="134" xfId="0" applyNumberFormat="1" applyFont="1" applyBorder="1" applyAlignment="1">
      <alignment horizontal="center" vertical="top" shrinkToFit="1"/>
    </xf>
    <xf numFmtId="0" fontId="5" fillId="0" borderId="134" xfId="0" applyFont="1" applyBorder="1" applyAlignment="1">
      <alignment horizontal="center" wrapText="1"/>
    </xf>
    <xf numFmtId="2" fontId="44" fillId="0" borderId="172" xfId="0" applyNumberFormat="1" applyFont="1" applyBorder="1" applyAlignment="1">
      <alignment horizontal="center" vertical="top" shrinkToFit="1"/>
    </xf>
    <xf numFmtId="0" fontId="0" fillId="0" borderId="2" xfId="0" applyBorder="1" applyAlignment="1">
      <alignment horizontal="center"/>
    </xf>
    <xf numFmtId="2" fontId="69" fillId="0" borderId="98" xfId="0" applyNumberFormat="1" applyFont="1" applyBorder="1" applyAlignment="1">
      <alignment horizontal="center" vertical="center" wrapText="1"/>
    </xf>
    <xf numFmtId="2" fontId="29" fillId="0" borderId="97" xfId="0" applyNumberFormat="1" applyFont="1" applyBorder="1" applyAlignment="1">
      <alignment horizontal="center" vertical="center" wrapText="1"/>
    </xf>
    <xf numFmtId="2" fontId="29" fillId="0" borderId="191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horizontal="left" vertical="center" wrapText="1"/>
    </xf>
    <xf numFmtId="0" fontId="14" fillId="0" borderId="103" xfId="0" applyFont="1" applyBorder="1" applyAlignment="1">
      <alignment horizontal="justify" vertical="center" wrapText="1"/>
    </xf>
    <xf numFmtId="2" fontId="57" fillId="0" borderId="170" xfId="0" applyNumberFormat="1" applyFont="1" applyBorder="1" applyAlignment="1">
      <alignment horizontal="center" vertical="center" wrapText="1"/>
    </xf>
    <xf numFmtId="0" fontId="43" fillId="0" borderId="146" xfId="0" applyFont="1" applyBorder="1" applyAlignment="1">
      <alignment vertical="top" wrapText="1"/>
    </xf>
    <xf numFmtId="0" fontId="43" fillId="0" borderId="147" xfId="0" applyFont="1" applyBorder="1" applyAlignment="1">
      <alignment vertical="top" wrapText="1"/>
    </xf>
    <xf numFmtId="2" fontId="44" fillId="0" borderId="147" xfId="0" applyNumberFormat="1" applyFont="1" applyBorder="1" applyAlignment="1">
      <alignment horizontal="center" vertical="top" shrinkToFit="1"/>
    </xf>
    <xf numFmtId="2" fontId="5" fillId="0" borderId="147" xfId="0" applyNumberFormat="1" applyFont="1" applyBorder="1" applyAlignment="1">
      <alignment horizontal="center" vertical="center" wrapText="1"/>
    </xf>
    <xf numFmtId="2" fontId="44" fillId="0" borderId="147" xfId="0" applyNumberFormat="1" applyFont="1" applyBorder="1" applyAlignment="1">
      <alignment vertical="top" shrinkToFit="1"/>
    </xf>
    <xf numFmtId="0" fontId="43" fillId="0" borderId="145" xfId="0" applyFont="1" applyBorder="1" applyAlignment="1">
      <alignment vertical="top" wrapText="1"/>
    </xf>
    <xf numFmtId="2" fontId="76" fillId="0" borderId="148" xfId="0" applyNumberFormat="1" applyFont="1" applyBorder="1" applyAlignment="1">
      <alignment horizontal="center" vertical="top" wrapText="1"/>
    </xf>
    <xf numFmtId="2" fontId="76" fillId="0" borderId="136" xfId="0" applyNumberFormat="1" applyFont="1" applyBorder="1" applyAlignment="1">
      <alignment horizontal="center" vertical="top" wrapText="1"/>
    </xf>
    <xf numFmtId="2" fontId="45" fillId="0" borderId="136" xfId="0" applyNumberFormat="1" applyFont="1" applyBorder="1" applyAlignment="1">
      <alignment horizontal="center" vertical="center" wrapText="1"/>
    </xf>
    <xf numFmtId="0" fontId="0" fillId="0" borderId="219" xfId="0" applyBorder="1" applyAlignment="1">
      <alignment horizontal="justify" vertical="center" wrapText="1"/>
    </xf>
    <xf numFmtId="2" fontId="0" fillId="0" borderId="177" xfId="0" applyNumberFormat="1" applyBorder="1" applyAlignment="1">
      <alignment horizontal="center" vertical="center"/>
    </xf>
    <xf numFmtId="0" fontId="0" fillId="0" borderId="155" xfId="0" applyBorder="1" applyAlignment="1">
      <alignment horizontal="justify" vertical="center" wrapText="1"/>
    </xf>
    <xf numFmtId="2" fontId="0" fillId="0" borderId="220" xfId="0" applyNumberFormat="1" applyBorder="1" applyAlignment="1">
      <alignment horizontal="center" vertical="center"/>
    </xf>
    <xf numFmtId="0" fontId="14" fillId="0" borderId="0" xfId="0" applyFont="1" applyAlignment="1">
      <alignment vertical="center"/>
    </xf>
    <xf numFmtId="2" fontId="29" fillId="0" borderId="96" xfId="0" applyNumberFormat="1" applyFont="1" applyBorder="1" applyAlignment="1">
      <alignment horizontal="left" vertical="center"/>
    </xf>
    <xf numFmtId="0" fontId="12" fillId="0" borderId="98" xfId="0" applyFont="1" applyBorder="1" applyAlignment="1">
      <alignment horizontal="center" vertical="center" wrapText="1"/>
    </xf>
    <xf numFmtId="0" fontId="12" fillId="0" borderId="98" xfId="0" applyFont="1" applyBorder="1" applyAlignment="1">
      <alignment horizontal="left" vertical="center" wrapText="1"/>
    </xf>
    <xf numFmtId="0" fontId="12" fillId="0" borderId="97" xfId="0" applyFont="1" applyBorder="1" applyAlignment="1">
      <alignment horizontal="center" vertical="center" wrapText="1"/>
    </xf>
    <xf numFmtId="0" fontId="12" fillId="0" borderId="97" xfId="0" applyFont="1" applyBorder="1" applyAlignment="1">
      <alignment horizontal="left" vertical="center" wrapText="1"/>
    </xf>
    <xf numFmtId="2" fontId="43" fillId="0" borderId="96" xfId="0" applyNumberFormat="1" applyFont="1" applyBorder="1" applyAlignment="1">
      <alignment horizontal="center"/>
    </xf>
    <xf numFmtId="2" fontId="43" fillId="0" borderId="71" xfId="0" applyNumberFormat="1" applyFont="1" applyBorder="1" applyAlignment="1">
      <alignment horizontal="center"/>
    </xf>
    <xf numFmtId="2" fontId="69" fillId="0" borderId="0" xfId="0" applyNumberFormat="1" applyFont="1" applyAlignment="1">
      <alignment horizontal="left" vertical="center" wrapText="1"/>
    </xf>
    <xf numFmtId="2" fontId="69" fillId="0" borderId="0" xfId="0" applyNumberFormat="1" applyFont="1" applyAlignment="1">
      <alignment horizontal="center" vertical="center" wrapText="1"/>
    </xf>
    <xf numFmtId="2" fontId="0" fillId="0" borderId="144" xfId="0" applyNumberFormat="1" applyBorder="1" applyAlignment="1">
      <alignment horizontal="center" vertical="center"/>
    </xf>
    <xf numFmtId="2" fontId="12" fillId="0" borderId="221" xfId="0" applyNumberFormat="1" applyFont="1" applyBorder="1" applyAlignment="1">
      <alignment horizontal="center" vertical="center" wrapText="1"/>
    </xf>
    <xf numFmtId="0" fontId="0" fillId="0" borderId="222" xfId="0" applyBorder="1" applyAlignment="1">
      <alignment horizontal="justify" vertical="center" wrapText="1"/>
    </xf>
    <xf numFmtId="4" fontId="12" fillId="0" borderId="213" xfId="4" applyNumberFormat="1" applyFont="1" applyFill="1" applyBorder="1" applyAlignment="1">
      <alignment horizontal="center" vertical="center"/>
    </xf>
    <xf numFmtId="171" fontId="12" fillId="0" borderId="223" xfId="4" applyNumberFormat="1" applyFont="1" applyFill="1" applyBorder="1" applyAlignment="1">
      <alignment horizontal="center" vertical="center"/>
    </xf>
    <xf numFmtId="0" fontId="12" fillId="0" borderId="178" xfId="0" applyFont="1" applyBorder="1" applyAlignment="1">
      <alignment vertical="center"/>
    </xf>
    <xf numFmtId="0" fontId="12" fillId="0" borderId="178" xfId="0" applyFont="1" applyBorder="1" applyAlignment="1">
      <alignment horizontal="center" vertical="center"/>
    </xf>
    <xf numFmtId="171" fontId="12" fillId="0" borderId="58" xfId="4" applyNumberFormat="1" applyFont="1" applyFill="1" applyBorder="1" applyAlignment="1">
      <alignment horizontal="center" vertical="center"/>
    </xf>
    <xf numFmtId="2" fontId="1" fillId="0" borderId="134" xfId="0" applyNumberFormat="1" applyFont="1" applyBorder="1" applyAlignment="1">
      <alignment horizontal="center" vertical="center"/>
    </xf>
    <xf numFmtId="2" fontId="1" fillId="0" borderId="104" xfId="0" applyNumberFormat="1" applyFont="1" applyBorder="1" applyAlignment="1">
      <alignment horizontal="center" vertical="center"/>
    </xf>
    <xf numFmtId="0" fontId="0" fillId="0" borderId="226" xfId="0" applyBorder="1" applyAlignment="1">
      <alignment horizontal="justify" vertical="center" wrapText="1"/>
    </xf>
    <xf numFmtId="2" fontId="1" fillId="0" borderId="145" xfId="0" applyNumberFormat="1" applyFont="1" applyBorder="1" applyAlignment="1">
      <alignment horizontal="center" vertical="center"/>
    </xf>
    <xf numFmtId="0" fontId="1" fillId="0" borderId="210" xfId="0" applyFont="1" applyBorder="1" applyAlignment="1">
      <alignment horizontal="justify" vertical="center" wrapText="1"/>
    </xf>
    <xf numFmtId="2" fontId="0" fillId="0" borderId="144" xfId="0" applyNumberFormat="1" applyBorder="1" applyAlignment="1">
      <alignment horizontal="left" wrapText="1"/>
    </xf>
    <xf numFmtId="4" fontId="0" fillId="0" borderId="145" xfId="0" applyNumberFormat="1" applyBorder="1" applyAlignment="1">
      <alignment vertical="center"/>
    </xf>
    <xf numFmtId="2" fontId="71" fillId="0" borderId="144" xfId="0" applyNumberFormat="1" applyFont="1" applyBorder="1" applyAlignment="1">
      <alignment horizontal="center" vertical="center"/>
    </xf>
    <xf numFmtId="0" fontId="77" fillId="0" borderId="2" xfId="0" applyFont="1" applyBorder="1" applyAlignment="1">
      <alignment horizontal="center" vertical="center" wrapText="1"/>
    </xf>
    <xf numFmtId="43" fontId="5" fillId="0" borderId="0" xfId="10" applyNumberFormat="1" applyFont="1" applyAlignment="1">
      <alignment horizontal="right" vertical="center" wrapText="1"/>
    </xf>
    <xf numFmtId="3" fontId="79" fillId="0" borderId="0" xfId="10" applyNumberFormat="1" applyFont="1" applyAlignment="1">
      <alignment vertical="center" wrapText="1"/>
    </xf>
    <xf numFmtId="2" fontId="5" fillId="0" borderId="0" xfId="10" applyNumberFormat="1" applyFont="1" applyAlignment="1">
      <alignment horizontal="right" vertical="center" wrapText="1"/>
    </xf>
    <xf numFmtId="0" fontId="5" fillId="0" borderId="0" xfId="10" applyFont="1" applyAlignment="1">
      <alignment horizontal="left" vertical="center" wrapText="1" shrinkToFit="1"/>
    </xf>
    <xf numFmtId="2" fontId="78" fillId="0" borderId="0" xfId="10" applyNumberFormat="1" applyFont="1" applyAlignment="1">
      <alignment horizontal="right" vertical="center" wrapText="1"/>
    </xf>
    <xf numFmtId="3" fontId="78" fillId="0" borderId="0" xfId="10" applyNumberFormat="1" applyFont="1" applyAlignment="1">
      <alignment vertical="center" wrapText="1"/>
    </xf>
    <xf numFmtId="3" fontId="78" fillId="0" borderId="0" xfId="10" applyNumberFormat="1" applyFont="1" applyAlignment="1">
      <alignment horizontal="left" vertical="center" wrapText="1"/>
    </xf>
    <xf numFmtId="43" fontId="5" fillId="0" borderId="0" xfId="12" applyFont="1" applyFill="1" applyBorder="1" applyAlignment="1">
      <alignment horizontal="right" vertical="center"/>
    </xf>
    <xf numFmtId="0" fontId="78" fillId="0" borderId="0" xfId="10" applyFont="1" applyAlignment="1">
      <alignment horizontal="left" vertical="center" wrapText="1" shrinkToFit="1"/>
    </xf>
    <xf numFmtId="43" fontId="78" fillId="0" borderId="0" xfId="12" applyFont="1" applyFill="1" applyBorder="1" applyAlignment="1">
      <alignment horizontal="right" vertical="center"/>
    </xf>
    <xf numFmtId="43" fontId="78" fillId="0" borderId="0" xfId="10" applyNumberFormat="1" applyFont="1" applyAlignment="1">
      <alignment horizontal="right" vertical="center" wrapText="1"/>
    </xf>
    <xf numFmtId="0" fontId="5" fillId="0" borderId="0" xfId="10" applyFont="1" applyAlignment="1">
      <alignment horizontal="left" vertical="center" wrapText="1"/>
    </xf>
    <xf numFmtId="0" fontId="5" fillId="0" borderId="0" xfId="10" applyFont="1" applyAlignment="1">
      <alignment horizontal="left"/>
    </xf>
    <xf numFmtId="4" fontId="78" fillId="0" borderId="0" xfId="10" applyNumberFormat="1" applyFont="1" applyAlignment="1">
      <alignment horizontal="right" vertical="center" wrapText="1"/>
    </xf>
    <xf numFmtId="0" fontId="29" fillId="0" borderId="228" xfId="0" applyFont="1" applyBorder="1" applyAlignment="1">
      <alignment horizontal="justify" vertical="center" wrapText="1"/>
    </xf>
    <xf numFmtId="3" fontId="78" fillId="0" borderId="101" xfId="10" applyNumberFormat="1" applyFont="1" applyBorder="1" applyAlignment="1">
      <alignment vertical="center" wrapText="1"/>
    </xf>
    <xf numFmtId="3" fontId="78" fillId="0" borderId="101" xfId="10" applyNumberFormat="1" applyFont="1" applyBorder="1" applyAlignment="1">
      <alignment horizontal="left" vertical="center" wrapText="1"/>
    </xf>
    <xf numFmtId="0" fontId="78" fillId="0" borderId="101" xfId="10" applyFont="1" applyBorder="1" applyAlignment="1">
      <alignment horizontal="left" vertical="center" wrapText="1" shrinkToFit="1"/>
    </xf>
    <xf numFmtId="3" fontId="79" fillId="0" borderId="141" xfId="10" applyNumberFormat="1" applyFont="1" applyBorder="1" applyAlignment="1">
      <alignment vertical="center" wrapText="1"/>
    </xf>
    <xf numFmtId="3" fontId="79" fillId="0" borderId="95" xfId="10" applyNumberFormat="1" applyFont="1" applyBorder="1" applyAlignment="1">
      <alignment vertical="center" wrapText="1"/>
    </xf>
    <xf numFmtId="3" fontId="78" fillId="0" borderId="149" xfId="10" applyNumberFormat="1" applyFont="1" applyBorder="1" applyAlignment="1">
      <alignment vertical="center" wrapText="1"/>
    </xf>
    <xf numFmtId="2" fontId="78" fillId="0" borderId="75" xfId="10" applyNumberFormat="1" applyFont="1" applyBorder="1" applyAlignment="1">
      <alignment horizontal="right" vertical="center" wrapText="1"/>
    </xf>
    <xf numFmtId="3" fontId="79" fillId="0" borderId="138" xfId="10" applyNumberFormat="1" applyFont="1" applyBorder="1" applyAlignment="1">
      <alignment vertical="center" wrapText="1"/>
    </xf>
    <xf numFmtId="3" fontId="79" fillId="0" borderId="227" xfId="10" applyNumberFormat="1" applyFont="1" applyBorder="1" applyAlignment="1">
      <alignment vertical="center" wrapText="1"/>
    </xf>
    <xf numFmtId="43" fontId="78" fillId="0" borderId="75" xfId="10" applyNumberFormat="1" applyFont="1" applyBorder="1" applyAlignment="1">
      <alignment horizontal="right" vertical="center" wrapText="1"/>
    </xf>
    <xf numFmtId="43" fontId="78" fillId="0" borderId="75" xfId="12" applyFont="1" applyFill="1" applyBorder="1" applyAlignment="1">
      <alignment horizontal="right" vertical="center"/>
    </xf>
    <xf numFmtId="2" fontId="78" fillId="0" borderId="96" xfId="10" applyNumberFormat="1" applyFont="1" applyBorder="1" applyAlignment="1">
      <alignment horizontal="right" vertical="center" wrapText="1"/>
    </xf>
    <xf numFmtId="43" fontId="78" fillId="0" borderId="96" xfId="10" applyNumberFormat="1" applyFont="1" applyBorder="1" applyAlignment="1">
      <alignment horizontal="right" vertical="center" wrapText="1"/>
    </xf>
    <xf numFmtId="0" fontId="5" fillId="0" borderId="101" xfId="10" applyFont="1" applyBorder="1" applyAlignment="1">
      <alignment horizontal="left" vertical="center" wrapText="1" shrinkToFit="1"/>
    </xf>
    <xf numFmtId="0" fontId="29" fillId="0" borderId="165" xfId="0" applyFont="1" applyBorder="1" applyAlignment="1">
      <alignment horizontal="left" vertical="center"/>
    </xf>
    <xf numFmtId="2" fontId="5" fillId="0" borderId="75" xfId="10" applyNumberFormat="1" applyFont="1" applyBorder="1" applyAlignment="1">
      <alignment horizontal="right" vertical="center" wrapText="1"/>
    </xf>
    <xf numFmtId="43" fontId="5" fillId="0" borderId="75" xfId="10" applyNumberFormat="1" applyFont="1" applyBorder="1" applyAlignment="1">
      <alignment horizontal="right" vertical="center" wrapText="1"/>
    </xf>
    <xf numFmtId="43" fontId="5" fillId="0" borderId="75" xfId="12" applyFont="1" applyFill="1" applyBorder="1" applyAlignment="1">
      <alignment horizontal="right" vertical="center"/>
    </xf>
    <xf numFmtId="3" fontId="78" fillId="0" borderId="101" xfId="0" applyNumberFormat="1" applyFont="1" applyBorder="1" applyAlignment="1">
      <alignment horizontal="left" vertical="center" wrapText="1"/>
    </xf>
    <xf numFmtId="2" fontId="78" fillId="0" borderId="75" xfId="0" applyNumberFormat="1" applyFont="1" applyBorder="1" applyAlignment="1">
      <alignment horizontal="center" vertical="center" wrapText="1"/>
    </xf>
    <xf numFmtId="4" fontId="49" fillId="0" borderId="107" xfId="0" applyNumberFormat="1" applyFont="1" applyBorder="1" applyAlignment="1">
      <alignment horizontal="right" vertical="center"/>
    </xf>
    <xf numFmtId="0" fontId="11" fillId="0" borderId="25" xfId="0" applyFont="1" applyBorder="1" applyAlignment="1">
      <alignment horizontal="left" vertical="center"/>
    </xf>
    <xf numFmtId="0" fontId="47" fillId="0" borderId="26" xfId="0" applyFont="1" applyBorder="1" applyAlignment="1">
      <alignment horizontal="center"/>
    </xf>
    <xf numFmtId="2" fontId="50" fillId="0" borderId="26" xfId="0" applyNumberFormat="1" applyFont="1" applyBorder="1" applyAlignment="1">
      <alignment horizontal="center" vertical="center"/>
    </xf>
    <xf numFmtId="2" fontId="50" fillId="0" borderId="26" xfId="0" applyNumberFormat="1" applyFont="1" applyBorder="1" applyAlignment="1">
      <alignment vertical="center"/>
    </xf>
    <xf numFmtId="0" fontId="26" fillId="0" borderId="57" xfId="0" applyFont="1" applyBorder="1" applyAlignment="1">
      <alignment horizontal="center" vertical="center"/>
    </xf>
    <xf numFmtId="0" fontId="27" fillId="0" borderId="59" xfId="0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vertical="center"/>
    </xf>
    <xf numFmtId="49" fontId="1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left" vertical="center"/>
    </xf>
    <xf numFmtId="49" fontId="12" fillId="0" borderId="65" xfId="0" quotePrefix="1" applyNumberFormat="1" applyFont="1" applyBorder="1" applyAlignment="1">
      <alignment horizontal="center" vertical="center"/>
    </xf>
    <xf numFmtId="49" fontId="12" fillId="0" borderId="65" xfId="0" applyNumberFormat="1" applyFont="1" applyBorder="1" applyAlignment="1">
      <alignment horizontal="center" vertical="center"/>
    </xf>
    <xf numFmtId="49" fontId="11" fillId="0" borderId="75" xfId="0" applyNumberFormat="1" applyFont="1" applyBorder="1" applyAlignment="1">
      <alignment horizontal="center" vertical="center"/>
    </xf>
    <xf numFmtId="49" fontId="11" fillId="0" borderId="89" xfId="0" applyNumberFormat="1" applyFont="1" applyBorder="1" applyAlignment="1">
      <alignment vertical="center"/>
    </xf>
    <xf numFmtId="49" fontId="12" fillId="0" borderId="89" xfId="0" applyNumberFormat="1" applyFont="1" applyBorder="1" applyAlignment="1">
      <alignment horizontal="center" vertical="center"/>
    </xf>
    <xf numFmtId="49" fontId="11" fillId="0" borderId="89" xfId="0" applyNumberFormat="1" applyFont="1" applyBorder="1" applyAlignment="1">
      <alignment horizontal="center" vertical="center"/>
    </xf>
    <xf numFmtId="49" fontId="12" fillId="0" borderId="117" xfId="0" applyNumberFormat="1" applyFont="1" applyBorder="1" applyAlignment="1">
      <alignment vertical="center"/>
    </xf>
    <xf numFmtId="49" fontId="11" fillId="0" borderId="117" xfId="0" applyNumberFormat="1" applyFont="1" applyBorder="1" applyAlignment="1">
      <alignment vertical="center"/>
    </xf>
    <xf numFmtId="49" fontId="11" fillId="0" borderId="18" xfId="0" applyNumberFormat="1" applyFont="1" applyBorder="1" applyAlignment="1">
      <alignment vertical="center"/>
    </xf>
    <xf numFmtId="49" fontId="12" fillId="0" borderId="114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vertical="center"/>
    </xf>
    <xf numFmtId="0" fontId="0" fillId="0" borderId="45" xfId="0" applyBorder="1" applyAlignment="1">
      <alignment horizontal="center"/>
    </xf>
    <xf numFmtId="0" fontId="12" fillId="0" borderId="45" xfId="0" applyFont="1" applyBorder="1" applyAlignment="1">
      <alignment horizontal="center" vertical="center"/>
    </xf>
    <xf numFmtId="49" fontId="12" fillId="0" borderId="89" xfId="0" applyNumberFormat="1" applyFont="1" applyBorder="1" applyAlignment="1">
      <alignment vertical="center"/>
    </xf>
    <xf numFmtId="49" fontId="12" fillId="0" borderId="116" xfId="0" applyNumberFormat="1" applyFont="1" applyBorder="1" applyAlignment="1">
      <alignment vertical="center"/>
    </xf>
    <xf numFmtId="0" fontId="12" fillId="0" borderId="48" xfId="0" applyFont="1" applyBorder="1" applyAlignment="1">
      <alignment horizontal="right" vertical="center"/>
    </xf>
    <xf numFmtId="49" fontId="12" fillId="0" borderId="91" xfId="0" applyNumberFormat="1" applyFont="1" applyBorder="1" applyAlignment="1">
      <alignment vertical="center"/>
    </xf>
    <xf numFmtId="49" fontId="12" fillId="0" borderId="119" xfId="0" applyNumberFormat="1" applyFont="1" applyBorder="1" applyAlignment="1">
      <alignment horizontal="center" vertical="center"/>
    </xf>
    <xf numFmtId="49" fontId="12" fillId="0" borderId="120" xfId="0" applyNumberFormat="1" applyFont="1" applyBorder="1" applyAlignment="1">
      <alignment horizontal="center" vertical="center"/>
    </xf>
    <xf numFmtId="49" fontId="12" fillId="0" borderId="32" xfId="0" applyNumberFormat="1" applyFont="1" applyBorder="1" applyAlignment="1">
      <alignment vertical="center"/>
    </xf>
    <xf numFmtId="0" fontId="12" fillId="0" borderId="89" xfId="0" applyFont="1" applyBorder="1" applyAlignment="1">
      <alignment horizontal="right" vertical="center"/>
    </xf>
    <xf numFmtId="49" fontId="12" fillId="0" borderId="27" xfId="0" applyNumberFormat="1" applyFont="1" applyBorder="1" applyAlignment="1">
      <alignment horizontal="center" vertical="center"/>
    </xf>
    <xf numFmtId="49" fontId="12" fillId="0" borderId="128" xfId="0" applyNumberFormat="1" applyFont="1" applyBorder="1" applyAlignment="1">
      <alignment horizontal="center" vertical="center"/>
    </xf>
    <xf numFmtId="49" fontId="12" fillId="0" borderId="131" xfId="0" applyNumberFormat="1" applyFont="1" applyBorder="1" applyAlignment="1">
      <alignment horizontal="center" vertical="center"/>
    </xf>
    <xf numFmtId="0" fontId="12" fillId="0" borderId="89" xfId="0" applyFont="1" applyBorder="1" applyAlignment="1">
      <alignment horizontal="center" vertical="center"/>
    </xf>
    <xf numFmtId="0" fontId="1" fillId="0" borderId="65" xfId="0" quotePrefix="1" applyFont="1" applyBorder="1" applyAlignment="1">
      <alignment horizontal="center" vertical="center" wrapText="1"/>
    </xf>
    <xf numFmtId="0" fontId="1" fillId="0" borderId="114" xfId="0" quotePrefix="1" applyFont="1" applyBorder="1" applyAlignment="1">
      <alignment horizontal="left" vertical="center" wrapText="1"/>
    </xf>
    <xf numFmtId="0" fontId="1" fillId="0" borderId="65" xfId="0" applyFont="1" applyBorder="1" applyAlignment="1">
      <alignment horizontal="left" vertical="center" wrapText="1"/>
    </xf>
    <xf numFmtId="0" fontId="12" fillId="0" borderId="120" xfId="0" applyFont="1" applyBorder="1" applyAlignment="1">
      <alignment horizontal="right" vertical="center"/>
    </xf>
    <xf numFmtId="0" fontId="1" fillId="0" borderId="65" xfId="0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49" fontId="12" fillId="0" borderId="54" xfId="0" applyNumberFormat="1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0" fillId="0" borderId="18" xfId="0" quotePrefix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0" fillId="0" borderId="65" xfId="0" quotePrefix="1" applyBorder="1" applyAlignment="1">
      <alignment horizontal="center" vertical="center" wrapText="1"/>
    </xf>
    <xf numFmtId="0" fontId="1" fillId="0" borderId="116" xfId="0" applyFont="1" applyBorder="1" applyAlignment="1">
      <alignment horizontal="center" vertical="center" wrapText="1"/>
    </xf>
    <xf numFmtId="49" fontId="12" fillId="0" borderId="2" xfId="0" quotePrefix="1" applyNumberFormat="1" applyFont="1" applyBorder="1" applyAlignment="1">
      <alignment horizontal="center" vertical="center"/>
    </xf>
    <xf numFmtId="49" fontId="12" fillId="0" borderId="18" xfId="0" quotePrefix="1" applyNumberFormat="1" applyFont="1" applyBorder="1" applyAlignment="1">
      <alignment horizontal="center" vertical="center"/>
    </xf>
    <xf numFmtId="49" fontId="12" fillId="0" borderId="114" xfId="0" quotePrefix="1" applyNumberFormat="1" applyFont="1" applyBorder="1" applyAlignment="1">
      <alignment horizontal="center" vertical="center"/>
    </xf>
    <xf numFmtId="49" fontId="12" fillId="0" borderId="94" xfId="0" quotePrefix="1" applyNumberFormat="1" applyFont="1" applyBorder="1" applyAlignment="1">
      <alignment horizontal="center" vertical="center"/>
    </xf>
    <xf numFmtId="0" fontId="17" fillId="0" borderId="65" xfId="0" applyFont="1" applyBorder="1" applyAlignment="1">
      <alignment horizontal="center" vertical="center" wrapText="1"/>
    </xf>
    <xf numFmtId="0" fontId="1" fillId="0" borderId="119" xfId="0" applyFont="1" applyBorder="1" applyAlignment="1">
      <alignment horizontal="center" vertical="center" wrapText="1"/>
    </xf>
    <xf numFmtId="0" fontId="12" fillId="0" borderId="113" xfId="0" applyFont="1" applyBorder="1" applyAlignment="1">
      <alignment horizontal="right" vertical="center"/>
    </xf>
    <xf numFmtId="0" fontId="1" fillId="0" borderId="94" xfId="0" applyFont="1" applyBorder="1" applyAlignment="1">
      <alignment horizontal="center" vertical="center" wrapText="1"/>
    </xf>
    <xf numFmtId="0" fontId="29" fillId="0" borderId="149" xfId="0" applyFont="1" applyBorder="1" applyAlignment="1">
      <alignment horizontal="left" vertical="center"/>
    </xf>
    <xf numFmtId="0" fontId="29" fillId="0" borderId="217" xfId="0" applyFont="1" applyBorder="1" applyAlignment="1">
      <alignment horizontal="left" vertical="center"/>
    </xf>
    <xf numFmtId="0" fontId="29" fillId="0" borderId="75" xfId="0" applyFont="1" applyBorder="1" applyAlignment="1">
      <alignment horizontal="left" vertical="center"/>
    </xf>
    <xf numFmtId="170" fontId="29" fillId="0" borderId="191" xfId="4" applyFont="1" applyFill="1" applyBorder="1" applyAlignment="1">
      <alignment horizontal="center" vertical="center"/>
    </xf>
    <xf numFmtId="49" fontId="12" fillId="0" borderId="120" xfId="0" applyNumberFormat="1" applyFont="1" applyBorder="1" applyAlignment="1">
      <alignment vertical="center"/>
    </xf>
    <xf numFmtId="49" fontId="12" fillId="0" borderId="114" xfId="0" applyNumberFormat="1" applyFont="1" applyBorder="1" applyAlignment="1">
      <alignment vertical="center"/>
    </xf>
    <xf numFmtId="49" fontId="12" fillId="0" borderId="18" xfId="0" applyNumberFormat="1" applyFont="1" applyBorder="1" applyAlignment="1">
      <alignment vertical="center"/>
    </xf>
    <xf numFmtId="49" fontId="12" fillId="0" borderId="44" xfId="0" applyNumberFormat="1" applyFont="1" applyBorder="1" applyAlignment="1">
      <alignment horizontal="center" vertical="center"/>
    </xf>
    <xf numFmtId="49" fontId="12" fillId="0" borderId="44" xfId="0" applyNumberFormat="1" applyFont="1" applyBorder="1" applyAlignment="1">
      <alignment vertical="center"/>
    </xf>
    <xf numFmtId="49" fontId="12" fillId="0" borderId="25" xfId="0" applyNumberFormat="1" applyFont="1" applyBorder="1" applyAlignment="1">
      <alignment vertical="center"/>
    </xf>
    <xf numFmtId="2" fontId="80" fillId="0" borderId="101" xfId="0" applyNumberFormat="1" applyFont="1" applyBorder="1" applyAlignment="1">
      <alignment horizontal="left" vertical="center"/>
    </xf>
    <xf numFmtId="2" fontId="22" fillId="0" borderId="101" xfId="0" applyNumberFormat="1" applyFont="1" applyBorder="1" applyAlignment="1">
      <alignment horizontal="left" vertical="center"/>
    </xf>
    <xf numFmtId="2" fontId="22" fillId="0" borderId="75" xfId="0" applyNumberFormat="1" applyFont="1" applyBorder="1" applyAlignment="1">
      <alignment horizontal="right" vertical="center"/>
    </xf>
    <xf numFmtId="43" fontId="5" fillId="0" borderId="75" xfId="3" applyFont="1" applyFill="1" applyBorder="1" applyAlignment="1">
      <alignment horizontal="right" vertical="center"/>
    </xf>
    <xf numFmtId="43" fontId="5" fillId="0" borderId="123" xfId="3" applyFont="1" applyFill="1" applyBorder="1" applyAlignment="1">
      <alignment vertical="center"/>
    </xf>
    <xf numFmtId="2" fontId="78" fillId="0" borderId="75" xfId="0" applyNumberFormat="1" applyFont="1" applyBorder="1" applyAlignment="1">
      <alignment horizontal="right" vertical="center" wrapText="1"/>
    </xf>
    <xf numFmtId="2" fontId="78" fillId="0" borderId="123" xfId="0" applyNumberFormat="1" applyFont="1" applyBorder="1" applyAlignment="1">
      <alignment vertical="center" wrapText="1"/>
    </xf>
    <xf numFmtId="2" fontId="46" fillId="0" borderId="75" xfId="0" applyNumberFormat="1" applyFont="1" applyBorder="1" applyAlignment="1">
      <alignment horizontal="right" vertical="center" wrapText="1"/>
    </xf>
    <xf numFmtId="49" fontId="12" fillId="0" borderId="32" xfId="0" applyNumberFormat="1" applyFont="1" applyBorder="1" applyAlignment="1">
      <alignment horizontal="center" vertical="center"/>
    </xf>
    <xf numFmtId="49" fontId="12" fillId="0" borderId="27" xfId="0" applyNumberFormat="1" applyFont="1" applyBorder="1" applyAlignment="1">
      <alignment vertical="center"/>
    </xf>
    <xf numFmtId="43" fontId="5" fillId="0" borderId="96" xfId="3" applyFont="1" applyFill="1" applyBorder="1" applyAlignment="1">
      <alignment horizontal="right" vertical="center"/>
    </xf>
    <xf numFmtId="49" fontId="12" fillId="0" borderId="26" xfId="0" applyNumberFormat="1" applyFont="1" applyBorder="1" applyAlignment="1">
      <alignment vertical="center" wrapText="1"/>
    </xf>
    <xf numFmtId="0" fontId="5" fillId="0" borderId="101" xfId="0" applyFont="1" applyBorder="1" applyAlignment="1">
      <alignment horizontal="left" vertical="center" wrapText="1" shrinkToFit="1"/>
    </xf>
    <xf numFmtId="0" fontId="5" fillId="0" borderId="149" xfId="0" applyFont="1" applyBorder="1" applyAlignment="1">
      <alignment horizontal="left" vertical="center" wrapText="1" shrinkToFit="1"/>
    </xf>
    <xf numFmtId="2" fontId="22" fillId="0" borderId="75" xfId="0" applyNumberFormat="1" applyFont="1" applyBorder="1" applyAlignment="1">
      <alignment horizontal="center" vertical="center"/>
    </xf>
    <xf numFmtId="2" fontId="78" fillId="0" borderId="96" xfId="0" applyNumberFormat="1" applyFont="1" applyBorder="1" applyAlignment="1">
      <alignment horizontal="center" vertical="center" wrapText="1"/>
    </xf>
    <xf numFmtId="2" fontId="5" fillId="0" borderId="75" xfId="3" applyNumberFormat="1" applyFont="1" applyFill="1" applyBorder="1" applyAlignment="1">
      <alignment horizontal="center" vertical="center"/>
    </xf>
    <xf numFmtId="2" fontId="5" fillId="0" borderId="96" xfId="3" applyNumberFormat="1" applyFont="1" applyFill="1" applyBorder="1" applyAlignment="1">
      <alignment horizontal="center" vertical="center"/>
    </xf>
    <xf numFmtId="2" fontId="29" fillId="0" borderId="101" xfId="0" applyNumberFormat="1" applyFont="1" applyBorder="1" applyAlignment="1">
      <alignment horizontal="left" vertical="center"/>
    </xf>
    <xf numFmtId="49" fontId="12" fillId="0" borderId="190" xfId="0" applyNumberFormat="1" applyFont="1" applyBorder="1" applyAlignment="1">
      <alignment vertical="center"/>
    </xf>
    <xf numFmtId="49" fontId="12" fillId="0" borderId="182" xfId="0" applyNumberFormat="1" applyFont="1" applyBorder="1" applyAlignment="1">
      <alignment vertical="center"/>
    </xf>
    <xf numFmtId="49" fontId="12" fillId="0" borderId="121" xfId="0" applyNumberFormat="1" applyFont="1" applyBorder="1" applyAlignment="1">
      <alignment vertical="center"/>
    </xf>
    <xf numFmtId="49" fontId="12" fillId="0" borderId="149" xfId="0" applyNumberFormat="1" applyFont="1" applyBorder="1" applyAlignment="1">
      <alignment vertical="center"/>
    </xf>
    <xf numFmtId="49" fontId="12" fillId="0" borderId="122" xfId="0" applyNumberFormat="1" applyFont="1" applyBorder="1" applyAlignment="1">
      <alignment vertical="center"/>
    </xf>
    <xf numFmtId="0" fontId="43" fillId="0" borderId="79" xfId="0" applyFont="1" applyBorder="1" applyAlignment="1">
      <alignment vertical="top" wrapText="1"/>
    </xf>
    <xf numFmtId="0" fontId="43" fillId="0" borderId="101" xfId="0" applyFont="1" applyBorder="1" applyAlignment="1">
      <alignment horizontal="center" vertical="top" wrapText="1"/>
    </xf>
    <xf numFmtId="2" fontId="44" fillId="0" borderId="101" xfId="0" applyNumberFormat="1" applyFont="1" applyBorder="1" applyAlignment="1">
      <alignment horizontal="center" vertical="top" shrinkToFit="1"/>
    </xf>
    <xf numFmtId="2" fontId="0" fillId="0" borderId="96" xfId="0" applyNumberFormat="1" applyBorder="1" applyAlignment="1">
      <alignment horizontal="center" wrapText="1"/>
    </xf>
    <xf numFmtId="0" fontId="43" fillId="0" borderId="101" xfId="0" applyFont="1" applyBorder="1" applyAlignment="1">
      <alignment horizontal="left" vertical="center" wrapText="1"/>
    </xf>
    <xf numFmtId="2" fontId="44" fillId="0" borderId="75" xfId="0" applyNumberFormat="1" applyFont="1" applyBorder="1" applyAlignment="1">
      <alignment horizontal="center" vertical="center" shrinkToFit="1"/>
    </xf>
    <xf numFmtId="2" fontId="29" fillId="0" borderId="180" xfId="0" applyNumberFormat="1" applyFont="1" applyBorder="1" applyAlignment="1">
      <alignment horizontal="center" vertical="center"/>
    </xf>
    <xf numFmtId="49" fontId="12" fillId="0" borderId="165" xfId="0" applyNumberFormat="1" applyFont="1" applyBorder="1" applyAlignment="1">
      <alignment vertical="center"/>
    </xf>
    <xf numFmtId="0" fontId="43" fillId="0" borderId="101" xfId="0" applyFont="1" applyBorder="1" applyAlignment="1">
      <alignment vertical="top" wrapText="1"/>
    </xf>
    <xf numFmtId="0" fontId="43" fillId="0" borderId="75" xfId="0" applyFont="1" applyBorder="1" applyAlignment="1">
      <alignment horizontal="center" vertical="center" wrapText="1"/>
    </xf>
    <xf numFmtId="2" fontId="43" fillId="0" borderId="75" xfId="0" applyNumberFormat="1" applyFont="1" applyBorder="1" applyAlignment="1">
      <alignment horizontal="center" vertical="center" wrapText="1"/>
    </xf>
    <xf numFmtId="0" fontId="1" fillId="0" borderId="137" xfId="0" applyFont="1" applyBorder="1" applyAlignment="1">
      <alignment horizontal="left" vertical="top" wrapText="1"/>
    </xf>
    <xf numFmtId="0" fontId="1" fillId="0" borderId="101" xfId="0" applyFont="1" applyBorder="1" applyAlignment="1">
      <alignment horizontal="left" vertical="top" wrapText="1"/>
    </xf>
    <xf numFmtId="0" fontId="1" fillId="0" borderId="75" xfId="0" applyFont="1" applyBorder="1" applyAlignment="1">
      <alignment horizontal="center"/>
    </xf>
    <xf numFmtId="4" fontId="43" fillId="0" borderId="209" xfId="0" applyNumberFormat="1" applyFont="1" applyBorder="1" applyAlignment="1">
      <alignment vertical="center"/>
    </xf>
    <xf numFmtId="2" fontId="0" fillId="0" borderId="0" xfId="0" applyNumberFormat="1" applyAlignment="1">
      <alignment horizontal="center"/>
    </xf>
    <xf numFmtId="0" fontId="0" fillId="0" borderId="217" xfId="0" applyBorder="1" applyAlignment="1">
      <alignment horizontal="justify" vertical="center" wrapText="1"/>
    </xf>
    <xf numFmtId="2" fontId="0" fillId="0" borderId="191" xfId="0" applyNumberFormat="1" applyBorder="1" applyAlignment="1">
      <alignment horizontal="center"/>
    </xf>
    <xf numFmtId="0" fontId="45" fillId="0" borderId="101" xfId="0" applyFont="1" applyBorder="1" applyAlignment="1">
      <alignment vertical="top" wrapText="1"/>
    </xf>
    <xf numFmtId="2" fontId="44" fillId="0" borderId="75" xfId="0" applyNumberFormat="1" applyFont="1" applyBorder="1" applyAlignment="1">
      <alignment vertical="top" shrinkToFit="1"/>
    </xf>
    <xf numFmtId="0" fontId="5" fillId="0" borderId="75" xfId="0" applyFont="1" applyBorder="1" applyAlignment="1">
      <alignment wrapText="1"/>
    </xf>
    <xf numFmtId="2" fontId="44" fillId="0" borderId="75" xfId="0" applyNumberFormat="1" applyFont="1" applyBorder="1" applyAlignment="1">
      <alignment horizontal="center" vertical="top" shrinkToFit="1"/>
    </xf>
    <xf numFmtId="0" fontId="5" fillId="0" borderId="75" xfId="0" applyFont="1" applyBorder="1" applyAlignment="1">
      <alignment horizontal="center" wrapText="1"/>
    </xf>
    <xf numFmtId="0" fontId="81" fillId="0" borderId="101" xfId="0" applyFont="1" applyBorder="1" applyAlignment="1">
      <alignment vertical="top" wrapText="1"/>
    </xf>
    <xf numFmtId="0" fontId="11" fillId="0" borderId="0" xfId="0" applyFont="1" applyAlignment="1">
      <alignment horizontal="left" vertical="center"/>
    </xf>
    <xf numFmtId="49" fontId="12" fillId="0" borderId="0" xfId="0" applyNumberFormat="1" applyFont="1" applyAlignment="1">
      <alignment vertical="center"/>
    </xf>
    <xf numFmtId="2" fontId="0" fillId="0" borderId="103" xfId="0" applyNumberFormat="1" applyBorder="1" applyAlignment="1">
      <alignment horizontal="justify" vertical="center" wrapText="1"/>
    </xf>
    <xf numFmtId="2" fontId="0" fillId="0" borderId="103" xfId="0" applyNumberFormat="1" applyBorder="1" applyAlignment="1">
      <alignment horizontal="center" vertical="center" wrapText="1"/>
    </xf>
    <xf numFmtId="49" fontId="12" fillId="0" borderId="119" xfId="0" applyNumberFormat="1" applyFont="1" applyBorder="1" applyAlignment="1">
      <alignment vertical="center"/>
    </xf>
    <xf numFmtId="0" fontId="42" fillId="0" borderId="101" xfId="0" applyFont="1" applyBorder="1" applyAlignment="1">
      <alignment vertical="top" wrapText="1"/>
    </xf>
    <xf numFmtId="49" fontId="12" fillId="0" borderId="92" xfId="0" quotePrefix="1" applyNumberFormat="1" applyFont="1" applyBorder="1" applyAlignment="1">
      <alignment vertical="center"/>
    </xf>
    <xf numFmtId="0" fontId="29" fillId="0" borderId="96" xfId="0" applyFont="1" applyBorder="1" applyAlignment="1">
      <alignment horizontal="left" vertical="center" wrapText="1"/>
    </xf>
    <xf numFmtId="49" fontId="12" fillId="0" borderId="13" xfId="0" applyNumberFormat="1" applyFont="1" applyBorder="1" applyAlignment="1">
      <alignment vertical="center"/>
    </xf>
    <xf numFmtId="2" fontId="29" fillId="0" borderId="97" xfId="0" applyNumberFormat="1" applyFont="1" applyBorder="1" applyAlignment="1">
      <alignment horizontal="center" vertical="center" wrapText="1" shrinkToFit="1"/>
    </xf>
    <xf numFmtId="1" fontId="0" fillId="0" borderId="0" xfId="0" applyNumberFormat="1" applyAlignment="1">
      <alignment horizontal="center"/>
    </xf>
    <xf numFmtId="1" fontId="0" fillId="0" borderId="134" xfId="0" applyNumberFormat="1" applyBorder="1" applyAlignment="1">
      <alignment horizontal="center" vertical="center"/>
    </xf>
    <xf numFmtId="0" fontId="29" fillId="0" borderId="75" xfId="0" applyFont="1" applyBorder="1" applyAlignment="1">
      <alignment horizontal="left" vertical="center" wrapText="1"/>
    </xf>
    <xf numFmtId="49" fontId="12" fillId="0" borderId="195" xfId="0" applyNumberFormat="1" applyFont="1" applyBorder="1" applyAlignment="1">
      <alignment vertical="center"/>
    </xf>
    <xf numFmtId="2" fontId="29" fillId="0" borderId="82" xfId="0" applyNumberFormat="1" applyFont="1" applyBorder="1" applyAlignment="1">
      <alignment horizontal="center" vertical="center"/>
    </xf>
    <xf numFmtId="0" fontId="56" fillId="0" borderId="0" xfId="13" applyFont="1" applyAlignment="1">
      <alignment vertical="top" wrapText="1"/>
    </xf>
    <xf numFmtId="0" fontId="56" fillId="0" borderId="231" xfId="13" applyFont="1" applyBorder="1" applyAlignment="1">
      <alignment vertical="top" wrapText="1"/>
    </xf>
    <xf numFmtId="0" fontId="86" fillId="0" borderId="79" xfId="13" applyFont="1" applyBorder="1" applyAlignment="1">
      <alignment vertical="top" wrapText="1"/>
    </xf>
    <xf numFmtId="0" fontId="56" fillId="0" borderId="98" xfId="13" applyFont="1" applyBorder="1" applyAlignment="1">
      <alignment vertical="top" wrapText="1"/>
    </xf>
    <xf numFmtId="0" fontId="86" fillId="0" borderId="75" xfId="13" applyFont="1" applyBorder="1" applyAlignment="1">
      <alignment vertical="top" wrapText="1"/>
    </xf>
    <xf numFmtId="0" fontId="56" fillId="0" borderId="75" xfId="13" applyFont="1" applyBorder="1" applyAlignment="1">
      <alignment vertical="top" wrapText="1"/>
    </xf>
    <xf numFmtId="2" fontId="56" fillId="0" borderId="98" xfId="13" applyNumberFormat="1" applyFont="1" applyBorder="1" applyAlignment="1">
      <alignment horizontal="center" vertical="top" wrapText="1"/>
    </xf>
    <xf numFmtId="2" fontId="56" fillId="0" borderId="0" xfId="13" applyNumberFormat="1" applyFont="1" applyAlignment="1">
      <alignment horizontal="center" vertical="top" wrapText="1"/>
    </xf>
    <xf numFmtId="2" fontId="56" fillId="0" borderId="75" xfId="13" applyNumberFormat="1" applyFont="1" applyBorder="1" applyAlignment="1">
      <alignment horizontal="center" vertical="top" wrapText="1"/>
    </xf>
    <xf numFmtId="2" fontId="29" fillId="0" borderId="123" xfId="0" applyNumberFormat="1" applyFont="1" applyBorder="1" applyAlignment="1">
      <alignment horizontal="center" vertical="center" wrapText="1"/>
    </xf>
    <xf numFmtId="2" fontId="0" fillId="0" borderId="96" xfId="0" applyNumberFormat="1" applyBorder="1" applyAlignment="1">
      <alignment horizontal="center"/>
    </xf>
    <xf numFmtId="2" fontId="29" fillId="0" borderId="96" xfId="0" applyNumberFormat="1" applyFont="1" applyBorder="1" applyAlignment="1">
      <alignment horizontal="center"/>
    </xf>
    <xf numFmtId="2" fontId="29" fillId="0" borderId="232" xfId="0" applyNumberFormat="1" applyFont="1" applyBorder="1" applyAlignment="1">
      <alignment horizontal="left" vertical="center"/>
    </xf>
    <xf numFmtId="49" fontId="12" fillId="0" borderId="206" xfId="0" applyNumberFormat="1" applyFont="1" applyBorder="1" applyAlignment="1">
      <alignment vertical="center"/>
    </xf>
    <xf numFmtId="49" fontId="12" fillId="0" borderId="207" xfId="0" applyNumberFormat="1" applyFont="1" applyBorder="1" applyAlignment="1">
      <alignment vertical="center"/>
    </xf>
    <xf numFmtId="49" fontId="12" fillId="0" borderId="83" xfId="0" applyNumberFormat="1" applyFont="1" applyBorder="1" applyAlignment="1">
      <alignment vertical="center"/>
    </xf>
    <xf numFmtId="2" fontId="14" fillId="0" borderId="98" xfId="0" applyNumberFormat="1" applyFont="1" applyBorder="1" applyAlignment="1">
      <alignment horizontal="right" vertical="center"/>
    </xf>
    <xf numFmtId="2" fontId="14" fillId="0" borderId="75" xfId="0" applyNumberFormat="1" applyFont="1" applyBorder="1" applyAlignment="1">
      <alignment horizontal="right" vertical="center"/>
    </xf>
    <xf numFmtId="0" fontId="11" fillId="0" borderId="98" xfId="0" applyFont="1" applyBorder="1" applyAlignment="1">
      <alignment horizontal="center" vertical="center"/>
    </xf>
    <xf numFmtId="2" fontId="29" fillId="0" borderId="231" xfId="0" applyNumberFormat="1" applyFont="1" applyBorder="1" applyAlignment="1">
      <alignment horizontal="center" vertical="center" wrapText="1" shrinkToFit="1"/>
    </xf>
    <xf numFmtId="0" fontId="12" fillId="0" borderId="233" xfId="0" applyFont="1" applyBorder="1" applyAlignment="1">
      <alignment horizontal="left" vertical="center"/>
    </xf>
    <xf numFmtId="0" fontId="12" fillId="0" borderId="231" xfId="0" applyFont="1" applyBorder="1" applyAlignment="1">
      <alignment horizontal="left" vertical="center"/>
    </xf>
    <xf numFmtId="49" fontId="12" fillId="0" borderId="92" xfId="0" applyNumberFormat="1" applyFont="1" applyBorder="1" applyAlignment="1">
      <alignment horizontal="center" vertical="center"/>
    </xf>
    <xf numFmtId="49" fontId="12" fillId="0" borderId="25" xfId="0" applyNumberFormat="1" applyFont="1" applyBorder="1" applyAlignment="1">
      <alignment horizontal="center" vertical="center"/>
    </xf>
    <xf numFmtId="49" fontId="12" fillId="0" borderId="89" xfId="0" quotePrefix="1" applyNumberFormat="1" applyFont="1" applyBorder="1" applyAlignment="1">
      <alignment horizontal="center" vertical="center"/>
    </xf>
    <xf numFmtId="2" fontId="69" fillId="0" borderId="97" xfId="0" applyNumberFormat="1" applyFont="1" applyBorder="1" applyAlignment="1">
      <alignment horizontal="left" vertical="center" wrapText="1"/>
    </xf>
    <xf numFmtId="0" fontId="56" fillId="0" borderId="75" xfId="0" applyFont="1" applyBorder="1" applyAlignment="1">
      <alignment vertical="top" wrapText="1"/>
    </xf>
    <xf numFmtId="2" fontId="69" fillId="0" borderId="97" xfId="0" applyNumberFormat="1" applyFont="1" applyBorder="1" applyAlignment="1">
      <alignment horizontal="center" vertical="center" wrapText="1"/>
    </xf>
    <xf numFmtId="0" fontId="89" fillId="0" borderId="75" xfId="0" applyFont="1" applyBorder="1" applyAlignment="1">
      <alignment vertical="top" wrapText="1"/>
    </xf>
    <xf numFmtId="0" fontId="56" fillId="0" borderId="79" xfId="0" applyFont="1" applyBorder="1" applyAlignment="1">
      <alignment vertical="top" wrapText="1"/>
    </xf>
    <xf numFmtId="0" fontId="89" fillId="0" borderId="79" xfId="0" applyFont="1" applyBorder="1" applyAlignment="1">
      <alignment vertical="top" wrapText="1"/>
    </xf>
    <xf numFmtId="2" fontId="11" fillId="0" borderId="80" xfId="0" applyNumberFormat="1" applyFont="1" applyBorder="1" applyAlignment="1">
      <alignment horizontal="center" vertical="center" wrapText="1"/>
    </xf>
    <xf numFmtId="2" fontId="90" fillId="0" borderId="75" xfId="0" applyNumberFormat="1" applyFont="1" applyBorder="1" applyAlignment="1">
      <alignment horizontal="center" vertical="center" shrinkToFit="1"/>
    </xf>
    <xf numFmtId="0" fontId="57" fillId="0" borderId="75" xfId="0" applyFont="1" applyBorder="1" applyAlignment="1">
      <alignment horizontal="center" vertical="center" wrapText="1"/>
    </xf>
    <xf numFmtId="172" fontId="63" fillId="0" borderId="75" xfId="0" applyNumberFormat="1" applyFont="1" applyBorder="1" applyAlignment="1">
      <alignment horizontal="center" vertical="center" shrinkToFit="1"/>
    </xf>
    <xf numFmtId="1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left" wrapText="1"/>
    </xf>
    <xf numFmtId="4" fontId="0" fillId="0" borderId="0" xfId="0" applyNumberFormat="1" applyAlignment="1">
      <alignment vertical="center"/>
    </xf>
    <xf numFmtId="49" fontId="12" fillId="0" borderId="92" xfId="0" applyNumberFormat="1" applyFont="1" applyBorder="1" applyAlignment="1">
      <alignment vertical="center"/>
    </xf>
    <xf numFmtId="0" fontId="0" fillId="0" borderId="26" xfId="0" applyBorder="1" applyAlignment="1">
      <alignment horizontal="justify" vertical="center" wrapText="1"/>
    </xf>
    <xf numFmtId="2" fontId="0" fillId="0" borderId="26" xfId="0" applyNumberFormat="1" applyBorder="1" applyAlignment="1">
      <alignment horizontal="center"/>
    </xf>
    <xf numFmtId="49" fontId="12" fillId="0" borderId="99" xfId="0" applyNumberFormat="1" applyFont="1" applyBorder="1" applyAlignment="1">
      <alignment vertical="center"/>
    </xf>
    <xf numFmtId="49" fontId="12" fillId="0" borderId="217" xfId="0" applyNumberFormat="1" applyFont="1" applyBorder="1" applyAlignment="1">
      <alignment vertical="center"/>
    </xf>
    <xf numFmtId="2" fontId="1" fillId="0" borderId="0" xfId="0" applyNumberFormat="1" applyFont="1" applyAlignment="1">
      <alignment horizontal="center" vertical="center"/>
    </xf>
    <xf numFmtId="0" fontId="30" fillId="0" borderId="13" xfId="0" applyFont="1" applyBorder="1" applyAlignment="1">
      <alignment vertical="center" wrapText="1"/>
    </xf>
    <xf numFmtId="0" fontId="30" fillId="0" borderId="14" xfId="0" applyFont="1" applyBorder="1" applyAlignment="1">
      <alignment vertical="center" wrapText="1"/>
    </xf>
    <xf numFmtId="0" fontId="30" fillId="0" borderId="73" xfId="0" applyFont="1" applyBorder="1" applyAlignment="1">
      <alignment vertical="center" wrapText="1"/>
    </xf>
    <xf numFmtId="0" fontId="30" fillId="0" borderId="44" xfId="0" applyFont="1" applyBorder="1" applyAlignment="1">
      <alignment vertical="center" wrapText="1"/>
    </xf>
    <xf numFmtId="0" fontId="30" fillId="0" borderId="0" xfId="0" applyFont="1" applyAlignment="1">
      <alignment vertical="center" wrapText="1"/>
    </xf>
    <xf numFmtId="0" fontId="30" fillId="0" borderId="77" xfId="0" applyFont="1" applyBorder="1" applyAlignment="1">
      <alignment vertical="center" wrapText="1"/>
    </xf>
    <xf numFmtId="0" fontId="30" fillId="0" borderId="179" xfId="0" applyFont="1" applyBorder="1" applyAlignment="1">
      <alignment vertical="center" wrapText="1"/>
    </xf>
    <xf numFmtId="0" fontId="30" fillId="0" borderId="49" xfId="0" applyFont="1" applyBorder="1" applyAlignment="1">
      <alignment vertical="center" wrapText="1"/>
    </xf>
    <xf numFmtId="0" fontId="30" fillId="0" borderId="50" xfId="0" applyFont="1" applyBorder="1" applyAlignment="1">
      <alignment vertical="center" wrapText="1"/>
    </xf>
    <xf numFmtId="9" fontId="30" fillId="0" borderId="77" xfId="0" applyNumberFormat="1" applyFont="1" applyBorder="1" applyAlignment="1">
      <alignment vertical="center" wrapText="1"/>
    </xf>
    <xf numFmtId="2" fontId="14" fillId="0" borderId="0" xfId="0" applyNumberFormat="1" applyFont="1" applyAlignment="1">
      <alignment horizontal="right" vertical="center"/>
    </xf>
    <xf numFmtId="44" fontId="1" fillId="0" borderId="23" xfId="0" applyNumberFormat="1" applyFont="1" applyBorder="1" applyAlignment="1">
      <alignment horizontal="center" vertical="center" wrapText="1"/>
    </xf>
    <xf numFmtId="49" fontId="12" fillId="0" borderId="149" xfId="0" applyNumberFormat="1" applyFont="1" applyBorder="1" applyAlignment="1">
      <alignment horizontal="center" vertical="center"/>
    </xf>
    <xf numFmtId="49" fontId="12" fillId="0" borderId="217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49" fontId="12" fillId="0" borderId="2" xfId="0" applyNumberFormat="1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 wrapText="1"/>
    </xf>
    <xf numFmtId="0" fontId="1" fillId="9" borderId="58" xfId="0" applyFont="1" applyFill="1" applyBorder="1" applyAlignment="1">
      <alignment horizontal="center" vertical="center"/>
    </xf>
    <xf numFmtId="10" fontId="17" fillId="17" borderId="58" xfId="0" applyNumberFormat="1" applyFont="1" applyFill="1" applyBorder="1" applyAlignment="1">
      <alignment horizontal="center" vertical="center"/>
    </xf>
    <xf numFmtId="10" fontId="1" fillId="5" borderId="58" xfId="0" applyNumberFormat="1" applyFont="1" applyFill="1" applyBorder="1" applyAlignment="1">
      <alignment horizontal="center" vertical="center"/>
    </xf>
    <xf numFmtId="10" fontId="0" fillId="0" borderId="58" xfId="0" applyNumberFormat="1" applyBorder="1" applyAlignment="1">
      <alignment horizontal="center" vertical="center"/>
    </xf>
    <xf numFmtId="10" fontId="47" fillId="0" borderId="58" xfId="0" applyNumberFormat="1" applyFont="1" applyBorder="1" applyAlignment="1">
      <alignment horizontal="center" vertical="center"/>
    </xf>
    <xf numFmtId="10" fontId="34" fillId="17" borderId="58" xfId="0" applyNumberFormat="1" applyFont="1" applyFill="1" applyBorder="1" applyAlignment="1">
      <alignment horizontal="center" vertical="center"/>
    </xf>
    <xf numFmtId="0" fontId="1" fillId="16" borderId="58" xfId="0" applyFont="1" applyFill="1" applyBorder="1" applyAlignment="1">
      <alignment horizontal="center" vertical="center"/>
    </xf>
    <xf numFmtId="10" fontId="1" fillId="16" borderId="58" xfId="0" applyNumberFormat="1" applyFont="1" applyFill="1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43" fontId="0" fillId="17" borderId="1" xfId="0" applyNumberFormat="1" applyFill="1" applyBorder="1" applyAlignment="1">
      <alignment horizontal="center" vertical="center"/>
    </xf>
    <xf numFmtId="43" fontId="1" fillId="5" borderId="1" xfId="0" applyNumberFormat="1" applyFont="1" applyFill="1" applyBorder="1" applyAlignment="1">
      <alignment horizontal="center" vertical="center"/>
    </xf>
    <xf numFmtId="43" fontId="0" fillId="0" borderId="1" xfId="0" applyNumberFormat="1" applyBorder="1" applyAlignment="1">
      <alignment horizontal="center" vertical="center"/>
    </xf>
    <xf numFmtId="43" fontId="17" fillId="17" borderId="1" xfId="0" applyNumberFormat="1" applyFont="1" applyFill="1" applyBorder="1" applyAlignment="1">
      <alignment horizontal="center" vertical="center"/>
    </xf>
    <xf numFmtId="43" fontId="47" fillId="0" borderId="1" xfId="0" applyNumberFormat="1" applyFont="1" applyBorder="1" applyAlignment="1">
      <alignment horizontal="center" vertical="center"/>
    </xf>
    <xf numFmtId="43" fontId="0" fillId="5" borderId="1" xfId="0" applyNumberFormat="1" applyFill="1" applyBorder="1" applyAlignment="1">
      <alignment horizontal="center" vertical="center"/>
    </xf>
    <xf numFmtId="0" fontId="1" fillId="7" borderId="58" xfId="0" applyFont="1" applyFill="1" applyBorder="1" applyAlignment="1">
      <alignment horizontal="center" vertical="center"/>
    </xf>
    <xf numFmtId="10" fontId="17" fillId="16" borderId="58" xfId="0" applyNumberFormat="1" applyFont="1" applyFill="1" applyBorder="1" applyAlignment="1">
      <alignment horizontal="center" vertical="center"/>
    </xf>
    <xf numFmtId="43" fontId="1" fillId="7" borderId="1" xfId="0" applyNumberFormat="1" applyFont="1" applyFill="1" applyBorder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44" fontId="1" fillId="12" borderId="23" xfId="0" applyNumberFormat="1" applyFont="1" applyFill="1" applyBorder="1" applyAlignment="1">
      <alignment horizontal="center" vertical="center" wrapText="1"/>
    </xf>
    <xf numFmtId="44" fontId="1" fillId="17" borderId="23" xfId="0" quotePrefix="1" applyNumberFormat="1" applyFont="1" applyFill="1" applyBorder="1" applyAlignment="1">
      <alignment horizontal="center" vertical="center" wrapText="1"/>
    </xf>
    <xf numFmtId="44" fontId="1" fillId="5" borderId="23" xfId="0" quotePrefix="1" applyNumberFormat="1" applyFont="1" applyFill="1" applyBorder="1" applyAlignment="1">
      <alignment horizontal="center" vertical="center" wrapText="1"/>
    </xf>
    <xf numFmtId="44" fontId="20" fillId="0" borderId="23" xfId="1" applyFont="1" applyBorder="1" applyAlignment="1">
      <alignment horizontal="center" vertical="center" shrinkToFit="1"/>
    </xf>
    <xf numFmtId="44" fontId="20" fillId="0" borderId="23" xfId="1" applyFont="1" applyFill="1" applyBorder="1" applyAlignment="1">
      <alignment horizontal="center" vertical="center" shrinkToFit="1"/>
    </xf>
    <xf numFmtId="44" fontId="19" fillId="5" borderId="23" xfId="1" applyFont="1" applyFill="1" applyBorder="1" applyAlignment="1">
      <alignment horizontal="center" vertical="center" shrinkToFit="1"/>
    </xf>
    <xf numFmtId="44" fontId="21" fillId="17" borderId="23" xfId="1" applyFont="1" applyFill="1" applyBorder="1" applyAlignment="1">
      <alignment horizontal="center" vertical="center" shrinkToFit="1"/>
    </xf>
    <xf numFmtId="44" fontId="48" fillId="0" borderId="23" xfId="1" applyFont="1" applyBorder="1" applyAlignment="1">
      <alignment horizontal="center" vertical="center" shrinkToFit="1"/>
    </xf>
    <xf numFmtId="44" fontId="48" fillId="0" borderId="23" xfId="1" applyFont="1" applyFill="1" applyBorder="1" applyAlignment="1">
      <alignment horizontal="center" vertical="center" shrinkToFit="1"/>
    </xf>
    <xf numFmtId="44" fontId="20" fillId="5" borderId="23" xfId="1" applyFont="1" applyFill="1" applyBorder="1" applyAlignment="1">
      <alignment horizontal="center" vertical="center" shrinkToFit="1"/>
    </xf>
    <xf numFmtId="44" fontId="1" fillId="5" borderId="23" xfId="0" applyNumberFormat="1" applyFont="1" applyFill="1" applyBorder="1" applyAlignment="1">
      <alignment horizontal="center" vertical="center"/>
    </xf>
    <xf numFmtId="44" fontId="17" fillId="17" borderId="23" xfId="0" applyNumberFormat="1" applyFont="1" applyFill="1" applyBorder="1" applyAlignment="1">
      <alignment horizontal="center" vertical="center"/>
    </xf>
    <xf numFmtId="44" fontId="1" fillId="0" borderId="23" xfId="0" applyNumberFormat="1" applyFont="1" applyBorder="1" applyAlignment="1">
      <alignment horizontal="center" vertical="center"/>
    </xf>
    <xf numFmtId="44" fontId="0" fillId="5" borderId="23" xfId="0" applyNumberForma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wrapText="1"/>
    </xf>
    <xf numFmtId="0" fontId="47" fillId="0" borderId="2" xfId="0" applyFont="1" applyBorder="1" applyAlignment="1">
      <alignment horizontal="left" wrapText="1"/>
    </xf>
    <xf numFmtId="0" fontId="1" fillId="5" borderId="2" xfId="0" applyFont="1" applyFill="1" applyBorder="1" applyAlignment="1">
      <alignment horizontal="left" wrapText="1"/>
    </xf>
    <xf numFmtId="0" fontId="17" fillId="17" borderId="2" xfId="0" applyFont="1" applyFill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10" fontId="91" fillId="0" borderId="58" xfId="0" applyNumberFormat="1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49" fontId="12" fillId="0" borderId="2" xfId="0" quotePrefix="1" applyNumberFormat="1" applyFont="1" applyBorder="1" applyAlignment="1">
      <alignment horizontal="center" vertical="center" wrapText="1"/>
    </xf>
    <xf numFmtId="0" fontId="57" fillId="0" borderId="165" xfId="0" applyFont="1" applyBorder="1" applyAlignment="1">
      <alignment horizontal="justify" vertical="center" wrapText="1"/>
    </xf>
    <xf numFmtId="0" fontId="26" fillId="0" borderId="2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2" fontId="29" fillId="0" borderId="0" xfId="0" applyNumberFormat="1" applyFont="1" applyAlignment="1">
      <alignment horizontal="center" vertical="center" wrapText="1"/>
    </xf>
    <xf numFmtId="0" fontId="5" fillId="0" borderId="0" xfId="10" applyFont="1" applyAlignment="1">
      <alignment horizontal="right" vertical="center" wrapText="1"/>
    </xf>
    <xf numFmtId="0" fontId="5" fillId="0" borderId="0" xfId="10" applyFont="1" applyAlignment="1">
      <alignment horizontal="right" wrapText="1"/>
    </xf>
    <xf numFmtId="2" fontId="0" fillId="0" borderId="104" xfId="0" applyNumberFormat="1" applyBorder="1" applyAlignment="1">
      <alignment horizontal="center" vertical="center" wrapText="1"/>
    </xf>
    <xf numFmtId="2" fontId="67" fillId="0" borderId="104" xfId="0" applyNumberFormat="1" applyFont="1" applyBorder="1" applyAlignment="1">
      <alignment horizontal="center" vertical="center" wrapText="1"/>
    </xf>
    <xf numFmtId="2" fontId="0" fillId="0" borderId="106" xfId="0" applyNumberFormat="1" applyBorder="1" applyAlignment="1">
      <alignment horizontal="center" vertical="center" wrapText="1"/>
    </xf>
    <xf numFmtId="2" fontId="0" fillId="0" borderId="201" xfId="0" applyNumberFormat="1" applyBorder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wrapText="1"/>
    </xf>
    <xf numFmtId="0" fontId="12" fillId="0" borderId="46" xfId="0" applyFont="1" applyBorder="1" applyAlignment="1">
      <alignment horizontal="center" vertical="center" wrapText="1"/>
    </xf>
    <xf numFmtId="2" fontId="29" fillId="0" borderId="116" xfId="0" applyNumberFormat="1" applyFont="1" applyBorder="1" applyAlignment="1">
      <alignment horizontal="center" vertical="center" wrapText="1"/>
    </xf>
    <xf numFmtId="2" fontId="50" fillId="0" borderId="71" xfId="0" applyNumberFormat="1" applyFont="1" applyBorder="1" applyAlignment="1">
      <alignment horizontal="center" vertical="center" wrapText="1"/>
    </xf>
    <xf numFmtId="2" fontId="50" fillId="0" borderId="75" xfId="0" applyNumberFormat="1" applyFont="1" applyBorder="1" applyAlignment="1">
      <alignment horizontal="center" vertical="center" wrapText="1"/>
    </xf>
    <xf numFmtId="2" fontId="50" fillId="0" borderId="123" xfId="0" applyNumberFormat="1" applyFont="1" applyBorder="1" applyAlignment="1">
      <alignment horizontal="center" vertical="center" wrapText="1"/>
    </xf>
    <xf numFmtId="2" fontId="50" fillId="0" borderId="26" xfId="0" applyNumberFormat="1" applyFont="1" applyBorder="1" applyAlignment="1">
      <alignment horizontal="center" vertical="center" wrapText="1"/>
    </xf>
    <xf numFmtId="2" fontId="50" fillId="0" borderId="71" xfId="0" applyNumberFormat="1" applyFont="1" applyBorder="1" applyAlignment="1">
      <alignment horizontal="center" wrapText="1"/>
    </xf>
    <xf numFmtId="2" fontId="50" fillId="0" borderId="75" xfId="0" applyNumberFormat="1" applyFont="1" applyBorder="1" applyAlignment="1">
      <alignment horizontal="center" wrapText="1"/>
    </xf>
    <xf numFmtId="2" fontId="31" fillId="0" borderId="75" xfId="0" applyNumberFormat="1" applyFont="1" applyBorder="1" applyAlignment="1">
      <alignment horizontal="center" vertical="center" wrapText="1"/>
    </xf>
    <xf numFmtId="2" fontId="31" fillId="0" borderId="123" xfId="0" applyNumberFormat="1" applyFont="1" applyBorder="1" applyAlignment="1">
      <alignment horizontal="center" vertical="center" wrapText="1"/>
    </xf>
    <xf numFmtId="2" fontId="22" fillId="0" borderId="75" xfId="0" applyNumberFormat="1" applyFont="1" applyBorder="1" applyAlignment="1">
      <alignment horizontal="right" vertical="center" wrapText="1"/>
    </xf>
    <xf numFmtId="0" fontId="12" fillId="0" borderId="132" xfId="0" applyFont="1" applyBorder="1" applyAlignment="1">
      <alignment horizontal="center" vertical="center" wrapText="1"/>
    </xf>
    <xf numFmtId="2" fontId="29" fillId="0" borderId="132" xfId="0" applyNumberFormat="1" applyFont="1" applyBorder="1" applyAlignment="1">
      <alignment horizontal="center" vertical="center" wrapText="1"/>
    </xf>
    <xf numFmtId="2" fontId="29" fillId="0" borderId="138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71" xfId="0" applyBorder="1" applyAlignment="1">
      <alignment wrapText="1"/>
    </xf>
    <xf numFmtId="2" fontId="31" fillId="0" borderId="71" xfId="0" applyNumberFormat="1" applyFont="1" applyBorder="1" applyAlignment="1">
      <alignment horizontal="center" vertical="center" wrapText="1"/>
    </xf>
    <xf numFmtId="0" fontId="29" fillId="0" borderId="75" xfId="0" applyFont="1" applyBorder="1" applyAlignment="1">
      <alignment horizontal="center" wrapText="1"/>
    </xf>
    <xf numFmtId="0" fontId="0" fillId="0" borderId="75" xfId="0" applyBorder="1" applyAlignment="1">
      <alignment horizontal="center" wrapText="1"/>
    </xf>
    <xf numFmtId="2" fontId="44" fillId="0" borderId="75" xfId="0" applyNumberFormat="1" applyFont="1" applyBorder="1" applyAlignment="1">
      <alignment horizontal="center" vertical="top" wrapText="1" shrinkToFit="1"/>
    </xf>
    <xf numFmtId="0" fontId="12" fillId="0" borderId="49" xfId="0" applyFont="1" applyBorder="1" applyAlignment="1">
      <alignment horizontal="right" vertical="center" wrapText="1"/>
    </xf>
    <xf numFmtId="0" fontId="12" fillId="0" borderId="26" xfId="0" applyFont="1" applyBorder="1" applyAlignment="1">
      <alignment horizontal="right" vertical="center" wrapText="1"/>
    </xf>
    <xf numFmtId="2" fontId="29" fillId="0" borderId="75" xfId="0" applyNumberFormat="1" applyFont="1" applyBorder="1" applyAlignment="1">
      <alignment horizontal="right" vertical="center" wrapText="1"/>
    </xf>
    <xf numFmtId="2" fontId="57" fillId="0" borderId="71" xfId="0" applyNumberFormat="1" applyFont="1" applyBorder="1" applyAlignment="1">
      <alignment horizontal="center" vertical="center" wrapText="1"/>
    </xf>
    <xf numFmtId="2" fontId="57" fillId="0" borderId="75" xfId="0" applyNumberFormat="1" applyFont="1" applyBorder="1" applyAlignment="1">
      <alignment horizontal="center" vertical="center" wrapText="1"/>
    </xf>
    <xf numFmtId="2" fontId="63" fillId="0" borderId="75" xfId="0" applyNumberFormat="1" applyFont="1" applyBorder="1" applyAlignment="1">
      <alignment horizontal="center" vertical="center" wrapText="1"/>
    </xf>
    <xf numFmtId="0" fontId="57" fillId="0" borderId="123" xfId="0" applyFont="1" applyBorder="1" applyAlignment="1">
      <alignment wrapText="1"/>
    </xf>
    <xf numFmtId="0" fontId="50" fillId="0" borderId="71" xfId="0" applyFont="1" applyBorder="1" applyAlignment="1">
      <alignment wrapText="1"/>
    </xf>
    <xf numFmtId="0" fontId="50" fillId="0" borderId="75" xfId="0" applyFont="1" applyBorder="1" applyAlignment="1">
      <alignment wrapText="1"/>
    </xf>
    <xf numFmtId="0" fontId="50" fillId="0" borderId="123" xfId="0" applyFont="1" applyBorder="1" applyAlignment="1">
      <alignment wrapText="1"/>
    </xf>
    <xf numFmtId="0" fontId="1" fillId="0" borderId="75" xfId="0" applyFont="1" applyBorder="1" applyAlignment="1">
      <alignment horizontal="center" wrapText="1"/>
    </xf>
    <xf numFmtId="2" fontId="0" fillId="0" borderId="168" xfId="0" applyNumberFormat="1" applyBorder="1" applyAlignment="1">
      <alignment horizontal="center" vertical="center" wrapText="1"/>
    </xf>
    <xf numFmtId="2" fontId="90" fillId="0" borderId="75" xfId="0" applyNumberFormat="1" applyFont="1" applyBorder="1" applyAlignment="1">
      <alignment horizontal="center" vertical="center" wrapText="1" shrinkToFit="1"/>
    </xf>
    <xf numFmtId="172" fontId="63" fillId="0" borderId="75" xfId="0" applyNumberFormat="1" applyFont="1" applyBorder="1" applyAlignment="1">
      <alignment horizontal="center" vertical="center" wrapText="1" shrinkToFit="1"/>
    </xf>
    <xf numFmtId="2" fontId="44" fillId="0" borderId="134" xfId="0" applyNumberFormat="1" applyFont="1" applyBorder="1" applyAlignment="1">
      <alignment horizontal="center" vertical="center" wrapText="1" shrinkToFit="1"/>
    </xf>
    <xf numFmtId="2" fontId="44" fillId="0" borderId="177" xfId="0" applyNumberFormat="1" applyFont="1" applyBorder="1" applyAlignment="1">
      <alignment horizontal="center" vertical="center" wrapText="1" shrinkToFit="1"/>
    </xf>
    <xf numFmtId="2" fontId="31" fillId="0" borderId="147" xfId="0" applyNumberFormat="1" applyFont="1" applyBorder="1" applyAlignment="1">
      <alignment horizontal="center" vertical="center" wrapText="1"/>
    </xf>
    <xf numFmtId="2" fontId="31" fillId="0" borderId="104" xfId="0" applyNumberFormat="1" applyFont="1" applyBorder="1" applyAlignment="1">
      <alignment horizontal="center" vertical="center" wrapText="1"/>
    </xf>
    <xf numFmtId="2" fontId="31" fillId="0" borderId="106" xfId="0" applyNumberFormat="1" applyFont="1" applyBorder="1" applyAlignment="1">
      <alignment horizontal="center" vertical="center" wrapText="1"/>
    </xf>
    <xf numFmtId="0" fontId="0" fillId="0" borderId="123" xfId="0" applyBorder="1" applyAlignment="1">
      <alignment horizontal="center" wrapText="1"/>
    </xf>
    <xf numFmtId="0" fontId="12" fillId="0" borderId="178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right" vertical="center" wrapText="1"/>
    </xf>
    <xf numFmtId="2" fontId="29" fillId="0" borderId="14" xfId="0" applyNumberFormat="1" applyFont="1" applyBorder="1" applyAlignment="1">
      <alignment horizontal="center" vertical="center" wrapText="1"/>
    </xf>
    <xf numFmtId="0" fontId="12" fillId="0" borderId="22" xfId="0" applyFont="1" applyBorder="1" applyAlignment="1">
      <alignment horizontal="right" vertical="center" wrapText="1"/>
    </xf>
    <xf numFmtId="0" fontId="12" fillId="0" borderId="2" xfId="0" applyFont="1" applyBorder="1" applyAlignment="1">
      <alignment horizontal="right" vertical="center" wrapText="1"/>
    </xf>
    <xf numFmtId="2" fontId="0" fillId="0" borderId="134" xfId="0" applyNumberFormat="1" applyBorder="1" applyAlignment="1">
      <alignment horizontal="center" vertical="center" wrapText="1"/>
    </xf>
    <xf numFmtId="2" fontId="0" fillId="0" borderId="144" xfId="0" applyNumberForma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2" fontId="29" fillId="0" borderId="151" xfId="0" applyNumberFormat="1" applyFont="1" applyBorder="1" applyAlignment="1">
      <alignment horizontal="center" vertical="center" wrapText="1"/>
    </xf>
    <xf numFmtId="2" fontId="29" fillId="0" borderId="84" xfId="0" applyNumberFormat="1" applyFont="1" applyBorder="1" applyAlignment="1">
      <alignment horizontal="center" vertical="center" wrapText="1"/>
    </xf>
    <xf numFmtId="2" fontId="71" fillId="0" borderId="104" xfId="0" applyNumberFormat="1" applyFont="1" applyBorder="1" applyAlignment="1">
      <alignment horizontal="center" vertical="center" wrapText="1"/>
    </xf>
    <xf numFmtId="2" fontId="72" fillId="0" borderId="104" xfId="0" applyNumberFormat="1" applyFont="1" applyBorder="1" applyAlignment="1">
      <alignment horizontal="center" vertical="center" wrapText="1"/>
    </xf>
    <xf numFmtId="2" fontId="73" fillId="0" borderId="104" xfId="0" applyNumberFormat="1" applyFont="1" applyBorder="1" applyAlignment="1">
      <alignment horizontal="center" vertical="center" wrapText="1"/>
    </xf>
    <xf numFmtId="2" fontId="71" fillId="0" borderId="147" xfId="0" applyNumberFormat="1" applyFont="1" applyBorder="1" applyAlignment="1">
      <alignment horizontal="center" vertical="center" wrapText="1"/>
    </xf>
    <xf numFmtId="2" fontId="71" fillId="0" borderId="144" xfId="0" applyNumberFormat="1" applyFont="1" applyBorder="1" applyAlignment="1">
      <alignment horizontal="center" vertical="center" wrapText="1"/>
    </xf>
    <xf numFmtId="9" fontId="0" fillId="0" borderId="104" xfId="2" applyFont="1" applyBorder="1" applyAlignment="1">
      <alignment horizontal="center" vertical="center" wrapText="1"/>
    </xf>
    <xf numFmtId="0" fontId="5" fillId="0" borderId="75" xfId="0" applyFont="1" applyBorder="1" applyAlignment="1">
      <alignment horizontal="center" vertical="center" wrapText="1"/>
    </xf>
    <xf numFmtId="0" fontId="49" fillId="0" borderId="165" xfId="0" applyFont="1" applyBorder="1" applyAlignment="1">
      <alignment horizontal="justify" vertical="center" wrapText="1"/>
    </xf>
    <xf numFmtId="0" fontId="0" fillId="0" borderId="97" xfId="0" applyBorder="1" applyAlignment="1">
      <alignment horizontal="center"/>
    </xf>
    <xf numFmtId="0" fontId="29" fillId="0" borderId="97" xfId="4" applyNumberFormat="1" applyFont="1" applyFill="1" applyBorder="1" applyAlignment="1">
      <alignment horizontal="center" vertical="center"/>
    </xf>
    <xf numFmtId="0" fontId="11" fillId="0" borderId="97" xfId="0" applyFont="1" applyBorder="1" applyAlignment="1">
      <alignment horizontal="center" vertical="center" wrapText="1"/>
    </xf>
    <xf numFmtId="2" fontId="14" fillId="0" borderId="139" xfId="0" applyNumberFormat="1" applyFont="1" applyBorder="1" applyAlignment="1">
      <alignment horizontal="right" vertical="center"/>
    </xf>
    <xf numFmtId="2" fontId="0" fillId="0" borderId="2" xfId="0" applyNumberFormat="1" applyBorder="1" applyAlignment="1">
      <alignment horizontal="center"/>
    </xf>
    <xf numFmtId="170" fontId="29" fillId="0" borderId="2" xfId="4" applyFont="1" applyFill="1" applyBorder="1" applyAlignment="1">
      <alignment vertical="center"/>
    </xf>
    <xf numFmtId="0" fontId="11" fillId="0" borderId="2" xfId="0" applyFont="1" applyBorder="1" applyAlignment="1">
      <alignment horizontal="left" vertical="center"/>
    </xf>
    <xf numFmtId="2" fontId="29" fillId="0" borderId="238" xfId="0" applyNumberFormat="1" applyFont="1" applyBorder="1" applyAlignment="1">
      <alignment horizontal="center" vertical="center"/>
    </xf>
    <xf numFmtId="0" fontId="1" fillId="0" borderId="121" xfId="0" applyFont="1" applyBorder="1" applyAlignment="1">
      <alignment horizontal="justify" vertical="center" wrapText="1"/>
    </xf>
    <xf numFmtId="0" fontId="0" fillId="0" borderId="103" xfId="0" applyBorder="1" applyAlignment="1">
      <alignment horizontal="justify" vertical="center"/>
    </xf>
    <xf numFmtId="2" fontId="29" fillId="0" borderId="98" xfId="0" applyNumberFormat="1" applyFont="1" applyBorder="1" applyAlignment="1">
      <alignment horizontal="left" vertical="center" wrapText="1"/>
    </xf>
    <xf numFmtId="0" fontId="12" fillId="0" borderId="49" xfId="0" applyFont="1" applyBorder="1" applyAlignment="1">
      <alignment horizontal="left" vertical="center" wrapText="1"/>
    </xf>
    <xf numFmtId="0" fontId="12" fillId="0" borderId="50" xfId="0" applyFont="1" applyBorder="1" applyAlignment="1">
      <alignment horizontal="left" vertical="center" wrapText="1"/>
    </xf>
    <xf numFmtId="10" fontId="0" fillId="5" borderId="58" xfId="0" applyNumberFormat="1" applyFill="1" applyBorder="1" applyAlignment="1">
      <alignment horizontal="center" vertical="center"/>
    </xf>
    <xf numFmtId="0" fontId="44" fillId="0" borderId="75" xfId="0" applyFont="1" applyBorder="1" applyAlignment="1">
      <alignment vertical="top" shrinkToFit="1"/>
    </xf>
    <xf numFmtId="0" fontId="92" fillId="0" borderId="135" xfId="0" applyFont="1" applyBorder="1" applyAlignment="1">
      <alignment horizontal="justify" vertical="center" wrapText="1"/>
    </xf>
    <xf numFmtId="49" fontId="12" fillId="0" borderId="18" xfId="0" applyNumberFormat="1" applyFont="1" applyBorder="1" applyAlignment="1">
      <alignment horizontal="center" vertical="center"/>
    </xf>
    <xf numFmtId="0" fontId="11" fillId="0" borderId="22" xfId="0" applyFont="1" applyBorder="1" applyAlignment="1">
      <alignment horizontal="left" vertical="center"/>
    </xf>
    <xf numFmtId="2" fontId="0" fillId="0" borderId="22" xfId="0" applyNumberFormat="1" applyBorder="1" applyAlignment="1">
      <alignment horizontal="center"/>
    </xf>
    <xf numFmtId="170" fontId="29" fillId="0" borderId="22" xfId="4" applyFont="1" applyFill="1" applyBorder="1" applyAlignment="1">
      <alignment vertical="center"/>
    </xf>
    <xf numFmtId="2" fontId="11" fillId="0" borderId="22" xfId="0" applyNumberFormat="1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29" fillId="0" borderId="22" xfId="4" applyNumberFormat="1" applyFont="1" applyFill="1" applyBorder="1" applyAlignment="1">
      <alignment vertical="center"/>
    </xf>
    <xf numFmtId="0" fontId="11" fillId="0" borderId="22" xfId="0" applyFont="1" applyBorder="1" applyAlignment="1">
      <alignment horizontal="center" vertical="center" wrapText="1"/>
    </xf>
    <xf numFmtId="2" fontId="14" fillId="0" borderId="24" xfId="0" applyNumberFormat="1" applyFont="1" applyBorder="1" applyAlignment="1">
      <alignment horizontal="right" vertical="center"/>
    </xf>
    <xf numFmtId="2" fontId="55" fillId="0" borderId="97" xfId="0" applyNumberFormat="1" applyFont="1" applyBorder="1" applyAlignment="1">
      <alignment horizontal="center"/>
    </xf>
    <xf numFmtId="2" fontId="29" fillId="0" borderId="97" xfId="4" applyNumberFormat="1" applyFont="1" applyFill="1" applyBorder="1" applyAlignment="1">
      <alignment horizontal="center" vertical="center"/>
    </xf>
    <xf numFmtId="170" fontId="29" fillId="0" borderId="97" xfId="4" applyFont="1" applyFill="1" applyBorder="1" applyAlignment="1">
      <alignment vertical="center"/>
    </xf>
    <xf numFmtId="2" fontId="29" fillId="0" borderId="97" xfId="4" applyNumberFormat="1" applyFont="1" applyFill="1" applyBorder="1" applyAlignment="1">
      <alignment vertical="center"/>
    </xf>
    <xf numFmtId="0" fontId="29" fillId="0" borderId="97" xfId="4" applyNumberFormat="1" applyFont="1" applyFill="1" applyBorder="1" applyAlignment="1">
      <alignment vertical="center"/>
    </xf>
    <xf numFmtId="2" fontId="74" fillId="0" borderId="147" xfId="0" applyNumberFormat="1" applyFont="1" applyBorder="1" applyAlignment="1">
      <alignment horizontal="left" wrapText="1"/>
    </xf>
    <xf numFmtId="0" fontId="1" fillId="0" borderId="165" xfId="0" applyFont="1" applyBorder="1" applyAlignment="1">
      <alignment horizontal="justify" vertical="center" wrapText="1"/>
    </xf>
    <xf numFmtId="2" fontId="1" fillId="0" borderId="97" xfId="0" applyNumberFormat="1" applyFont="1" applyBorder="1" applyAlignment="1">
      <alignment horizontal="center"/>
    </xf>
    <xf numFmtId="2" fontId="12" fillId="0" borderId="97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44" fontId="1" fillId="0" borderId="0" xfId="0" applyNumberFormat="1" applyFont="1" applyAlignment="1">
      <alignment horizontal="center" vertical="center"/>
    </xf>
    <xf numFmtId="44" fontId="55" fillId="0" borderId="0" xfId="1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44" fontId="0" fillId="17" borderId="0" xfId="0" applyNumberFormat="1" applyFill="1" applyAlignment="1">
      <alignment horizontal="center" vertical="center"/>
    </xf>
    <xf numFmtId="0" fontId="0" fillId="22" borderId="0" xfId="0" applyFill="1"/>
    <xf numFmtId="2" fontId="0" fillId="22" borderId="0" xfId="0" applyNumberFormat="1" applyFill="1"/>
    <xf numFmtId="10" fontId="0" fillId="22" borderId="0" xfId="0" applyNumberFormat="1" applyFill="1"/>
    <xf numFmtId="10" fontId="0" fillId="0" borderId="0" xfId="0" applyNumberFormat="1"/>
    <xf numFmtId="44" fontId="0" fillId="0" borderId="0" xfId="1" applyFont="1" applyFill="1" applyAlignment="1">
      <alignment horizontal="center" vertical="center"/>
    </xf>
    <xf numFmtId="2" fontId="1" fillId="0" borderId="0" xfId="0" applyNumberFormat="1" applyFont="1"/>
    <xf numFmtId="0" fontId="1" fillId="0" borderId="0" xfId="0" applyFont="1" applyAlignment="1">
      <alignment horizontal="center"/>
    </xf>
    <xf numFmtId="0" fontId="0" fillId="22" borderId="0" xfId="0" applyFill="1" applyAlignment="1">
      <alignment horizontal="center"/>
    </xf>
    <xf numFmtId="0" fontId="93" fillId="0" borderId="0" xfId="0" applyFont="1"/>
    <xf numFmtId="2" fontId="93" fillId="0" borderId="0" xfId="0" applyNumberFormat="1" applyFont="1"/>
    <xf numFmtId="0" fontId="1" fillId="5" borderId="18" xfId="0" applyFont="1" applyFill="1" applyBorder="1" applyAlignment="1">
      <alignment horizontal="center" vertical="center" wrapText="1"/>
    </xf>
    <xf numFmtId="44" fontId="1" fillId="5" borderId="25" xfId="0" applyNumberFormat="1" applyFont="1" applyFill="1" applyBorder="1" applyAlignment="1">
      <alignment horizontal="center" vertical="center"/>
    </xf>
    <xf numFmtId="44" fontId="1" fillId="5" borderId="18" xfId="0" applyNumberFormat="1" applyFont="1" applyFill="1" applyBorder="1" applyAlignment="1">
      <alignment horizontal="center" vertical="center"/>
    </xf>
    <xf numFmtId="10" fontId="1" fillId="5" borderId="115" xfId="0" applyNumberFormat="1" applyFont="1" applyFill="1" applyBorder="1" applyAlignment="1">
      <alignment horizontal="center" vertical="center"/>
    </xf>
    <xf numFmtId="43" fontId="1" fillId="5" borderId="27" xfId="0" applyNumberFormat="1" applyFont="1" applyFill="1" applyBorder="1" applyAlignment="1">
      <alignment horizontal="center" vertical="center"/>
    </xf>
    <xf numFmtId="0" fontId="7" fillId="1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16" borderId="57" xfId="0" applyFont="1" applyFill="1" applyBorder="1" applyAlignment="1">
      <alignment horizontal="center" vertical="center"/>
    </xf>
    <xf numFmtId="0" fontId="1" fillId="16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left" vertical="center" wrapText="1"/>
    </xf>
    <xf numFmtId="0" fontId="17" fillId="17" borderId="2" xfId="0" applyFont="1" applyFill="1" applyBorder="1" applyAlignment="1">
      <alignment horizontal="left" vertical="center" wrapText="1"/>
    </xf>
    <xf numFmtId="44" fontId="17" fillId="16" borderId="94" xfId="0" applyNumberFormat="1" applyFont="1" applyFill="1" applyBorder="1" applyAlignment="1">
      <alignment horizontal="center" vertical="center"/>
    </xf>
    <xf numFmtId="0" fontId="17" fillId="16" borderId="2" xfId="0" applyFont="1" applyFill="1" applyBorder="1" applyAlignment="1">
      <alignment horizontal="center" vertical="center"/>
    </xf>
    <xf numFmtId="0" fontId="1" fillId="16" borderId="94" xfId="0" applyFont="1" applyFill="1" applyBorder="1" applyAlignment="1">
      <alignment horizontal="center" vertical="center"/>
    </xf>
    <xf numFmtId="0" fontId="1" fillId="16" borderId="2" xfId="0" applyFont="1" applyFill="1" applyBorder="1" applyAlignment="1">
      <alignment horizontal="center" vertical="center"/>
    </xf>
    <xf numFmtId="44" fontId="1" fillId="23" borderId="57" xfId="0" applyNumberFormat="1" applyFont="1" applyFill="1" applyBorder="1" applyAlignment="1">
      <alignment horizontal="center" vertical="center"/>
    </xf>
    <xf numFmtId="44" fontId="1" fillId="23" borderId="1" xfId="0" applyNumberFormat="1" applyFont="1" applyFill="1" applyBorder="1" applyAlignment="1">
      <alignment horizontal="center" vertical="center"/>
    </xf>
    <xf numFmtId="0" fontId="17" fillId="17" borderId="2" xfId="0" applyFont="1" applyFill="1" applyBorder="1" applyAlignment="1">
      <alignment horizontal="center" vertical="center" wrapText="1"/>
    </xf>
    <xf numFmtId="0" fontId="1" fillId="16" borderId="23" xfId="0" applyFont="1" applyFill="1" applyBorder="1" applyAlignment="1">
      <alignment horizontal="center" vertical="center"/>
    </xf>
    <xf numFmtId="0" fontId="1" fillId="5" borderId="18" xfId="0" applyFont="1" applyFill="1" applyBorder="1" applyAlignment="1">
      <alignment horizontal="center" vertical="center" wrapText="1"/>
    </xf>
    <xf numFmtId="0" fontId="1" fillId="5" borderId="2" xfId="0" quotePrefix="1" applyFont="1" applyFill="1" applyBorder="1" applyAlignment="1">
      <alignment horizontal="center" vertical="center" wrapText="1"/>
    </xf>
    <xf numFmtId="0" fontId="17" fillId="17" borderId="2" xfId="0" quotePrefix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1" fillId="5" borderId="2" xfId="0" quotePrefix="1" applyFont="1" applyFill="1" applyBorder="1" applyAlignment="1">
      <alignment horizontal="left" vertical="center" wrapText="1"/>
    </xf>
    <xf numFmtId="49" fontId="10" fillId="14" borderId="2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 wrapText="1"/>
    </xf>
    <xf numFmtId="0" fontId="16" fillId="8" borderId="94" xfId="0" applyFont="1" applyFill="1" applyBorder="1" applyAlignment="1">
      <alignment horizontal="center" vertical="center"/>
    </xf>
    <xf numFmtId="0" fontId="16" fillId="8" borderId="2" xfId="0" applyFont="1" applyFill="1" applyBorder="1" applyAlignment="1">
      <alignment horizontal="center" vertical="center"/>
    </xf>
    <xf numFmtId="0" fontId="16" fillId="8" borderId="58" xfId="0" applyFont="1" applyFill="1" applyBorder="1" applyAlignment="1">
      <alignment horizontal="center" vertical="center"/>
    </xf>
    <xf numFmtId="0" fontId="16" fillId="6" borderId="57" xfId="0" applyFont="1" applyFill="1" applyBorder="1" applyAlignment="1">
      <alignment horizontal="center" vertical="center"/>
    </xf>
    <xf numFmtId="0" fontId="16" fillId="6" borderId="22" xfId="0" applyFont="1" applyFill="1" applyBorder="1" applyAlignment="1">
      <alignment horizontal="center" vertical="center"/>
    </xf>
    <xf numFmtId="0" fontId="16" fillId="6" borderId="211" xfId="0" applyFont="1" applyFill="1" applyBorder="1" applyAlignment="1">
      <alignment horizontal="center" vertical="center"/>
    </xf>
    <xf numFmtId="0" fontId="15" fillId="13" borderId="2" xfId="0" applyFont="1" applyFill="1" applyBorder="1" applyAlignment="1">
      <alignment horizontal="center" vertical="center" wrapText="1"/>
    </xf>
    <xf numFmtId="0" fontId="17" fillId="17" borderId="2" xfId="0" quotePrefix="1" applyFont="1" applyFill="1" applyBorder="1" applyAlignment="1">
      <alignment horizontal="left" vertical="center" wrapText="1"/>
    </xf>
    <xf numFmtId="0" fontId="16" fillId="10" borderId="2" xfId="0" applyFont="1" applyFill="1" applyBorder="1" applyAlignment="1">
      <alignment horizontal="center" vertical="center"/>
    </xf>
    <xf numFmtId="44" fontId="17" fillId="16" borderId="2" xfId="0" applyNumberFormat="1" applyFont="1" applyFill="1" applyBorder="1" applyAlignment="1">
      <alignment horizontal="center" vertical="center" wrapText="1"/>
    </xf>
    <xf numFmtId="2" fontId="12" fillId="0" borderId="23" xfId="0" applyNumberFormat="1" applyFont="1" applyBorder="1" applyAlignment="1">
      <alignment horizontal="left" vertical="center"/>
    </xf>
    <xf numFmtId="2" fontId="12" fillId="0" borderId="22" xfId="0" applyNumberFormat="1" applyFont="1" applyBorder="1" applyAlignment="1">
      <alignment horizontal="left" vertical="center"/>
    </xf>
    <xf numFmtId="2" fontId="12" fillId="0" borderId="1" xfId="0" applyNumberFormat="1" applyFont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14" borderId="23" xfId="0" applyFont="1" applyFill="1" applyBorder="1" applyAlignment="1">
      <alignment horizontal="left" vertical="center"/>
    </xf>
    <xf numFmtId="0" fontId="12" fillId="14" borderId="22" xfId="0" applyFont="1" applyFill="1" applyBorder="1" applyAlignment="1">
      <alignment horizontal="left" vertical="center"/>
    </xf>
    <xf numFmtId="0" fontId="12" fillId="14" borderId="1" xfId="0" applyFont="1" applyFill="1" applyBorder="1" applyAlignment="1">
      <alignment horizontal="left" vertical="center"/>
    </xf>
    <xf numFmtId="0" fontId="11" fillId="15" borderId="23" xfId="0" applyFont="1" applyFill="1" applyBorder="1" applyAlignment="1">
      <alignment horizontal="left" vertical="center" wrapText="1"/>
    </xf>
    <xf numFmtId="0" fontId="11" fillId="15" borderId="22" xfId="0" applyFont="1" applyFill="1" applyBorder="1" applyAlignment="1">
      <alignment horizontal="left" vertical="center" wrapText="1"/>
    </xf>
    <xf numFmtId="0" fontId="11" fillId="15" borderId="1" xfId="0" applyFont="1" applyFill="1" applyBorder="1" applyAlignment="1">
      <alignment horizontal="left" vertical="center" wrapText="1"/>
    </xf>
    <xf numFmtId="0" fontId="8" fillId="15" borderId="23" xfId="0" applyFont="1" applyFill="1" applyBorder="1" applyAlignment="1">
      <alignment horizontal="center" vertical="center" wrapText="1"/>
    </xf>
    <xf numFmtId="0" fontId="77" fillId="15" borderId="22" xfId="0" applyFont="1" applyFill="1" applyBorder="1" applyAlignment="1">
      <alignment horizontal="center" vertical="center" wrapText="1"/>
    </xf>
    <xf numFmtId="0" fontId="77" fillId="15" borderId="1" xfId="0" applyFont="1" applyFill="1" applyBorder="1" applyAlignment="1">
      <alignment horizontal="center" vertical="center" wrapText="1"/>
    </xf>
    <xf numFmtId="0" fontId="7" fillId="15" borderId="23" xfId="0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center" vertical="center" wrapText="1"/>
    </xf>
    <xf numFmtId="0" fontId="17" fillId="16" borderId="2" xfId="0" applyFont="1" applyFill="1" applyBorder="1" applyAlignment="1">
      <alignment horizontal="center" vertical="center" wrapText="1"/>
    </xf>
    <xf numFmtId="0" fontId="17" fillId="0" borderId="66" xfId="0" applyFont="1" applyBorder="1" applyAlignment="1">
      <alignment horizontal="left" vertical="center" wrapText="1"/>
    </xf>
    <xf numFmtId="0" fontId="17" fillId="0" borderId="55" xfId="0" applyFont="1" applyBorder="1" applyAlignment="1">
      <alignment horizontal="left" vertical="center" wrapText="1"/>
    </xf>
    <xf numFmtId="0" fontId="17" fillId="0" borderId="56" xfId="0" applyFont="1" applyBorder="1" applyAlignment="1">
      <alignment horizontal="left" vertical="center" wrapText="1"/>
    </xf>
    <xf numFmtId="0" fontId="12" fillId="0" borderId="66" xfId="0" applyFont="1" applyBorder="1" applyAlignment="1">
      <alignment horizontal="left" vertical="center" wrapText="1"/>
    </xf>
    <xf numFmtId="0" fontId="12" fillId="0" borderId="55" xfId="0" applyFont="1" applyBorder="1" applyAlignment="1">
      <alignment horizontal="left" vertical="center" wrapText="1"/>
    </xf>
    <xf numFmtId="0" fontId="12" fillId="0" borderId="67" xfId="0" applyFont="1" applyBorder="1" applyAlignment="1">
      <alignment horizontal="left" vertical="center" wrapText="1"/>
    </xf>
    <xf numFmtId="4" fontId="12" fillId="0" borderId="66" xfId="5" applyNumberFormat="1" applyFont="1" applyFill="1" applyBorder="1" applyAlignment="1">
      <alignment horizontal="center" vertical="center"/>
    </xf>
    <xf numFmtId="4" fontId="12" fillId="0" borderId="67" xfId="5" applyNumberFormat="1" applyFont="1" applyFill="1" applyBorder="1" applyAlignment="1">
      <alignment horizontal="center" vertical="center"/>
    </xf>
    <xf numFmtId="0" fontId="12" fillId="0" borderId="69" xfId="0" applyFont="1" applyBorder="1" applyAlignment="1">
      <alignment horizontal="center" vertical="center"/>
    </xf>
    <xf numFmtId="0" fontId="12" fillId="0" borderId="108" xfId="0" applyFont="1" applyBorder="1" applyAlignment="1">
      <alignment horizontal="center" vertical="center"/>
    </xf>
    <xf numFmtId="0" fontId="12" fillId="0" borderId="187" xfId="0" applyFont="1" applyBorder="1" applyAlignment="1">
      <alignment horizontal="center" vertical="center"/>
    </xf>
    <xf numFmtId="0" fontId="12" fillId="0" borderId="153" xfId="0" applyFont="1" applyBorder="1" applyAlignment="1">
      <alignment horizontal="center" vertical="center"/>
    </xf>
    <xf numFmtId="0" fontId="14" fillId="0" borderId="116" xfId="0" applyFont="1" applyBorder="1" applyAlignment="1">
      <alignment horizontal="right" vertical="center"/>
    </xf>
    <xf numFmtId="0" fontId="14" fillId="0" borderId="18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0" fillId="0" borderId="73" xfId="0" applyFont="1" applyBorder="1" applyAlignment="1">
      <alignment horizontal="center" vertical="center" wrapText="1"/>
    </xf>
    <xf numFmtId="0" fontId="30" fillId="0" borderId="44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77" xfId="0" applyFont="1" applyBorder="1" applyAlignment="1">
      <alignment horizontal="center" vertical="center" wrapText="1"/>
    </xf>
    <xf numFmtId="0" fontId="30" fillId="0" borderId="179" xfId="0" applyFont="1" applyBorder="1" applyAlignment="1">
      <alignment horizontal="center" vertical="center" wrapText="1"/>
    </xf>
    <xf numFmtId="0" fontId="30" fillId="0" borderId="49" xfId="0" applyFont="1" applyBorder="1" applyAlignment="1">
      <alignment horizontal="center" vertical="center" wrapText="1"/>
    </xf>
    <xf numFmtId="0" fontId="30" fillId="0" borderId="50" xfId="0" applyFont="1" applyBorder="1" applyAlignment="1">
      <alignment horizontal="center" vertical="center" wrapText="1"/>
    </xf>
    <xf numFmtId="49" fontId="12" fillId="0" borderId="116" xfId="0" applyNumberFormat="1" applyFont="1" applyBorder="1" applyAlignment="1">
      <alignment horizontal="center" vertical="center"/>
    </xf>
    <xf numFmtId="49" fontId="12" fillId="0" borderId="18" xfId="0" applyNumberFormat="1" applyFont="1" applyBorder="1" applyAlignment="1">
      <alignment horizontal="center" vertical="center"/>
    </xf>
    <xf numFmtId="0" fontId="12" fillId="0" borderId="23" xfId="0" applyFont="1" applyBorder="1" applyAlignment="1">
      <alignment horizontal="right" vertical="center"/>
    </xf>
    <xf numFmtId="0" fontId="12" fillId="0" borderId="22" xfId="0" applyFont="1" applyBorder="1" applyAlignment="1">
      <alignment horizontal="right" vertical="center"/>
    </xf>
    <xf numFmtId="0" fontId="12" fillId="0" borderId="1" xfId="0" applyFont="1" applyBorder="1" applyAlignment="1">
      <alignment horizontal="right" vertical="center"/>
    </xf>
    <xf numFmtId="0" fontId="12" fillId="0" borderId="57" xfId="0" applyFont="1" applyBorder="1" applyAlignment="1">
      <alignment horizontal="right" vertical="center"/>
    </xf>
    <xf numFmtId="0" fontId="12" fillId="0" borderId="87" xfId="0" applyFont="1" applyBorder="1" applyAlignment="1">
      <alignment horizontal="right" vertical="center"/>
    </xf>
    <xf numFmtId="0" fontId="12" fillId="0" borderId="61" xfId="0" applyFont="1" applyBorder="1" applyAlignment="1">
      <alignment horizontal="right" vertical="center"/>
    </xf>
    <xf numFmtId="0" fontId="12" fillId="0" borderId="62" xfId="0" applyFont="1" applyBorder="1" applyAlignment="1">
      <alignment horizontal="right" vertical="center"/>
    </xf>
    <xf numFmtId="49" fontId="12" fillId="0" borderId="117" xfId="0" applyNumberFormat="1" applyFont="1" applyBorder="1" applyAlignment="1">
      <alignment horizontal="center" vertical="center"/>
    </xf>
    <xf numFmtId="0" fontId="0" fillId="0" borderId="241" xfId="0" applyBorder="1" applyAlignment="1">
      <alignment horizontal="left" vertical="center" wrapText="1"/>
    </xf>
    <xf numFmtId="0" fontId="0" fillId="0" borderId="242" xfId="0" applyBorder="1" applyAlignment="1">
      <alignment horizontal="left" vertical="center" wrapText="1"/>
    </xf>
    <xf numFmtId="0" fontId="0" fillId="0" borderId="243" xfId="0" applyBorder="1" applyAlignment="1">
      <alignment horizontal="left" vertical="center" wrapText="1"/>
    </xf>
    <xf numFmtId="49" fontId="12" fillId="0" borderId="237" xfId="0" applyNumberFormat="1" applyFont="1" applyBorder="1" applyAlignment="1">
      <alignment horizontal="center" vertical="center"/>
    </xf>
    <xf numFmtId="49" fontId="12" fillId="0" borderId="239" xfId="0" applyNumberFormat="1" applyFont="1" applyBorder="1" applyAlignment="1">
      <alignment horizontal="center" vertical="center"/>
    </xf>
    <xf numFmtId="49" fontId="12" fillId="0" borderId="120" xfId="0" applyNumberFormat="1" applyFont="1" applyBorder="1" applyAlignment="1">
      <alignment horizontal="center" vertical="center"/>
    </xf>
    <xf numFmtId="49" fontId="12" fillId="0" borderId="13" xfId="0" applyNumberFormat="1" applyFont="1" applyBorder="1" applyAlignment="1">
      <alignment horizontal="center" vertical="center"/>
    </xf>
    <xf numFmtId="49" fontId="12" fillId="0" borderId="44" xfId="0" applyNumberFormat="1" applyFont="1" applyBorder="1" applyAlignment="1">
      <alignment horizontal="center" vertical="center"/>
    </xf>
    <xf numFmtId="49" fontId="12" fillId="0" borderId="236" xfId="0" applyNumberFormat="1" applyFont="1" applyBorder="1" applyAlignment="1">
      <alignment horizontal="center" vertical="center"/>
    </xf>
    <xf numFmtId="0" fontId="12" fillId="0" borderId="178" xfId="0" applyFont="1" applyBorder="1" applyAlignment="1">
      <alignment horizontal="left" vertical="center" wrapText="1"/>
    </xf>
    <xf numFmtId="4" fontId="12" fillId="0" borderId="178" xfId="5" applyNumberFormat="1" applyFont="1" applyFill="1" applyBorder="1" applyAlignment="1">
      <alignment horizontal="center" vertical="center"/>
    </xf>
    <xf numFmtId="49" fontId="12" fillId="0" borderId="119" xfId="0" applyNumberFormat="1" applyFont="1" applyBorder="1" applyAlignment="1">
      <alignment horizontal="center" vertical="center"/>
    </xf>
    <xf numFmtId="49" fontId="12" fillId="0" borderId="89" xfId="0" applyNumberFormat="1" applyFont="1" applyBorder="1" applyAlignment="1">
      <alignment horizontal="center" vertical="center"/>
    </xf>
    <xf numFmtId="49" fontId="12" fillId="0" borderId="9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/>
    </xf>
    <xf numFmtId="0" fontId="12" fillId="0" borderId="2" xfId="0" applyFont="1" applyBorder="1" applyAlignment="1">
      <alignment horizontal="left" vertical="center"/>
    </xf>
    <xf numFmtId="4" fontId="12" fillId="0" borderId="2" xfId="5" applyNumberFormat="1" applyFont="1" applyFill="1" applyBorder="1" applyAlignment="1">
      <alignment horizontal="center" vertical="center"/>
    </xf>
    <xf numFmtId="0" fontId="12" fillId="0" borderId="110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0" fontId="30" fillId="0" borderId="2" xfId="0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/>
    </xf>
    <xf numFmtId="49" fontId="12" fillId="0" borderId="114" xfId="0" applyNumberFormat="1" applyFont="1" applyBorder="1" applyAlignment="1">
      <alignment horizontal="center" vertical="center"/>
    </xf>
    <xf numFmtId="49" fontId="12" fillId="0" borderId="127" xfId="0" applyNumberFormat="1" applyFont="1" applyBorder="1" applyAlignment="1">
      <alignment horizontal="center" vertical="center"/>
    </xf>
    <xf numFmtId="0" fontId="30" fillId="0" borderId="1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26" xfId="0" applyFont="1" applyBorder="1" applyAlignment="1">
      <alignment horizontal="right" vertical="center"/>
    </xf>
    <xf numFmtId="0" fontId="12" fillId="0" borderId="27" xfId="0" applyFont="1" applyBorder="1" applyAlignment="1">
      <alignment horizontal="right" vertical="center"/>
    </xf>
    <xf numFmtId="0" fontId="12" fillId="0" borderId="116" xfId="0" applyFont="1" applyBorder="1" applyAlignment="1">
      <alignment horizontal="right" vertical="center"/>
    </xf>
    <xf numFmtId="0" fontId="12" fillId="0" borderId="118" xfId="0" applyFont="1" applyBorder="1" applyAlignment="1">
      <alignment horizontal="center" vertical="center"/>
    </xf>
    <xf numFmtId="0" fontId="12" fillId="0" borderId="66" xfId="0" applyFont="1" applyBorder="1" applyAlignment="1">
      <alignment horizontal="left" vertical="center"/>
    </xf>
    <xf numFmtId="0" fontId="12" fillId="0" borderId="55" xfId="0" applyFont="1" applyBorder="1" applyAlignment="1">
      <alignment horizontal="left" vertical="center"/>
    </xf>
    <xf numFmtId="0" fontId="12" fillId="0" borderId="67" xfId="0" applyFont="1" applyBorder="1" applyAlignment="1">
      <alignment horizontal="left" vertical="center"/>
    </xf>
    <xf numFmtId="0" fontId="12" fillId="0" borderId="113" xfId="0" applyFont="1" applyBorder="1" applyAlignment="1">
      <alignment horizontal="right" vertical="center"/>
    </xf>
    <xf numFmtId="0" fontId="12" fillId="0" borderId="14" xfId="0" applyFont="1" applyBorder="1" applyAlignment="1">
      <alignment horizontal="right" vertical="center"/>
    </xf>
    <xf numFmtId="0" fontId="12" fillId="0" borderId="24" xfId="0" applyFont="1" applyBorder="1" applyAlignment="1">
      <alignment horizontal="right" vertical="center"/>
    </xf>
    <xf numFmtId="0" fontId="12" fillId="0" borderId="25" xfId="0" applyFont="1" applyBorder="1" applyAlignment="1">
      <alignment horizontal="left" vertical="center" wrapText="1"/>
    </xf>
    <xf numFmtId="0" fontId="12" fillId="0" borderId="26" xfId="0" applyFont="1" applyBorder="1" applyAlignment="1">
      <alignment horizontal="left" vertical="center" wrapText="1"/>
    </xf>
    <xf numFmtId="0" fontId="12" fillId="0" borderId="27" xfId="0" applyFont="1" applyBorder="1" applyAlignment="1">
      <alignment horizontal="left" vertical="center" wrapText="1"/>
    </xf>
    <xf numFmtId="4" fontId="12" fillId="0" borderId="25" xfId="5" applyNumberFormat="1" applyFont="1" applyFill="1" applyBorder="1" applyAlignment="1">
      <alignment horizontal="center" vertical="center"/>
    </xf>
    <xf numFmtId="4" fontId="12" fillId="0" borderId="27" xfId="5" applyNumberFormat="1" applyFont="1" applyFill="1" applyBorder="1" applyAlignment="1">
      <alignment horizontal="center" vertical="center"/>
    </xf>
    <xf numFmtId="0" fontId="30" fillId="0" borderId="58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63" xfId="0" applyFont="1" applyBorder="1" applyAlignment="1">
      <alignment horizontal="center" vertical="center" wrapText="1"/>
    </xf>
    <xf numFmtId="0" fontId="30" fillId="0" borderId="6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49" fontId="12" fillId="0" borderId="51" xfId="0" applyNumberFormat="1" applyFont="1" applyBorder="1" applyAlignment="1">
      <alignment horizontal="left" vertical="center"/>
    </xf>
    <xf numFmtId="49" fontId="12" fillId="0" borderId="52" xfId="0" applyNumberFormat="1" applyFont="1" applyBorder="1" applyAlignment="1">
      <alignment horizontal="left" vertical="center"/>
    </xf>
    <xf numFmtId="49" fontId="12" fillId="0" borderId="212" xfId="0" applyNumberFormat="1" applyFont="1" applyBorder="1" applyAlignment="1">
      <alignment horizontal="left" vertical="center"/>
    </xf>
    <xf numFmtId="49" fontId="12" fillId="0" borderId="121" xfId="0" applyNumberFormat="1" applyFont="1" applyBorder="1" applyAlignment="1">
      <alignment horizontal="center" vertical="center"/>
    </xf>
    <xf numFmtId="49" fontId="12" fillId="0" borderId="149" xfId="0" applyNumberFormat="1" applyFont="1" applyBorder="1" applyAlignment="1">
      <alignment horizontal="center" vertical="center"/>
    </xf>
    <xf numFmtId="49" fontId="12" fillId="0" borderId="122" xfId="0" applyNumberFormat="1" applyFont="1" applyBorder="1" applyAlignment="1">
      <alignment horizontal="center" vertical="center"/>
    </xf>
    <xf numFmtId="0" fontId="14" fillId="0" borderId="94" xfId="0" applyFont="1" applyBorder="1" applyAlignment="1">
      <alignment horizontal="right" vertical="center"/>
    </xf>
    <xf numFmtId="0" fontId="12" fillId="0" borderId="94" xfId="0" applyFont="1" applyBorder="1" applyAlignment="1">
      <alignment horizontal="right" vertical="center"/>
    </xf>
    <xf numFmtId="0" fontId="12" fillId="0" borderId="59" xfId="0" applyFont="1" applyBorder="1" applyAlignment="1">
      <alignment horizontal="right" vertical="center"/>
    </xf>
    <xf numFmtId="0" fontId="12" fillId="0" borderId="63" xfId="0" applyFont="1" applyBorder="1" applyAlignment="1">
      <alignment horizontal="right" vertical="center"/>
    </xf>
    <xf numFmtId="0" fontId="1" fillId="0" borderId="23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11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4" fontId="12" fillId="0" borderId="23" xfId="5" applyNumberFormat="1" applyFont="1" applyFill="1" applyBorder="1" applyAlignment="1">
      <alignment horizontal="center" vertical="center"/>
    </xf>
    <xf numFmtId="4" fontId="12" fillId="0" borderId="1" xfId="5" applyNumberFormat="1" applyFont="1" applyFill="1" applyBorder="1" applyAlignment="1">
      <alignment horizontal="center" vertical="center"/>
    </xf>
    <xf numFmtId="0" fontId="12" fillId="0" borderId="197" xfId="0" applyFont="1" applyBorder="1" applyAlignment="1">
      <alignment horizontal="right" vertical="center"/>
    </xf>
    <xf numFmtId="0" fontId="12" fillId="0" borderId="138" xfId="0" applyFont="1" applyBorder="1" applyAlignment="1">
      <alignment horizontal="right" vertical="center"/>
    </xf>
    <xf numFmtId="0" fontId="12" fillId="0" borderId="139" xfId="0" applyFont="1" applyBorder="1" applyAlignment="1">
      <alignment horizontal="right" vertical="center"/>
    </xf>
    <xf numFmtId="0" fontId="12" fillId="0" borderId="48" xfId="0" applyFont="1" applyBorder="1" applyAlignment="1">
      <alignment horizontal="right" vertical="center"/>
    </xf>
    <xf numFmtId="0" fontId="12" fillId="0" borderId="49" xfId="0" applyFont="1" applyBorder="1" applyAlignment="1">
      <alignment horizontal="right" vertical="center"/>
    </xf>
    <xf numFmtId="0" fontId="12" fillId="0" borderId="234" xfId="0" applyFont="1" applyBorder="1" applyAlignment="1">
      <alignment horizontal="right" vertical="center"/>
    </xf>
    <xf numFmtId="0" fontId="1" fillId="5" borderId="25" xfId="0" applyFont="1" applyFill="1" applyBorder="1" applyAlignment="1">
      <alignment horizontal="left" vertical="center" wrapText="1"/>
    </xf>
    <xf numFmtId="0" fontId="1" fillId="5" borderId="26" xfId="0" applyFont="1" applyFill="1" applyBorder="1" applyAlignment="1">
      <alignment horizontal="left" vertical="center" wrapText="1"/>
    </xf>
    <xf numFmtId="0" fontId="1" fillId="5" borderId="27" xfId="0" applyFont="1" applyFill="1" applyBorder="1" applyAlignment="1">
      <alignment horizontal="left" vertical="center" wrapText="1"/>
    </xf>
    <xf numFmtId="0" fontId="17" fillId="0" borderId="23" xfId="0" applyFont="1" applyBorder="1" applyAlignment="1">
      <alignment horizontal="left" vertical="center" wrapText="1"/>
    </xf>
    <xf numFmtId="0" fontId="17" fillId="0" borderId="2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49" fontId="12" fillId="0" borderId="113" xfId="0" quotePrefix="1" applyNumberFormat="1" applyFont="1" applyBorder="1" applyAlignment="1">
      <alignment horizontal="center" vertical="center"/>
    </xf>
    <xf numFmtId="49" fontId="12" fillId="0" borderId="89" xfId="0" quotePrefix="1" applyNumberFormat="1" applyFont="1" applyBorder="1" applyAlignment="1">
      <alignment horizontal="center" vertical="center"/>
    </xf>
    <xf numFmtId="49" fontId="12" fillId="0" borderId="207" xfId="0" quotePrefix="1" applyNumberFormat="1" applyFont="1" applyBorder="1" applyAlignment="1">
      <alignment horizontal="center" vertical="center"/>
    </xf>
    <xf numFmtId="49" fontId="12" fillId="0" borderId="208" xfId="0" quotePrefix="1" applyNumberFormat="1" applyFont="1" applyBorder="1" applyAlignment="1">
      <alignment horizontal="center" vertical="center"/>
    </xf>
    <xf numFmtId="0" fontId="14" fillId="0" borderId="57" xfId="0" applyFont="1" applyBorder="1" applyAlignment="1">
      <alignment horizontal="right" vertical="center"/>
    </xf>
    <xf numFmtId="0" fontId="14" fillId="0" borderId="22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49" fontId="12" fillId="0" borderId="166" xfId="0" applyNumberFormat="1" applyFont="1" applyBorder="1" applyAlignment="1">
      <alignment horizontal="center" vertical="center"/>
    </xf>
    <xf numFmtId="49" fontId="12" fillId="0" borderId="91" xfId="0" applyNumberFormat="1" applyFont="1" applyBorder="1" applyAlignment="1">
      <alignment horizontal="center" vertical="center"/>
    </xf>
    <xf numFmtId="49" fontId="12" fillId="0" borderId="195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73" xfId="0" applyFont="1" applyBorder="1" applyAlignment="1">
      <alignment horizontal="left" vertical="center" wrapText="1"/>
    </xf>
    <xf numFmtId="0" fontId="36" fillId="0" borderId="13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6" fillId="0" borderId="73" xfId="0" applyFont="1" applyBorder="1" applyAlignment="1">
      <alignment horizontal="center" vertical="center" wrapText="1"/>
    </xf>
    <xf numFmtId="0" fontId="36" fillId="0" borderId="44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77" xfId="0" applyFont="1" applyBorder="1" applyAlignment="1">
      <alignment horizontal="center" vertical="center" wrapText="1"/>
    </xf>
    <xf numFmtId="0" fontId="36" fillId="0" borderId="179" xfId="0" applyFont="1" applyBorder="1" applyAlignment="1">
      <alignment horizontal="center" vertical="center" wrapText="1"/>
    </xf>
    <xf numFmtId="0" fontId="36" fillId="0" borderId="49" xfId="0" applyFont="1" applyBorder="1" applyAlignment="1">
      <alignment horizontal="center" vertical="center" wrapText="1"/>
    </xf>
    <xf numFmtId="0" fontId="36" fillId="0" borderId="50" xfId="0" applyFont="1" applyBorder="1" applyAlignment="1">
      <alignment horizontal="center" vertical="center" wrapText="1"/>
    </xf>
    <xf numFmtId="2" fontId="5" fillId="0" borderId="43" xfId="0" applyNumberFormat="1" applyFont="1" applyBorder="1" applyAlignment="1">
      <alignment horizontal="left" wrapText="1"/>
    </xf>
    <xf numFmtId="2" fontId="5" fillId="0" borderId="0" xfId="0" applyNumberFormat="1" applyFont="1" applyAlignment="1">
      <alignment horizontal="left" wrapText="1"/>
    </xf>
    <xf numFmtId="2" fontId="2" fillId="0" borderId="43" xfId="0" applyNumberFormat="1" applyFont="1" applyBorder="1" applyAlignment="1">
      <alignment horizontal="left" wrapText="1"/>
    </xf>
    <xf numFmtId="2" fontId="2" fillId="0" borderId="0" xfId="0" applyNumberFormat="1" applyFont="1" applyAlignment="1">
      <alignment horizontal="left" wrapText="1"/>
    </xf>
    <xf numFmtId="49" fontId="12" fillId="0" borderId="24" xfId="0" applyNumberFormat="1" applyFont="1" applyBorder="1" applyAlignment="1">
      <alignment horizontal="center" vertical="center"/>
    </xf>
    <xf numFmtId="49" fontId="12" fillId="0" borderId="32" xfId="0" applyNumberFormat="1" applyFont="1" applyBorder="1" applyAlignment="1">
      <alignment horizontal="center" vertical="center"/>
    </xf>
    <xf numFmtId="49" fontId="12" fillId="0" borderId="27" xfId="0" applyNumberFormat="1" applyFont="1" applyBorder="1" applyAlignment="1">
      <alignment horizontal="center" vertical="center"/>
    </xf>
    <xf numFmtId="0" fontId="11" fillId="0" borderId="13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center"/>
    </xf>
    <xf numFmtId="49" fontId="12" fillId="0" borderId="229" xfId="0" applyNumberFormat="1" applyFont="1" applyBorder="1" applyAlignment="1">
      <alignment horizontal="center" vertical="center"/>
    </xf>
    <xf numFmtId="49" fontId="12" fillId="0" borderId="165" xfId="0" applyNumberFormat="1" applyFont="1" applyBorder="1" applyAlignment="1">
      <alignment horizontal="center" vertical="center"/>
    </xf>
    <xf numFmtId="49" fontId="12" fillId="0" borderId="137" xfId="0" applyNumberFormat="1" applyFont="1" applyBorder="1" applyAlignment="1">
      <alignment horizontal="center" vertical="center"/>
    </xf>
    <xf numFmtId="0" fontId="1" fillId="0" borderId="116" xfId="0" applyFont="1" applyBorder="1" applyAlignment="1">
      <alignment horizontal="left" vertical="center" wrapText="1"/>
    </xf>
    <xf numFmtId="49" fontId="12" fillId="0" borderId="94" xfId="0" applyNumberFormat="1" applyFont="1" applyBorder="1" applyAlignment="1">
      <alignment horizontal="center" vertical="center"/>
    </xf>
    <xf numFmtId="0" fontId="12" fillId="20" borderId="66" xfId="0" applyFont="1" applyFill="1" applyBorder="1" applyAlignment="1">
      <alignment horizontal="left" vertical="center" wrapText="1"/>
    </xf>
    <xf numFmtId="0" fontId="12" fillId="20" borderId="55" xfId="0" applyFont="1" applyFill="1" applyBorder="1" applyAlignment="1">
      <alignment horizontal="left" vertical="center" wrapText="1"/>
    </xf>
    <xf numFmtId="0" fontId="12" fillId="20" borderId="67" xfId="0" applyFont="1" applyFill="1" applyBorder="1" applyAlignment="1">
      <alignment horizontal="left" vertical="center" wrapText="1"/>
    </xf>
    <xf numFmtId="4" fontId="12" fillId="20" borderId="66" xfId="5" applyNumberFormat="1" applyFont="1" applyFill="1" applyBorder="1" applyAlignment="1">
      <alignment horizontal="center" vertical="center"/>
    </xf>
    <xf numFmtId="4" fontId="12" fillId="20" borderId="67" xfId="5" applyNumberFormat="1" applyFont="1" applyFill="1" applyBorder="1" applyAlignment="1">
      <alignment horizontal="center" vertical="center"/>
    </xf>
    <xf numFmtId="4" fontId="12" fillId="0" borderId="2" xfId="5" applyNumberFormat="1" applyFont="1" applyFill="1" applyBorder="1" applyAlignment="1">
      <alignment horizontal="left" vertical="center"/>
    </xf>
    <xf numFmtId="0" fontId="12" fillId="0" borderId="89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2" fillId="0" borderId="32" xfId="0" applyFont="1" applyBorder="1" applyAlignment="1">
      <alignment horizontal="right" vertical="center"/>
    </xf>
    <xf numFmtId="0" fontId="12" fillId="0" borderId="179" xfId="0" applyFont="1" applyBorder="1" applyAlignment="1">
      <alignment horizontal="left" vertical="center"/>
    </xf>
    <xf numFmtId="0" fontId="12" fillId="0" borderId="49" xfId="0" applyFont="1" applyBorder="1" applyAlignment="1">
      <alignment horizontal="left" vertical="center"/>
    </xf>
    <xf numFmtId="0" fontId="1" fillId="19" borderId="2" xfId="0" applyFont="1" applyFill="1" applyBorder="1" applyAlignment="1">
      <alignment horizontal="left" vertical="center" wrapText="1"/>
    </xf>
    <xf numFmtId="0" fontId="12" fillId="0" borderId="213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left" vertical="center" wrapText="1"/>
    </xf>
    <xf numFmtId="0" fontId="12" fillId="0" borderId="214" xfId="0" applyFont="1" applyBorder="1" applyAlignment="1">
      <alignment horizontal="left" vertical="center" wrapText="1"/>
    </xf>
    <xf numFmtId="4" fontId="12" fillId="0" borderId="213" xfId="5" applyNumberFormat="1" applyFont="1" applyFill="1" applyBorder="1" applyAlignment="1">
      <alignment horizontal="center" vertical="center"/>
    </xf>
    <xf numFmtId="4" fontId="12" fillId="0" borderId="214" xfId="5" applyNumberFormat="1" applyFont="1" applyFill="1" applyBorder="1" applyAlignment="1">
      <alignment horizontal="center" vertical="center"/>
    </xf>
    <xf numFmtId="0" fontId="12" fillId="0" borderId="224" xfId="0" applyFont="1" applyBorder="1" applyAlignment="1">
      <alignment horizontal="center" vertical="center"/>
    </xf>
    <xf numFmtId="0" fontId="12" fillId="0" borderId="225" xfId="0" applyFont="1" applyBorder="1" applyAlignment="1">
      <alignment horizontal="center" vertical="center"/>
    </xf>
    <xf numFmtId="0" fontId="14" fillId="0" borderId="178" xfId="0" applyFont="1" applyBorder="1" applyAlignment="1">
      <alignment horizontal="right" vertical="center"/>
    </xf>
    <xf numFmtId="0" fontId="30" fillId="0" borderId="178" xfId="0" applyFont="1" applyBorder="1" applyAlignment="1">
      <alignment horizontal="center" vertical="center" wrapText="1"/>
    </xf>
    <xf numFmtId="0" fontId="30" fillId="0" borderId="68" xfId="0" applyFont="1" applyBorder="1" applyAlignment="1">
      <alignment horizontal="center" vertical="center" wrapText="1"/>
    </xf>
    <xf numFmtId="49" fontId="12" fillId="0" borderId="116" xfId="0" applyNumberFormat="1" applyFont="1" applyBorder="1" applyAlignment="1">
      <alignment horizontal="center" vertical="center" wrapText="1"/>
    </xf>
    <xf numFmtId="49" fontId="12" fillId="0" borderId="117" xfId="0" applyNumberFormat="1" applyFont="1" applyBorder="1" applyAlignment="1">
      <alignment horizontal="center" vertical="center" wrapText="1"/>
    </xf>
    <xf numFmtId="49" fontId="12" fillId="0" borderId="174" xfId="0" applyNumberFormat="1" applyFont="1" applyBorder="1" applyAlignment="1">
      <alignment horizontal="center" vertical="center"/>
    </xf>
    <xf numFmtId="49" fontId="12" fillId="0" borderId="175" xfId="0" applyNumberFormat="1" applyFont="1" applyBorder="1" applyAlignment="1">
      <alignment horizontal="center" vertical="center"/>
    </xf>
    <xf numFmtId="49" fontId="12" fillId="0" borderId="192" xfId="0" applyNumberFormat="1" applyFont="1" applyBorder="1" applyAlignment="1">
      <alignment horizontal="center" vertical="center"/>
    </xf>
    <xf numFmtId="49" fontId="12" fillId="0" borderId="193" xfId="0" applyNumberFormat="1" applyFont="1" applyBorder="1" applyAlignment="1">
      <alignment horizontal="center" vertical="center"/>
    </xf>
    <xf numFmtId="49" fontId="12" fillId="0" borderId="85" xfId="0" applyNumberFormat="1" applyFont="1" applyBorder="1" applyAlignment="1">
      <alignment horizontal="center" vertical="center"/>
    </xf>
    <xf numFmtId="49" fontId="12" fillId="0" borderId="78" xfId="0" applyNumberFormat="1" applyFont="1" applyBorder="1" applyAlignment="1">
      <alignment horizontal="center" vertical="center"/>
    </xf>
    <xf numFmtId="49" fontId="12" fillId="0" borderId="194" xfId="0" applyNumberFormat="1" applyFont="1" applyBorder="1" applyAlignment="1">
      <alignment horizontal="center" vertical="center"/>
    </xf>
    <xf numFmtId="0" fontId="12" fillId="0" borderId="196" xfId="0" applyFont="1" applyBorder="1" applyAlignment="1">
      <alignment horizontal="left" vertical="center" wrapText="1"/>
    </xf>
    <xf numFmtId="49" fontId="12" fillId="0" borderId="197" xfId="0" applyNumberFormat="1" applyFont="1" applyBorder="1" applyAlignment="1">
      <alignment horizontal="center" vertical="center"/>
    </xf>
    <xf numFmtId="49" fontId="12" fillId="0" borderId="198" xfId="0" applyNumberFormat="1" applyFont="1" applyBorder="1" applyAlignment="1">
      <alignment horizontal="center" vertical="center"/>
    </xf>
    <xf numFmtId="49" fontId="12" fillId="0" borderId="88" xfId="0" applyNumberFormat="1" applyFont="1" applyBorder="1" applyAlignment="1">
      <alignment horizontal="center" vertical="center"/>
    </xf>
    <xf numFmtId="49" fontId="12" fillId="0" borderId="199" xfId="0" applyNumberFormat="1" applyFont="1" applyBorder="1" applyAlignment="1">
      <alignment horizontal="center" vertical="center"/>
    </xf>
    <xf numFmtId="0" fontId="30" fillId="0" borderId="0" xfId="0" quotePrefix="1" applyFont="1" applyAlignment="1">
      <alignment horizontal="center" vertical="center" wrapText="1"/>
    </xf>
    <xf numFmtId="49" fontId="12" fillId="0" borderId="90" xfId="0" applyNumberFormat="1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2" fillId="0" borderId="7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77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179" xfId="0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 wrapText="1"/>
    </xf>
    <xf numFmtId="0" fontId="12" fillId="0" borderId="52" xfId="0" applyFont="1" applyBorder="1" applyAlignment="1">
      <alignment horizontal="left" vertical="center"/>
    </xf>
    <xf numFmtId="0" fontId="12" fillId="0" borderId="53" xfId="0" applyFont="1" applyBorder="1" applyAlignment="1">
      <alignment horizontal="left" vertical="center"/>
    </xf>
    <xf numFmtId="0" fontId="12" fillId="0" borderId="51" xfId="0" applyFont="1" applyBorder="1" applyAlignment="1">
      <alignment horizontal="left" vertical="center" wrapText="1"/>
    </xf>
    <xf numFmtId="0" fontId="12" fillId="0" borderId="52" xfId="0" applyFont="1" applyBorder="1" applyAlignment="1">
      <alignment horizontal="left" vertical="center" wrapText="1"/>
    </xf>
    <xf numFmtId="0" fontId="12" fillId="0" borderId="53" xfId="0" applyFont="1" applyBorder="1" applyAlignment="1">
      <alignment horizontal="left" vertical="center" wrapText="1"/>
    </xf>
    <xf numFmtId="0" fontId="12" fillId="0" borderId="150" xfId="0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0" fillId="0" borderId="26" xfId="0" applyNumberFormat="1" applyFont="1" applyBorder="1" applyAlignment="1">
      <alignment horizontal="center" vertical="center"/>
    </xf>
    <xf numFmtId="49" fontId="10" fillId="0" borderId="174" xfId="0" applyNumberFormat="1" applyFont="1" applyBorder="1" applyAlignment="1">
      <alignment horizontal="center" vertical="center"/>
    </xf>
    <xf numFmtId="49" fontId="10" fillId="0" borderId="175" xfId="0" applyNumberFormat="1" applyFont="1" applyBorder="1" applyAlignment="1">
      <alignment horizontal="center" vertical="center"/>
    </xf>
    <xf numFmtId="49" fontId="10" fillId="0" borderId="192" xfId="0" applyNumberFormat="1" applyFont="1" applyBorder="1" applyAlignment="1">
      <alignment horizontal="center" vertical="center"/>
    </xf>
    <xf numFmtId="0" fontId="12" fillId="0" borderId="152" xfId="0" applyFont="1" applyBorder="1" applyAlignment="1">
      <alignment horizontal="center" vertical="center"/>
    </xf>
    <xf numFmtId="49" fontId="12" fillId="0" borderId="25" xfId="0" applyNumberFormat="1" applyFont="1" applyBorder="1" applyAlignment="1">
      <alignment horizontal="center" vertical="center"/>
    </xf>
    <xf numFmtId="49" fontId="12" fillId="0" borderId="99" xfId="0" applyNumberFormat="1" applyFont="1" applyBorder="1" applyAlignment="1">
      <alignment horizontal="center" vertical="center"/>
    </xf>
    <xf numFmtId="49" fontId="12" fillId="0" borderId="14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2" fillId="0" borderId="26" xfId="0" applyNumberFormat="1" applyFont="1" applyBorder="1" applyAlignment="1">
      <alignment horizontal="center" vertical="center"/>
    </xf>
    <xf numFmtId="49" fontId="12" fillId="0" borderId="101" xfId="0" applyNumberFormat="1" applyFont="1" applyBorder="1" applyAlignment="1">
      <alignment horizontal="center" vertical="center"/>
    </xf>
    <xf numFmtId="49" fontId="12" fillId="0" borderId="217" xfId="0" applyNumberFormat="1" applyFont="1" applyBorder="1" applyAlignment="1">
      <alignment horizontal="center" vertical="center"/>
    </xf>
    <xf numFmtId="49" fontId="12" fillId="0" borderId="164" xfId="0" applyNumberFormat="1" applyFont="1" applyBorder="1" applyAlignment="1">
      <alignment horizontal="center" vertical="center"/>
    </xf>
    <xf numFmtId="49" fontId="12" fillId="0" borderId="11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4" fillId="0" borderId="23" xfId="0" applyFont="1" applyBorder="1" applyAlignment="1">
      <alignment horizontal="right" vertical="center"/>
    </xf>
    <xf numFmtId="0" fontId="29" fillId="0" borderId="75" xfId="0" applyFont="1" applyBorder="1" applyAlignment="1">
      <alignment horizontal="left" vertical="center" wrapText="1"/>
    </xf>
    <xf numFmtId="0" fontId="29" fillId="0" borderId="123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center" vertical="center" wrapText="1"/>
    </xf>
    <xf numFmtId="44" fontId="0" fillId="0" borderId="79" xfId="1" applyFont="1" applyBorder="1" applyAlignment="1">
      <alignment horizontal="center"/>
    </xf>
    <xf numFmtId="44" fontId="0" fillId="0" borderId="80" xfId="1" applyFont="1" applyBorder="1" applyAlignment="1">
      <alignment horizontal="center"/>
    </xf>
    <xf numFmtId="44" fontId="29" fillId="0" borderId="240" xfId="1" applyFont="1" applyBorder="1" applyAlignment="1">
      <alignment horizontal="center" vertical="center"/>
    </xf>
    <xf numFmtId="44" fontId="29" fillId="0" borderId="86" xfId="1" applyFont="1" applyBorder="1" applyAlignment="1">
      <alignment horizontal="center" vertical="center"/>
    </xf>
    <xf numFmtId="2" fontId="14" fillId="0" borderId="107" xfId="0" applyNumberFormat="1" applyFont="1" applyBorder="1" applyAlignment="1">
      <alignment horizontal="center" vertical="center"/>
    </xf>
    <xf numFmtId="2" fontId="14" fillId="0" borderId="218" xfId="0" applyNumberFormat="1" applyFont="1" applyBorder="1" applyAlignment="1">
      <alignment horizontal="center" vertical="center"/>
    </xf>
    <xf numFmtId="49" fontId="12" fillId="0" borderId="230" xfId="0" applyNumberFormat="1" applyFont="1" applyBorder="1" applyAlignment="1">
      <alignment horizontal="center" vertical="center"/>
    </xf>
    <xf numFmtId="0" fontId="12" fillId="0" borderId="119" xfId="0" applyFont="1" applyBorder="1" applyAlignment="1">
      <alignment horizontal="right" vertical="center"/>
    </xf>
    <xf numFmtId="49" fontId="12" fillId="0" borderId="206" xfId="0" applyNumberFormat="1" applyFont="1" applyBorder="1" applyAlignment="1">
      <alignment horizontal="center" vertical="center"/>
    </xf>
    <xf numFmtId="49" fontId="12" fillId="0" borderId="207" xfId="0" applyNumberFormat="1" applyFont="1" applyBorder="1" applyAlignment="1">
      <alignment horizontal="center" vertical="center"/>
    </xf>
    <xf numFmtId="49" fontId="12" fillId="0" borderId="208" xfId="0" applyNumberFormat="1" applyFont="1" applyBorder="1" applyAlignment="1">
      <alignment horizontal="center" vertical="center"/>
    </xf>
    <xf numFmtId="0" fontId="30" fillId="0" borderId="163" xfId="0" applyFont="1" applyBorder="1" applyAlignment="1">
      <alignment horizontal="center" vertical="center" wrapText="1"/>
    </xf>
    <xf numFmtId="49" fontId="12" fillId="0" borderId="92" xfId="0" quotePrefix="1" applyNumberFormat="1" applyFont="1" applyBorder="1" applyAlignment="1">
      <alignment horizontal="center" vertical="center"/>
    </xf>
    <xf numFmtId="2" fontId="29" fillId="0" borderId="2" xfId="0" applyNumberFormat="1" applyFont="1" applyBorder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/>
    </xf>
    <xf numFmtId="0" fontId="1" fillId="0" borderId="189" xfId="0" applyFont="1" applyBorder="1" applyAlignment="1">
      <alignment horizontal="left" vertical="center" wrapText="1"/>
    </xf>
    <xf numFmtId="0" fontId="1" fillId="0" borderId="52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49" fontId="12" fillId="0" borderId="181" xfId="0" applyNumberFormat="1" applyFont="1" applyBorder="1" applyAlignment="1">
      <alignment horizontal="center" vertical="center"/>
    </xf>
    <xf numFmtId="49" fontId="12" fillId="0" borderId="190" xfId="0" applyNumberFormat="1" applyFont="1" applyBorder="1" applyAlignment="1">
      <alignment horizontal="center" vertical="center"/>
    </xf>
    <xf numFmtId="49" fontId="12" fillId="0" borderId="182" xfId="0" applyNumberFormat="1" applyFont="1" applyBorder="1" applyAlignment="1">
      <alignment horizontal="center" vertical="center"/>
    </xf>
    <xf numFmtId="0" fontId="32" fillId="0" borderId="186" xfId="0" quotePrefix="1" applyFont="1" applyBorder="1" applyAlignment="1">
      <alignment horizontal="left" vertical="center" wrapText="1"/>
    </xf>
    <xf numFmtId="0" fontId="32" fillId="0" borderId="52" xfId="0" quotePrefix="1" applyFont="1" applyBorder="1" applyAlignment="1">
      <alignment horizontal="left" vertical="center" wrapText="1"/>
    </xf>
    <xf numFmtId="0" fontId="32" fillId="0" borderId="53" xfId="0" quotePrefix="1" applyFont="1" applyBorder="1" applyAlignment="1">
      <alignment horizontal="left" vertical="center" wrapText="1"/>
    </xf>
    <xf numFmtId="49" fontId="12" fillId="0" borderId="32" xfId="0" applyNumberFormat="1" applyFont="1" applyBorder="1" applyAlignment="1">
      <alignment horizontal="center" vertical="center" wrapText="1"/>
    </xf>
    <xf numFmtId="0" fontId="29" fillId="0" borderId="101" xfId="0" applyFont="1" applyBorder="1" applyAlignment="1">
      <alignment horizontal="left" vertical="center" wrapText="1"/>
    </xf>
    <xf numFmtId="0" fontId="29" fillId="0" borderId="149" xfId="0" applyFont="1" applyBorder="1" applyAlignment="1">
      <alignment horizontal="left" vertical="center" wrapText="1"/>
    </xf>
    <xf numFmtId="0" fontId="29" fillId="0" borderId="165" xfId="0" applyFont="1" applyBorder="1" applyAlignment="1">
      <alignment horizontal="left" vertical="center" wrapText="1"/>
    </xf>
    <xf numFmtId="0" fontId="29" fillId="0" borderId="137" xfId="0" applyFont="1" applyBorder="1" applyAlignment="1">
      <alignment horizontal="left" vertical="center" wrapText="1"/>
    </xf>
    <xf numFmtId="0" fontId="12" fillId="0" borderId="2" xfId="0" quotePrefix="1" applyFont="1" applyBorder="1" applyAlignment="1">
      <alignment horizontal="left" vertical="center"/>
    </xf>
    <xf numFmtId="49" fontId="12" fillId="0" borderId="204" xfId="0" applyNumberFormat="1" applyFont="1" applyBorder="1" applyAlignment="1">
      <alignment horizontal="center" vertical="center" wrapText="1"/>
    </xf>
    <xf numFmtId="49" fontId="12" fillId="0" borderId="228" xfId="0" applyNumberFormat="1" applyFont="1" applyBorder="1" applyAlignment="1">
      <alignment horizontal="center" vertical="center" wrapText="1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2" fontId="0" fillId="0" borderId="116" xfId="0" applyNumberForma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2" fontId="14" fillId="0" borderId="116" xfId="0" applyNumberFormat="1" applyFont="1" applyBorder="1" applyAlignment="1">
      <alignment horizontal="right" vertical="center"/>
    </xf>
    <xf numFmtId="2" fontId="14" fillId="0" borderId="18" xfId="0" applyNumberFormat="1" applyFont="1" applyBorder="1" applyAlignment="1">
      <alignment horizontal="right" vertical="center"/>
    </xf>
    <xf numFmtId="0" fontId="31" fillId="0" borderId="116" xfId="0" applyFont="1" applyBorder="1" applyAlignment="1">
      <alignment horizontal="left" vertical="center" wrapText="1"/>
    </xf>
    <xf numFmtId="0" fontId="31" fillId="0" borderId="18" xfId="0" applyFont="1" applyBorder="1" applyAlignment="1">
      <alignment horizontal="left" vertical="center" wrapText="1"/>
    </xf>
    <xf numFmtId="2" fontId="0" fillId="0" borderId="116" xfId="0" applyNumberFormat="1" applyBorder="1" applyAlignment="1">
      <alignment horizontal="center" vertical="center" wrapText="1"/>
    </xf>
    <xf numFmtId="2" fontId="0" fillId="0" borderId="18" xfId="0" applyNumberFormat="1" applyBorder="1" applyAlignment="1">
      <alignment horizontal="center" vertical="center" wrapText="1"/>
    </xf>
    <xf numFmtId="2" fontId="29" fillId="0" borderId="116" xfId="0" applyNumberFormat="1" applyFont="1" applyBorder="1" applyAlignment="1">
      <alignment horizontal="center" vertical="center"/>
    </xf>
    <xf numFmtId="2" fontId="29" fillId="0" borderId="18" xfId="0" applyNumberFormat="1" applyFont="1" applyBorder="1" applyAlignment="1">
      <alignment horizontal="center" vertical="center"/>
    </xf>
    <xf numFmtId="0" fontId="1" fillId="0" borderId="178" xfId="0" applyFont="1" applyBorder="1" applyAlignment="1">
      <alignment horizontal="left" vertical="center" wrapText="1"/>
    </xf>
    <xf numFmtId="0" fontId="1" fillId="0" borderId="17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1" fillId="18" borderId="55" xfId="0" quotePrefix="1" applyFont="1" applyFill="1" applyBorder="1" applyAlignment="1">
      <alignment horizontal="left" vertical="center" wrapText="1"/>
    </xf>
    <xf numFmtId="0" fontId="1" fillId="18" borderId="56" xfId="0" quotePrefix="1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30" fillId="0" borderId="188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0" fontId="12" fillId="0" borderId="129" xfId="0" applyFont="1" applyBorder="1" applyAlignment="1">
      <alignment horizontal="center" vertical="center"/>
    </xf>
    <xf numFmtId="0" fontId="12" fillId="0" borderId="130" xfId="0" applyFont="1" applyBorder="1" applyAlignment="1">
      <alignment horizontal="center" vertical="center"/>
    </xf>
    <xf numFmtId="0" fontId="14" fillId="0" borderId="133" xfId="0" applyFont="1" applyBorder="1" applyAlignment="1">
      <alignment horizontal="right" vertical="center"/>
    </xf>
    <xf numFmtId="0" fontId="14" fillId="0" borderId="114" xfId="0" applyFont="1" applyBorder="1" applyAlignment="1">
      <alignment horizontal="right" vertical="center"/>
    </xf>
    <xf numFmtId="0" fontId="12" fillId="0" borderId="157" xfId="0" applyFont="1" applyBorder="1" applyAlignment="1">
      <alignment horizontal="center" vertical="center"/>
    </xf>
    <xf numFmtId="0" fontId="12" fillId="0" borderId="156" xfId="0" applyFont="1" applyBorder="1" applyAlignment="1">
      <alignment horizontal="center" vertical="center"/>
    </xf>
    <xf numFmtId="0" fontId="14" fillId="0" borderId="93" xfId="0" applyFont="1" applyBorder="1" applyAlignment="1">
      <alignment horizontal="right" vertical="center"/>
    </xf>
    <xf numFmtId="0" fontId="14" fillId="0" borderId="107" xfId="0" applyFont="1" applyBorder="1" applyAlignment="1">
      <alignment horizontal="right" vertical="center"/>
    </xf>
    <xf numFmtId="0" fontId="12" fillId="0" borderId="51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49" fontId="12" fillId="0" borderId="183" xfId="0" applyNumberFormat="1" applyFont="1" applyBorder="1" applyAlignment="1">
      <alignment horizontal="center" vertical="center"/>
    </xf>
    <xf numFmtId="49" fontId="12" fillId="0" borderId="184" xfId="0" applyNumberFormat="1" applyFont="1" applyBorder="1" applyAlignment="1">
      <alignment horizontal="center" vertical="center"/>
    </xf>
    <xf numFmtId="49" fontId="12" fillId="0" borderId="185" xfId="0" applyNumberFormat="1" applyFont="1" applyBorder="1" applyAlignment="1">
      <alignment horizontal="center" vertical="center"/>
    </xf>
    <xf numFmtId="0" fontId="0" fillId="0" borderId="50" xfId="0" applyBorder="1" applyAlignment="1">
      <alignment horizontal="center"/>
    </xf>
    <xf numFmtId="0" fontId="12" fillId="0" borderId="74" xfId="0" applyFont="1" applyBorder="1" applyAlignment="1">
      <alignment horizontal="center" vertical="center"/>
    </xf>
    <xf numFmtId="0" fontId="12" fillId="0" borderId="109" xfId="0" applyFont="1" applyBorder="1" applyAlignment="1">
      <alignment horizontal="center" vertical="center"/>
    </xf>
    <xf numFmtId="0" fontId="14" fillId="0" borderId="81" xfId="0" applyFont="1" applyBorder="1" applyAlignment="1">
      <alignment horizontal="right" vertical="center"/>
    </xf>
    <xf numFmtId="0" fontId="12" fillId="0" borderId="159" xfId="0" applyFont="1" applyBorder="1" applyAlignment="1">
      <alignment horizontal="center" vertical="center"/>
    </xf>
    <xf numFmtId="0" fontId="12" fillId="0" borderId="158" xfId="0" applyFont="1" applyBorder="1" applyAlignment="1">
      <alignment horizontal="center" vertical="center"/>
    </xf>
    <xf numFmtId="0" fontId="14" fillId="0" borderId="126" xfId="0" applyFont="1" applyBorder="1" applyAlignment="1">
      <alignment horizontal="right" vertical="center"/>
    </xf>
    <xf numFmtId="49" fontId="11" fillId="0" borderId="89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5" fillId="0" borderId="101" xfId="10" applyFont="1" applyBorder="1" applyAlignment="1">
      <alignment horizontal="left" vertical="center" wrapText="1"/>
    </xf>
    <xf numFmtId="0" fontId="12" fillId="0" borderId="1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49" fontId="12" fillId="0" borderId="162" xfId="0" applyNumberFormat="1" applyFont="1" applyBorder="1" applyAlignment="1">
      <alignment horizontal="center" vertical="center"/>
    </xf>
    <xf numFmtId="49" fontId="12" fillId="0" borderId="160" xfId="0" applyNumberFormat="1" applyFont="1" applyBorder="1" applyAlignment="1">
      <alignment horizontal="center" vertical="center"/>
    </xf>
    <xf numFmtId="49" fontId="12" fillId="0" borderId="161" xfId="0" applyNumberFormat="1" applyFont="1" applyBorder="1" applyAlignment="1">
      <alignment horizontal="center" vertical="center"/>
    </xf>
    <xf numFmtId="0" fontId="78" fillId="0" borderId="101" xfId="10" applyFont="1" applyBorder="1" applyAlignment="1">
      <alignment horizontal="left" vertical="center" wrapText="1"/>
    </xf>
    <xf numFmtId="49" fontId="11" fillId="0" borderId="120" xfId="0" applyNumberFormat="1" applyFont="1" applyBorder="1" applyAlignment="1">
      <alignment horizontal="center" vertical="center"/>
    </xf>
    <xf numFmtId="49" fontId="11" fillId="0" borderId="114" xfId="0" applyNumberFormat="1" applyFont="1" applyBorder="1" applyAlignment="1">
      <alignment horizontal="center" vertical="center"/>
    </xf>
    <xf numFmtId="0" fontId="12" fillId="0" borderId="70" xfId="0" applyFont="1" applyBorder="1" applyAlignment="1">
      <alignment horizontal="center" vertical="center"/>
    </xf>
    <xf numFmtId="0" fontId="12" fillId="0" borderId="100" xfId="0" applyFont="1" applyBorder="1" applyAlignment="1">
      <alignment horizontal="center" vertical="center"/>
    </xf>
    <xf numFmtId="49" fontId="11" fillId="0" borderId="88" xfId="0" applyNumberFormat="1" applyFont="1" applyBorder="1" applyAlignment="1">
      <alignment horizontal="center" vertical="center"/>
    </xf>
    <xf numFmtId="49" fontId="12" fillId="0" borderId="96" xfId="0" applyNumberFormat="1" applyFont="1" applyBorder="1" applyAlignment="1">
      <alignment horizontal="center" vertical="center"/>
    </xf>
    <xf numFmtId="49" fontId="12" fillId="0" borderId="98" xfId="0" applyNumberFormat="1" applyFont="1" applyBorder="1" applyAlignment="1">
      <alignment horizontal="center" vertical="center"/>
    </xf>
    <xf numFmtId="0" fontId="14" fillId="0" borderId="72" xfId="0" applyFont="1" applyBorder="1" applyAlignment="1">
      <alignment horizontal="center" vertical="center"/>
    </xf>
    <xf numFmtId="0" fontId="14" fillId="0" borderId="76" xfId="0" applyFont="1" applyBorder="1" applyAlignment="1">
      <alignment horizontal="center" vertical="center"/>
    </xf>
    <xf numFmtId="0" fontId="12" fillId="0" borderId="1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left" vertical="center" wrapText="1"/>
    </xf>
    <xf numFmtId="4" fontId="12" fillId="0" borderId="0" xfId="5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right" vertical="center"/>
    </xf>
    <xf numFmtId="49" fontId="11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center" wrapText="1" shrinkToFit="1"/>
    </xf>
    <xf numFmtId="0" fontId="29" fillId="0" borderId="0" xfId="0" applyFont="1" applyAlignment="1">
      <alignment horizontal="left" vertical="center" wrapText="1" shrinkToFit="1"/>
    </xf>
    <xf numFmtId="0" fontId="29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/>
    </xf>
    <xf numFmtId="0" fontId="78" fillId="0" borderId="0" xfId="10" applyFont="1" applyAlignment="1">
      <alignment horizontal="left" vertical="center" wrapText="1"/>
    </xf>
    <xf numFmtId="0" fontId="27" fillId="0" borderId="60" xfId="0" applyFont="1" applyBorder="1" applyAlignment="1">
      <alignment horizontal="center" vertical="center"/>
    </xf>
    <xf numFmtId="0" fontId="27" fillId="0" borderId="61" xfId="0" applyFont="1" applyBorder="1" applyAlignment="1">
      <alignment horizontal="center" vertical="center"/>
    </xf>
    <xf numFmtId="0" fontId="27" fillId="0" borderId="62" xfId="0" applyFont="1" applyBorder="1" applyAlignment="1">
      <alignment horizontal="center" vertical="center"/>
    </xf>
    <xf numFmtId="49" fontId="11" fillId="0" borderId="52" xfId="0" applyNumberFormat="1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23" fillId="0" borderId="45" xfId="0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/>
    </xf>
    <xf numFmtId="0" fontId="23" fillId="0" borderId="47" xfId="0" applyFont="1" applyBorder="1" applyAlignment="1">
      <alignment horizontal="center" vertical="center"/>
    </xf>
    <xf numFmtId="0" fontId="23" fillId="0" borderId="48" xfId="0" applyFont="1" applyBorder="1" applyAlignment="1">
      <alignment horizontal="center" vertical="center"/>
    </xf>
    <xf numFmtId="0" fontId="23" fillId="0" borderId="49" xfId="0" applyFont="1" applyBorder="1" applyAlignment="1">
      <alignment horizontal="center" vertical="center"/>
    </xf>
    <xf numFmtId="0" fontId="23" fillId="0" borderId="50" xfId="0" applyFont="1" applyBorder="1" applyAlignment="1">
      <alignment horizontal="center" vertical="center"/>
    </xf>
    <xf numFmtId="0" fontId="24" fillId="0" borderId="51" xfId="0" applyFont="1" applyBorder="1" applyAlignment="1">
      <alignment horizontal="center" vertical="center" wrapText="1"/>
    </xf>
    <xf numFmtId="0" fontId="24" fillId="0" borderId="52" xfId="0" applyFont="1" applyBorder="1" applyAlignment="1">
      <alignment horizontal="center" vertical="center"/>
    </xf>
    <xf numFmtId="0" fontId="24" fillId="0" borderId="53" xfId="0" applyFont="1" applyBorder="1" applyAlignment="1">
      <alignment horizontal="center" vertical="center"/>
    </xf>
    <xf numFmtId="49" fontId="11" fillId="0" borderId="49" xfId="0" applyNumberFormat="1" applyFont="1" applyBorder="1" applyAlignment="1">
      <alignment horizontal="center" vertical="center"/>
    </xf>
    <xf numFmtId="0" fontId="25" fillId="0" borderId="54" xfId="0" applyFont="1" applyBorder="1" applyAlignment="1">
      <alignment horizontal="right"/>
    </xf>
    <xf numFmtId="0" fontId="25" fillId="0" borderId="55" xfId="0" applyFont="1" applyBorder="1" applyAlignment="1">
      <alignment horizontal="right"/>
    </xf>
    <xf numFmtId="0" fontId="25" fillId="0" borderId="56" xfId="0" applyFont="1" applyBorder="1" applyAlignment="1">
      <alignment horizontal="right"/>
    </xf>
    <xf numFmtId="0" fontId="26" fillId="0" borderId="2" xfId="0" applyFont="1" applyBorder="1" applyAlignment="1">
      <alignment horizontal="center" vertical="center"/>
    </xf>
    <xf numFmtId="168" fontId="26" fillId="0" borderId="2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49" fontId="12" fillId="0" borderId="83" xfId="0" applyNumberFormat="1" applyFont="1" applyBorder="1" applyAlignment="1">
      <alignment horizontal="center" vertical="center"/>
    </xf>
    <xf numFmtId="0" fontId="82" fillId="0" borderId="40" xfId="0" applyFont="1" applyBorder="1" applyAlignment="1">
      <alignment horizontal="left" vertical="top" wrapText="1"/>
    </xf>
    <xf numFmtId="0" fontId="82" fillId="0" borderId="34" xfId="0" applyFont="1" applyBorder="1" applyAlignment="1">
      <alignment horizontal="left" vertical="top" wrapText="1"/>
    </xf>
    <xf numFmtId="0" fontId="82" fillId="0" borderId="205" xfId="0" applyFont="1" applyBorder="1" applyAlignment="1">
      <alignment horizontal="left" vertical="top" wrapText="1"/>
    </xf>
    <xf numFmtId="0" fontId="1" fillId="5" borderId="23" xfId="0" applyFont="1" applyFill="1" applyBorder="1" applyAlignment="1">
      <alignment horizontal="left" vertical="center" wrapText="1"/>
    </xf>
    <xf numFmtId="0" fontId="1" fillId="5" borderId="22" xfId="0" applyFont="1" applyFill="1" applyBorder="1" applyAlignment="1">
      <alignment horizontal="left" vertical="center" wrapText="1"/>
    </xf>
    <xf numFmtId="0" fontId="1" fillId="5" borderId="211" xfId="0" applyFont="1" applyFill="1" applyBorder="1" applyAlignment="1">
      <alignment horizontal="left" vertical="center" wrapText="1"/>
    </xf>
    <xf numFmtId="0" fontId="84" fillId="21" borderId="40" xfId="0" applyFont="1" applyFill="1" applyBorder="1" applyAlignment="1">
      <alignment horizontal="left" vertical="top" wrapText="1"/>
    </xf>
    <xf numFmtId="0" fontId="84" fillId="21" borderId="34" xfId="0" applyFont="1" applyFill="1" applyBorder="1" applyAlignment="1">
      <alignment horizontal="left" vertical="top" wrapText="1"/>
    </xf>
    <xf numFmtId="0" fontId="84" fillId="21" borderId="205" xfId="0" applyFont="1" applyFill="1" applyBorder="1" applyAlignment="1">
      <alignment horizontal="left" vertical="top" wrapText="1"/>
    </xf>
    <xf numFmtId="0" fontId="84" fillId="0" borderId="40" xfId="0" applyFont="1" applyBorder="1" applyAlignment="1">
      <alignment horizontal="left" vertical="top" wrapText="1"/>
    </xf>
    <xf numFmtId="0" fontId="84" fillId="0" borderId="34" xfId="0" applyFont="1" applyBorder="1" applyAlignment="1">
      <alignment horizontal="left" vertical="top" wrapText="1"/>
    </xf>
    <xf numFmtId="0" fontId="84" fillId="0" borderId="205" xfId="0" applyFont="1" applyBorder="1" applyAlignment="1">
      <alignment horizontal="left" vertical="top" wrapText="1"/>
    </xf>
    <xf numFmtId="0" fontId="14" fillId="0" borderId="116" xfId="0" applyFont="1" applyBorder="1" applyAlignment="1">
      <alignment horizontal="center" vertical="center"/>
    </xf>
    <xf numFmtId="0" fontId="12" fillId="0" borderId="61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4" fontId="12" fillId="0" borderId="18" xfId="5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0" fontId="12" fillId="0" borderId="27" xfId="0" applyFont="1" applyBorder="1" applyAlignment="1">
      <alignment horizontal="left" vertical="center"/>
    </xf>
    <xf numFmtId="0" fontId="12" fillId="0" borderId="204" xfId="0" applyFont="1" applyBorder="1" applyAlignment="1">
      <alignment horizontal="center" vertical="center"/>
    </xf>
    <xf numFmtId="0" fontId="12" fillId="0" borderId="228" xfId="0" applyFont="1" applyBorder="1" applyAlignment="1">
      <alignment horizontal="center" vertical="center"/>
    </xf>
    <xf numFmtId="0" fontId="12" fillId="0" borderId="235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2" fontId="2" fillId="3" borderId="18" xfId="0" applyNumberFormat="1" applyFont="1" applyFill="1" applyBorder="1" applyAlignment="1">
      <alignment horizontal="center" vertical="center" wrapText="1"/>
    </xf>
    <xf numFmtId="2" fontId="5" fillId="3" borderId="18" xfId="0" applyNumberFormat="1" applyFont="1" applyFill="1" applyBorder="1" applyAlignment="1">
      <alignment horizontal="center" vertical="center" wrapText="1"/>
    </xf>
    <xf numFmtId="44" fontId="1" fillId="0" borderId="2" xfId="0" applyNumberFormat="1" applyFont="1" applyBorder="1" applyAlignment="1">
      <alignment horizontal="center" vertical="center" wrapText="1"/>
    </xf>
    <xf numFmtId="0" fontId="0" fillId="4" borderId="3" xfId="0" applyFill="1" applyBorder="1" applyAlignment="1">
      <alignment horizontal="center"/>
    </xf>
    <xf numFmtId="0" fontId="6" fillId="13" borderId="13" xfId="0" applyFont="1" applyFill="1" applyBorder="1" applyAlignment="1">
      <alignment horizontal="center" vertical="center" wrapText="1"/>
    </xf>
    <xf numFmtId="0" fontId="6" fillId="13" borderId="14" xfId="0" applyFont="1" applyFill="1" applyBorder="1" applyAlignment="1">
      <alignment horizontal="center" vertical="center" wrapText="1"/>
    </xf>
    <xf numFmtId="0" fontId="6" fillId="13" borderId="15" xfId="0" applyFont="1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/>
    </xf>
    <xf numFmtId="2" fontId="2" fillId="3" borderId="2" xfId="0" applyNumberFormat="1" applyFont="1" applyFill="1" applyBorder="1" applyAlignment="1">
      <alignment horizontal="center" vertical="center" wrapText="1"/>
    </xf>
    <xf numFmtId="2" fontId="5" fillId="3" borderId="2" xfId="0" applyNumberFormat="1" applyFont="1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44" fontId="5" fillId="0" borderId="20" xfId="0" applyNumberFormat="1" applyFont="1" applyBorder="1" applyAlignment="1">
      <alignment horizontal="center" vertical="center" wrapText="1"/>
    </xf>
    <xf numFmtId="44" fontId="5" fillId="0" borderId="21" xfId="0" applyNumberFormat="1" applyFont="1" applyBorder="1" applyAlignment="1">
      <alignment horizontal="center" vertical="center" wrapText="1"/>
    </xf>
    <xf numFmtId="0" fontId="7" fillId="15" borderId="13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7" fillId="15" borderId="24" xfId="0" applyFont="1" applyFill="1" applyBorder="1" applyAlignment="1">
      <alignment horizontal="center" vertical="center" wrapText="1"/>
    </xf>
    <xf numFmtId="0" fontId="7" fillId="15" borderId="25" xfId="0" applyFont="1" applyFill="1" applyBorder="1" applyAlignment="1">
      <alignment horizontal="center" vertical="center" wrapText="1"/>
    </xf>
    <xf numFmtId="0" fontId="7" fillId="15" borderId="26" xfId="0" applyFont="1" applyFill="1" applyBorder="1" applyAlignment="1">
      <alignment horizontal="center" vertical="center" wrapText="1"/>
    </xf>
    <xf numFmtId="0" fontId="7" fillId="15" borderId="27" xfId="0" applyFont="1" applyFill="1" applyBorder="1" applyAlignment="1">
      <alignment horizontal="center" vertical="center" wrapText="1"/>
    </xf>
    <xf numFmtId="0" fontId="10" fillId="16" borderId="23" xfId="0" applyFont="1" applyFill="1" applyBorder="1" applyAlignment="1">
      <alignment horizontal="center" vertical="center"/>
    </xf>
    <xf numFmtId="0" fontId="10" fillId="16" borderId="22" xfId="0" applyFont="1" applyFill="1" applyBorder="1" applyAlignment="1">
      <alignment horizontal="center" vertical="center"/>
    </xf>
    <xf numFmtId="0" fontId="10" fillId="16" borderId="1" xfId="0" applyFont="1" applyFill="1" applyBorder="1" applyAlignment="1">
      <alignment horizontal="center" vertical="center"/>
    </xf>
    <xf numFmtId="0" fontId="11" fillId="14" borderId="2" xfId="0" applyFont="1" applyFill="1" applyBorder="1" applyAlignment="1">
      <alignment horizontal="left" vertical="center" wrapText="1"/>
    </xf>
    <xf numFmtId="2" fontId="12" fillId="0" borderId="2" xfId="0" applyNumberFormat="1" applyFont="1" applyBorder="1" applyAlignment="1">
      <alignment horizontal="left" vertical="center"/>
    </xf>
    <xf numFmtId="2" fontId="12" fillId="0" borderId="13" xfId="0" applyNumberFormat="1" applyFont="1" applyBorder="1" applyAlignment="1">
      <alignment horizontal="center" vertical="center" wrapText="1"/>
    </xf>
    <xf numFmtId="2" fontId="12" fillId="0" borderId="14" xfId="0" applyNumberFormat="1" applyFont="1" applyBorder="1" applyAlignment="1">
      <alignment horizontal="center" vertical="center" wrapText="1"/>
    </xf>
    <xf numFmtId="2" fontId="12" fillId="0" borderId="44" xfId="0" applyNumberFormat="1" applyFont="1" applyBorder="1" applyAlignment="1">
      <alignment horizontal="center" vertical="center" wrapText="1"/>
    </xf>
    <xf numFmtId="2" fontId="12" fillId="0" borderId="0" xfId="0" applyNumberFormat="1" applyFont="1" applyAlignment="1">
      <alignment horizontal="center" vertical="center" wrapText="1"/>
    </xf>
    <xf numFmtId="2" fontId="12" fillId="0" borderId="25" xfId="0" applyNumberFormat="1" applyFont="1" applyBorder="1" applyAlignment="1">
      <alignment horizontal="center" vertical="center" wrapText="1"/>
    </xf>
    <xf numFmtId="2" fontId="12" fillId="0" borderId="26" xfId="0" applyNumberFormat="1" applyFont="1" applyBorder="1" applyAlignment="1">
      <alignment horizontal="center" vertical="center" wrapText="1"/>
    </xf>
    <xf numFmtId="0" fontId="12" fillId="14" borderId="2" xfId="0" applyFont="1" applyFill="1" applyBorder="1" applyAlignment="1">
      <alignment horizontal="left" vertical="center" wrapText="1"/>
    </xf>
    <xf numFmtId="0" fontId="13" fillId="14" borderId="2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/>
    </xf>
    <xf numFmtId="49" fontId="12" fillId="14" borderId="2" xfId="0" applyNumberFormat="1" applyFont="1" applyFill="1" applyBorder="1" applyAlignment="1">
      <alignment horizontal="left" vertical="center" wrapText="1"/>
    </xf>
    <xf numFmtId="0" fontId="12" fillId="14" borderId="2" xfId="0" applyFont="1" applyFill="1" applyBorder="1" applyAlignment="1">
      <alignment horizontal="left" vertical="center"/>
    </xf>
    <xf numFmtId="2" fontId="12" fillId="0" borderId="2" xfId="0" applyNumberFormat="1" applyFont="1" applyBorder="1" applyAlignment="1">
      <alignment horizontal="left" vertical="center" wrapText="1"/>
    </xf>
    <xf numFmtId="0" fontId="17" fillId="17" borderId="36" xfId="0" quotePrefix="1" applyFont="1" applyFill="1" applyBorder="1" applyAlignment="1">
      <alignment horizontal="left" vertical="top" wrapText="1"/>
    </xf>
    <xf numFmtId="0" fontId="1" fillId="5" borderId="38" xfId="0" quotePrefix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center" wrapText="1" indent="1"/>
    </xf>
    <xf numFmtId="0" fontId="16" fillId="4" borderId="2" xfId="0" applyFont="1" applyFill="1" applyBorder="1" applyAlignment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" fillId="5" borderId="34" xfId="0" quotePrefix="1" applyFont="1" applyFill="1" applyBorder="1" applyAlignment="1">
      <alignment horizontal="left" vertical="top" wrapText="1"/>
    </xf>
    <xf numFmtId="0" fontId="1" fillId="5" borderId="39" xfId="0" quotePrefix="1" applyFont="1" applyFill="1" applyBorder="1" applyAlignment="1">
      <alignment horizontal="left" vertical="top" wrapText="1"/>
    </xf>
    <xf numFmtId="0" fontId="1" fillId="5" borderId="40" xfId="0" applyFont="1" applyFill="1" applyBorder="1" applyAlignment="1">
      <alignment horizontal="left" vertical="top" wrapText="1"/>
    </xf>
    <xf numFmtId="0" fontId="1" fillId="5" borderId="34" xfId="0" applyFont="1" applyFill="1" applyBorder="1" applyAlignment="1">
      <alignment horizontal="left" vertical="top" wrapText="1"/>
    </xf>
    <xf numFmtId="0" fontId="1" fillId="5" borderId="39" xfId="0" applyFont="1" applyFill="1" applyBorder="1" applyAlignment="1">
      <alignment horizontal="left" vertical="top" wrapText="1"/>
    </xf>
    <xf numFmtId="0" fontId="17" fillId="17" borderId="40" xfId="0" applyFont="1" applyFill="1" applyBorder="1" applyAlignment="1">
      <alignment horizontal="left" vertical="top" wrapText="1"/>
    </xf>
    <xf numFmtId="0" fontId="17" fillId="17" borderId="34" xfId="0" applyFont="1" applyFill="1" applyBorder="1" applyAlignment="1">
      <alignment horizontal="left" vertical="top" wrapText="1"/>
    </xf>
    <xf numFmtId="0" fontId="17" fillId="17" borderId="39" xfId="0" applyFont="1" applyFill="1" applyBorder="1" applyAlignment="1">
      <alignment horizontal="left" vertical="top" wrapText="1"/>
    </xf>
    <xf numFmtId="49" fontId="4" fillId="0" borderId="0" xfId="0" applyNumberFormat="1" applyFont="1" applyAlignment="1">
      <alignment horizontal="left" vertical="center" wrapText="1" indent="1"/>
    </xf>
    <xf numFmtId="0" fontId="17" fillId="17" borderId="34" xfId="0" quotePrefix="1" applyFont="1" applyFill="1" applyBorder="1" applyAlignment="1">
      <alignment horizontal="left" vertical="top" wrapText="1"/>
    </xf>
    <xf numFmtId="0" fontId="17" fillId="17" borderId="39" xfId="0" quotePrefix="1" applyFont="1" applyFill="1" applyBorder="1" applyAlignment="1">
      <alignment horizontal="left" vertical="top" wrapText="1"/>
    </xf>
    <xf numFmtId="0" fontId="17" fillId="17" borderId="34" xfId="0" quotePrefix="1" applyFont="1" applyFill="1" applyBorder="1" applyAlignment="1">
      <alignment horizontal="left" vertical="center" wrapText="1"/>
    </xf>
    <xf numFmtId="0" fontId="17" fillId="17" borderId="39" xfId="0" quotePrefix="1" applyFont="1" applyFill="1" applyBorder="1" applyAlignment="1">
      <alignment horizontal="left" vertical="center" wrapText="1"/>
    </xf>
    <xf numFmtId="0" fontId="1" fillId="5" borderId="40" xfId="0" applyFont="1" applyFill="1" applyBorder="1" applyAlignment="1">
      <alignment horizontal="left" vertical="center" wrapText="1"/>
    </xf>
    <xf numFmtId="0" fontId="1" fillId="5" borderId="34" xfId="0" applyFont="1" applyFill="1" applyBorder="1" applyAlignment="1">
      <alignment horizontal="left" vertical="center" wrapText="1"/>
    </xf>
    <xf numFmtId="0" fontId="1" fillId="5" borderId="39" xfId="0" applyFont="1" applyFill="1" applyBorder="1" applyAlignment="1">
      <alignment horizontal="left" vertical="center" wrapText="1"/>
    </xf>
    <xf numFmtId="0" fontId="1" fillId="5" borderId="34" xfId="0" quotePrefix="1" applyFont="1" applyFill="1" applyBorder="1" applyAlignment="1">
      <alignment horizontal="left" vertical="center" wrapText="1"/>
    </xf>
    <xf numFmtId="0" fontId="1" fillId="5" borderId="39" xfId="0" quotePrefix="1" applyFont="1" applyFill="1" applyBorder="1" applyAlignment="1">
      <alignment horizontal="left" vertical="center" wrapText="1"/>
    </xf>
    <xf numFmtId="49" fontId="17" fillId="17" borderId="0" xfId="0" applyNumberFormat="1" applyFont="1" applyFill="1" applyAlignment="1">
      <alignment horizontal="left" vertical="center" wrapText="1" indent="1"/>
    </xf>
    <xf numFmtId="0" fontId="4" fillId="5" borderId="0" xfId="0" applyFont="1" applyFill="1" applyAlignment="1">
      <alignment horizontal="left" vertical="center" wrapText="1" indent="1"/>
    </xf>
    <xf numFmtId="0" fontId="17" fillId="5" borderId="0" xfId="0" applyFont="1" applyFill="1" applyAlignment="1">
      <alignment horizontal="left" vertical="center" wrapText="1"/>
    </xf>
    <xf numFmtId="0" fontId="17" fillId="16" borderId="14" xfId="0" applyFont="1" applyFill="1" applyBorder="1" applyAlignment="1">
      <alignment horizontal="right" vertical="center" wrapText="1"/>
    </xf>
    <xf numFmtId="0" fontId="17" fillId="16" borderId="0" xfId="0" applyFont="1" applyFill="1" applyAlignment="1">
      <alignment horizontal="right" vertical="center" wrapText="1"/>
    </xf>
    <xf numFmtId="44" fontId="17" fillId="16" borderId="14" xfId="0" applyNumberFormat="1" applyFont="1" applyFill="1" applyBorder="1" applyAlignment="1">
      <alignment horizontal="center" vertical="center" wrapText="1"/>
    </xf>
    <xf numFmtId="44" fontId="17" fillId="16" borderId="24" xfId="0" applyNumberFormat="1" applyFont="1" applyFill="1" applyBorder="1" applyAlignment="1">
      <alignment horizontal="center" vertical="center" wrapText="1"/>
    </xf>
    <xf numFmtId="44" fontId="17" fillId="16" borderId="26" xfId="0" applyNumberFormat="1" applyFont="1" applyFill="1" applyBorder="1" applyAlignment="1">
      <alignment horizontal="center" vertical="center" wrapText="1"/>
    </xf>
    <xf numFmtId="44" fontId="17" fillId="16" borderId="27" xfId="0" applyNumberFormat="1" applyFont="1" applyFill="1" applyBorder="1" applyAlignment="1">
      <alignment horizontal="center" vertical="center" wrapText="1"/>
    </xf>
    <xf numFmtId="44" fontId="1" fillId="16" borderId="2" xfId="0" applyNumberFormat="1" applyFont="1" applyFill="1" applyBorder="1" applyAlignment="1">
      <alignment horizontal="center"/>
    </xf>
    <xf numFmtId="0" fontId="1" fillId="16" borderId="2" xfId="0" applyFont="1" applyFill="1" applyBorder="1" applyAlignment="1">
      <alignment horizontal="center"/>
    </xf>
    <xf numFmtId="44" fontId="17" fillId="16" borderId="2" xfId="0" applyNumberFormat="1" applyFont="1" applyFill="1" applyBorder="1" applyAlignment="1">
      <alignment horizontal="center"/>
    </xf>
    <xf numFmtId="0" fontId="17" fillId="16" borderId="2" xfId="0" applyFont="1" applyFill="1" applyBorder="1" applyAlignment="1">
      <alignment horizontal="center"/>
    </xf>
    <xf numFmtId="44" fontId="1" fillId="0" borderId="23" xfId="0" applyNumberFormat="1" applyFont="1" applyBorder="1" applyAlignment="1">
      <alignment horizontal="left" vertical="top" wrapText="1"/>
    </xf>
    <xf numFmtId="44" fontId="1" fillId="0" borderId="1" xfId="0" applyNumberFormat="1" applyFont="1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3" fontId="0" fillId="0" borderId="23" xfId="0" applyNumberFormat="1" applyBorder="1" applyAlignment="1">
      <alignment horizontal="left" vertical="top" wrapText="1"/>
    </xf>
    <xf numFmtId="43" fontId="0" fillId="0" borderId="1" xfId="0" applyNumberFormat="1" applyBorder="1" applyAlignment="1">
      <alignment horizontal="left" vertical="top" wrapText="1"/>
    </xf>
  </cellXfs>
  <cellStyles count="15">
    <cellStyle name="Moeda" xfId="1" builtinId="4"/>
    <cellStyle name="Moeda 2" xfId="6" xr:uid="{00000000-0005-0000-0000-000001000000}"/>
    <cellStyle name="Normal" xfId="0" builtinId="0"/>
    <cellStyle name="Normal 2" xfId="10" xr:uid="{00000000-0005-0000-0000-000003000000}"/>
    <cellStyle name="Normal 2 2" xfId="11" xr:uid="{00000000-0005-0000-0000-000004000000}"/>
    <cellStyle name="Normal 3" xfId="13" xr:uid="{00000000-0005-0000-0000-000005000000}"/>
    <cellStyle name="Normal 4" xfId="14" xr:uid="{00000000-0005-0000-0000-000006000000}"/>
    <cellStyle name="Porcentagem" xfId="2" builtinId="5"/>
    <cellStyle name="Separador de milhares 2" xfId="5" xr:uid="{00000000-0005-0000-0000-000008000000}"/>
    <cellStyle name="Separador de milhares 2 2" xfId="9" xr:uid="{00000000-0005-0000-0000-000009000000}"/>
    <cellStyle name="Vírgula" xfId="3" builtinId="3"/>
    <cellStyle name="Vírgula 2" xfId="4" xr:uid="{00000000-0005-0000-0000-00000B000000}"/>
    <cellStyle name="Vírgula 2 2" xfId="8" xr:uid="{00000000-0005-0000-0000-00000C000000}"/>
    <cellStyle name="Vírgula 3" xfId="12" xr:uid="{00000000-0005-0000-0000-00000D000000}"/>
    <cellStyle name="Vírgula 4" xfId="7" xr:uid="{00000000-0005-0000-0000-00000E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10" Type="http://schemas.openxmlformats.org/officeDocument/2006/relationships/externalLink" Target="externalLinks/externalLink4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709515</xdr:colOff>
      <xdr:row>0</xdr:row>
      <xdr:rowOff>933061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034913-7C87-4E22-9AFB-15BF1F90E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09515" cy="9330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427653</xdr:colOff>
      <xdr:row>0</xdr:row>
      <xdr:rowOff>29158</xdr:rowOff>
    </xdr:from>
    <xdr:to>
      <xdr:col>9</xdr:col>
      <xdr:colOff>32196</xdr:colOff>
      <xdr:row>0</xdr:row>
      <xdr:rowOff>888294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57123E3-F4A7-40F2-B0C4-43AEB0BB8889}"/>
            </a:ext>
          </a:extLst>
        </xdr:cNvPr>
        <xdr:cNvPicPr/>
      </xdr:nvPicPr>
      <xdr:blipFill rotWithShape="1">
        <a:blip xmlns:r="http://schemas.openxmlformats.org/officeDocument/2006/relationships" r:embed="rId2" cstate="print"/>
        <a:srcRect l="44802" t="35326" r="44714" b="40426"/>
        <a:stretch/>
      </xdr:blipFill>
      <xdr:spPr bwMode="auto">
        <a:xfrm>
          <a:off x="7561684" y="29158"/>
          <a:ext cx="819466" cy="85913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49695</xdr:colOff>
      <xdr:row>0</xdr:row>
      <xdr:rowOff>33130</xdr:rowOff>
    </xdr:from>
    <xdr:ext cx="513324" cy="614082"/>
    <xdr:pic>
      <xdr:nvPicPr>
        <xdr:cNvPr id="2" name="Imagem 1">
          <a:extLst>
            <a:ext uri="{FF2B5EF4-FFF2-40B4-BE49-F238E27FC236}">
              <a16:creationId xmlns:a16="http://schemas.microsoft.com/office/drawing/2014/main" id="{5BD55DB8-8572-40A4-A41A-AD4D3DD46699}"/>
            </a:ext>
          </a:extLst>
        </xdr:cNvPr>
        <xdr:cNvPicPr/>
      </xdr:nvPicPr>
      <xdr:blipFill rotWithShape="1">
        <a:blip xmlns:r="http://schemas.openxmlformats.org/officeDocument/2006/relationships" r:embed="rId1" cstate="print"/>
        <a:srcRect l="44802" t="35326" r="44714" b="40426"/>
        <a:stretch/>
      </xdr:blipFill>
      <xdr:spPr bwMode="auto">
        <a:xfrm>
          <a:off x="49695" y="33130"/>
          <a:ext cx="513324" cy="61408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0</xdr:col>
      <xdr:colOff>49695</xdr:colOff>
      <xdr:row>0</xdr:row>
      <xdr:rowOff>33130</xdr:rowOff>
    </xdr:from>
    <xdr:ext cx="513324" cy="614082"/>
    <xdr:pic>
      <xdr:nvPicPr>
        <xdr:cNvPr id="3" name="Imagem 2">
          <a:extLst>
            <a:ext uri="{FF2B5EF4-FFF2-40B4-BE49-F238E27FC236}">
              <a16:creationId xmlns:a16="http://schemas.microsoft.com/office/drawing/2014/main" id="{AFA8E9B6-A9A2-4332-855F-17161F7A9F30}"/>
            </a:ext>
          </a:extLst>
        </xdr:cNvPr>
        <xdr:cNvPicPr/>
      </xdr:nvPicPr>
      <xdr:blipFill rotWithShape="1">
        <a:blip xmlns:r="http://schemas.openxmlformats.org/officeDocument/2006/relationships" r:embed="rId1" cstate="print"/>
        <a:srcRect l="44802" t="35326" r="44714" b="40426"/>
        <a:stretch/>
      </xdr:blipFill>
      <xdr:spPr bwMode="auto">
        <a:xfrm>
          <a:off x="49695" y="33130"/>
          <a:ext cx="513324" cy="61408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99084</xdr:colOff>
      <xdr:row>0</xdr:row>
      <xdr:rowOff>81343</xdr:rowOff>
    </xdr:from>
    <xdr:to>
      <xdr:col>2</xdr:col>
      <xdr:colOff>80210</xdr:colOff>
      <xdr:row>1</xdr:row>
      <xdr:rowOff>812150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3C36D86-BDFA-49CA-A041-DE16375F40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6927" r="6280" b="8024"/>
        <a:stretch/>
      </xdr:blipFill>
      <xdr:spPr>
        <a:xfrm>
          <a:off x="0" y="81343"/>
          <a:ext cx="956510" cy="9213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Users\fabiano\Downloads\10039\ca_arqs\eletrica\e0104500.doc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PLANILHA%20TOTAL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-m11\publico\WINDOWS\TEMP\B5348E-LM001_R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pu-a\01-md-2005\EQUIP\MAQUINAS\I02011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Marcia\Receita%20Federal%20-%20RJ\Preg&#227;o%203-2013%20-%20Ag.%20Modelo%20B%20Pirai%20e%20Resende\EDITAL%201-2013-%20ADAPTACAO%20PROJETO%20BASICO%20-%20AGENCIA%20MODELO\ANEXO%20V%20-%20PLANILHA%20DE%20OR&#199;AMENTO%20E%20CRONOGRAM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CEPCAO1\Dados\P%20M%20S\CD%20CP009_12(Pra&#231;a%20Novo%20Porto%20Canoa)\Medi&#231;&#245;es\16&#170;Medi&#231;&#227;o\MO37587_MO37588_-_MILANO_CEF_16&#170;.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JUSTI&#199;A%20FEDERAL\Predio%20Sede%20%20Vitoria%20ES%20-%202009\Justi&#231;a%20Federal%201&#170;%20Instancia\PLANILHA%20OR&#199;AMENTARIA\Or&#231;amento\JFES_Planilha_Orc_Rev02-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EMP/1&#170;%20DELEGACIA%20REGIONAL%20DE%20VIT&#211;RIA/Reforma%201&#170;%20DR/SFO/5&#170;%20MEDI&#199;&#195;O/Planilha%20de%20medi&#231;&#227;o%205&#176;%20DR%20vitoria_Villa%20Construtora_rev%2002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ouglas%20Rhein\Desktop\1&#170;%20DR%20VIT&#211;RIA\MEDI&#199;&#195;O%20DE%20OBRA\3&#170;%20MEDI&#199;&#195;O\Correta\Planilha%20de%20medi&#231;&#227;o%203&#176;%20DR%20vitoria_Villa%20Construtora_Rev%2001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DEMP\1&#170;%20DELEGACIA%20REGIONAL%20DE%20VIT&#211;RIA\Reforma%201&#170;%20DR\SFO\3&#170;%20MEDI&#199;&#195;O\Planilha%20de%20medi&#231;&#227;o%203&#176;%20DR%20vitoria_Villa%20Construtora_Rev%2001.xlsx" TargetMode="External"/><Relationship Id="rId1" Type="http://schemas.openxmlformats.org/officeDocument/2006/relationships/externalLinkPath" Target="/DEMP/1&#170;%20DELEGACIA%20REGIONAL%20DE%20VIT&#211;RIA/Reforma%201&#170;%20DR/SFO/3&#170;%20MEDI&#199;&#195;O/Planilha%20de%20medi&#231;&#227;o%203&#176;%20DR%20vitoria_Villa%20Construtora_Rev%20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ERGÊNCIA"/>
      <sheetName val="CAPA"/>
      <sheetName val="Controle"/>
      <sheetName val="LOJAS"/>
      <sheetName val="CONDOMINOS"/>
      <sheetName val="QUADROS DE DISTRIBUIÇÃO"/>
      <sheetName val="BARRAMENTO BLINDADO"/>
      <sheetName val="TRANSFORMADORES"/>
      <sheetName val="GERAL ORIGINAL"/>
      <sheetName val="GERAL POR ITENS"/>
      <sheetName val="MOTORES"/>
      <sheetName val="ANTIGO COND"/>
      <sheetName val="ANTIGO GERAL"/>
      <sheetName val="H_MOT"/>
      <sheetName val="C_MOT"/>
    </sheetNames>
    <sheetDataSet>
      <sheetData sheetId="0" refreshError="1">
        <row r="2">
          <cell r="A2" t="str">
            <v>TABELA DE CARGAS – POR TRANSFORMADOR/PBT EM EMERGÊNCIA</v>
          </cell>
        </row>
        <row r="4">
          <cell r="A4" t="str">
            <v>TRANSFORMADOR 1.1 – PBT-1.1 EM EMERGÊNCIA</v>
          </cell>
        </row>
        <row r="6">
          <cell r="A6" t="str">
            <v>FINALIDADE</v>
          </cell>
          <cell r="B6" t="str">
            <v>POT. UNIT. (kW)</v>
          </cell>
          <cell r="C6" t="str">
            <v>POT. UNIT. (CV)</v>
          </cell>
          <cell r="D6" t="str">
            <v>T I P O</v>
          </cell>
          <cell r="E6" t="str">
            <v>POT-M (KW)</v>
          </cell>
          <cell r="F6" t="str">
            <v>FP- M</v>
          </cell>
          <cell r="G6" t="str">
            <v>QTDE.</v>
          </cell>
          <cell r="H6" t="str">
            <v>PÓLOS</v>
          </cell>
          <cell r="I6" t="str">
            <v>F.D.</v>
          </cell>
          <cell r="J6" t="str">
            <v>F.P.</v>
          </cell>
          <cell r="K6" t="str">
            <v>POT. INSTALADA (kW)</v>
          </cell>
          <cell r="L6" t="str">
            <v>POT. INSTALADA (kVA)</v>
          </cell>
          <cell r="M6" t="str">
            <v>POT. DEMANDADA (kW)</v>
          </cell>
          <cell r="N6" t="str">
            <v>POT. DEMANDADA (kVA)</v>
          </cell>
        </row>
        <row r="7">
          <cell r="A7" t="str">
            <v>BARRAMENTO BLINDADO BB1.1/1.3 – ILUMINAÇÃO HALL</v>
          </cell>
          <cell r="B7">
            <v>123.78</v>
          </cell>
          <cell r="E7" t="e">
            <v>#N/A</v>
          </cell>
          <cell r="F7" t="e">
            <v>#N/A</v>
          </cell>
          <cell r="G7">
            <v>1</v>
          </cell>
          <cell r="I7">
            <v>0.71596423332687886</v>
          </cell>
          <cell r="J7">
            <v>0.97999999999999976</v>
          </cell>
          <cell r="K7">
            <v>123.78</v>
          </cell>
          <cell r="L7">
            <v>126.30612244897962</v>
          </cell>
          <cell r="M7">
            <v>88.622052801201065</v>
          </cell>
          <cell r="N7">
            <v>90.430666123674584</v>
          </cell>
        </row>
        <row r="8">
          <cell r="A8" t="str">
            <v>QD-B1-3S</v>
          </cell>
          <cell r="B8">
            <v>140.32509426511928</v>
          </cell>
          <cell r="E8" t="e">
            <v>#N/A</v>
          </cell>
          <cell r="F8" t="e">
            <v>#N/A</v>
          </cell>
          <cell r="G8">
            <v>1</v>
          </cell>
          <cell r="I8">
            <v>1</v>
          </cell>
          <cell r="J8">
            <v>0.77296462798671983</v>
          </cell>
          <cell r="K8">
            <v>140.32509426511928</v>
          </cell>
          <cell r="L8">
            <v>181.54141752982022</v>
          </cell>
          <cell r="M8">
            <v>140.32509426511928</v>
          </cell>
          <cell r="N8">
            <v>181.54141752982022</v>
          </cell>
        </row>
        <row r="9">
          <cell r="A9" t="str">
            <v>NO BREAK</v>
          </cell>
          <cell r="B9">
            <v>30</v>
          </cell>
          <cell r="G9">
            <v>2</v>
          </cell>
          <cell r="I9">
            <v>0.5</v>
          </cell>
          <cell r="J9">
            <v>1</v>
          </cell>
          <cell r="K9">
            <v>60</v>
          </cell>
          <cell r="L9">
            <v>60</v>
          </cell>
          <cell r="M9">
            <v>30</v>
          </cell>
          <cell r="N9">
            <v>30</v>
          </cell>
        </row>
        <row r="10">
          <cell r="A10" t="str">
            <v>TOTAL</v>
          </cell>
          <cell r="I10">
            <v>0.79896043489677604</v>
          </cell>
          <cell r="J10">
            <v>0.85752015197356957</v>
          </cell>
          <cell r="K10">
            <v>324.10509426511931</v>
          </cell>
          <cell r="L10">
            <v>367.84753997879983</v>
          </cell>
          <cell r="M10">
            <v>258.94714706632033</v>
          </cell>
          <cell r="N10">
            <v>301.97208365349479</v>
          </cell>
        </row>
        <row r="12">
          <cell r="A12" t="str">
            <v>RESUMO GERAL:</v>
          </cell>
          <cell r="B12" t="str">
            <v>kW</v>
          </cell>
          <cell r="C12" t="str">
            <v>kVA</v>
          </cell>
        </row>
        <row r="13">
          <cell r="A13" t="str">
            <v>DEMANDAS</v>
          </cell>
          <cell r="B13">
            <v>258.94714706632033</v>
          </cell>
          <cell r="C13">
            <v>301.97208365349479</v>
          </cell>
        </row>
        <row r="14">
          <cell r="A14" t="str">
            <v>RESERVA     (%)</v>
          </cell>
          <cell r="B14">
            <v>0.2</v>
          </cell>
        </row>
        <row r="15">
          <cell r="A15" t="str">
            <v>FATOR DE SIMULTANEIDADE</v>
          </cell>
          <cell r="B15">
            <v>1</v>
          </cell>
        </row>
        <row r="17">
          <cell r="A17" t="str">
            <v xml:space="preserve">DEMANDA FINAL </v>
          </cell>
          <cell r="B17">
            <v>310.73657647958436</v>
          </cell>
          <cell r="C17">
            <v>362.36650038419373</v>
          </cell>
        </row>
        <row r="19">
          <cell r="A19" t="str">
            <v>TENSÃO (V)</v>
          </cell>
          <cell r="B19">
            <v>380</v>
          </cell>
          <cell r="C19" t="str">
            <v>V</v>
          </cell>
        </row>
        <row r="20">
          <cell r="A20" t="str">
            <v>CORRENTE (A)</v>
          </cell>
          <cell r="B20">
            <v>550.55893826872864</v>
          </cell>
          <cell r="C20" t="str">
            <v>A</v>
          </cell>
        </row>
        <row r="21">
          <cell r="A21" t="str">
            <v>DISJUNTOR GERAL</v>
          </cell>
          <cell r="B21">
            <v>2500</v>
          </cell>
          <cell r="C21" t="str">
            <v>A</v>
          </cell>
        </row>
        <row r="23">
          <cell r="A23" t="str">
            <v>TRANSFORMADOR DE 1500KVA</v>
          </cell>
        </row>
        <row r="27">
          <cell r="A27" t="str">
            <v>TRANSFORMADOR 1.2 – PBT-1.2 EM EMERGÊNCIA</v>
          </cell>
        </row>
        <row r="29">
          <cell r="A29" t="str">
            <v>FINALIDADE</v>
          </cell>
          <cell r="B29" t="str">
            <v>POT. UNIT. (kW)</v>
          </cell>
          <cell r="C29" t="str">
            <v>POT. UNIT. (CV)</v>
          </cell>
          <cell r="D29" t="str">
            <v>T I P O</v>
          </cell>
          <cell r="E29" t="str">
            <v>POT-M (KW)</v>
          </cell>
          <cell r="F29" t="str">
            <v>FP- M</v>
          </cell>
          <cell r="G29" t="str">
            <v>QTDE.</v>
          </cell>
          <cell r="H29" t="str">
            <v>PÓLOS</v>
          </cell>
          <cell r="I29" t="str">
            <v>F.D.</v>
          </cell>
          <cell r="J29" t="str">
            <v>F.P.</v>
          </cell>
          <cell r="K29" t="str">
            <v>POT. INSTALADA (kW)</v>
          </cell>
          <cell r="L29" t="str">
            <v>POT. INSTALADA (kVA)</v>
          </cell>
          <cell r="M29" t="str">
            <v>POT. DEMANDADA (kW)</v>
          </cell>
          <cell r="N29" t="str">
            <v>POT. DEMANDADA (kVA)</v>
          </cell>
        </row>
        <row r="30">
          <cell r="A30" t="str">
            <v>ELEVADORES SUBSOLO</v>
          </cell>
          <cell r="B30">
            <v>20</v>
          </cell>
          <cell r="E30" t="e">
            <v>#N/A</v>
          </cell>
          <cell r="F30" t="e">
            <v>#N/A</v>
          </cell>
          <cell r="G30">
            <v>2</v>
          </cell>
          <cell r="I30">
            <v>0</v>
          </cell>
          <cell r="J30">
            <v>0.8</v>
          </cell>
          <cell r="K30">
            <v>40</v>
          </cell>
          <cell r="L30">
            <v>50</v>
          </cell>
          <cell r="M30">
            <v>0</v>
          </cell>
          <cell r="N30">
            <v>0</v>
          </cell>
        </row>
        <row r="31">
          <cell r="A31" t="str">
            <v>ILUMINAÇÃO E COMANDO ELEVADORES SUBSOLO</v>
          </cell>
          <cell r="B31">
            <v>1.3</v>
          </cell>
          <cell r="E31" t="e">
            <v>#N/A</v>
          </cell>
          <cell r="F31" t="e">
            <v>#N/A</v>
          </cell>
          <cell r="G31">
            <v>1</v>
          </cell>
          <cell r="I31">
            <v>0.74</v>
          </cell>
          <cell r="J31">
            <v>0.8</v>
          </cell>
          <cell r="K31">
            <v>1.3</v>
          </cell>
          <cell r="L31">
            <v>1.625</v>
          </cell>
          <cell r="M31">
            <v>0.96199999999999997</v>
          </cell>
          <cell r="N31">
            <v>1.2024999999999999</v>
          </cell>
        </row>
        <row r="32">
          <cell r="A32" t="str">
            <v>ELEVADORES GARAGEM</v>
          </cell>
          <cell r="B32">
            <v>20</v>
          </cell>
          <cell r="E32" t="e">
            <v>#N/A</v>
          </cell>
          <cell r="F32" t="e">
            <v>#N/A</v>
          </cell>
          <cell r="G32">
            <v>2</v>
          </cell>
          <cell r="I32">
            <v>0.74</v>
          </cell>
          <cell r="J32">
            <v>0.8</v>
          </cell>
          <cell r="K32">
            <v>40</v>
          </cell>
          <cell r="L32">
            <v>50</v>
          </cell>
          <cell r="M32">
            <v>29.6</v>
          </cell>
          <cell r="N32">
            <v>37</v>
          </cell>
        </row>
        <row r="33">
          <cell r="A33" t="str">
            <v>ILUMINAÇÃO E COMANDO ELEVADORES GARAGEM</v>
          </cell>
          <cell r="B33">
            <v>1.3</v>
          </cell>
          <cell r="E33" t="e">
            <v>#N/A</v>
          </cell>
          <cell r="F33" t="e">
            <v>#N/A</v>
          </cell>
          <cell r="G33">
            <v>1</v>
          </cell>
          <cell r="I33">
            <v>0</v>
          </cell>
          <cell r="J33">
            <v>0.8</v>
          </cell>
          <cell r="K33">
            <v>1.3</v>
          </cell>
          <cell r="L33">
            <v>1.625</v>
          </cell>
          <cell r="M33">
            <v>0</v>
          </cell>
          <cell r="N33">
            <v>0</v>
          </cell>
        </row>
        <row r="34">
          <cell r="A34" t="str">
            <v>ELEVADORES ZONA BAIXA</v>
          </cell>
          <cell r="B34">
            <v>50</v>
          </cell>
          <cell r="E34" t="e">
            <v>#N/A</v>
          </cell>
          <cell r="F34" t="e">
            <v>#N/A</v>
          </cell>
          <cell r="G34">
            <v>8</v>
          </cell>
          <cell r="I34">
            <v>0.125</v>
          </cell>
          <cell r="J34">
            <v>0.8</v>
          </cell>
          <cell r="K34">
            <v>400</v>
          </cell>
          <cell r="L34">
            <v>500</v>
          </cell>
          <cell r="M34">
            <v>50</v>
          </cell>
          <cell r="N34">
            <v>62.5</v>
          </cell>
        </row>
        <row r="35">
          <cell r="A35" t="str">
            <v>ILUMINAÇÃO E COMANDO ELEVADORES ZONA BAIXA</v>
          </cell>
          <cell r="B35">
            <v>3</v>
          </cell>
          <cell r="E35" t="e">
            <v>#N/A</v>
          </cell>
          <cell r="F35" t="e">
            <v>#N/A</v>
          </cell>
          <cell r="G35">
            <v>1</v>
          </cell>
          <cell r="I35">
            <v>0.1</v>
          </cell>
          <cell r="J35">
            <v>0.8</v>
          </cell>
          <cell r="K35">
            <v>3</v>
          </cell>
          <cell r="L35">
            <v>3.75</v>
          </cell>
          <cell r="M35">
            <v>0.30000000000000004</v>
          </cell>
          <cell r="N35">
            <v>0.375</v>
          </cell>
        </row>
        <row r="36">
          <cell r="A36" t="str">
            <v>QD-B1-3S-AC</v>
          </cell>
          <cell r="B36">
            <v>140.32509426511928</v>
          </cell>
          <cell r="E36" t="e">
            <v>#N/A</v>
          </cell>
          <cell r="F36" t="e">
            <v>#N/A</v>
          </cell>
          <cell r="G36">
            <v>1</v>
          </cell>
          <cell r="I36">
            <v>0</v>
          </cell>
          <cell r="J36">
            <v>0.77296462798671983</v>
          </cell>
          <cell r="K36">
            <v>140.32509426511928</v>
          </cell>
          <cell r="L36">
            <v>181.54141752982022</v>
          </cell>
          <cell r="M36">
            <v>0</v>
          </cell>
          <cell r="N36">
            <v>0</v>
          </cell>
        </row>
        <row r="37">
          <cell r="A37" t="str">
            <v>VENTILAÇÃO</v>
          </cell>
          <cell r="B37">
            <v>0.56488549618320616</v>
          </cell>
          <cell r="C37">
            <v>0.5</v>
          </cell>
          <cell r="D37" t="str">
            <v>C</v>
          </cell>
          <cell r="E37">
            <v>0.56488549618320616</v>
          </cell>
          <cell r="F37">
            <v>0.73</v>
          </cell>
          <cell r="G37">
            <v>1</v>
          </cell>
          <cell r="I37">
            <v>0</v>
          </cell>
          <cell r="J37">
            <v>0.73</v>
          </cell>
          <cell r="K37">
            <v>0.56488549618320616</v>
          </cell>
          <cell r="L37">
            <v>0.77381574819617283</v>
          </cell>
          <cell r="M37">
            <v>0</v>
          </cell>
          <cell r="N37">
            <v>0</v>
          </cell>
        </row>
        <row r="38">
          <cell r="A38" t="str">
            <v>VENTILAÇÃO</v>
          </cell>
          <cell r="B38">
            <v>0.80291970802919721</v>
          </cell>
          <cell r="C38">
            <v>0.75</v>
          </cell>
          <cell r="D38" t="str">
            <v>C</v>
          </cell>
          <cell r="E38">
            <v>0.80291970802919721</v>
          </cell>
          <cell r="F38">
            <v>0.77</v>
          </cell>
          <cell r="G38">
            <v>1</v>
          </cell>
          <cell r="I38">
            <v>0</v>
          </cell>
          <cell r="J38">
            <v>0.77</v>
          </cell>
          <cell r="K38">
            <v>0.80291970802919721</v>
          </cell>
          <cell r="L38">
            <v>1.0427528675703859</v>
          </cell>
          <cell r="M38">
            <v>0</v>
          </cell>
          <cell r="N38">
            <v>0</v>
          </cell>
        </row>
        <row r="39">
          <cell r="A39" t="str">
            <v>VENTILAÇÃO</v>
          </cell>
          <cell r="B39">
            <v>1.8987341772151898</v>
          </cell>
          <cell r="C39">
            <v>2</v>
          </cell>
          <cell r="D39" t="str">
            <v>C</v>
          </cell>
          <cell r="E39">
            <v>1.8987341772151898</v>
          </cell>
          <cell r="F39">
            <v>0.82</v>
          </cell>
          <cell r="G39">
            <v>1</v>
          </cell>
          <cell r="I39">
            <v>0</v>
          </cell>
          <cell r="J39">
            <v>0.82</v>
          </cell>
          <cell r="K39">
            <v>1.8987341772151898</v>
          </cell>
          <cell r="L39">
            <v>2.3155294844087684</v>
          </cell>
          <cell r="M39">
            <v>0</v>
          </cell>
          <cell r="N39">
            <v>0</v>
          </cell>
        </row>
        <row r="40">
          <cell r="A40" t="str">
            <v>FANCOIL</v>
          </cell>
          <cell r="B40">
            <v>6.3805104408352662</v>
          </cell>
          <cell r="C40">
            <v>7.5</v>
          </cell>
          <cell r="D40" t="str">
            <v>C</v>
          </cell>
          <cell r="E40">
            <v>6.3805104408352662</v>
          </cell>
          <cell r="F40">
            <v>0.8</v>
          </cell>
          <cell r="G40">
            <v>2</v>
          </cell>
          <cell r="I40">
            <v>0</v>
          </cell>
          <cell r="J40">
            <v>0.8</v>
          </cell>
          <cell r="K40">
            <v>12.761020881670532</v>
          </cell>
          <cell r="L40">
            <v>15.951276102088165</v>
          </cell>
          <cell r="M40">
            <v>0</v>
          </cell>
          <cell r="N40">
            <v>0</v>
          </cell>
        </row>
        <row r="41">
          <cell r="A41" t="str">
            <v>UNIDADE CONDENSADORA</v>
          </cell>
          <cell r="B41">
            <v>43.4</v>
          </cell>
          <cell r="G41">
            <v>1</v>
          </cell>
          <cell r="I41">
            <v>0</v>
          </cell>
          <cell r="J41">
            <v>0.8</v>
          </cell>
          <cell r="K41">
            <v>43.4</v>
          </cell>
          <cell r="L41">
            <v>54.249999999999993</v>
          </cell>
          <cell r="M41">
            <v>0</v>
          </cell>
          <cell r="N41">
            <v>0</v>
          </cell>
        </row>
        <row r="42">
          <cell r="A42" t="str">
            <v>FANCOIL ESCRITÓRIOS</v>
          </cell>
          <cell r="B42">
            <v>8.6705202312138727</v>
          </cell>
          <cell r="C42">
            <v>10</v>
          </cell>
          <cell r="D42" t="str">
            <v>C</v>
          </cell>
          <cell r="E42">
            <v>8.6705202312138727</v>
          </cell>
          <cell r="F42">
            <v>0.85</v>
          </cell>
          <cell r="G42">
            <v>32</v>
          </cell>
          <cell r="I42">
            <v>0</v>
          </cell>
          <cell r="J42">
            <v>0.85</v>
          </cell>
          <cell r="K42">
            <v>277.45664739884393</v>
          </cell>
          <cell r="L42">
            <v>326.41958517511051</v>
          </cell>
          <cell r="M42">
            <v>0</v>
          </cell>
          <cell r="N42">
            <v>0</v>
          </cell>
        </row>
        <row r="43">
          <cell r="A43" t="str">
            <v>ILUMINAÇÃO, TOMADAS E AR CONDICIONADO FAST FOOD</v>
          </cell>
          <cell r="B43">
            <v>258.76900000000001</v>
          </cell>
          <cell r="G43">
            <v>1</v>
          </cell>
          <cell r="I43">
            <v>0</v>
          </cell>
          <cell r="J43">
            <v>0.9</v>
          </cell>
          <cell r="K43">
            <v>258.76900000000001</v>
          </cell>
          <cell r="L43">
            <v>287.52111111111111</v>
          </cell>
          <cell r="M43">
            <v>0</v>
          </cell>
          <cell r="N43">
            <v>0</v>
          </cell>
        </row>
        <row r="44">
          <cell r="A44" t="str">
            <v>BOMBA DE RECALQUE DE ÁGUA FRIA</v>
          </cell>
          <cell r="B44">
            <v>20.670391061452513</v>
          </cell>
          <cell r="C44">
            <v>25</v>
          </cell>
          <cell r="D44" t="str">
            <v>H</v>
          </cell>
          <cell r="E44">
            <v>20.670391061452513</v>
          </cell>
          <cell r="F44">
            <v>0.85</v>
          </cell>
          <cell r="G44">
            <v>2</v>
          </cell>
          <cell r="I44">
            <v>0</v>
          </cell>
          <cell r="J44">
            <v>0.85</v>
          </cell>
          <cell r="K44">
            <v>41.340782122905026</v>
          </cell>
          <cell r="L44">
            <v>48.636214262241211</v>
          </cell>
          <cell r="M44">
            <v>0</v>
          </cell>
          <cell r="N44">
            <v>0</v>
          </cell>
        </row>
        <row r="45">
          <cell r="A45" t="str">
            <v>BOMBA DE RECALQUE DE ÁGUAS PLUVIAIS</v>
          </cell>
          <cell r="B45">
            <v>8.6705202312138727</v>
          </cell>
          <cell r="C45">
            <v>10</v>
          </cell>
          <cell r="D45" t="str">
            <v>H</v>
          </cell>
          <cell r="E45">
            <v>8.6705202312138727</v>
          </cell>
          <cell r="F45">
            <v>0.85</v>
          </cell>
          <cell r="G45">
            <v>6</v>
          </cell>
          <cell r="I45">
            <v>0</v>
          </cell>
          <cell r="J45">
            <v>0.85</v>
          </cell>
          <cell r="K45">
            <v>52.02312138728324</v>
          </cell>
          <cell r="L45">
            <v>61.203672220333225</v>
          </cell>
          <cell r="M45">
            <v>0</v>
          </cell>
          <cell r="N45">
            <v>0</v>
          </cell>
        </row>
        <row r="46">
          <cell r="A46" t="str">
            <v>BOMBA DE RECALQUE DE ESGOTO</v>
          </cell>
          <cell r="B46">
            <v>8.6705202312138727</v>
          </cell>
          <cell r="C46">
            <v>10</v>
          </cell>
          <cell r="D46" t="str">
            <v>H</v>
          </cell>
          <cell r="E46">
            <v>8.6705202312138727</v>
          </cell>
          <cell r="F46">
            <v>0.85</v>
          </cell>
          <cell r="G46">
            <v>6</v>
          </cell>
          <cell r="I46">
            <v>0</v>
          </cell>
          <cell r="J46">
            <v>0.85</v>
          </cell>
          <cell r="K46">
            <v>52.02312138728324</v>
          </cell>
          <cell r="L46">
            <v>61.203672220333225</v>
          </cell>
          <cell r="M46">
            <v>0</v>
          </cell>
          <cell r="N46">
            <v>0</v>
          </cell>
        </row>
        <row r="47">
          <cell r="A47" t="str">
            <v>BOMBA DE RECALQUE DE REUSO</v>
          </cell>
          <cell r="B47">
            <v>1.0135135135135136</v>
          </cell>
          <cell r="C47">
            <v>1</v>
          </cell>
          <cell r="D47" t="str">
            <v>H</v>
          </cell>
          <cell r="E47">
            <v>1.0135135135135136</v>
          </cell>
          <cell r="F47">
            <v>0.78</v>
          </cell>
          <cell r="G47">
            <v>2</v>
          </cell>
          <cell r="I47">
            <v>0</v>
          </cell>
          <cell r="J47">
            <v>0.78</v>
          </cell>
          <cell r="K47">
            <v>2.0270270270270272</v>
          </cell>
          <cell r="L47">
            <v>2.5987525987525988</v>
          </cell>
          <cell r="M47">
            <v>0</v>
          </cell>
          <cell r="N47">
            <v>0</v>
          </cell>
        </row>
        <row r="48">
          <cell r="A48" t="str">
            <v>BOMBA DE RECALQUE DO POÇO DE RETARDO</v>
          </cell>
          <cell r="B48">
            <v>1.0135135135135136</v>
          </cell>
          <cell r="C48">
            <v>1</v>
          </cell>
          <cell r="D48" t="str">
            <v>H</v>
          </cell>
          <cell r="E48">
            <v>1.0135135135135136</v>
          </cell>
          <cell r="F48">
            <v>0.78</v>
          </cell>
          <cell r="G48">
            <v>2</v>
          </cell>
          <cell r="I48">
            <v>0</v>
          </cell>
          <cell r="J48">
            <v>0.78</v>
          </cell>
          <cell r="K48">
            <v>2.0270270270270272</v>
          </cell>
          <cell r="L48">
            <v>2.5987525987525988</v>
          </cell>
          <cell r="M48">
            <v>0</v>
          </cell>
          <cell r="N48">
            <v>0</v>
          </cell>
        </row>
        <row r="49">
          <cell r="A49" t="str">
            <v>ESCADA ROLANTE</v>
          </cell>
          <cell r="B49">
            <v>10</v>
          </cell>
          <cell r="G49">
            <v>2</v>
          </cell>
          <cell r="I49">
            <v>0</v>
          </cell>
          <cell r="J49">
            <v>0.8</v>
          </cell>
          <cell r="K49">
            <v>20</v>
          </cell>
          <cell r="L49">
            <v>25</v>
          </cell>
          <cell r="M49">
            <v>0</v>
          </cell>
          <cell r="N49">
            <v>0</v>
          </cell>
        </row>
        <row r="50">
          <cell r="A50" t="str">
            <v>TOTAL</v>
          </cell>
          <cell r="I50">
            <v>5.8131468987100983E-2</v>
          </cell>
          <cell r="J50">
            <v>0.79999999999999993</v>
          </cell>
          <cell r="K50">
            <v>1391.0193808785871</v>
          </cell>
          <cell r="L50">
            <v>1678.056551918718</v>
          </cell>
          <cell r="M50">
            <v>80.861999999999995</v>
          </cell>
          <cell r="N50">
            <v>101.0775</v>
          </cell>
        </row>
        <row r="52">
          <cell r="I52" t="str">
            <v>COM O PAINEL DE SEGURANÇA EM FUNCIONAMENTO</v>
          </cell>
        </row>
        <row r="53">
          <cell r="A53" t="str">
            <v>RESUMO GERAL:</v>
          </cell>
          <cell r="B53" t="str">
            <v>kW</v>
          </cell>
          <cell r="C53" t="str">
            <v>kVA</v>
          </cell>
          <cell r="I53" t="str">
            <v>kW</v>
          </cell>
          <cell r="J53" t="str">
            <v>kVA</v>
          </cell>
        </row>
        <row r="54">
          <cell r="A54" t="str">
            <v>DEMANDAS</v>
          </cell>
          <cell r="B54">
            <v>80.861999999999995</v>
          </cell>
          <cell r="C54">
            <v>101.0775</v>
          </cell>
          <cell r="I54">
            <v>442.08736295026449</v>
          </cell>
          <cell r="J54">
            <v>529.01118759655708</v>
          </cell>
        </row>
        <row r="55">
          <cell r="A55" t="str">
            <v>RESERVA     (%)</v>
          </cell>
          <cell r="B55">
            <v>0.2</v>
          </cell>
          <cell r="I55">
            <v>0</v>
          </cell>
        </row>
        <row r="56">
          <cell r="A56" t="str">
            <v>FATOR DE SIMULTANEIDADE</v>
          </cell>
          <cell r="B56">
            <v>1</v>
          </cell>
          <cell r="I56">
            <v>1</v>
          </cell>
        </row>
        <row r="58">
          <cell r="A58" t="str">
            <v xml:space="preserve">DEMANDA FINAL </v>
          </cell>
          <cell r="B58">
            <v>97.034399999999991</v>
          </cell>
          <cell r="C58">
            <v>121.29299999999999</v>
          </cell>
          <cell r="I58">
            <v>442.08736295026449</v>
          </cell>
          <cell r="J58">
            <v>529.01118759655708</v>
          </cell>
        </row>
        <row r="60">
          <cell r="A60" t="str">
            <v>TENSÃO (V)</v>
          </cell>
          <cell r="B60">
            <v>380</v>
          </cell>
          <cell r="C60" t="str">
            <v>V</v>
          </cell>
          <cell r="I60">
            <v>380</v>
          </cell>
          <cell r="J60" t="str">
            <v>V</v>
          </cell>
        </row>
        <row r="61">
          <cell r="A61" t="str">
            <v>CORRENTE (A)</v>
          </cell>
          <cell r="B61">
            <v>184.28564789688755</v>
          </cell>
          <cell r="C61" t="str">
            <v>A</v>
          </cell>
          <cell r="I61">
            <v>803.74934621893647</v>
          </cell>
          <cell r="J61" t="str">
            <v>A</v>
          </cell>
        </row>
        <row r="62">
          <cell r="A62" t="str">
            <v>DISJUNTOR GERAL</v>
          </cell>
          <cell r="B62">
            <v>2500</v>
          </cell>
          <cell r="C62" t="str">
            <v>A</v>
          </cell>
          <cell r="I62">
            <v>2500</v>
          </cell>
          <cell r="J62" t="str">
            <v>A</v>
          </cell>
        </row>
        <row r="64">
          <cell r="A64" t="str">
            <v>TRANSFORMADOR DE 1500KVA</v>
          </cell>
        </row>
        <row r="69">
          <cell r="A69" t="str">
            <v>PBT-SEG EM EMERGÊNCIA</v>
          </cell>
        </row>
        <row r="71">
          <cell r="A71" t="str">
            <v>EM REGIME NORMAL</v>
          </cell>
        </row>
        <row r="72">
          <cell r="A72" t="str">
            <v>FINALIDADE</v>
          </cell>
          <cell r="B72" t="str">
            <v>POT. UNIT. (kW)</v>
          </cell>
          <cell r="C72" t="str">
            <v>POT. UNIT. (CV)</v>
          </cell>
          <cell r="D72" t="str">
            <v>T I P O</v>
          </cell>
          <cell r="E72" t="str">
            <v>POT-M (KW)</v>
          </cell>
          <cell r="F72" t="str">
            <v>FP- M</v>
          </cell>
          <cell r="G72" t="str">
            <v>QTDE.</v>
          </cell>
          <cell r="H72" t="str">
            <v>PÓLOS</v>
          </cell>
          <cell r="I72" t="str">
            <v>F.D.</v>
          </cell>
          <cell r="J72" t="str">
            <v>F.P.</v>
          </cell>
          <cell r="K72" t="str">
            <v>POT. INSTALADA (kW)</v>
          </cell>
          <cell r="L72" t="str">
            <v>POT. INSTALADA (kVA)</v>
          </cell>
          <cell r="M72" t="str">
            <v>POT. DEMANDADA (kW)</v>
          </cell>
          <cell r="N72" t="str">
            <v>POT. DEMANDADA (kVA)</v>
          </cell>
        </row>
        <row r="73">
          <cell r="A73" t="str">
            <v>ELEVADOR DE SEGUANÇA</v>
          </cell>
          <cell r="B73">
            <v>35</v>
          </cell>
          <cell r="E73" t="e">
            <v>#N/A</v>
          </cell>
          <cell r="F73" t="e">
            <v>#N/A</v>
          </cell>
          <cell r="G73">
            <v>1</v>
          </cell>
          <cell r="I73">
            <v>1</v>
          </cell>
          <cell r="J73">
            <v>0.8</v>
          </cell>
          <cell r="K73">
            <v>35</v>
          </cell>
          <cell r="L73">
            <v>43.75</v>
          </cell>
          <cell r="M73">
            <v>35</v>
          </cell>
          <cell r="N73">
            <v>43.75</v>
          </cell>
        </row>
        <row r="74">
          <cell r="A74" t="str">
            <v>ILUMINAÇÃO E COMANDO ELEVADORE DE SEGURANÇA</v>
          </cell>
          <cell r="B74">
            <v>3</v>
          </cell>
          <cell r="E74" t="e">
            <v>#N/A</v>
          </cell>
          <cell r="F74" t="e">
            <v>#N/A</v>
          </cell>
          <cell r="G74">
            <v>1</v>
          </cell>
          <cell r="I74">
            <v>1</v>
          </cell>
          <cell r="J74">
            <v>0.8</v>
          </cell>
          <cell r="K74">
            <v>3</v>
          </cell>
          <cell r="L74">
            <v>3.75</v>
          </cell>
          <cell r="M74">
            <v>3</v>
          </cell>
          <cell r="N74">
            <v>3.75</v>
          </cell>
        </row>
        <row r="75">
          <cell r="A75" t="str">
            <v>PRESSURIZAÇÃO ESCADA 5SS</v>
          </cell>
          <cell r="B75">
            <v>6.3805104408352662</v>
          </cell>
          <cell r="C75">
            <v>7.5</v>
          </cell>
          <cell r="D75" t="str">
            <v>C</v>
          </cell>
          <cell r="E75">
            <v>6.3805104408352662</v>
          </cell>
          <cell r="F75">
            <v>0.8</v>
          </cell>
          <cell r="G75">
            <v>4</v>
          </cell>
          <cell r="I75">
            <v>0</v>
          </cell>
          <cell r="J75">
            <v>0.8</v>
          </cell>
          <cell r="K75">
            <v>25.522041763341065</v>
          </cell>
          <cell r="L75">
            <v>31.902552204176331</v>
          </cell>
          <cell r="M75">
            <v>0</v>
          </cell>
          <cell r="N75">
            <v>0</v>
          </cell>
        </row>
        <row r="76">
          <cell r="A76" t="str">
            <v>PRESSURIZAÇÃO ESCADA 3SS</v>
          </cell>
          <cell r="B76">
            <v>8.6705202312138727</v>
          </cell>
          <cell r="C76">
            <v>10</v>
          </cell>
          <cell r="D76" t="str">
            <v>C</v>
          </cell>
          <cell r="E76">
            <v>8.6705202312138727</v>
          </cell>
          <cell r="F76">
            <v>0.85</v>
          </cell>
          <cell r="G76">
            <v>2</v>
          </cell>
          <cell r="I76">
            <v>0</v>
          </cell>
          <cell r="J76">
            <v>0.85</v>
          </cell>
          <cell r="K76">
            <v>17.341040462427745</v>
          </cell>
          <cell r="L76">
            <v>20.401224073444407</v>
          </cell>
          <cell r="M76">
            <v>0</v>
          </cell>
          <cell r="N76">
            <v>0</v>
          </cell>
        </row>
        <row r="77">
          <cell r="A77" t="str">
            <v>PRESSURIZAÇÃO ESCADA 1SS</v>
          </cell>
          <cell r="B77">
            <v>16.930022573363431</v>
          </cell>
          <cell r="C77">
            <v>20</v>
          </cell>
          <cell r="D77" t="str">
            <v>C</v>
          </cell>
          <cell r="E77">
            <v>16.930022573363431</v>
          </cell>
          <cell r="F77">
            <v>0.84</v>
          </cell>
          <cell r="G77">
            <v>5</v>
          </cell>
          <cell r="I77">
            <v>0</v>
          </cell>
          <cell r="J77">
            <v>0.84</v>
          </cell>
          <cell r="K77">
            <v>84.650112866817153</v>
          </cell>
          <cell r="L77">
            <v>100.77394388906805</v>
          </cell>
          <cell r="M77">
            <v>0</v>
          </cell>
          <cell r="N77">
            <v>0</v>
          </cell>
        </row>
        <row r="78">
          <cell r="A78" t="str">
            <v>EXAUSTÃO DE FUMAÇA</v>
          </cell>
          <cell r="B78">
            <v>16.930022573363431</v>
          </cell>
          <cell r="C78">
            <v>20</v>
          </cell>
          <cell r="D78" t="str">
            <v>C</v>
          </cell>
          <cell r="E78">
            <v>16.930022573363431</v>
          </cell>
          <cell r="F78">
            <v>0.84</v>
          </cell>
          <cell r="G78">
            <v>2</v>
          </cell>
          <cell r="I78">
            <v>0</v>
          </cell>
          <cell r="J78">
            <v>0.84</v>
          </cell>
          <cell r="K78">
            <v>33.860045146726861</v>
          </cell>
          <cell r="L78">
            <v>40.309577555627214</v>
          </cell>
          <cell r="M78">
            <v>0</v>
          </cell>
          <cell r="N78">
            <v>0</v>
          </cell>
        </row>
        <row r="79">
          <cell r="A79" t="str">
            <v>ELEVADOR DE SEGUANÇA</v>
          </cell>
          <cell r="B79">
            <v>35</v>
          </cell>
          <cell r="E79" t="e">
            <v>#N/A</v>
          </cell>
          <cell r="F79" t="e">
            <v>#N/A</v>
          </cell>
          <cell r="G79">
            <v>1</v>
          </cell>
          <cell r="I79">
            <v>1</v>
          </cell>
          <cell r="J79">
            <v>0.8</v>
          </cell>
          <cell r="K79">
            <v>35</v>
          </cell>
          <cell r="L79">
            <v>43.75</v>
          </cell>
          <cell r="M79">
            <v>35</v>
          </cell>
          <cell r="N79">
            <v>43.75</v>
          </cell>
        </row>
        <row r="80">
          <cell r="A80" t="str">
            <v>ILUMINAÇÃO E COMANDO ELEVADORE DE SEGURANÇA</v>
          </cell>
          <cell r="B80">
            <v>3</v>
          </cell>
          <cell r="E80" t="e">
            <v>#N/A</v>
          </cell>
          <cell r="F80" t="e">
            <v>#N/A</v>
          </cell>
          <cell r="G80">
            <v>1</v>
          </cell>
          <cell r="I80">
            <v>1</v>
          </cell>
          <cell r="J80">
            <v>0.8</v>
          </cell>
          <cell r="K80">
            <v>3</v>
          </cell>
          <cell r="L80">
            <v>3.75</v>
          </cell>
          <cell r="M80">
            <v>3</v>
          </cell>
          <cell r="N80">
            <v>3.75</v>
          </cell>
        </row>
        <row r="81">
          <cell r="A81" t="str">
            <v>PRESSURIZAÇÃO ESCADA 5SS</v>
          </cell>
          <cell r="B81">
            <v>6.3805104408352662</v>
          </cell>
          <cell r="C81">
            <v>7.5</v>
          </cell>
          <cell r="D81" t="str">
            <v>C</v>
          </cell>
          <cell r="E81">
            <v>6.3805104408352662</v>
          </cell>
          <cell r="F81">
            <v>0.8</v>
          </cell>
          <cell r="G81">
            <v>4</v>
          </cell>
          <cell r="I81">
            <v>0</v>
          </cell>
          <cell r="J81">
            <v>0.8</v>
          </cell>
          <cell r="K81">
            <v>25.522041763341065</v>
          </cell>
          <cell r="L81">
            <v>31.902552204176331</v>
          </cell>
          <cell r="M81">
            <v>0</v>
          </cell>
          <cell r="N81">
            <v>0</v>
          </cell>
        </row>
        <row r="82">
          <cell r="A82" t="str">
            <v>PRESSURIZAÇÃO ESCADA 3SS</v>
          </cell>
          <cell r="B82">
            <v>8.6705202312138727</v>
          </cell>
          <cell r="C82">
            <v>10</v>
          </cell>
          <cell r="D82" t="str">
            <v>C</v>
          </cell>
          <cell r="E82">
            <v>8.6705202312138727</v>
          </cell>
          <cell r="F82">
            <v>0.85</v>
          </cell>
          <cell r="G82">
            <v>2</v>
          </cell>
          <cell r="I82">
            <v>0</v>
          </cell>
          <cell r="J82">
            <v>0.85</v>
          </cell>
          <cell r="K82">
            <v>17.341040462427745</v>
          </cell>
          <cell r="L82">
            <v>20.401224073444407</v>
          </cell>
          <cell r="M82">
            <v>0</v>
          </cell>
          <cell r="N82">
            <v>0</v>
          </cell>
        </row>
        <row r="83">
          <cell r="A83" t="str">
            <v>PRESSURIZAÇÃO ESCADA 1SS</v>
          </cell>
          <cell r="B83">
            <v>16.930022573363431</v>
          </cell>
          <cell r="C83">
            <v>20</v>
          </cell>
          <cell r="D83" t="str">
            <v>C</v>
          </cell>
          <cell r="E83">
            <v>16.930022573363431</v>
          </cell>
          <cell r="F83">
            <v>0.84</v>
          </cell>
          <cell r="G83">
            <v>5</v>
          </cell>
          <cell r="I83">
            <v>0</v>
          </cell>
          <cell r="J83">
            <v>0.84</v>
          </cell>
          <cell r="K83">
            <v>84.650112866817153</v>
          </cell>
          <cell r="L83">
            <v>100.77394388906805</v>
          </cell>
          <cell r="M83">
            <v>0</v>
          </cell>
          <cell r="N83">
            <v>0</v>
          </cell>
        </row>
        <row r="84">
          <cell r="A84" t="str">
            <v>EXAUSTÃO DE FUMAÇA</v>
          </cell>
          <cell r="B84">
            <v>16.930022573363431</v>
          </cell>
          <cell r="C84">
            <v>20</v>
          </cell>
          <cell r="D84" t="str">
            <v>C</v>
          </cell>
          <cell r="E84">
            <v>16.930022573363431</v>
          </cell>
          <cell r="F84">
            <v>0.84</v>
          </cell>
          <cell r="G84">
            <v>2</v>
          </cell>
          <cell r="I84">
            <v>0</v>
          </cell>
          <cell r="J84">
            <v>0.84</v>
          </cell>
          <cell r="K84">
            <v>33.860045146726861</v>
          </cell>
          <cell r="L84">
            <v>40.309577555627214</v>
          </cell>
          <cell r="M84">
            <v>0</v>
          </cell>
          <cell r="N84">
            <v>0</v>
          </cell>
        </row>
        <row r="85">
          <cell r="A85" t="str">
            <v>BOMBA DE RECALQUE DE ÓLEO DIESEL</v>
          </cell>
          <cell r="B85">
            <v>2.7500000000000004</v>
          </cell>
          <cell r="C85">
            <v>3</v>
          </cell>
          <cell r="D85" t="str">
            <v>H</v>
          </cell>
          <cell r="E85">
            <v>2.7500000000000004</v>
          </cell>
          <cell r="F85">
            <v>0.77</v>
          </cell>
          <cell r="G85">
            <v>2</v>
          </cell>
          <cell r="I85">
            <v>0.5</v>
          </cell>
          <cell r="J85">
            <v>0.77</v>
          </cell>
          <cell r="K85">
            <v>5.5000000000000009</v>
          </cell>
          <cell r="L85">
            <v>7.1428571428571441</v>
          </cell>
          <cell r="M85">
            <v>2.7500000000000004</v>
          </cell>
          <cell r="N85">
            <v>3.5714285714285721</v>
          </cell>
        </row>
        <row r="86">
          <cell r="A86" t="str">
            <v>ILUMINAÇÃO E TOMADAS GERADOR</v>
          </cell>
          <cell r="B86">
            <v>11.67</v>
          </cell>
          <cell r="E86" t="e">
            <v>#N/A</v>
          </cell>
          <cell r="F86" t="e">
            <v>#N/A</v>
          </cell>
          <cell r="G86">
            <v>1</v>
          </cell>
          <cell r="I86">
            <v>0.9</v>
          </cell>
          <cell r="J86">
            <v>0.94</v>
          </cell>
          <cell r="K86">
            <v>11.67</v>
          </cell>
          <cell r="L86">
            <v>12.414893617021278</v>
          </cell>
          <cell r="M86">
            <v>10.503</v>
          </cell>
          <cell r="N86">
            <v>11.17340425531915</v>
          </cell>
        </row>
        <row r="87">
          <cell r="A87" t="str">
            <v>BOMBA DE INCÊNDIO JOCKEY</v>
          </cell>
          <cell r="B87">
            <v>4.3632075471698117</v>
          </cell>
          <cell r="C87">
            <v>5</v>
          </cell>
          <cell r="D87" t="str">
            <v>H</v>
          </cell>
          <cell r="E87">
            <v>4.3632075471698117</v>
          </cell>
          <cell r="F87">
            <v>0.83</v>
          </cell>
          <cell r="G87">
            <v>1</v>
          </cell>
          <cell r="I87">
            <v>1</v>
          </cell>
          <cell r="J87">
            <v>0.83</v>
          </cell>
          <cell r="K87">
            <v>4.3632075471698117</v>
          </cell>
          <cell r="L87">
            <v>5.2568765628551954</v>
          </cell>
          <cell r="M87">
            <v>4.3632075471698117</v>
          </cell>
          <cell r="N87">
            <v>5.2568765628551954</v>
          </cell>
        </row>
        <row r="88">
          <cell r="A88" t="str">
            <v>BOMBA DE INCÊNDIO PRINCIPAL</v>
          </cell>
          <cell r="B88">
            <v>119.56521739130434</v>
          </cell>
          <cell r="C88">
            <v>150</v>
          </cell>
          <cell r="D88" t="str">
            <v>H</v>
          </cell>
          <cell r="E88">
            <v>119.56521739130434</v>
          </cell>
          <cell r="F88">
            <v>0.86</v>
          </cell>
          <cell r="G88">
            <v>1</v>
          </cell>
          <cell r="I88">
            <v>0</v>
          </cell>
          <cell r="J88">
            <v>0.86</v>
          </cell>
          <cell r="K88">
            <v>119.56521739130434</v>
          </cell>
          <cell r="L88">
            <v>139.02932254802832</v>
          </cell>
          <cell r="M88">
            <v>0</v>
          </cell>
          <cell r="N88">
            <v>0</v>
          </cell>
        </row>
        <row r="89">
          <cell r="A89" t="str">
            <v>RETIFICADOR SUBESTAÇÃO</v>
          </cell>
          <cell r="B89">
            <v>10</v>
          </cell>
          <cell r="G89">
            <v>1</v>
          </cell>
          <cell r="I89">
            <v>1</v>
          </cell>
          <cell r="J89">
            <v>0.8</v>
          </cell>
          <cell r="K89">
            <v>10</v>
          </cell>
          <cell r="L89">
            <v>12.5</v>
          </cell>
          <cell r="M89">
            <v>10</v>
          </cell>
          <cell r="N89">
            <v>12.5</v>
          </cell>
        </row>
        <row r="90">
          <cell r="A90" t="str">
            <v>TOTAL</v>
          </cell>
          <cell r="I90">
            <v>0.18844624461614121</v>
          </cell>
          <cell r="J90">
            <v>0.81266524224042402</v>
          </cell>
          <cell r="K90">
            <v>549.84490541709977</v>
          </cell>
          <cell r="L90">
            <v>658.11854531539404</v>
          </cell>
          <cell r="M90">
            <v>103.61620754716981</v>
          </cell>
          <cell r="N90">
            <v>127.50170938960292</v>
          </cell>
        </row>
        <row r="92">
          <cell r="A92" t="str">
            <v>RESUMO GERAL:</v>
          </cell>
          <cell r="B92" t="str">
            <v>kW</v>
          </cell>
          <cell r="C92" t="str">
            <v>kVA</v>
          </cell>
        </row>
        <row r="93">
          <cell r="A93" t="str">
            <v>DEMANDAS</v>
          </cell>
          <cell r="B93">
            <v>103.61620754716981</v>
          </cell>
          <cell r="C93">
            <v>127.50170938960292</v>
          </cell>
        </row>
        <row r="94">
          <cell r="A94" t="str">
            <v>RESERVA     (%)</v>
          </cell>
          <cell r="B94">
            <v>0.2</v>
          </cell>
        </row>
        <row r="95">
          <cell r="A95" t="str">
            <v>FATOR DE SIMULTANEIDADE</v>
          </cell>
          <cell r="B95">
            <v>1</v>
          </cell>
        </row>
        <row r="97">
          <cell r="A97" t="str">
            <v xml:space="preserve">DEMANDA FINAL </v>
          </cell>
          <cell r="B97">
            <v>124.33944905660377</v>
          </cell>
          <cell r="C97">
            <v>153.00205126752351</v>
          </cell>
        </row>
        <row r="99">
          <cell r="A99" t="str">
            <v>TENSÃO (V)</v>
          </cell>
          <cell r="B99">
            <v>380</v>
          </cell>
          <cell r="C99" t="str">
            <v>V</v>
          </cell>
        </row>
        <row r="100">
          <cell r="A100" t="str">
            <v>CORRENTE (A)</v>
          </cell>
          <cell r="B100">
            <v>232.46256706807799</v>
          </cell>
          <cell r="C100" t="str">
            <v>A</v>
          </cell>
        </row>
        <row r="101">
          <cell r="A101" t="str">
            <v>DISJUNTOR GERAL</v>
          </cell>
          <cell r="B101">
            <v>1250</v>
          </cell>
          <cell r="C101" t="str">
            <v>A</v>
          </cell>
        </row>
        <row r="104">
          <cell r="A104" t="str">
            <v>EM FUNCIONAMENTO</v>
          </cell>
        </row>
        <row r="105">
          <cell r="A105" t="str">
            <v>FINALIDADE</v>
          </cell>
          <cell r="B105" t="str">
            <v>POT. UNIT. (kW)</v>
          </cell>
          <cell r="C105" t="str">
            <v>POT. UNIT. (CV)</v>
          </cell>
          <cell r="D105" t="str">
            <v>T I P O</v>
          </cell>
          <cell r="E105" t="str">
            <v>POT-M (KW)</v>
          </cell>
          <cell r="F105" t="str">
            <v>FP- M</v>
          </cell>
          <cell r="G105" t="str">
            <v>QTDE.</v>
          </cell>
          <cell r="H105" t="str">
            <v>PÓLOS</v>
          </cell>
          <cell r="I105" t="str">
            <v>F.D.</v>
          </cell>
          <cell r="J105" t="str">
            <v>F.P.</v>
          </cell>
          <cell r="K105" t="str">
            <v>POT. INSTALADA (kW)</v>
          </cell>
          <cell r="L105" t="str">
            <v>POT. INSTALADA (kVA)</v>
          </cell>
          <cell r="M105" t="str">
            <v>POT. DEMANDADA (kW)</v>
          </cell>
          <cell r="N105" t="str">
            <v>POT. DEMANDADA (kVA)</v>
          </cell>
        </row>
        <row r="106">
          <cell r="A106" t="str">
            <v>ELEVADOR DE SEGUANÇA</v>
          </cell>
          <cell r="B106">
            <v>35</v>
          </cell>
          <cell r="E106" t="e">
            <v>#N/A</v>
          </cell>
          <cell r="F106" t="e">
            <v>#N/A</v>
          </cell>
          <cell r="G106">
            <v>1</v>
          </cell>
          <cell r="I106">
            <v>1</v>
          </cell>
          <cell r="J106">
            <v>0.8</v>
          </cell>
          <cell r="K106">
            <v>35</v>
          </cell>
          <cell r="L106">
            <v>43.75</v>
          </cell>
          <cell r="M106">
            <v>35</v>
          </cell>
          <cell r="N106">
            <v>43.75</v>
          </cell>
        </row>
        <row r="107">
          <cell r="A107" t="str">
            <v>ILUMINAÇÃO E COMANDO ELEVADORE DE SEGURANÇA</v>
          </cell>
          <cell r="B107">
            <v>3</v>
          </cell>
          <cell r="E107" t="e">
            <v>#N/A</v>
          </cell>
          <cell r="F107" t="e">
            <v>#N/A</v>
          </cell>
          <cell r="G107">
            <v>1</v>
          </cell>
          <cell r="I107">
            <v>1</v>
          </cell>
          <cell r="J107">
            <v>0.8</v>
          </cell>
          <cell r="K107">
            <v>3</v>
          </cell>
          <cell r="L107">
            <v>3.75</v>
          </cell>
          <cell r="M107">
            <v>3</v>
          </cell>
          <cell r="N107">
            <v>3.75</v>
          </cell>
        </row>
        <row r="108">
          <cell r="A108" t="str">
            <v>PRESSURIZAÇÃO ESCADA 5SS</v>
          </cell>
          <cell r="B108">
            <v>6.3805104408352662</v>
          </cell>
          <cell r="C108">
            <v>7.5</v>
          </cell>
          <cell r="D108" t="str">
            <v>C</v>
          </cell>
          <cell r="E108">
            <v>6.3805104408352662</v>
          </cell>
          <cell r="F108">
            <v>0.8</v>
          </cell>
          <cell r="G108">
            <v>4</v>
          </cell>
          <cell r="I108">
            <v>0.5</v>
          </cell>
          <cell r="J108">
            <v>0.8</v>
          </cell>
          <cell r="K108">
            <v>25.522041763341065</v>
          </cell>
          <cell r="L108">
            <v>31.902552204176331</v>
          </cell>
          <cell r="M108">
            <v>12.761020881670532</v>
          </cell>
          <cell r="N108">
            <v>15.951276102088165</v>
          </cell>
        </row>
        <row r="109">
          <cell r="A109" t="str">
            <v>PRESSURIZAÇÃO ESCADA 3SS</v>
          </cell>
          <cell r="B109">
            <v>8.6705202312138727</v>
          </cell>
          <cell r="C109">
            <v>10</v>
          </cell>
          <cell r="D109" t="str">
            <v>C</v>
          </cell>
          <cell r="E109">
            <v>8.6705202312138727</v>
          </cell>
          <cell r="F109">
            <v>0.85</v>
          </cell>
          <cell r="G109">
            <v>2</v>
          </cell>
          <cell r="I109">
            <v>0.5</v>
          </cell>
          <cell r="J109">
            <v>0.85</v>
          </cell>
          <cell r="K109">
            <v>17.341040462427745</v>
          </cell>
          <cell r="L109">
            <v>20.401224073444407</v>
          </cell>
          <cell r="M109">
            <v>8.6705202312138727</v>
          </cell>
          <cell r="N109">
            <v>10.200612036722204</v>
          </cell>
        </row>
        <row r="110">
          <cell r="A110" t="str">
            <v>PRESSURIZAÇÃO ESCADA 1SS</v>
          </cell>
          <cell r="B110">
            <v>16.930022573363431</v>
          </cell>
          <cell r="C110">
            <v>20</v>
          </cell>
          <cell r="D110" t="str">
            <v>C</v>
          </cell>
          <cell r="E110">
            <v>16.930022573363431</v>
          </cell>
          <cell r="F110">
            <v>0.84</v>
          </cell>
          <cell r="G110">
            <v>5</v>
          </cell>
          <cell r="I110">
            <v>0.8</v>
          </cell>
          <cell r="J110">
            <v>0.84</v>
          </cell>
          <cell r="K110">
            <v>84.650112866817153</v>
          </cell>
          <cell r="L110">
            <v>100.77394388906805</v>
          </cell>
          <cell r="M110">
            <v>67.720090293453723</v>
          </cell>
          <cell r="N110">
            <v>80.619155111254443</v>
          </cell>
        </row>
        <row r="111">
          <cell r="A111" t="str">
            <v>EXAUSTÃO DE FUMAÇA</v>
          </cell>
          <cell r="B111">
            <v>16.930022573363431</v>
          </cell>
          <cell r="C111">
            <v>20</v>
          </cell>
          <cell r="D111" t="str">
            <v>C</v>
          </cell>
          <cell r="E111">
            <v>16.930022573363431</v>
          </cell>
          <cell r="F111">
            <v>0.84</v>
          </cell>
          <cell r="G111">
            <v>2</v>
          </cell>
          <cell r="I111">
            <v>1</v>
          </cell>
          <cell r="J111">
            <v>0.84</v>
          </cell>
          <cell r="K111">
            <v>33.860045146726861</v>
          </cell>
          <cell r="L111">
            <v>40.309577555627214</v>
          </cell>
          <cell r="M111">
            <v>33.860045146726861</v>
          </cell>
          <cell r="N111">
            <v>40.309577555627214</v>
          </cell>
        </row>
        <row r="112">
          <cell r="A112" t="str">
            <v>ELEVADOR DE SEGUANÇA</v>
          </cell>
          <cell r="B112">
            <v>35</v>
          </cell>
          <cell r="E112" t="e">
            <v>#N/A</v>
          </cell>
          <cell r="F112" t="e">
            <v>#N/A</v>
          </cell>
          <cell r="G112">
            <v>1</v>
          </cell>
          <cell r="I112">
            <v>1</v>
          </cell>
          <cell r="J112">
            <v>0.8</v>
          </cell>
          <cell r="K112">
            <v>35</v>
          </cell>
          <cell r="L112">
            <v>43.75</v>
          </cell>
          <cell r="M112">
            <v>35</v>
          </cell>
          <cell r="N112">
            <v>43.75</v>
          </cell>
        </row>
        <row r="113">
          <cell r="A113" t="str">
            <v>ILUMINAÇÃO E COMANDO ELEVADORE DE SEGURANÇA</v>
          </cell>
          <cell r="B113">
            <v>3</v>
          </cell>
          <cell r="E113" t="e">
            <v>#N/A</v>
          </cell>
          <cell r="F113" t="e">
            <v>#N/A</v>
          </cell>
          <cell r="G113">
            <v>1</v>
          </cell>
          <cell r="I113">
            <v>1</v>
          </cell>
          <cell r="J113">
            <v>0.8</v>
          </cell>
          <cell r="K113">
            <v>3</v>
          </cell>
          <cell r="L113">
            <v>3.75</v>
          </cell>
          <cell r="M113">
            <v>3</v>
          </cell>
          <cell r="N113">
            <v>3.75</v>
          </cell>
        </row>
        <row r="114">
          <cell r="A114" t="str">
            <v>PRESSURIZAÇÃO ESCADA 5SS</v>
          </cell>
          <cell r="B114">
            <v>6.3805104408352662</v>
          </cell>
          <cell r="C114">
            <v>7.5</v>
          </cell>
          <cell r="D114" t="str">
            <v>C</v>
          </cell>
          <cell r="E114">
            <v>6.3805104408352662</v>
          </cell>
          <cell r="F114">
            <v>0.8</v>
          </cell>
          <cell r="G114">
            <v>4</v>
          </cell>
          <cell r="I114">
            <v>0.5</v>
          </cell>
          <cell r="J114">
            <v>0.8</v>
          </cell>
          <cell r="K114">
            <v>25.522041763341065</v>
          </cell>
          <cell r="L114">
            <v>31.902552204176331</v>
          </cell>
          <cell r="M114">
            <v>12.761020881670532</v>
          </cell>
          <cell r="N114">
            <v>15.951276102088165</v>
          </cell>
        </row>
        <row r="115">
          <cell r="A115" t="str">
            <v>PRESSURIZAÇÃO ESCADA 3SS</v>
          </cell>
          <cell r="B115">
            <v>8.6705202312138727</v>
          </cell>
          <cell r="C115">
            <v>10</v>
          </cell>
          <cell r="D115" t="str">
            <v>C</v>
          </cell>
          <cell r="E115">
            <v>8.6705202312138727</v>
          </cell>
          <cell r="F115">
            <v>0.85</v>
          </cell>
          <cell r="G115">
            <v>2</v>
          </cell>
          <cell r="I115">
            <v>0.5</v>
          </cell>
          <cell r="J115">
            <v>0.85</v>
          </cell>
          <cell r="K115">
            <v>17.341040462427745</v>
          </cell>
          <cell r="L115">
            <v>20.401224073444407</v>
          </cell>
          <cell r="M115">
            <v>8.6705202312138727</v>
          </cell>
          <cell r="N115">
            <v>10.200612036722204</v>
          </cell>
        </row>
        <row r="116">
          <cell r="A116" t="str">
            <v>PRESSURIZAÇÃO ESCADA 1SS</v>
          </cell>
          <cell r="B116">
            <v>16.930022573363431</v>
          </cell>
          <cell r="C116">
            <v>20</v>
          </cell>
          <cell r="D116" t="str">
            <v>C</v>
          </cell>
          <cell r="E116">
            <v>16.930022573363431</v>
          </cell>
          <cell r="F116">
            <v>0.84</v>
          </cell>
          <cell r="G116">
            <v>5</v>
          </cell>
          <cell r="I116">
            <v>0.8</v>
          </cell>
          <cell r="J116">
            <v>0.84</v>
          </cell>
          <cell r="K116">
            <v>84.650112866817153</v>
          </cell>
          <cell r="L116">
            <v>100.77394388906805</v>
          </cell>
          <cell r="M116">
            <v>67.720090293453723</v>
          </cell>
          <cell r="N116">
            <v>80.619155111254443</v>
          </cell>
        </row>
        <row r="117">
          <cell r="A117" t="str">
            <v>EXAUSTÃO DE FUMAÇA</v>
          </cell>
          <cell r="B117">
            <v>16.930022573363431</v>
          </cell>
          <cell r="C117">
            <v>20</v>
          </cell>
          <cell r="D117" t="str">
            <v>C</v>
          </cell>
          <cell r="E117">
            <v>16.930022573363431</v>
          </cell>
          <cell r="F117">
            <v>0.84</v>
          </cell>
          <cell r="G117">
            <v>2</v>
          </cell>
          <cell r="I117">
            <v>1</v>
          </cell>
          <cell r="J117">
            <v>0.84</v>
          </cell>
          <cell r="K117">
            <v>33.860045146726861</v>
          </cell>
          <cell r="L117">
            <v>40.309577555627214</v>
          </cell>
          <cell r="M117">
            <v>33.860045146726861</v>
          </cell>
          <cell r="N117">
            <v>40.309577555627214</v>
          </cell>
        </row>
        <row r="118">
          <cell r="A118" t="str">
            <v>BOMBA DE RECALQUE DE ÓLEO DIESEL</v>
          </cell>
          <cell r="B118">
            <v>2.7500000000000004</v>
          </cell>
          <cell r="C118">
            <v>3</v>
          </cell>
          <cell r="D118" t="str">
            <v>H</v>
          </cell>
          <cell r="E118">
            <v>2.7500000000000004</v>
          </cell>
          <cell r="F118">
            <v>0.77</v>
          </cell>
          <cell r="G118">
            <v>2</v>
          </cell>
          <cell r="I118">
            <v>0.5</v>
          </cell>
          <cell r="J118">
            <v>0.77</v>
          </cell>
          <cell r="K118">
            <v>5.5000000000000009</v>
          </cell>
          <cell r="L118">
            <v>7.1428571428571441</v>
          </cell>
          <cell r="M118">
            <v>2.7500000000000004</v>
          </cell>
          <cell r="N118">
            <v>3.5714285714285721</v>
          </cell>
        </row>
        <row r="119">
          <cell r="A119" t="str">
            <v>ILUMINAÇÃO E TOMADAS GERADOR</v>
          </cell>
          <cell r="B119">
            <v>11.67</v>
          </cell>
          <cell r="G119">
            <v>1</v>
          </cell>
          <cell r="I119">
            <v>0.9</v>
          </cell>
          <cell r="J119">
            <v>0.94</v>
          </cell>
          <cell r="K119">
            <v>11.67</v>
          </cell>
          <cell r="L119">
            <v>12.414893617021278</v>
          </cell>
          <cell r="M119">
            <v>10.503</v>
          </cell>
          <cell r="N119">
            <v>11.17340425531915</v>
          </cell>
        </row>
        <row r="120">
          <cell r="A120" t="str">
            <v>BOMBA DE INCÊNDIO JOCKEY</v>
          </cell>
          <cell r="B120">
            <v>6.3805104408352662</v>
          </cell>
          <cell r="C120">
            <v>7.5</v>
          </cell>
          <cell r="D120" t="str">
            <v>H</v>
          </cell>
          <cell r="E120">
            <v>6.3805104408352662</v>
          </cell>
          <cell r="F120">
            <v>0.8</v>
          </cell>
          <cell r="G120">
            <v>1</v>
          </cell>
          <cell r="I120">
            <v>0</v>
          </cell>
          <cell r="J120">
            <v>0.8</v>
          </cell>
          <cell r="K120">
            <v>6.3805104408352662</v>
          </cell>
          <cell r="L120">
            <v>7.9756380510440827</v>
          </cell>
          <cell r="M120">
            <v>0</v>
          </cell>
          <cell r="N120">
            <v>0</v>
          </cell>
        </row>
        <row r="121">
          <cell r="A121" t="str">
            <v>BOMBA DE INCÊNDIO PRINCIPAL</v>
          </cell>
          <cell r="B121">
            <v>119.56521739130434</v>
          </cell>
          <cell r="C121">
            <v>150</v>
          </cell>
          <cell r="D121" t="str">
            <v>H</v>
          </cell>
          <cell r="E121">
            <v>119.56521739130434</v>
          </cell>
          <cell r="F121">
            <v>0.86</v>
          </cell>
          <cell r="G121">
            <v>1</v>
          </cell>
          <cell r="I121">
            <v>1</v>
          </cell>
          <cell r="J121">
            <v>0.86</v>
          </cell>
          <cell r="K121">
            <v>119.56521739130434</v>
          </cell>
          <cell r="L121">
            <v>139.02932254802832</v>
          </cell>
          <cell r="M121">
            <v>119.56521739130434</v>
          </cell>
          <cell r="N121">
            <v>139.02932254802832</v>
          </cell>
        </row>
        <row r="122">
          <cell r="A122" t="str">
            <v>RETIFICADOR SUBESTAÇÃO</v>
          </cell>
          <cell r="B122">
            <v>10</v>
          </cell>
          <cell r="G122">
            <v>1</v>
          </cell>
          <cell r="I122">
            <v>1</v>
          </cell>
          <cell r="J122">
            <v>0.8</v>
          </cell>
          <cell r="K122">
            <v>10</v>
          </cell>
          <cell r="L122">
            <v>12.5</v>
          </cell>
          <cell r="M122">
            <v>10</v>
          </cell>
          <cell r="N122">
            <v>12.5</v>
          </cell>
        </row>
        <row r="123">
          <cell r="A123" t="str">
            <v>TOTAL</v>
          </cell>
          <cell r="I123">
            <v>0.84231455515010045</v>
          </cell>
          <cell r="J123">
            <v>0.83689583526671951</v>
          </cell>
          <cell r="K123">
            <v>551.86220831076525</v>
          </cell>
          <cell r="L123">
            <v>660.83730680358292</v>
          </cell>
          <cell r="M123">
            <v>464.8415704974343</v>
          </cell>
          <cell r="N123">
            <v>555.43539698615996</v>
          </cell>
        </row>
        <row r="125">
          <cell r="A125" t="str">
            <v>RESUMO GERAL:</v>
          </cell>
          <cell r="B125" t="str">
            <v>kW</v>
          </cell>
          <cell r="C125" t="str">
            <v>kVA</v>
          </cell>
        </row>
        <row r="126">
          <cell r="A126" t="str">
            <v>DEMANDAS</v>
          </cell>
          <cell r="B126">
            <v>464.8415704974343</v>
          </cell>
          <cell r="C126">
            <v>555.43539698615996</v>
          </cell>
        </row>
        <row r="127">
          <cell r="A127" t="str">
            <v>RESERVA     (%)</v>
          </cell>
          <cell r="B127">
            <v>0.2</v>
          </cell>
        </row>
        <row r="128">
          <cell r="A128" t="str">
            <v>FATOR DE SIMULTANEIDADE</v>
          </cell>
          <cell r="B128">
            <v>1</v>
          </cell>
        </row>
        <row r="130">
          <cell r="A130" t="str">
            <v xml:space="preserve">DEMANDA FINAL </v>
          </cell>
          <cell r="B130">
            <v>557.80988459692117</v>
          </cell>
          <cell r="C130">
            <v>666.5224763833919</v>
          </cell>
        </row>
        <row r="131">
          <cell r="J131" t="str">
            <v>CORRENTE DE PARTIDA (PIOR CASO)</v>
          </cell>
        </row>
        <row r="132">
          <cell r="A132" t="str">
            <v>TENSÃO (V)</v>
          </cell>
          <cell r="B132">
            <v>380</v>
          </cell>
          <cell r="C132" t="str">
            <v>V</v>
          </cell>
          <cell r="J132">
            <v>1223.676134633914</v>
          </cell>
          <cell r="K132" t="str">
            <v>A</v>
          </cell>
        </row>
        <row r="133">
          <cell r="A133" t="str">
            <v>CORRENTE (A)</v>
          </cell>
          <cell r="B133">
            <v>1012.676134633914</v>
          </cell>
          <cell r="C133" t="str">
            <v>A</v>
          </cell>
        </row>
        <row r="134">
          <cell r="A134" t="str">
            <v>DISJUNTOR GERAL</v>
          </cell>
          <cell r="B134">
            <v>1250</v>
          </cell>
          <cell r="C134" t="str">
            <v>A</v>
          </cell>
          <cell r="I134" t="str">
            <v>Ip/In</v>
          </cell>
          <cell r="J134">
            <v>0.97894090770713116</v>
          </cell>
          <cell r="K134" t="str">
            <v>A</v>
          </cell>
        </row>
        <row r="136">
          <cell r="A136" t="str">
            <v>TRANSFORMADOR DE 750KVA</v>
          </cell>
        </row>
        <row r="139">
          <cell r="A139" t="str">
            <v>TRANSFORMADOR 2.1 – PBT-2.1 EM EMERGÊNCIA</v>
          </cell>
        </row>
        <row r="141">
          <cell r="A141" t="str">
            <v>FINALIDADE</v>
          </cell>
          <cell r="B141" t="str">
            <v>POT. UNIT. (kW)</v>
          </cell>
          <cell r="C141" t="str">
            <v>POT. UNIT. (CV)</v>
          </cell>
          <cell r="D141" t="str">
            <v>T I P O</v>
          </cell>
          <cell r="E141" t="str">
            <v>POT-M (KW)</v>
          </cell>
          <cell r="F141" t="str">
            <v>FP- M</v>
          </cell>
          <cell r="G141" t="str">
            <v>QTDE.</v>
          </cell>
          <cell r="H141" t="str">
            <v>PÓLOS</v>
          </cell>
          <cell r="I141" t="str">
            <v>F.D.</v>
          </cell>
          <cell r="J141" t="str">
            <v>F.P.</v>
          </cell>
          <cell r="K141" t="str">
            <v>POT. INSTALADA (kW)</v>
          </cell>
          <cell r="L141" t="str">
            <v>POT. INSTALADA (kVA)</v>
          </cell>
          <cell r="M141" t="str">
            <v>POT. DEMANDADA (kW)</v>
          </cell>
          <cell r="N141" t="str">
            <v>POT. DEMANDADA (kVA)</v>
          </cell>
        </row>
        <row r="142">
          <cell r="A142" t="str">
            <v>ILUMINAÇÃO HELIPONTO</v>
          </cell>
          <cell r="B142">
            <v>10</v>
          </cell>
          <cell r="E142" t="e">
            <v>#N/A</v>
          </cell>
          <cell r="F142" t="e">
            <v>#N/A</v>
          </cell>
          <cell r="G142">
            <v>1</v>
          </cell>
          <cell r="I142">
            <v>1</v>
          </cell>
          <cell r="J142">
            <v>0.9</v>
          </cell>
          <cell r="K142">
            <v>10</v>
          </cell>
          <cell r="L142">
            <v>11.111111111111111</v>
          </cell>
          <cell r="M142">
            <v>10</v>
          </cell>
          <cell r="N142">
            <v>11.111111111111111</v>
          </cell>
        </row>
        <row r="143">
          <cell r="A143" t="str">
            <v>ELEVADORE HELIPONTO</v>
          </cell>
          <cell r="B143">
            <v>12</v>
          </cell>
          <cell r="E143" t="e">
            <v>#N/A</v>
          </cell>
          <cell r="F143" t="e">
            <v>#N/A</v>
          </cell>
          <cell r="G143">
            <v>2</v>
          </cell>
          <cell r="I143">
            <v>1</v>
          </cell>
          <cell r="J143">
            <v>0.9</v>
          </cell>
          <cell r="K143">
            <v>24</v>
          </cell>
          <cell r="L143">
            <v>26.666666666666664</v>
          </cell>
          <cell r="M143">
            <v>24</v>
          </cell>
          <cell r="N143">
            <v>26.666666666666664</v>
          </cell>
        </row>
        <row r="144">
          <cell r="A144" t="str">
            <v>ILUMINAÇÃO E COMANDO ELEVADORE HELIPONTO</v>
          </cell>
          <cell r="B144">
            <v>1.3</v>
          </cell>
          <cell r="E144" t="e">
            <v>#N/A</v>
          </cell>
          <cell r="F144" t="e">
            <v>#N/A</v>
          </cell>
          <cell r="G144">
            <v>1</v>
          </cell>
          <cell r="I144">
            <v>1</v>
          </cell>
          <cell r="J144">
            <v>0.8</v>
          </cell>
          <cell r="K144">
            <v>1.3</v>
          </cell>
          <cell r="L144">
            <v>1.625</v>
          </cell>
          <cell r="M144">
            <v>1.3</v>
          </cell>
          <cell r="N144">
            <v>1.625</v>
          </cell>
        </row>
        <row r="145">
          <cell r="A145" t="str">
            <v>ELEVADORES ZONA ALTA</v>
          </cell>
          <cell r="B145">
            <v>70</v>
          </cell>
          <cell r="E145" t="e">
            <v>#N/A</v>
          </cell>
          <cell r="F145" t="e">
            <v>#N/A</v>
          </cell>
          <cell r="G145">
            <v>8</v>
          </cell>
          <cell r="I145">
            <v>0.13</v>
          </cell>
          <cell r="J145">
            <v>0.8</v>
          </cell>
          <cell r="K145">
            <v>560</v>
          </cell>
          <cell r="L145">
            <v>700</v>
          </cell>
          <cell r="M145">
            <v>72.8</v>
          </cell>
          <cell r="N145">
            <v>91</v>
          </cell>
        </row>
        <row r="146">
          <cell r="A146" t="str">
            <v>ILUMINAÇÃO E COMANDO ELEVADORES ZONA ALTA</v>
          </cell>
          <cell r="B146">
            <v>3</v>
          </cell>
          <cell r="E146" t="e">
            <v>#N/A</v>
          </cell>
          <cell r="F146" t="e">
            <v>#N/A</v>
          </cell>
          <cell r="G146">
            <v>1</v>
          </cell>
          <cell r="I146">
            <v>0.13</v>
          </cell>
          <cell r="J146">
            <v>0.8</v>
          </cell>
          <cell r="K146">
            <v>3</v>
          </cell>
          <cell r="L146">
            <v>3.75</v>
          </cell>
          <cell r="M146">
            <v>0.39</v>
          </cell>
          <cell r="N146">
            <v>0.48750000000000004</v>
          </cell>
        </row>
        <row r="147">
          <cell r="A147" t="str">
            <v>VENTILAÇÃO</v>
          </cell>
          <cell r="B147">
            <v>83.25</v>
          </cell>
          <cell r="G147">
            <v>1</v>
          </cell>
          <cell r="I147">
            <v>0</v>
          </cell>
          <cell r="J147">
            <v>0.8</v>
          </cell>
          <cell r="K147">
            <v>83.25</v>
          </cell>
          <cell r="L147">
            <v>104.0625</v>
          </cell>
          <cell r="M147">
            <v>0</v>
          </cell>
          <cell r="N147">
            <v>0</v>
          </cell>
        </row>
        <row r="148">
          <cell r="A148" t="str">
            <v>BOMBAS DA CENTRAL DE ÁGUA GELADA</v>
          </cell>
          <cell r="B148">
            <v>535</v>
          </cell>
          <cell r="G148">
            <v>1</v>
          </cell>
          <cell r="I148">
            <v>0</v>
          </cell>
          <cell r="J148">
            <v>1.8</v>
          </cell>
          <cell r="K148">
            <v>535</v>
          </cell>
          <cell r="L148">
            <v>297.22222222222223</v>
          </cell>
          <cell r="M148">
            <v>0</v>
          </cell>
          <cell r="N148">
            <v>0</v>
          </cell>
        </row>
        <row r="153">
          <cell r="A153" t="str">
            <v>TOTAL</v>
          </cell>
          <cell r="I153">
            <v>8.9178414368501088E-2</v>
          </cell>
          <cell r="J153">
            <v>0.82886217251514727</v>
          </cell>
          <cell r="K153">
            <v>1216.55</v>
          </cell>
          <cell r="L153">
            <v>1144.4375</v>
          </cell>
          <cell r="M153">
            <v>108.49</v>
          </cell>
          <cell r="N153">
            <v>130.89027777777778</v>
          </cell>
        </row>
        <row r="155">
          <cell r="A155" t="str">
            <v>RESUMO GERAL:</v>
          </cell>
          <cell r="B155" t="str">
            <v>kW</v>
          </cell>
          <cell r="C155" t="str">
            <v>kVA</v>
          </cell>
        </row>
        <row r="156">
          <cell r="A156" t="str">
            <v>DEMANDAS</v>
          </cell>
          <cell r="B156">
            <v>108.49</v>
          </cell>
          <cell r="C156">
            <v>130.89027777777778</v>
          </cell>
        </row>
        <row r="157">
          <cell r="A157" t="str">
            <v>RESERVA     (%)</v>
          </cell>
          <cell r="B157">
            <v>0.2</v>
          </cell>
        </row>
        <row r="158">
          <cell r="A158" t="str">
            <v>FATOR DE SIMULTANEIDADE</v>
          </cell>
          <cell r="B158">
            <v>1</v>
          </cell>
        </row>
        <row r="160">
          <cell r="A160" t="str">
            <v xml:space="preserve">DEMANDA FINAL </v>
          </cell>
          <cell r="B160">
            <v>130.18799999999999</v>
          </cell>
          <cell r="C160">
            <v>157.06833333333333</v>
          </cell>
        </row>
        <row r="162">
          <cell r="A162" t="str">
            <v>TENSÃO (V)</v>
          </cell>
          <cell r="B162">
            <v>380</v>
          </cell>
          <cell r="C162" t="str">
            <v>V</v>
          </cell>
        </row>
        <row r="163">
          <cell r="A163" t="str">
            <v>CORRENTE (A)</v>
          </cell>
          <cell r="B163">
            <v>238.64064350306808</v>
          </cell>
          <cell r="C163" t="str">
            <v>A</v>
          </cell>
        </row>
        <row r="164">
          <cell r="A164" t="str">
            <v>DISJUNTOR GERAL</v>
          </cell>
          <cell r="B164">
            <v>2500</v>
          </cell>
          <cell r="C164" t="str">
            <v>A</v>
          </cell>
        </row>
        <row r="166">
          <cell r="A166" t="str">
            <v>TRANSFORMADOR DE 1500KVA</v>
          </cell>
        </row>
        <row r="170">
          <cell r="A170" t="str">
            <v>TRANSFORMADOR 2.2 – PBT-2.2 EM EMERGÊNCIA</v>
          </cell>
        </row>
        <row r="172">
          <cell r="A172" t="str">
            <v>FINALIDADE</v>
          </cell>
          <cell r="B172" t="str">
            <v>POT. UNIT. (kW)</v>
          </cell>
          <cell r="C172" t="str">
            <v>POT. UNIT. (CV)</v>
          </cell>
          <cell r="D172" t="str">
            <v>T I P O</v>
          </cell>
          <cell r="E172" t="str">
            <v>POT-M (KW)</v>
          </cell>
          <cell r="F172" t="str">
            <v>FP- M</v>
          </cell>
          <cell r="G172" t="str">
            <v>QTDE.</v>
          </cell>
          <cell r="H172" t="str">
            <v>PÓLOS</v>
          </cell>
          <cell r="I172" t="str">
            <v>F.D.</v>
          </cell>
          <cell r="J172" t="str">
            <v>F.P.</v>
          </cell>
          <cell r="K172" t="str">
            <v>POT. INSTALADA (kW)</v>
          </cell>
          <cell r="L172" t="str">
            <v>POT. INSTALADA (kVA)</v>
          </cell>
          <cell r="M172" t="str">
            <v>POT. DEMANDADA (kW)</v>
          </cell>
          <cell r="N172" t="str">
            <v>POT. DEMANDADA (kVA)</v>
          </cell>
        </row>
        <row r="173">
          <cell r="A173" t="str">
            <v>BARRAMENTO BLINDADO BB2.1/2.3 ESCRITÓRIOS</v>
          </cell>
          <cell r="B173">
            <v>96.05</v>
          </cell>
          <cell r="E173" t="e">
            <v>#N/A</v>
          </cell>
          <cell r="F173" t="e">
            <v>#N/A</v>
          </cell>
          <cell r="G173">
            <v>1</v>
          </cell>
          <cell r="I173">
            <v>1</v>
          </cell>
          <cell r="J173">
            <v>0.98</v>
          </cell>
          <cell r="K173">
            <v>96.05</v>
          </cell>
          <cell r="L173">
            <v>98.010204081632651</v>
          </cell>
          <cell r="M173">
            <v>96.05</v>
          </cell>
          <cell r="N173">
            <v>98.010204081632651</v>
          </cell>
        </row>
        <row r="174">
          <cell r="A174" t="str">
            <v>BARRAMENTO BLINDADO 2.2/2.4 FANCOIL ESCRITÓRIOS</v>
          </cell>
          <cell r="B174">
            <v>8.5227272727272734</v>
          </cell>
          <cell r="C174">
            <v>10</v>
          </cell>
          <cell r="D174" t="str">
            <v>C</v>
          </cell>
          <cell r="E174">
            <v>8.5227272727272734</v>
          </cell>
          <cell r="F174">
            <v>0.77</v>
          </cell>
          <cell r="G174">
            <v>34</v>
          </cell>
          <cell r="I174">
            <v>0</v>
          </cell>
          <cell r="J174">
            <v>0.77</v>
          </cell>
          <cell r="K174">
            <v>289.77272727272731</v>
          </cell>
          <cell r="L174">
            <v>376.32821723730819</v>
          </cell>
          <cell r="M174">
            <v>0</v>
          </cell>
          <cell r="N174">
            <v>0</v>
          </cell>
        </row>
        <row r="175">
          <cell r="A175" t="str">
            <v>TOTAL</v>
          </cell>
          <cell r="I175">
            <v>0.24894852793911473</v>
          </cell>
          <cell r="J175">
            <v>0.98</v>
          </cell>
          <cell r="K175">
            <v>385.82272727272732</v>
          </cell>
          <cell r="L175">
            <v>474.33842131894085</v>
          </cell>
          <cell r="M175">
            <v>96.05</v>
          </cell>
          <cell r="N175">
            <v>98.010204081632651</v>
          </cell>
        </row>
        <row r="178">
          <cell r="A178" t="str">
            <v>RESUMO GERAL:</v>
          </cell>
          <cell r="B178" t="str">
            <v>kW</v>
          </cell>
          <cell r="C178" t="str">
            <v>kVA</v>
          </cell>
        </row>
        <row r="179">
          <cell r="A179" t="str">
            <v>DEMANDAS</v>
          </cell>
          <cell r="B179">
            <v>96.05</v>
          </cell>
          <cell r="C179">
            <v>98.010204081632651</v>
          </cell>
        </row>
        <row r="180">
          <cell r="A180" t="str">
            <v>RESERVA     (%)</v>
          </cell>
          <cell r="B180">
            <v>0.2</v>
          </cell>
        </row>
        <row r="181">
          <cell r="A181" t="str">
            <v>FATOR DE SIMULTANEIDADE</v>
          </cell>
          <cell r="B181">
            <v>1</v>
          </cell>
        </row>
        <row r="183">
          <cell r="A183" t="str">
            <v xml:space="preserve">DEMANDA FINAL </v>
          </cell>
          <cell r="B183">
            <v>115.25999999999999</v>
          </cell>
          <cell r="C183">
            <v>117.61224489795917</v>
          </cell>
        </row>
        <row r="185">
          <cell r="A185" t="str">
            <v>TENSÃO (V)</v>
          </cell>
          <cell r="B185">
            <v>380</v>
          </cell>
          <cell r="C185" t="str">
            <v>V</v>
          </cell>
        </row>
        <row r="186">
          <cell r="A186" t="str">
            <v>CORRENTE (A)</v>
          </cell>
          <cell r="B186">
            <v>178.69331908377086</v>
          </cell>
          <cell r="C186" t="str">
            <v>A</v>
          </cell>
        </row>
        <row r="187">
          <cell r="A187" t="str">
            <v>DISJUNTOR GERAL</v>
          </cell>
          <cell r="B187">
            <v>2500</v>
          </cell>
          <cell r="C187" t="str">
            <v>A</v>
          </cell>
        </row>
        <row r="189">
          <cell r="A189" t="str">
            <v>TRANSFORMADOR DE 1500KVA</v>
          </cell>
        </row>
        <row r="192">
          <cell r="A192" t="str">
            <v>TRANSFORMADOR 2.3 – PBT-2.3</v>
          </cell>
        </row>
        <row r="194">
          <cell r="A194" t="str">
            <v>FINALIDADE</v>
          </cell>
          <cell r="B194" t="str">
            <v>POT. UNIT. (kW)</v>
          </cell>
          <cell r="C194" t="str">
            <v>POT. UNIT. (CV)</v>
          </cell>
          <cell r="D194" t="str">
            <v>T I P O</v>
          </cell>
          <cell r="E194" t="str">
            <v>POT-M (KW)</v>
          </cell>
          <cell r="F194" t="str">
            <v>FP- M</v>
          </cell>
          <cell r="G194" t="str">
            <v>QTDE.</v>
          </cell>
          <cell r="H194" t="str">
            <v>PÓLOS</v>
          </cell>
          <cell r="I194" t="str">
            <v>F.D.</v>
          </cell>
          <cell r="J194" t="str">
            <v>F.P.</v>
          </cell>
          <cell r="K194" t="str">
            <v>POT. INSTALADA (kW)</v>
          </cell>
          <cell r="L194" t="str">
            <v>POT. INSTALADA (kVA)</v>
          </cell>
          <cell r="M194" t="str">
            <v>POT. DEMANDADA (kW)</v>
          </cell>
          <cell r="N194" t="str">
            <v>POT. DEMANDADA (kVA)</v>
          </cell>
        </row>
        <row r="195">
          <cell r="A195" t="str">
            <v>CHILER</v>
          </cell>
          <cell r="B195">
            <v>500</v>
          </cell>
          <cell r="E195" t="e">
            <v>#N/A</v>
          </cell>
          <cell r="F195" t="e">
            <v>#N/A</v>
          </cell>
          <cell r="G195">
            <v>2</v>
          </cell>
          <cell r="I195">
            <v>9.9999999999999995E-7</v>
          </cell>
          <cell r="J195">
            <v>0.9</v>
          </cell>
          <cell r="K195">
            <v>1000</v>
          </cell>
          <cell r="L195">
            <v>1111.1111111111111</v>
          </cell>
          <cell r="M195">
            <v>1E-3</v>
          </cell>
          <cell r="N195">
            <v>1.1111111111111111E-3</v>
          </cell>
        </row>
        <row r="196">
          <cell r="A196" t="str">
            <v>CHILER</v>
          </cell>
          <cell r="B196">
            <v>310</v>
          </cell>
          <cell r="E196" t="e">
            <v>#N/A</v>
          </cell>
          <cell r="F196" t="e">
            <v>#N/A</v>
          </cell>
          <cell r="G196">
            <v>1</v>
          </cell>
          <cell r="I196">
            <v>9.9999999999999995E-7</v>
          </cell>
          <cell r="J196">
            <v>0.9</v>
          </cell>
          <cell r="K196">
            <v>310</v>
          </cell>
          <cell r="L196">
            <v>344.44444444444446</v>
          </cell>
          <cell r="M196">
            <v>3.1E-4</v>
          </cell>
          <cell r="N196">
            <v>3.4444444444444442E-4</v>
          </cell>
        </row>
        <row r="197">
          <cell r="A197" t="str">
            <v>TOTAL</v>
          </cell>
          <cell r="I197">
            <v>9.9999999999999995E-7</v>
          </cell>
          <cell r="J197">
            <v>0.9</v>
          </cell>
          <cell r="K197">
            <v>1310</v>
          </cell>
          <cell r="L197">
            <v>1455.5555555555557</v>
          </cell>
          <cell r="M197">
            <v>1.31E-3</v>
          </cell>
          <cell r="N197">
            <v>1.4555555555555554E-3</v>
          </cell>
        </row>
        <row r="200">
          <cell r="A200" t="str">
            <v>RESUMO GERAL:</v>
          </cell>
          <cell r="B200" t="str">
            <v>kW</v>
          </cell>
          <cell r="C200" t="str">
            <v>kVA</v>
          </cell>
        </row>
        <row r="201">
          <cell r="A201" t="str">
            <v>DEMANDAS</v>
          </cell>
          <cell r="B201">
            <v>1.31E-3</v>
          </cell>
          <cell r="C201">
            <v>1.4555555555555554E-3</v>
          </cell>
        </row>
        <row r="202">
          <cell r="A202" t="str">
            <v>RESERVA     (%)</v>
          </cell>
          <cell r="B202">
            <v>0.2</v>
          </cell>
        </row>
        <row r="203">
          <cell r="A203" t="str">
            <v>FATOR DE SIMULTANEIDADE</v>
          </cell>
          <cell r="B203">
            <v>1</v>
          </cell>
        </row>
        <row r="205">
          <cell r="A205" t="str">
            <v xml:space="preserve">DEMANDA FINAL </v>
          </cell>
          <cell r="B205">
            <v>1.5719999999999998E-3</v>
          </cell>
          <cell r="C205">
            <v>1.7466666666666665E-3</v>
          </cell>
        </row>
        <row r="207">
          <cell r="A207" t="str">
            <v>TENSÃO (V)</v>
          </cell>
          <cell r="B207">
            <v>380</v>
          </cell>
          <cell r="C207" t="str">
            <v>V</v>
          </cell>
        </row>
        <row r="208">
          <cell r="A208" t="str">
            <v>CORRENTE (A)</v>
          </cell>
          <cell r="B208">
            <v>2.6537854478540695E-3</v>
          </cell>
          <cell r="C208" t="str">
            <v>A</v>
          </cell>
        </row>
        <row r="209">
          <cell r="A209" t="str">
            <v>DISJUNTOR GERAL</v>
          </cell>
          <cell r="B209">
            <v>2500</v>
          </cell>
          <cell r="C209" t="str">
            <v>A</v>
          </cell>
        </row>
        <row r="211">
          <cell r="A211" t="str">
            <v>TRANSFORMADOR DE 1500KVA</v>
          </cell>
        </row>
        <row r="215">
          <cell r="A215" t="str">
            <v>DEMANDA TOTAL DO GERADOR EM EMERGÊNCIA – 1º FASE</v>
          </cell>
        </row>
        <row r="217">
          <cell r="A217" t="str">
            <v>FINALIDADE</v>
          </cell>
          <cell r="B217" t="str">
            <v>POT. UNIT. (kW)</v>
          </cell>
          <cell r="C217" t="str">
            <v>POT. UNIT. (CV)</v>
          </cell>
          <cell r="D217" t="str">
            <v>T I P O</v>
          </cell>
          <cell r="E217" t="str">
            <v>POT-M (KW)</v>
          </cell>
          <cell r="F217" t="str">
            <v>FP- M</v>
          </cell>
          <cell r="G217" t="str">
            <v>QTDE.</v>
          </cell>
          <cell r="H217" t="str">
            <v>PÓLOS</v>
          </cell>
          <cell r="I217" t="str">
            <v>F.D.</v>
          </cell>
          <cell r="J217" t="str">
            <v>F.P.</v>
          </cell>
          <cell r="K217" t="str">
            <v>POT. INSTALADA (kW)</v>
          </cell>
          <cell r="L217" t="str">
            <v>POT. INSTALADA (kVA)</v>
          </cell>
          <cell r="M217" t="str">
            <v>POT. DEMANDADA (kW)</v>
          </cell>
          <cell r="N217" t="str">
            <v>POT. DEMANDADA (kVA)</v>
          </cell>
        </row>
        <row r="218">
          <cell r="A218" t="str">
            <v>TRANSFORMADOR 1.1  PBT-1.1</v>
          </cell>
          <cell r="B218">
            <v>324.10509426511931</v>
          </cell>
          <cell r="E218" t="e">
            <v>#N/A</v>
          </cell>
          <cell r="F218" t="e">
            <v>#N/A</v>
          </cell>
          <cell r="G218">
            <v>1</v>
          </cell>
          <cell r="I218">
            <v>0.79896043489677604</v>
          </cell>
          <cell r="J218">
            <v>0.85752015197356957</v>
          </cell>
          <cell r="K218">
            <v>324.10509426511931</v>
          </cell>
          <cell r="L218">
            <v>377.95624221681129</v>
          </cell>
          <cell r="M218">
            <v>258.94714706632033</v>
          </cell>
          <cell r="N218">
            <v>301.97208365349479</v>
          </cell>
        </row>
        <row r="219">
          <cell r="A219" t="str">
            <v>TRANSFORMADOR 1.2  PBT-1.2</v>
          </cell>
          <cell r="B219">
            <v>1391.0193808785871</v>
          </cell>
          <cell r="E219" t="e">
            <v>#N/A</v>
          </cell>
          <cell r="F219" t="e">
            <v>#N/A</v>
          </cell>
          <cell r="G219">
            <v>1</v>
          </cell>
          <cell r="I219">
            <v>5.8131468987100983E-2</v>
          </cell>
          <cell r="J219">
            <v>0.79999999999999993</v>
          </cell>
          <cell r="K219">
            <v>1391.0193808785871</v>
          </cell>
          <cell r="L219">
            <v>1738.7742260982341</v>
          </cell>
          <cell r="M219">
            <v>80.861999999999995</v>
          </cell>
          <cell r="N219">
            <v>101.0775</v>
          </cell>
        </row>
        <row r="220">
          <cell r="A220" t="str">
            <v>TRANSFORMADOR 2.1  PBT-2.1</v>
          </cell>
          <cell r="B220">
            <v>1216.55</v>
          </cell>
          <cell r="E220" t="e">
            <v>#N/A</v>
          </cell>
          <cell r="F220" t="e">
            <v>#N/A</v>
          </cell>
          <cell r="G220">
            <v>1</v>
          </cell>
          <cell r="I220">
            <v>8.9178414368501088E-2</v>
          </cell>
          <cell r="J220">
            <v>0.82886217251514727</v>
          </cell>
          <cell r="K220">
            <v>1216.55</v>
          </cell>
          <cell r="L220">
            <v>1467.7349749336856</v>
          </cell>
          <cell r="M220">
            <v>108.49</v>
          </cell>
          <cell r="N220">
            <v>130.89027777777778</v>
          </cell>
        </row>
        <row r="221">
          <cell r="A221" t="str">
            <v>TRANSFORMADOR 2.2  PBT-2.2</v>
          </cell>
          <cell r="B221">
            <v>385.82272727272732</v>
          </cell>
          <cell r="E221" t="e">
            <v>#N/A</v>
          </cell>
          <cell r="F221" t="e">
            <v>#N/A</v>
          </cell>
          <cell r="G221">
            <v>1</v>
          </cell>
          <cell r="I221">
            <v>0.24894852793911473</v>
          </cell>
          <cell r="J221">
            <v>0.98</v>
          </cell>
          <cell r="K221">
            <v>385.82272727272732</v>
          </cell>
          <cell r="L221">
            <v>393.6966604823748</v>
          </cell>
          <cell r="M221">
            <v>96.05</v>
          </cell>
          <cell r="N221">
            <v>98.010204081632651</v>
          </cell>
        </row>
        <row r="222">
          <cell r="A222" t="str">
            <v>TRANSFORMADOR 2.3  PBT-2.3</v>
          </cell>
          <cell r="B222">
            <v>1310</v>
          </cell>
          <cell r="E222" t="e">
            <v>#N/A</v>
          </cell>
          <cell r="F222" t="e">
            <v>#N/A</v>
          </cell>
          <cell r="G222">
            <v>1</v>
          </cell>
          <cell r="I222">
            <v>9.9999999999999995E-7</v>
          </cell>
          <cell r="J222">
            <v>0.9</v>
          </cell>
          <cell r="K222">
            <v>1310</v>
          </cell>
          <cell r="L222">
            <v>1455.5555555555554</v>
          </cell>
          <cell r="M222">
            <v>1.31E-3</v>
          </cell>
          <cell r="N222">
            <v>1.4555555555555554E-3</v>
          </cell>
        </row>
        <row r="223">
          <cell r="A223" t="str">
            <v>TRANSFORMADOR CM1.1 PBT-SEG</v>
          </cell>
          <cell r="B223">
            <v>551.86220831076525</v>
          </cell>
          <cell r="E223" t="e">
            <v>#N/A</v>
          </cell>
          <cell r="F223" t="e">
            <v>#N/A</v>
          </cell>
          <cell r="G223">
            <v>1</v>
          </cell>
          <cell r="I223">
            <v>0.84231455515010045</v>
          </cell>
          <cell r="J223">
            <v>0.83689583526671951</v>
          </cell>
          <cell r="K223">
            <v>551.86220831076525</v>
          </cell>
          <cell r="L223">
            <v>659.41564655401373</v>
          </cell>
          <cell r="M223">
            <v>464.8415704974343</v>
          </cell>
          <cell r="N223">
            <v>555.43539698615996</v>
          </cell>
        </row>
        <row r="224">
          <cell r="A224" t="str">
            <v>TOTAL</v>
          </cell>
          <cell r="I224">
            <v>0.19484881189623038</v>
          </cell>
          <cell r="J224">
            <v>0.84992685384910982</v>
          </cell>
          <cell r="K224">
            <v>5179.3594107271983</v>
          </cell>
          <cell r="L224">
            <v>6093.1333058406753</v>
          </cell>
          <cell r="M224">
            <v>1009.1920275637546</v>
          </cell>
          <cell r="N224">
            <v>1187.3869180546208</v>
          </cell>
        </row>
        <row r="227">
          <cell r="A227" t="str">
            <v>RESUMO GERAL:</v>
          </cell>
          <cell r="B227" t="str">
            <v>kW</v>
          </cell>
          <cell r="C227" t="str">
            <v>kVA</v>
          </cell>
        </row>
        <row r="228">
          <cell r="A228" t="str">
            <v>DEMANDAS</v>
          </cell>
          <cell r="B228">
            <v>1009.1920275637546</v>
          </cell>
          <cell r="C228">
            <v>1187.3869180546208</v>
          </cell>
        </row>
        <row r="229">
          <cell r="A229" t="str">
            <v>RESERVA     (%)</v>
          </cell>
          <cell r="B229">
            <v>0.2</v>
          </cell>
        </row>
        <row r="230">
          <cell r="A230" t="str">
            <v>FATOR DE SIMULTANEIDADE</v>
          </cell>
          <cell r="B230">
            <v>1</v>
          </cell>
        </row>
        <row r="232">
          <cell r="A232" t="str">
            <v xml:space="preserve">DEMANDA FINAL </v>
          </cell>
          <cell r="B232">
            <v>1211.0304330765055</v>
          </cell>
          <cell r="C232">
            <v>1424.8643016655449</v>
          </cell>
        </row>
        <row r="234">
          <cell r="A234" t="str">
            <v>TENSÃO (V)</v>
          </cell>
          <cell r="B234">
            <v>380</v>
          </cell>
          <cell r="C234" t="str">
            <v>V</v>
          </cell>
        </row>
        <row r="235">
          <cell r="A235" t="str">
            <v>CORRENTE (A)</v>
          </cell>
          <cell r="B235">
            <v>2164.8573371718176</v>
          </cell>
          <cell r="C235" t="str">
            <v>A</v>
          </cell>
        </row>
        <row r="236">
          <cell r="A236" t="str">
            <v>DISJUNTOR GERAL</v>
          </cell>
          <cell r="B236">
            <v>1250</v>
          </cell>
          <cell r="C236" t="str">
            <v>A</v>
          </cell>
        </row>
        <row r="238">
          <cell r="A238" t="str">
            <v>ADOTADO GERADOR DE 1165/1040KVA</v>
          </cell>
        </row>
        <row r="243">
          <cell r="A243" t="str">
            <v>TABELA DE EMERGÊNICA GERAL – 1º FASE</v>
          </cell>
        </row>
        <row r="245">
          <cell r="A245" t="str">
            <v>FINALIDADE</v>
          </cell>
          <cell r="B245" t="str">
            <v>POT. UNIT. (kW)</v>
          </cell>
          <cell r="C245" t="str">
            <v>POT. UNIT. (CV)</v>
          </cell>
          <cell r="D245" t="str">
            <v>T I P O</v>
          </cell>
          <cell r="E245" t="str">
            <v>POT-M (KW)</v>
          </cell>
          <cell r="F245" t="str">
            <v>FP- M</v>
          </cell>
          <cell r="G245" t="str">
            <v>QTDE.</v>
          </cell>
          <cell r="H245" t="str">
            <v>PÓLOS</v>
          </cell>
          <cell r="I245" t="str">
            <v>F.D.</v>
          </cell>
          <cell r="J245" t="str">
            <v>F.P.</v>
          </cell>
          <cell r="K245" t="str">
            <v>POT. INSTALADA (kW)</v>
          </cell>
          <cell r="L245" t="str">
            <v>POT. INSTALADA (kVA)</v>
          </cell>
          <cell r="M245" t="str">
            <v>POT. DEMANDADA (kW)</v>
          </cell>
          <cell r="N245" t="str">
            <v>POT. DEMANDADA (kVA)</v>
          </cell>
        </row>
        <row r="246">
          <cell r="A246" t="str">
            <v>BARRAMENTO BLINDADO BB1.1/1.3 – ILUMINAÇÃO HALL</v>
          </cell>
          <cell r="B246">
            <v>123.78</v>
          </cell>
          <cell r="E246" t="e">
            <v>#N/A</v>
          </cell>
          <cell r="F246" t="e">
            <v>#N/A</v>
          </cell>
          <cell r="G246">
            <v>1</v>
          </cell>
          <cell r="I246">
            <v>0.72387274236801691</v>
          </cell>
          <cell r="J246">
            <v>0.98</v>
          </cell>
          <cell r="K246">
            <v>123.78</v>
          </cell>
          <cell r="L246">
            <v>126.30612244897959</v>
          </cell>
          <cell r="M246">
            <v>89.600968050313128</v>
          </cell>
          <cell r="N246">
            <v>91.4295592350134</v>
          </cell>
        </row>
        <row r="247">
          <cell r="A247" t="str">
            <v>QD-B1-3S</v>
          </cell>
          <cell r="B247">
            <v>140.32509426511928</v>
          </cell>
          <cell r="E247" t="e">
            <v>#N/A</v>
          </cell>
          <cell r="F247" t="e">
            <v>#N/A</v>
          </cell>
          <cell r="G247">
            <v>1</v>
          </cell>
          <cell r="I247">
            <v>1</v>
          </cell>
          <cell r="J247">
            <v>0.77296462798671983</v>
          </cell>
          <cell r="K247">
            <v>140.32509426511928</v>
          </cell>
          <cell r="L247">
            <v>181.54141752982022</v>
          </cell>
          <cell r="M247">
            <v>140.32509426511928</v>
          </cell>
          <cell r="N247">
            <v>181.54141752982022</v>
          </cell>
        </row>
        <row r="248">
          <cell r="A248" t="str">
            <v>NO BREAK</v>
          </cell>
          <cell r="B248">
            <v>30</v>
          </cell>
          <cell r="G248">
            <v>2</v>
          </cell>
          <cell r="I248">
            <v>0.5</v>
          </cell>
          <cell r="J248">
            <v>1</v>
          </cell>
          <cell r="K248">
            <v>60</v>
          </cell>
          <cell r="L248">
            <v>60</v>
          </cell>
          <cell r="M248">
            <v>30</v>
          </cell>
          <cell r="N248">
            <v>30</v>
          </cell>
        </row>
        <row r="249">
          <cell r="A249" t="str">
            <v>ILUMINAÇÃO E COMANDO ELEVADORES SUBSOLO</v>
          </cell>
          <cell r="B249">
            <v>1.3</v>
          </cell>
          <cell r="E249" t="e">
            <v>#N/A</v>
          </cell>
          <cell r="F249" t="e">
            <v>#N/A</v>
          </cell>
          <cell r="G249">
            <v>1</v>
          </cell>
          <cell r="I249">
            <v>0.74</v>
          </cell>
          <cell r="J249">
            <v>0.8</v>
          </cell>
          <cell r="K249">
            <v>1.3</v>
          </cell>
          <cell r="L249">
            <v>1.625</v>
          </cell>
          <cell r="M249">
            <v>0.96199999999999997</v>
          </cell>
          <cell r="N249">
            <v>1.2024999999999999</v>
          </cell>
        </row>
        <row r="250">
          <cell r="A250" t="str">
            <v>ELEVADORES GARAGEM</v>
          </cell>
          <cell r="B250">
            <v>20</v>
          </cell>
          <cell r="E250" t="e">
            <v>#N/A</v>
          </cell>
          <cell r="F250" t="e">
            <v>#N/A</v>
          </cell>
          <cell r="G250">
            <v>2</v>
          </cell>
          <cell r="I250">
            <v>0.74</v>
          </cell>
          <cell r="J250">
            <v>0.8</v>
          </cell>
          <cell r="K250">
            <v>40</v>
          </cell>
          <cell r="L250">
            <v>50</v>
          </cell>
          <cell r="M250">
            <v>29.6</v>
          </cell>
          <cell r="N250">
            <v>37</v>
          </cell>
        </row>
        <row r="251">
          <cell r="A251" t="str">
            <v>ELEVADORES ZONA BAIXA</v>
          </cell>
          <cell r="B251">
            <v>50</v>
          </cell>
          <cell r="E251" t="e">
            <v>#N/A</v>
          </cell>
          <cell r="F251" t="e">
            <v>#N/A</v>
          </cell>
          <cell r="G251">
            <v>8</v>
          </cell>
          <cell r="I251">
            <v>0.125</v>
          </cell>
          <cell r="J251">
            <v>0.8</v>
          </cell>
          <cell r="K251">
            <v>400</v>
          </cell>
          <cell r="L251">
            <v>500</v>
          </cell>
          <cell r="M251">
            <v>50</v>
          </cell>
          <cell r="N251">
            <v>62.5</v>
          </cell>
        </row>
        <row r="252">
          <cell r="A252" t="str">
            <v>ILUMINAÇÃO E COMANDO ELEVADORES ZONA BAIXA</v>
          </cell>
          <cell r="B252">
            <v>3</v>
          </cell>
          <cell r="E252" t="e">
            <v>#N/A</v>
          </cell>
          <cell r="F252" t="e">
            <v>#N/A</v>
          </cell>
          <cell r="G252">
            <v>1</v>
          </cell>
          <cell r="I252">
            <v>0.1</v>
          </cell>
          <cell r="J252">
            <v>0.8</v>
          </cell>
          <cell r="K252">
            <v>3</v>
          </cell>
          <cell r="L252">
            <v>3.75</v>
          </cell>
          <cell r="M252">
            <v>0.3</v>
          </cell>
          <cell r="N252">
            <v>0.375</v>
          </cell>
        </row>
        <row r="253">
          <cell r="A253" t="str">
            <v>ELEVADOR DE SEGUANÇA</v>
          </cell>
          <cell r="B253">
            <v>35</v>
          </cell>
          <cell r="E253" t="e">
            <v>#N/A</v>
          </cell>
          <cell r="F253" t="e">
            <v>#N/A</v>
          </cell>
          <cell r="G253">
            <v>1</v>
          </cell>
          <cell r="I253">
            <v>1</v>
          </cell>
          <cell r="J253">
            <v>0.8</v>
          </cell>
          <cell r="K253">
            <v>35</v>
          </cell>
          <cell r="L253">
            <v>43.75</v>
          </cell>
          <cell r="M253">
            <v>35</v>
          </cell>
          <cell r="N253">
            <v>43.75</v>
          </cell>
        </row>
        <row r="254">
          <cell r="A254" t="str">
            <v>ILUMINAÇÃO E COMANDO ELEVADORE DE SEGURANÇA</v>
          </cell>
          <cell r="B254">
            <v>3</v>
          </cell>
          <cell r="E254" t="e">
            <v>#N/A</v>
          </cell>
          <cell r="F254" t="e">
            <v>#N/A</v>
          </cell>
          <cell r="G254">
            <v>1</v>
          </cell>
          <cell r="I254">
            <v>1</v>
          </cell>
          <cell r="J254">
            <v>0.8</v>
          </cell>
          <cell r="K254">
            <v>3</v>
          </cell>
          <cell r="L254">
            <v>3.75</v>
          </cell>
          <cell r="M254">
            <v>3</v>
          </cell>
          <cell r="N254">
            <v>3.75</v>
          </cell>
        </row>
        <row r="255">
          <cell r="A255" t="str">
            <v>PRESSURIZAÇÃO ESCADA 5SS</v>
          </cell>
          <cell r="B255">
            <v>6.3805104408352662</v>
          </cell>
          <cell r="C255">
            <v>7.5</v>
          </cell>
          <cell r="D255" t="str">
            <v>C</v>
          </cell>
          <cell r="E255">
            <v>6.3805104408352662</v>
          </cell>
          <cell r="F255">
            <v>0.8</v>
          </cell>
          <cell r="G255">
            <v>4</v>
          </cell>
          <cell r="I255">
            <v>0.5</v>
          </cell>
          <cell r="J255">
            <v>0.8</v>
          </cell>
          <cell r="K255">
            <v>25.522041763341065</v>
          </cell>
          <cell r="L255">
            <v>31.902552204176331</v>
          </cell>
          <cell r="M255">
            <v>12.761020881670532</v>
          </cell>
          <cell r="N255">
            <v>15.951276102088165</v>
          </cell>
        </row>
        <row r="256">
          <cell r="A256" t="str">
            <v>PRESSURIZAÇÃO ESCADA 3SS</v>
          </cell>
          <cell r="B256">
            <v>8.6705202312138727</v>
          </cell>
          <cell r="C256">
            <v>10</v>
          </cell>
          <cell r="D256" t="str">
            <v>C</v>
          </cell>
          <cell r="E256">
            <v>8.6705202312138727</v>
          </cell>
          <cell r="F256">
            <v>0.85</v>
          </cell>
          <cell r="G256">
            <v>2</v>
          </cell>
          <cell r="I256">
            <v>0.5</v>
          </cell>
          <cell r="J256">
            <v>0.85</v>
          </cell>
          <cell r="K256">
            <v>17.341040462427745</v>
          </cell>
          <cell r="L256">
            <v>20.401224073444407</v>
          </cell>
          <cell r="M256">
            <v>8.6705202312138727</v>
          </cell>
          <cell r="N256">
            <v>10.200612036722204</v>
          </cell>
        </row>
        <row r="257">
          <cell r="A257" t="str">
            <v>PRESSURIZAÇÃO ESCADA 1SS</v>
          </cell>
          <cell r="B257">
            <v>16.930022573363431</v>
          </cell>
          <cell r="C257">
            <v>20</v>
          </cell>
          <cell r="D257" t="str">
            <v>C</v>
          </cell>
          <cell r="E257">
            <v>16.930022573363431</v>
          </cell>
          <cell r="F257">
            <v>0.84</v>
          </cell>
          <cell r="G257">
            <v>5</v>
          </cell>
          <cell r="I257">
            <v>0.8</v>
          </cell>
          <cell r="J257">
            <v>0.84</v>
          </cell>
          <cell r="K257">
            <v>84.650112866817153</v>
          </cell>
          <cell r="L257">
            <v>100.77394388906805</v>
          </cell>
          <cell r="M257">
            <v>67.720090293453723</v>
          </cell>
          <cell r="N257">
            <v>80.619155111254443</v>
          </cell>
        </row>
        <row r="258">
          <cell r="A258" t="str">
            <v>EXAUSTÃO DE FUMAÇA</v>
          </cell>
          <cell r="B258">
            <v>16.930022573363431</v>
          </cell>
          <cell r="C258">
            <v>20</v>
          </cell>
          <cell r="D258" t="str">
            <v>C</v>
          </cell>
          <cell r="E258">
            <v>16.930022573363431</v>
          </cell>
          <cell r="F258">
            <v>0.84</v>
          </cell>
          <cell r="G258">
            <v>2</v>
          </cell>
          <cell r="I258">
            <v>1</v>
          </cell>
          <cell r="J258">
            <v>0.84</v>
          </cell>
          <cell r="K258">
            <v>33.860045146726861</v>
          </cell>
          <cell r="L258">
            <v>40.309577555627214</v>
          </cell>
          <cell r="M258">
            <v>33.860045146726861</v>
          </cell>
          <cell r="N258">
            <v>40.309577555627214</v>
          </cell>
        </row>
        <row r="259">
          <cell r="A259" t="str">
            <v>ELEVADOR DE SEGUANÇA</v>
          </cell>
          <cell r="B259">
            <v>35</v>
          </cell>
          <cell r="E259" t="e">
            <v>#N/A</v>
          </cell>
          <cell r="F259" t="e">
            <v>#N/A</v>
          </cell>
          <cell r="G259">
            <v>1</v>
          </cell>
          <cell r="I259">
            <v>1</v>
          </cell>
          <cell r="J259">
            <v>0.8</v>
          </cell>
          <cell r="K259">
            <v>35</v>
          </cell>
          <cell r="L259">
            <v>43.75</v>
          </cell>
          <cell r="M259">
            <v>35</v>
          </cell>
          <cell r="N259">
            <v>43.75</v>
          </cell>
        </row>
        <row r="260">
          <cell r="A260" t="str">
            <v>ILUMINAÇÃO E COMANDO ELEVADORE DE SEGURANÇA</v>
          </cell>
          <cell r="B260">
            <v>3</v>
          </cell>
          <cell r="E260" t="e">
            <v>#N/A</v>
          </cell>
          <cell r="F260" t="e">
            <v>#N/A</v>
          </cell>
          <cell r="G260">
            <v>1</v>
          </cell>
          <cell r="I260">
            <v>1</v>
          </cell>
          <cell r="J260">
            <v>0.8</v>
          </cell>
          <cell r="K260">
            <v>3</v>
          </cell>
          <cell r="L260">
            <v>3.75</v>
          </cell>
          <cell r="M260">
            <v>3</v>
          </cell>
          <cell r="N260">
            <v>3.75</v>
          </cell>
        </row>
        <row r="261">
          <cell r="A261" t="str">
            <v>PRESSURIZAÇÃO ESCADA 5SS</v>
          </cell>
          <cell r="B261">
            <v>6.3805104408352662</v>
          </cell>
          <cell r="C261">
            <v>7.5</v>
          </cell>
          <cell r="D261" t="str">
            <v>C</v>
          </cell>
          <cell r="E261">
            <v>6.3805104408352662</v>
          </cell>
          <cell r="F261">
            <v>0.8</v>
          </cell>
          <cell r="G261">
            <v>4</v>
          </cell>
          <cell r="I261">
            <v>0.5</v>
          </cell>
          <cell r="J261">
            <v>0.8</v>
          </cell>
          <cell r="K261">
            <v>25.522041763341065</v>
          </cell>
          <cell r="L261">
            <v>31.902552204176331</v>
          </cell>
          <cell r="M261">
            <v>12.761020881670532</v>
          </cell>
          <cell r="N261">
            <v>15.951276102088165</v>
          </cell>
        </row>
        <row r="262">
          <cell r="A262" t="str">
            <v>PRESSURIZAÇÃO ESCADA 3SS</v>
          </cell>
          <cell r="B262">
            <v>8.6705202312138727</v>
          </cell>
          <cell r="C262">
            <v>10</v>
          </cell>
          <cell r="D262" t="str">
            <v>C</v>
          </cell>
          <cell r="E262">
            <v>8.6705202312138727</v>
          </cell>
          <cell r="F262">
            <v>0.85</v>
          </cell>
          <cell r="G262">
            <v>2</v>
          </cell>
          <cell r="I262">
            <v>0.5</v>
          </cell>
          <cell r="J262">
            <v>0.85</v>
          </cell>
          <cell r="K262">
            <v>17.341040462427745</v>
          </cell>
          <cell r="L262">
            <v>20.401224073444407</v>
          </cell>
          <cell r="M262">
            <v>8.6705202312138727</v>
          </cell>
          <cell r="N262">
            <v>10.200612036722204</v>
          </cell>
        </row>
        <row r="263">
          <cell r="A263" t="str">
            <v>PRESSURIZAÇÃO ESCADA 1SS</v>
          </cell>
          <cell r="B263">
            <v>16.930022573363431</v>
          </cell>
          <cell r="C263">
            <v>20</v>
          </cell>
          <cell r="D263" t="str">
            <v>C</v>
          </cell>
          <cell r="E263">
            <v>16.930022573363431</v>
          </cell>
          <cell r="F263">
            <v>0.84</v>
          </cell>
          <cell r="G263">
            <v>5</v>
          </cell>
          <cell r="I263">
            <v>0.8</v>
          </cell>
          <cell r="J263">
            <v>0.84</v>
          </cell>
          <cell r="K263">
            <v>84.650112866817153</v>
          </cell>
          <cell r="L263">
            <v>100.77394388906805</v>
          </cell>
          <cell r="M263">
            <v>67.720090293453723</v>
          </cell>
          <cell r="N263">
            <v>80.619155111254443</v>
          </cell>
        </row>
        <row r="264">
          <cell r="A264" t="str">
            <v>EXAUSTÃO DE FUMAÇA</v>
          </cell>
          <cell r="B264">
            <v>16.930022573363431</v>
          </cell>
          <cell r="C264">
            <v>20</v>
          </cell>
          <cell r="D264" t="str">
            <v>C</v>
          </cell>
          <cell r="E264">
            <v>16.930022573363431</v>
          </cell>
          <cell r="F264">
            <v>0.84</v>
          </cell>
          <cell r="G264">
            <v>2</v>
          </cell>
          <cell r="I264">
            <v>1</v>
          </cell>
          <cell r="J264">
            <v>0.84</v>
          </cell>
          <cell r="K264">
            <v>33.860045146726861</v>
          </cell>
          <cell r="L264">
            <v>40.309577555627214</v>
          </cell>
          <cell r="M264">
            <v>33.860045146726861</v>
          </cell>
          <cell r="N264">
            <v>40.309577555627214</v>
          </cell>
        </row>
        <row r="265">
          <cell r="A265" t="str">
            <v>BOMBA DE RECALQUE DE ÓLEO DIESEL</v>
          </cell>
          <cell r="B265">
            <v>2.75</v>
          </cell>
          <cell r="C265">
            <v>3</v>
          </cell>
          <cell r="D265" t="str">
            <v>H</v>
          </cell>
          <cell r="E265">
            <v>2.75</v>
          </cell>
          <cell r="F265">
            <v>0.77</v>
          </cell>
          <cell r="G265">
            <v>2</v>
          </cell>
          <cell r="I265">
            <v>0.5</v>
          </cell>
          <cell r="J265">
            <v>0.77</v>
          </cell>
          <cell r="K265">
            <v>5.5</v>
          </cell>
          <cell r="L265">
            <v>7.1428571428571441</v>
          </cell>
          <cell r="M265">
            <v>2.75</v>
          </cell>
          <cell r="N265">
            <v>3.5714285714285721</v>
          </cell>
        </row>
        <row r="266">
          <cell r="A266" t="str">
            <v>ILUMINAÇÃO E TOMADAS GERADOR</v>
          </cell>
          <cell r="B266">
            <v>11.67</v>
          </cell>
          <cell r="G266">
            <v>1</v>
          </cell>
          <cell r="I266">
            <v>0.9</v>
          </cell>
          <cell r="J266">
            <v>0.94</v>
          </cell>
          <cell r="K266">
            <v>11.67</v>
          </cell>
          <cell r="L266">
            <v>12.414893617021276</v>
          </cell>
          <cell r="M266">
            <v>10.503</v>
          </cell>
          <cell r="N266">
            <v>11.173404255319149</v>
          </cell>
        </row>
        <row r="267">
          <cell r="A267" t="str">
            <v>BOMBA DE INCÊNDIO PRINCIPAL</v>
          </cell>
          <cell r="B267">
            <v>119.56521739130434</v>
          </cell>
          <cell r="C267">
            <v>150</v>
          </cell>
          <cell r="D267" t="str">
            <v>H</v>
          </cell>
          <cell r="E267">
            <v>119.56521739130434</v>
          </cell>
          <cell r="F267">
            <v>0.86</v>
          </cell>
          <cell r="G267">
            <v>1</v>
          </cell>
          <cell r="I267">
            <v>1</v>
          </cell>
          <cell r="J267">
            <v>0.86</v>
          </cell>
          <cell r="K267">
            <v>119.56521739130434</v>
          </cell>
          <cell r="L267">
            <v>139.02932254802832</v>
          </cell>
          <cell r="M267">
            <v>119.56521739130434</v>
          </cell>
          <cell r="N267">
            <v>139.02932254802832</v>
          </cell>
        </row>
        <row r="268">
          <cell r="A268" t="str">
            <v>RETIFICADOR SUBESTAÇÃO</v>
          </cell>
          <cell r="B268">
            <v>10</v>
          </cell>
          <cell r="G268">
            <v>1</v>
          </cell>
          <cell r="I268">
            <v>1</v>
          </cell>
          <cell r="J268">
            <v>0.8</v>
          </cell>
          <cell r="K268">
            <v>10</v>
          </cell>
          <cell r="L268">
            <v>12.5</v>
          </cell>
          <cell r="M268">
            <v>10</v>
          </cell>
          <cell r="N268">
            <v>12.5</v>
          </cell>
        </row>
        <row r="269">
          <cell r="A269" t="str">
            <v>ILUMINAÇÃO HELIPONTO</v>
          </cell>
          <cell r="B269">
            <v>10</v>
          </cell>
          <cell r="E269" t="e">
            <v>#N/A</v>
          </cell>
          <cell r="F269" t="e">
            <v>#N/A</v>
          </cell>
          <cell r="G269">
            <v>1</v>
          </cell>
          <cell r="I269">
            <v>1</v>
          </cell>
          <cell r="J269">
            <v>0.9</v>
          </cell>
          <cell r="K269">
            <v>10</v>
          </cell>
          <cell r="L269">
            <v>11.111111111111111</v>
          </cell>
          <cell r="M269">
            <v>10</v>
          </cell>
          <cell r="N269">
            <v>11.111111111111111</v>
          </cell>
        </row>
        <row r="270">
          <cell r="A270" t="str">
            <v>ELEVADORE HELIPONTO</v>
          </cell>
          <cell r="B270">
            <v>12</v>
          </cell>
          <cell r="E270" t="e">
            <v>#N/A</v>
          </cell>
          <cell r="F270" t="e">
            <v>#N/A</v>
          </cell>
          <cell r="G270">
            <v>2</v>
          </cell>
          <cell r="I270">
            <v>1</v>
          </cell>
          <cell r="J270">
            <v>0.9</v>
          </cell>
          <cell r="K270">
            <v>24</v>
          </cell>
          <cell r="L270">
            <v>26.666666666666664</v>
          </cell>
          <cell r="M270">
            <v>24</v>
          </cell>
          <cell r="N270">
            <v>26.666666666666664</v>
          </cell>
        </row>
        <row r="271">
          <cell r="A271" t="str">
            <v>ILUMINAÇÃO E COMANDO ELEVADORE HELIPONTO</v>
          </cell>
          <cell r="B271">
            <v>1.3</v>
          </cell>
          <cell r="E271" t="e">
            <v>#N/A</v>
          </cell>
          <cell r="F271" t="e">
            <v>#N/A</v>
          </cell>
          <cell r="G271">
            <v>1</v>
          </cell>
          <cell r="I271">
            <v>1</v>
          </cell>
          <cell r="J271">
            <v>0.8</v>
          </cell>
          <cell r="K271">
            <v>1.3</v>
          </cell>
          <cell r="L271">
            <v>1.625</v>
          </cell>
          <cell r="M271">
            <v>1.3</v>
          </cell>
          <cell r="N271">
            <v>1.625</v>
          </cell>
        </row>
        <row r="272">
          <cell r="A272" t="str">
            <v>ELEVADORES ZONA ALTA</v>
          </cell>
          <cell r="B272">
            <v>70</v>
          </cell>
          <cell r="E272" t="e">
            <v>#N/A</v>
          </cell>
          <cell r="F272" t="e">
            <v>#N/A</v>
          </cell>
          <cell r="G272">
            <v>8</v>
          </cell>
          <cell r="I272">
            <v>0.13</v>
          </cell>
          <cell r="J272">
            <v>0.8</v>
          </cell>
          <cell r="K272">
            <v>560</v>
          </cell>
          <cell r="L272">
            <v>700</v>
          </cell>
          <cell r="M272">
            <v>72.8</v>
          </cell>
          <cell r="N272">
            <v>91</v>
          </cell>
        </row>
        <row r="273">
          <cell r="A273" t="str">
            <v>ILUMINAÇÃO E COMANDO ELEVADORES ZONA ALTA</v>
          </cell>
          <cell r="B273">
            <v>3</v>
          </cell>
          <cell r="E273" t="e">
            <v>#N/A</v>
          </cell>
          <cell r="F273" t="e">
            <v>#N/A</v>
          </cell>
          <cell r="G273">
            <v>1</v>
          </cell>
          <cell r="I273">
            <v>0.13</v>
          </cell>
          <cell r="J273">
            <v>0.8</v>
          </cell>
          <cell r="K273">
            <v>3</v>
          </cell>
          <cell r="L273">
            <v>3.75</v>
          </cell>
          <cell r="M273">
            <v>0.39</v>
          </cell>
          <cell r="N273">
            <v>0.48749999999999999</v>
          </cell>
        </row>
        <row r="274">
          <cell r="A274" t="str">
            <v>BARRAMENTO BLINDADO BB2.1/2.3 ESCRITÓRIOS</v>
          </cell>
          <cell r="B274">
            <v>96.05</v>
          </cell>
          <cell r="E274" t="e">
            <v>#N/A</v>
          </cell>
          <cell r="F274" t="e">
            <v>#N/A</v>
          </cell>
          <cell r="G274">
            <v>1</v>
          </cell>
          <cell r="I274">
            <v>1</v>
          </cell>
          <cell r="J274">
            <v>0.98</v>
          </cell>
          <cell r="K274">
            <v>96.05</v>
          </cell>
          <cell r="L274">
            <v>98.010204081632637</v>
          </cell>
          <cell r="M274">
            <v>96.05</v>
          </cell>
          <cell r="N274">
            <v>98.010204081632637</v>
          </cell>
        </row>
        <row r="275">
          <cell r="A275" t="str">
            <v>TOTAL</v>
          </cell>
          <cell r="I275">
            <v>0.50301320878545841</v>
          </cell>
          <cell r="J275">
            <v>0.850036125133944</v>
          </cell>
          <cell r="K275">
            <v>2008.2367921350492</v>
          </cell>
          <cell r="L275">
            <v>2417.2471905907491</v>
          </cell>
          <cell r="M275">
            <v>1010.1696328128667</v>
          </cell>
          <cell r="N275">
            <v>1188.3843556104039</v>
          </cell>
        </row>
        <row r="278">
          <cell r="A278" t="str">
            <v>RESUMO GERAL:</v>
          </cell>
          <cell r="B278" t="str">
            <v>kW</v>
          </cell>
          <cell r="C278" t="str">
            <v>kVA</v>
          </cell>
        </row>
        <row r="279">
          <cell r="A279" t="str">
            <v>DEMANDAS</v>
          </cell>
          <cell r="B279">
            <v>1010.1696328128667</v>
          </cell>
          <cell r="C279">
            <v>1188.3843556104039</v>
          </cell>
        </row>
        <row r="280">
          <cell r="A280" t="str">
            <v>RESERVA     (%)</v>
          </cell>
          <cell r="B280">
            <v>0</v>
          </cell>
        </row>
        <row r="281">
          <cell r="A281" t="str">
            <v>FATOR DE SIMULTANEIDADE</v>
          </cell>
          <cell r="B281">
            <v>0.8</v>
          </cell>
        </row>
        <row r="283">
          <cell r="A283" t="str">
            <v xml:space="preserve">DEMANDA FINAL </v>
          </cell>
          <cell r="B283">
            <v>808.13570625029342</v>
          </cell>
          <cell r="C283">
            <v>950.70748448832319</v>
          </cell>
        </row>
        <row r="285">
          <cell r="A285" t="str">
            <v>TENSÃO (V)</v>
          </cell>
          <cell r="B285">
            <v>380</v>
          </cell>
          <cell r="C285" t="str">
            <v>V</v>
          </cell>
        </row>
        <row r="286">
          <cell r="A286" t="str">
            <v>CORRENTE (A)</v>
          </cell>
          <cell r="B286">
            <v>1444.4505844471721</v>
          </cell>
          <cell r="C286" t="str">
            <v>A</v>
          </cell>
        </row>
        <row r="287">
          <cell r="A287" t="str">
            <v>DISJUNTOR GERAL</v>
          </cell>
          <cell r="B287">
            <v>1250</v>
          </cell>
          <cell r="C287" t="str">
            <v>A</v>
          </cell>
        </row>
        <row r="289">
          <cell r="A289" t="str">
            <v>ADOTADO GERADOR DE 1040KVA/830KW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"/>
      <sheetName val="bdi-DEO"/>
      <sheetName val="CUSTO INDIRETO"/>
      <sheetName val="CRONOGRAMA"/>
      <sheetName val="EMERGÊNCIA"/>
      <sheetName val="RESUMO - MO37588"/>
      <sheetName val="Planilha de Custo"/>
      <sheetName val="Replan"/>
      <sheetName val="Resumo"/>
    </sheetNames>
    <sheetDataSet>
      <sheetData sheetId="0" refreshError="1">
        <row r="19">
          <cell r="C19" t="str">
            <v>TOTAL 02</v>
          </cell>
        </row>
        <row r="37">
          <cell r="H37">
            <v>0</v>
          </cell>
        </row>
        <row r="49">
          <cell r="C49" t="str">
            <v>TOTAL 07</v>
          </cell>
        </row>
        <row r="67">
          <cell r="H67">
            <v>0</v>
          </cell>
        </row>
        <row r="79">
          <cell r="C79" t="str">
            <v>TOTAL 12</v>
          </cell>
        </row>
        <row r="97">
          <cell r="H97">
            <v>0</v>
          </cell>
        </row>
        <row r="109">
          <cell r="C109" t="str">
            <v>TOTAL 17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ELET&amp;AC"/>
      <sheetName val="Cabos"/>
      <sheetName val="ATERR"/>
      <sheetName val="ILUM"/>
      <sheetName val="Memoria"/>
      <sheetName val="Paineis"/>
      <sheetName val="Lista Cabos Compras"/>
      <sheetName val="Lista Cabos Compras (Apoio)"/>
      <sheetName val="Lista Materiais"/>
      <sheetName val="DADOS"/>
      <sheetName val="Anexos"/>
      <sheetName val="Capa  LISTA CABOS"/>
      <sheetName val="EMERGÊNCIA"/>
      <sheetName val="PLANILHA"/>
      <sheetName val="CAPA -1"/>
      <sheetName val="Pla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  "/>
      <sheetName val="CAPA -1"/>
      <sheetName val="Anexos"/>
      <sheetName val="Plan1"/>
      <sheetName val="ADMI_25.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NORÁRIOS"/>
      <sheetName val="Plan1"/>
      <sheetName val="BDI"/>
      <sheetName val="ORÇAMENTO"/>
      <sheetName val="CRONOGRAMA"/>
      <sheetName val="anexos"/>
    </sheetNames>
    <sheetDataSet>
      <sheetData sheetId="0" refreshError="1"/>
      <sheetData sheetId="1" refreshError="1">
        <row r="3">
          <cell r="E3" t="str">
            <v>Selecionar</v>
          </cell>
        </row>
        <row r="4">
          <cell r="E4" t="str">
            <v>Item 01</v>
          </cell>
        </row>
        <row r="5">
          <cell r="E5" t="str">
            <v>Item 02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çamento e Medição - MO37587"/>
      <sheetName val="RESUMO - MO37588"/>
    </sheetNames>
    <sheetDataSet>
      <sheetData sheetId="0"/>
      <sheetData sheetId="1">
        <row r="2">
          <cell r="M2">
            <v>16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ONOG"/>
      <sheetName val="resumo"/>
      <sheetName val="ORCAMENTO"/>
      <sheetName val="ADMI_25.01"/>
      <sheetName val="ITEM 25 - ADIMINS. LOCAL"/>
      <sheetName val="20.01-04-EL_SP_SON_SEG"/>
      <sheetName val="20.05 - HS"/>
      <sheetName val="20.06-INC"/>
      <sheetName val="20.07- GLP"/>
      <sheetName val="ITEM 22.01 SINALIZACAO"/>
      <sheetName val="capa -1"/>
      <sheetName val="Plan1"/>
    </sheetNames>
    <sheetDataSet>
      <sheetData sheetId="0" refreshError="1"/>
      <sheetData sheetId="1" refreshError="1"/>
      <sheetData sheetId="2" refreshError="1"/>
      <sheetData sheetId="3" refreshError="1">
        <row r="48">
          <cell r="G48">
            <v>306106.84999999998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MS  5ª medição"/>
      <sheetName val="Planilha2"/>
      <sheetName val="Planilha3"/>
      <sheetName val="Planilha1 (2)"/>
    </sheetNames>
    <sheetDataSet>
      <sheetData sheetId="0">
        <row r="56">
          <cell r="G56">
            <v>60.1</v>
          </cell>
        </row>
        <row r="58">
          <cell r="G58">
            <v>14</v>
          </cell>
        </row>
        <row r="89">
          <cell r="G89">
            <v>1884.66</v>
          </cell>
        </row>
        <row r="104">
          <cell r="G104">
            <v>938</v>
          </cell>
        </row>
        <row r="105">
          <cell r="G105">
            <v>10.31</v>
          </cell>
        </row>
        <row r="132">
          <cell r="G132">
            <v>1274</v>
          </cell>
        </row>
        <row r="205">
          <cell r="G205">
            <v>242.54</v>
          </cell>
        </row>
        <row r="298">
          <cell r="G298">
            <v>127.62</v>
          </cell>
        </row>
        <row r="300">
          <cell r="G300">
            <v>115.52</v>
          </cell>
        </row>
      </sheetData>
      <sheetData sheetId="1"/>
      <sheetData sheetId="2"/>
      <sheetData sheetId="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1"/>
      <sheetName val="MC- 03"/>
      <sheetName val="MEMÓRIA 3ª medição"/>
      <sheetName val="Planilha2"/>
      <sheetName val="Planilha3"/>
    </sheetNames>
    <sheetDataSet>
      <sheetData sheetId="0" refreshError="1">
        <row r="60">
          <cell r="G60">
            <v>14</v>
          </cell>
        </row>
        <row r="72">
          <cell r="D72" t="str">
            <v>Locação de andaime metálico para trabalho em fachada de edifíco (aluguel de 1 m² por 1 mês) inclusive frete, montagem e desmontagem</v>
          </cell>
        </row>
        <row r="90">
          <cell r="D90" t="str">
            <v>Fornecimento, dobragem e colocação em fôrma, de armadura CA-50 A grossa diâmetro de 12.5 a 25.0 mm (1/2 a 1")</v>
          </cell>
        </row>
        <row r="100">
          <cell r="D100" t="str">
            <v>Fornecimento e lançamento de concreto para grouteamento com adição de pedrisco (50% em peso), utilizando Sikagrout ou produto equivalente, exclusive forma</v>
          </cell>
          <cell r="G100">
            <v>1.64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lanilha1"/>
      <sheetName val="MC- 03"/>
      <sheetName val="MEMÓRIA 3ª medição"/>
      <sheetName val="Planilha2"/>
      <sheetName val="Planilha3"/>
    </sheetNames>
    <sheetDataSet>
      <sheetData sheetId="0"/>
      <sheetData sheetId="1"/>
      <sheetData sheetId="2">
        <row r="1300">
          <cell r="H1300">
            <v>15.360000000000001</v>
          </cell>
        </row>
        <row r="1314">
          <cell r="H1314">
            <v>185.11640000000003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P681"/>
  <sheetViews>
    <sheetView tabSelected="1" view="pageBreakPreview" topLeftCell="C673" zoomScale="98" zoomScaleNormal="100" zoomScaleSheetLayoutView="98" workbookViewId="0">
      <selection activeCell="P676" sqref="P676"/>
    </sheetView>
  </sheetViews>
  <sheetFormatPr defaultColWidth="9.140625" defaultRowHeight="15"/>
  <cols>
    <col min="1" max="1" width="10.7109375" style="100" customWidth="1"/>
    <col min="2" max="2" width="28.28515625" style="149" hidden="1" customWidth="1"/>
    <col min="3" max="3" width="37.140625" style="1307" customWidth="1"/>
    <col min="4" max="4" width="6.7109375" style="100" customWidth="1"/>
    <col min="5" max="5" width="13.28515625" style="238" customWidth="1"/>
    <col min="6" max="6" width="10.85546875" style="100" customWidth="1"/>
    <col min="7" max="7" width="16.85546875" style="238" customWidth="1"/>
    <col min="8" max="8" width="11.42578125" style="1285" customWidth="1"/>
    <col min="9" max="9" width="18.28515625" style="100" customWidth="1"/>
    <col min="10" max="10" width="11.5703125" style="1274" customWidth="1"/>
    <col min="11" max="11" width="11.5703125" style="100" hidden="1" customWidth="1"/>
    <col min="12" max="12" width="17.140625" style="100" hidden="1" customWidth="1"/>
    <col min="13" max="13" width="13.42578125" style="1274" hidden="1" customWidth="1"/>
    <col min="14" max="14" width="16.85546875" style="100" customWidth="1"/>
    <col min="15" max="15" width="21" style="100" customWidth="1"/>
    <col min="16" max="16" width="18.5703125" style="100" customWidth="1"/>
    <col min="17" max="18" width="12.140625" style="100" bestFit="1" customWidth="1"/>
    <col min="19" max="16384" width="9.140625" style="100"/>
  </cols>
  <sheetData>
    <row r="1" spans="1:16" ht="75" customHeight="1">
      <c r="A1" s="1441"/>
      <c r="B1" s="1441"/>
      <c r="C1" s="1485" t="s">
        <v>4183</v>
      </c>
      <c r="D1" s="1486"/>
      <c r="E1" s="1486"/>
      <c r="F1" s="1486"/>
      <c r="G1" s="1486"/>
      <c r="H1" s="1487"/>
      <c r="I1" s="1488"/>
      <c r="J1" s="1489"/>
      <c r="K1" s="1441"/>
      <c r="L1" s="1441"/>
      <c r="M1" s="1441"/>
    </row>
    <row r="2" spans="1:16" ht="51.75" customHeight="1">
      <c r="A2" s="1482" t="s">
        <v>4185</v>
      </c>
      <c r="B2" s="1483"/>
      <c r="C2" s="1483"/>
      <c r="D2" s="1483"/>
      <c r="E2" s="1483"/>
      <c r="F2" s="1483"/>
      <c r="G2" s="1483"/>
      <c r="H2" s="1483"/>
      <c r="I2" s="1483"/>
      <c r="J2" s="1484"/>
      <c r="K2" s="1441"/>
      <c r="L2" s="1441"/>
      <c r="M2" s="1441"/>
    </row>
    <row r="3" spans="1:16" s="239" customFormat="1">
      <c r="A3" s="1458" t="s">
        <v>4184</v>
      </c>
      <c r="B3" s="1458"/>
      <c r="C3" s="1458"/>
      <c r="D3" s="1458"/>
      <c r="E3" s="1458"/>
      <c r="F3" s="1458"/>
      <c r="G3" s="1458"/>
      <c r="H3" s="1458"/>
      <c r="I3" s="1458"/>
      <c r="J3" s="1458"/>
      <c r="K3" s="1458"/>
      <c r="L3" s="1458"/>
      <c r="M3" s="1458"/>
    </row>
    <row r="4" spans="1:16">
      <c r="A4" s="1473" t="s">
        <v>2147</v>
      </c>
      <c r="B4" s="1474"/>
      <c r="C4" s="1474"/>
      <c r="D4" s="1474"/>
      <c r="E4" s="1474"/>
      <c r="F4" s="1474"/>
      <c r="G4" s="1475"/>
      <c r="H4" s="1461" t="s">
        <v>2143</v>
      </c>
      <c r="I4" s="1461"/>
      <c r="J4" s="1461"/>
      <c r="K4" s="1461"/>
      <c r="L4" s="1461"/>
      <c r="M4" s="1461"/>
    </row>
    <row r="5" spans="1:16">
      <c r="A5" s="1476" t="s">
        <v>2144</v>
      </c>
      <c r="B5" s="1477"/>
      <c r="C5" s="1477"/>
      <c r="D5" s="1477"/>
      <c r="E5" s="1477"/>
      <c r="F5" s="1477"/>
      <c r="G5" s="1478"/>
      <c r="H5" s="1460" t="s">
        <v>4186</v>
      </c>
      <c r="I5" s="1460"/>
      <c r="J5" s="1460"/>
      <c r="K5" s="1460"/>
      <c r="L5" s="1460"/>
      <c r="M5" s="1460"/>
    </row>
    <row r="6" spans="1:16">
      <c r="A6" s="1479" t="s">
        <v>2142</v>
      </c>
      <c r="B6" s="1480"/>
      <c r="C6" s="1480"/>
      <c r="D6" s="1480"/>
      <c r="E6" s="1480"/>
      <c r="F6" s="1480"/>
      <c r="G6" s="1481"/>
      <c r="H6" s="1462" t="s">
        <v>4187</v>
      </c>
      <c r="I6" s="1462"/>
      <c r="J6" s="1462"/>
      <c r="K6" s="1462"/>
      <c r="L6" s="1462"/>
      <c r="M6" s="1462"/>
    </row>
    <row r="7" spans="1:16" s="222" customFormat="1" ht="15.75">
      <c r="A7" s="1469"/>
      <c r="B7" s="1469"/>
      <c r="C7" s="1469"/>
      <c r="D7" s="1469"/>
      <c r="E7" s="1469"/>
      <c r="F7" s="1469"/>
      <c r="G7" s="1469"/>
      <c r="H7" s="1466" t="s">
        <v>477</v>
      </c>
      <c r="I7" s="1467"/>
      <c r="J7" s="1468"/>
      <c r="K7" s="1463" t="s">
        <v>474</v>
      </c>
      <c r="L7" s="1464"/>
      <c r="M7" s="1465"/>
    </row>
    <row r="8" spans="1:16" s="240" customFormat="1" ht="30">
      <c r="A8" s="242" t="s">
        <v>1</v>
      </c>
      <c r="B8" s="810" t="s">
        <v>2</v>
      </c>
      <c r="C8" s="1300" t="s">
        <v>3</v>
      </c>
      <c r="D8" s="242" t="s">
        <v>4</v>
      </c>
      <c r="E8" s="243" t="s">
        <v>5</v>
      </c>
      <c r="F8" s="244" t="s">
        <v>6</v>
      </c>
      <c r="G8" s="1286" t="s">
        <v>7</v>
      </c>
      <c r="H8" s="1284" t="s">
        <v>475</v>
      </c>
      <c r="I8" s="245" t="s">
        <v>476</v>
      </c>
      <c r="J8" s="1282" t="s">
        <v>499</v>
      </c>
      <c r="K8" s="1275" t="s">
        <v>475</v>
      </c>
      <c r="L8" s="246" t="s">
        <v>476</v>
      </c>
      <c r="M8" s="1266" t="s">
        <v>499</v>
      </c>
    </row>
    <row r="9" spans="1:16" s="241" customFormat="1" ht="15.75">
      <c r="A9" s="247" t="s">
        <v>2107</v>
      </c>
      <c r="B9" s="1470" t="s">
        <v>527</v>
      </c>
      <c r="C9" s="1470"/>
      <c r="D9" s="1470"/>
      <c r="E9" s="1470"/>
      <c r="F9" s="1470"/>
      <c r="G9" s="1287">
        <f>G10+G43+G45+G48</f>
        <v>276251.9167</v>
      </c>
      <c r="H9" s="1276">
        <v>0</v>
      </c>
      <c r="I9" s="248">
        <v>276252.80092000001</v>
      </c>
      <c r="J9" s="1267">
        <f>I9/$G9</f>
        <v>1.0000032007741722</v>
      </c>
      <c r="K9" s="1276">
        <f>F9-H9</f>
        <v>0</v>
      </c>
      <c r="L9" s="248">
        <f>L10+L43+L45+L48</f>
        <v>0</v>
      </c>
      <c r="M9" s="1267">
        <f>L9/$G9</f>
        <v>0</v>
      </c>
      <c r="N9" s="1425"/>
      <c r="P9" s="1425"/>
    </row>
    <row r="10" spans="1:16" s="231" customFormat="1">
      <c r="A10" s="249" t="s">
        <v>2108</v>
      </c>
      <c r="B10" s="1459" t="s">
        <v>528</v>
      </c>
      <c r="C10" s="1459"/>
      <c r="D10" s="1459"/>
      <c r="E10" s="1459"/>
      <c r="F10" s="1459"/>
      <c r="G10" s="1288">
        <f>SUM(G11:G42)</f>
        <v>182048.64749999999</v>
      </c>
      <c r="H10" s="1277">
        <v>0</v>
      </c>
      <c r="I10" s="250">
        <v>182049.18522000001</v>
      </c>
      <c r="J10" s="1268">
        <f>I10/$G10</f>
        <v>1.0000029537159842</v>
      </c>
      <c r="K10" s="1277">
        <f>F10-H10</f>
        <v>0</v>
      </c>
      <c r="L10" s="250">
        <f>SUM(L11:L42)</f>
        <v>0</v>
      </c>
      <c r="M10" s="1268">
        <f>L10/$G10</f>
        <v>0</v>
      </c>
      <c r="P10" s="1425"/>
    </row>
    <row r="11" spans="1:16">
      <c r="A11" s="211" t="s">
        <v>534</v>
      </c>
      <c r="B11" s="267" t="s">
        <v>59</v>
      </c>
      <c r="C11" s="1301" t="s">
        <v>60</v>
      </c>
      <c r="D11" s="211" t="s">
        <v>51</v>
      </c>
      <c r="E11" s="223">
        <v>62.73</v>
      </c>
      <c r="F11" s="211">
        <f>95.05+21.39</f>
        <v>116.44</v>
      </c>
      <c r="G11" s="1289">
        <f>F11*$E11</f>
        <v>7304.2811999999994</v>
      </c>
      <c r="H11" s="1278">
        <v>116.44000000000001</v>
      </c>
      <c r="I11" s="224">
        <v>7304.2812000000004</v>
      </c>
      <c r="J11" s="1269">
        <f t="shared" ref="J11:J73" si="0">IF(H11=0,"",H11/$F11)</f>
        <v>1.0000000000000002</v>
      </c>
      <c r="K11" s="1278">
        <f>F11-H11</f>
        <v>0</v>
      </c>
      <c r="L11" s="224">
        <f t="shared" ref="L11:L42" si="1">K11*$E11</f>
        <v>0</v>
      </c>
      <c r="M11" s="1269" t="str">
        <f t="shared" ref="M11:M73" si="2">IF(K11=0,"",K11/$F11)</f>
        <v/>
      </c>
      <c r="N11" s="1285">
        <f>F11-H11</f>
        <v>0</v>
      </c>
      <c r="O11" s="326"/>
    </row>
    <row r="12" spans="1:16" ht="45">
      <c r="A12" s="211" t="s">
        <v>535</v>
      </c>
      <c r="B12" s="267" t="s">
        <v>536</v>
      </c>
      <c r="C12" s="1301" t="s">
        <v>537</v>
      </c>
      <c r="D12" s="211" t="s">
        <v>12</v>
      </c>
      <c r="E12" s="223">
        <v>27.99</v>
      </c>
      <c r="F12" s="211">
        <v>406.26</v>
      </c>
      <c r="G12" s="1289">
        <f t="shared" ref="G12:G50" si="3">F12*$E12</f>
        <v>11371.2174</v>
      </c>
      <c r="H12" s="1278">
        <v>406.26</v>
      </c>
      <c r="I12" s="224">
        <v>11371.2174</v>
      </c>
      <c r="J12" s="1269">
        <f t="shared" si="0"/>
        <v>1</v>
      </c>
      <c r="K12" s="1278">
        <f>F12-H12</f>
        <v>0</v>
      </c>
      <c r="L12" s="224">
        <f t="shared" si="1"/>
        <v>0</v>
      </c>
      <c r="M12" s="1269" t="str">
        <f t="shared" si="2"/>
        <v/>
      </c>
      <c r="N12" s="1285">
        <f>F12-H12</f>
        <v>0</v>
      </c>
      <c r="O12" s="326"/>
    </row>
    <row r="13" spans="1:16" ht="30">
      <c r="A13" s="211" t="s">
        <v>538</v>
      </c>
      <c r="B13" s="267" t="s">
        <v>56</v>
      </c>
      <c r="C13" s="1301" t="s">
        <v>57</v>
      </c>
      <c r="D13" s="211" t="s">
        <v>12</v>
      </c>
      <c r="E13" s="223">
        <v>18.420000000000002</v>
      </c>
      <c r="F13" s="211">
        <v>123.33</v>
      </c>
      <c r="G13" s="1289">
        <f t="shared" si="3"/>
        <v>2271.7386000000001</v>
      </c>
      <c r="H13" s="1278">
        <v>123.33</v>
      </c>
      <c r="I13" s="224">
        <v>2271.7386000000001</v>
      </c>
      <c r="J13" s="1269">
        <f t="shared" si="0"/>
        <v>1</v>
      </c>
      <c r="K13" s="1278">
        <f>F13-H13</f>
        <v>0</v>
      </c>
      <c r="L13" s="224">
        <f t="shared" si="1"/>
        <v>0</v>
      </c>
      <c r="M13" s="1269" t="str">
        <f t="shared" si="2"/>
        <v/>
      </c>
      <c r="N13" s="1285">
        <f>F13-H13</f>
        <v>0</v>
      </c>
      <c r="O13" s="326"/>
    </row>
    <row r="14" spans="1:16">
      <c r="A14" s="211" t="s">
        <v>539</v>
      </c>
      <c r="B14" s="267" t="s">
        <v>540</v>
      </c>
      <c r="C14" s="1301" t="s">
        <v>541</v>
      </c>
      <c r="D14" s="211" t="s">
        <v>12</v>
      </c>
      <c r="E14" s="223">
        <v>3.69</v>
      </c>
      <c r="F14" s="211">
        <v>74.81</v>
      </c>
      <c r="G14" s="1289">
        <f t="shared" si="3"/>
        <v>276.0489</v>
      </c>
      <c r="H14" s="1278">
        <v>74.81</v>
      </c>
      <c r="I14" s="224">
        <v>276.0489</v>
      </c>
      <c r="J14" s="1269">
        <f t="shared" si="0"/>
        <v>1</v>
      </c>
      <c r="K14" s="1278">
        <f>F14-H14</f>
        <v>0</v>
      </c>
      <c r="L14" s="224">
        <f t="shared" si="1"/>
        <v>0</v>
      </c>
      <c r="M14" s="1269" t="str">
        <f t="shared" si="2"/>
        <v/>
      </c>
      <c r="N14" s="1285">
        <f>F14-H14</f>
        <v>0</v>
      </c>
      <c r="O14" s="326"/>
    </row>
    <row r="15" spans="1:16" ht="30">
      <c r="A15" s="211" t="s">
        <v>542</v>
      </c>
      <c r="B15" s="267" t="s">
        <v>481</v>
      </c>
      <c r="C15" s="1301" t="s">
        <v>482</v>
      </c>
      <c r="D15" s="211" t="s">
        <v>51</v>
      </c>
      <c r="E15" s="223">
        <v>345.47</v>
      </c>
      <c r="F15" s="211">
        <f>36.16+25.54</f>
        <v>61.699999999999996</v>
      </c>
      <c r="G15" s="1289">
        <f t="shared" si="3"/>
        <v>21315.499</v>
      </c>
      <c r="H15" s="1278">
        <v>61.699999999999996</v>
      </c>
      <c r="I15" s="224">
        <v>21315.499</v>
      </c>
      <c r="J15" s="1269">
        <f t="shared" si="0"/>
        <v>1</v>
      </c>
      <c r="K15" s="1278">
        <f>F15-H15</f>
        <v>0</v>
      </c>
      <c r="L15" s="224">
        <f t="shared" si="1"/>
        <v>0</v>
      </c>
      <c r="M15" s="1269" t="str">
        <f t="shared" si="2"/>
        <v/>
      </c>
      <c r="N15" s="1285">
        <f>F15-H15</f>
        <v>0</v>
      </c>
      <c r="O15" s="326"/>
    </row>
    <row r="16" spans="1:16" ht="30">
      <c r="A16" s="211" t="s">
        <v>543</v>
      </c>
      <c r="B16" s="267" t="s">
        <v>544</v>
      </c>
      <c r="C16" s="1301" t="s">
        <v>530</v>
      </c>
      <c r="D16" s="211" t="s">
        <v>51</v>
      </c>
      <c r="E16" s="223">
        <v>996.93</v>
      </c>
      <c r="F16" s="211">
        <v>74.31</v>
      </c>
      <c r="G16" s="1289">
        <f t="shared" si="3"/>
        <v>74081.868300000002</v>
      </c>
      <c r="H16" s="1278">
        <v>74.31</v>
      </c>
      <c r="I16" s="224">
        <v>74081.868300000002</v>
      </c>
      <c r="J16" s="1269">
        <f t="shared" si="0"/>
        <v>1</v>
      </c>
      <c r="K16" s="1278">
        <f>F16-H16</f>
        <v>0</v>
      </c>
      <c r="L16" s="224">
        <f t="shared" si="1"/>
        <v>0</v>
      </c>
      <c r="M16" s="1269" t="str">
        <f t="shared" si="2"/>
        <v/>
      </c>
      <c r="N16" s="1285">
        <f>F16-H16</f>
        <v>0</v>
      </c>
      <c r="O16" s="326"/>
    </row>
    <row r="17" spans="1:19">
      <c r="A17" s="211" t="s">
        <v>545</v>
      </c>
      <c r="B17" s="267" t="s">
        <v>62</v>
      </c>
      <c r="C17" s="1301" t="s">
        <v>63</v>
      </c>
      <c r="D17" s="211" t="s">
        <v>44</v>
      </c>
      <c r="E17" s="223">
        <v>1.46</v>
      </c>
      <c r="F17" s="211">
        <v>98.85</v>
      </c>
      <c r="G17" s="1289">
        <f t="shared" si="3"/>
        <v>144.321</v>
      </c>
      <c r="H17" s="1278">
        <v>98.850000000000009</v>
      </c>
      <c r="I17" s="224">
        <v>144.321</v>
      </c>
      <c r="J17" s="1269">
        <f t="shared" si="0"/>
        <v>1.0000000000000002</v>
      </c>
      <c r="K17" s="1278">
        <f>F17-H17</f>
        <v>0</v>
      </c>
      <c r="L17" s="224">
        <f t="shared" si="1"/>
        <v>0</v>
      </c>
      <c r="M17" s="1269" t="str">
        <f t="shared" si="2"/>
        <v/>
      </c>
      <c r="N17" s="1285">
        <f>F17-H17</f>
        <v>0</v>
      </c>
      <c r="O17" s="326"/>
    </row>
    <row r="18" spans="1:19" ht="30">
      <c r="A18" s="211" t="s">
        <v>546</v>
      </c>
      <c r="B18" s="267" t="s">
        <v>547</v>
      </c>
      <c r="C18" s="1301" t="s">
        <v>529</v>
      </c>
      <c r="D18" s="211" t="s">
        <v>12</v>
      </c>
      <c r="E18" s="223">
        <v>27.18</v>
      </c>
      <c r="F18" s="211">
        <v>261.5</v>
      </c>
      <c r="G18" s="1289">
        <f t="shared" si="3"/>
        <v>7107.57</v>
      </c>
      <c r="H18" s="1278">
        <v>261.5</v>
      </c>
      <c r="I18" s="224">
        <v>7107.57</v>
      </c>
      <c r="J18" s="1269">
        <f t="shared" si="0"/>
        <v>1</v>
      </c>
      <c r="K18" s="1278">
        <f>F18-H18</f>
        <v>0</v>
      </c>
      <c r="L18" s="224">
        <f t="shared" si="1"/>
        <v>0</v>
      </c>
      <c r="M18" s="1269" t="str">
        <f t="shared" si="2"/>
        <v/>
      </c>
      <c r="N18" s="1285">
        <f>F18-H18</f>
        <v>0</v>
      </c>
      <c r="O18" s="326"/>
    </row>
    <row r="19" spans="1:19">
      <c r="A19" s="211" t="s">
        <v>548</v>
      </c>
      <c r="B19" s="267" t="s">
        <v>26</v>
      </c>
      <c r="C19" s="1301" t="s">
        <v>27</v>
      </c>
      <c r="D19" s="211" t="s">
        <v>28</v>
      </c>
      <c r="E19" s="223">
        <v>21.63</v>
      </c>
      <c r="F19" s="211">
        <v>12</v>
      </c>
      <c r="G19" s="1289">
        <f t="shared" si="3"/>
        <v>259.56</v>
      </c>
      <c r="H19" s="1278">
        <v>12</v>
      </c>
      <c r="I19" s="224">
        <v>259.56</v>
      </c>
      <c r="J19" s="1269">
        <f t="shared" si="0"/>
        <v>1</v>
      </c>
      <c r="K19" s="1278">
        <f>F19-H19</f>
        <v>0</v>
      </c>
      <c r="L19" s="224">
        <f t="shared" si="1"/>
        <v>0</v>
      </c>
      <c r="M19" s="1269" t="str">
        <f t="shared" si="2"/>
        <v/>
      </c>
      <c r="N19" s="1285">
        <f>F19-H19</f>
        <v>0</v>
      </c>
      <c r="O19" s="326"/>
    </row>
    <row r="20" spans="1:19" ht="15.75">
      <c r="A20" s="211" t="s">
        <v>549</v>
      </c>
      <c r="B20" s="267" t="s">
        <v>33</v>
      </c>
      <c r="C20" s="1301" t="s">
        <v>34</v>
      </c>
      <c r="D20" s="211" t="s">
        <v>12</v>
      </c>
      <c r="E20" s="223">
        <v>25.96</v>
      </c>
      <c r="F20" s="211">
        <v>8.49</v>
      </c>
      <c r="G20" s="1289">
        <f t="shared" si="3"/>
        <v>220.40040000000002</v>
      </c>
      <c r="H20" s="1278">
        <v>8.49</v>
      </c>
      <c r="I20" s="224">
        <v>220.40040000000002</v>
      </c>
      <c r="J20" s="1269">
        <f t="shared" si="0"/>
        <v>1</v>
      </c>
      <c r="K20" s="1278">
        <f>F20-H20</f>
        <v>0</v>
      </c>
      <c r="L20" s="224">
        <f t="shared" si="1"/>
        <v>0</v>
      </c>
      <c r="M20" s="1269" t="str">
        <f t="shared" si="2"/>
        <v/>
      </c>
      <c r="N20" s="1285">
        <f>F20-H20</f>
        <v>0</v>
      </c>
      <c r="O20" s="326"/>
      <c r="P20" s="1420"/>
      <c r="Q20" s="1420"/>
      <c r="R20" s="1420"/>
      <c r="S20" s="1420"/>
    </row>
    <row r="21" spans="1:19" ht="30">
      <c r="A21" s="211" t="s">
        <v>550</v>
      </c>
      <c r="B21" s="267" t="s">
        <v>551</v>
      </c>
      <c r="C21" s="1301" t="s">
        <v>552</v>
      </c>
      <c r="D21" s="211" t="s">
        <v>12</v>
      </c>
      <c r="E21" s="223">
        <v>4.33</v>
      </c>
      <c r="F21" s="211">
        <v>29.67</v>
      </c>
      <c r="G21" s="1289">
        <f t="shared" si="3"/>
        <v>128.47110000000001</v>
      </c>
      <c r="H21" s="1278">
        <v>29.67</v>
      </c>
      <c r="I21" s="224">
        <v>128.47110000000001</v>
      </c>
      <c r="J21" s="1269">
        <f t="shared" si="0"/>
        <v>1</v>
      </c>
      <c r="K21" s="1278">
        <f>F21-H21</f>
        <v>0</v>
      </c>
      <c r="L21" s="224">
        <f t="shared" si="1"/>
        <v>0</v>
      </c>
      <c r="M21" s="1269" t="str">
        <f t="shared" si="2"/>
        <v/>
      </c>
      <c r="N21" s="1285">
        <f>F21-H21</f>
        <v>0</v>
      </c>
      <c r="O21" s="326"/>
      <c r="P21" s="1420"/>
      <c r="Q21" s="1420"/>
      <c r="R21" s="1420"/>
      <c r="S21" s="1420"/>
    </row>
    <row r="22" spans="1:19" ht="15.75">
      <c r="A22" s="211" t="s">
        <v>553</v>
      </c>
      <c r="B22" s="267" t="s">
        <v>554</v>
      </c>
      <c r="C22" s="1301" t="s">
        <v>555</v>
      </c>
      <c r="D22" s="211" t="s">
        <v>12</v>
      </c>
      <c r="E22" s="223">
        <v>15.47</v>
      </c>
      <c r="F22" s="211">
        <v>2.97</v>
      </c>
      <c r="G22" s="1289">
        <f t="shared" si="3"/>
        <v>45.945900000000002</v>
      </c>
      <c r="H22" s="1278">
        <v>2.97</v>
      </c>
      <c r="I22" s="224">
        <v>45.945900000000002</v>
      </c>
      <c r="J22" s="1269">
        <f t="shared" si="0"/>
        <v>1</v>
      </c>
      <c r="K22" s="1278">
        <f>F22-H22</f>
        <v>0</v>
      </c>
      <c r="L22" s="224">
        <f t="shared" si="1"/>
        <v>0</v>
      </c>
      <c r="M22" s="1269" t="str">
        <f t="shared" si="2"/>
        <v/>
      </c>
      <c r="N22" s="1285">
        <f>F22-H22</f>
        <v>0</v>
      </c>
      <c r="O22" s="326"/>
      <c r="P22" s="1420"/>
      <c r="Q22" s="1420"/>
      <c r="R22" s="1420"/>
      <c r="S22" s="1420"/>
    </row>
    <row r="23" spans="1:19" ht="15.75">
      <c r="A23" s="211" t="s">
        <v>556</v>
      </c>
      <c r="B23" s="267" t="s">
        <v>20</v>
      </c>
      <c r="C23" s="1301" t="s">
        <v>21</v>
      </c>
      <c r="D23" s="211" t="s">
        <v>12</v>
      </c>
      <c r="E23" s="223">
        <v>1.46</v>
      </c>
      <c r="F23" s="211">
        <v>71.84</v>
      </c>
      <c r="G23" s="1289">
        <f t="shared" si="3"/>
        <v>104.88640000000001</v>
      </c>
      <c r="H23" s="1278">
        <v>71.84</v>
      </c>
      <c r="I23" s="224">
        <v>104.88640000000001</v>
      </c>
      <c r="J23" s="1269">
        <f t="shared" si="0"/>
        <v>1</v>
      </c>
      <c r="K23" s="1278">
        <f>F23-H23</f>
        <v>0</v>
      </c>
      <c r="L23" s="224">
        <f t="shared" si="1"/>
        <v>0</v>
      </c>
      <c r="M23" s="1269" t="str">
        <f t="shared" si="2"/>
        <v/>
      </c>
      <c r="N23" s="1285">
        <f>F23-H23</f>
        <v>0</v>
      </c>
      <c r="O23" s="326"/>
      <c r="P23" s="1420"/>
      <c r="Q23" s="1420"/>
      <c r="R23" s="1420"/>
      <c r="S23" s="1420"/>
    </row>
    <row r="24" spans="1:19" ht="15.75">
      <c r="A24" s="211" t="s">
        <v>557</v>
      </c>
      <c r="B24" s="267" t="s">
        <v>558</v>
      </c>
      <c r="C24" s="1301" t="s">
        <v>533</v>
      </c>
      <c r="D24" s="211" t="s">
        <v>12</v>
      </c>
      <c r="E24" s="223">
        <v>4.6100000000000003</v>
      </c>
      <c r="F24" s="211">
        <v>49.95</v>
      </c>
      <c r="G24" s="1289">
        <f t="shared" si="3"/>
        <v>230.26950000000002</v>
      </c>
      <c r="H24" s="1278">
        <v>49.95</v>
      </c>
      <c r="I24" s="224">
        <v>230.26950000000002</v>
      </c>
      <c r="J24" s="1269">
        <f t="shared" si="0"/>
        <v>1</v>
      </c>
      <c r="K24" s="1278">
        <f>F24-H24</f>
        <v>0</v>
      </c>
      <c r="L24" s="224">
        <f t="shared" si="1"/>
        <v>0</v>
      </c>
      <c r="M24" s="1269" t="str">
        <f t="shared" si="2"/>
        <v/>
      </c>
      <c r="N24" s="1285">
        <f>F24-H24</f>
        <v>0</v>
      </c>
      <c r="O24" s="326"/>
      <c r="P24" s="1421"/>
      <c r="Q24" s="1421"/>
      <c r="R24" s="1421"/>
      <c r="S24" s="1421"/>
    </row>
    <row r="25" spans="1:19" ht="30">
      <c r="A25" s="211" t="s">
        <v>559</v>
      </c>
      <c r="B25" s="267" t="s">
        <v>17</v>
      </c>
      <c r="C25" s="1301" t="s">
        <v>18</v>
      </c>
      <c r="D25" s="211" t="s">
        <v>12</v>
      </c>
      <c r="E25" s="223">
        <v>16.72</v>
      </c>
      <c r="F25" s="211">
        <v>53.55</v>
      </c>
      <c r="G25" s="1289">
        <f t="shared" si="3"/>
        <v>895.35599999999988</v>
      </c>
      <c r="H25" s="1278">
        <v>53.55</v>
      </c>
      <c r="I25" s="224">
        <v>895.35599999999988</v>
      </c>
      <c r="J25" s="1269">
        <f t="shared" si="0"/>
        <v>1</v>
      </c>
      <c r="K25" s="1278">
        <f>F25-H25</f>
        <v>0</v>
      </c>
      <c r="L25" s="224">
        <f t="shared" si="1"/>
        <v>0</v>
      </c>
      <c r="M25" s="1269" t="str">
        <f t="shared" si="2"/>
        <v/>
      </c>
      <c r="N25" s="1285">
        <f>F25-H25</f>
        <v>0</v>
      </c>
      <c r="O25" s="326"/>
      <c r="P25" s="3"/>
      <c r="Q25" s="1"/>
      <c r="R25" s="5"/>
      <c r="S25" s="1"/>
    </row>
    <row r="26" spans="1:19" ht="30">
      <c r="A26" s="211" t="s">
        <v>560</v>
      </c>
      <c r="B26" s="267" t="s">
        <v>561</v>
      </c>
      <c r="C26" s="1301" t="s">
        <v>562</v>
      </c>
      <c r="D26" s="211" t="s">
        <v>12</v>
      </c>
      <c r="E26" s="223">
        <v>9.08</v>
      </c>
      <c r="F26" s="211">
        <v>408.64</v>
      </c>
      <c r="G26" s="1289">
        <f t="shared" si="3"/>
        <v>3710.4512</v>
      </c>
      <c r="H26" s="1278">
        <v>408.64</v>
      </c>
      <c r="I26" s="224">
        <v>3710.4512</v>
      </c>
      <c r="J26" s="1269">
        <f t="shared" si="0"/>
        <v>1</v>
      </c>
      <c r="K26" s="1278">
        <f>F26-H26</f>
        <v>0</v>
      </c>
      <c r="L26" s="224">
        <f t="shared" si="1"/>
        <v>0</v>
      </c>
      <c r="M26" s="1269" t="str">
        <f t="shared" si="2"/>
        <v/>
      </c>
      <c r="N26" s="1285">
        <f>F26-H26</f>
        <v>0</v>
      </c>
      <c r="O26" s="326"/>
    </row>
    <row r="27" spans="1:19" ht="60">
      <c r="A27" s="211" t="s">
        <v>563</v>
      </c>
      <c r="B27" s="267" t="s">
        <v>564</v>
      </c>
      <c r="C27" s="1301" t="s">
        <v>565</v>
      </c>
      <c r="D27" s="211" t="s">
        <v>12</v>
      </c>
      <c r="E27" s="223">
        <v>9.41</v>
      </c>
      <c r="F27" s="211">
        <v>408.64</v>
      </c>
      <c r="G27" s="1290">
        <f t="shared" si="3"/>
        <v>3845.3024</v>
      </c>
      <c r="H27" s="1278">
        <v>408.7</v>
      </c>
      <c r="I27" s="224">
        <v>3845.8669999999997</v>
      </c>
      <c r="J27" s="1269">
        <f t="shared" si="0"/>
        <v>1.0001468285043069</v>
      </c>
      <c r="K27" s="1278">
        <v>0</v>
      </c>
      <c r="L27" s="817">
        <f t="shared" si="1"/>
        <v>0</v>
      </c>
      <c r="M27" s="1269" t="str">
        <f t="shared" si="2"/>
        <v/>
      </c>
      <c r="N27" s="1285">
        <f>F27-H27</f>
        <v>-6.0000000000002274E-2</v>
      </c>
      <c r="O27" s="1430"/>
    </row>
    <row r="28" spans="1:19" ht="30">
      <c r="A28" s="211" t="s">
        <v>566</v>
      </c>
      <c r="B28" s="267" t="s">
        <v>567</v>
      </c>
      <c r="C28" s="1301" t="s">
        <v>2102</v>
      </c>
      <c r="D28" s="211" t="s">
        <v>12</v>
      </c>
      <c r="E28" s="223">
        <v>29.01</v>
      </c>
      <c r="F28" s="211">
        <v>158.78</v>
      </c>
      <c r="G28" s="1289">
        <f t="shared" si="3"/>
        <v>4606.2078000000001</v>
      </c>
      <c r="H28" s="1278">
        <v>158.78</v>
      </c>
      <c r="I28" s="224">
        <v>4606.2078000000001</v>
      </c>
      <c r="J28" s="1269">
        <f t="shared" si="0"/>
        <v>1</v>
      </c>
      <c r="K28" s="1278">
        <f>F28-H28</f>
        <v>0</v>
      </c>
      <c r="L28" s="224">
        <f t="shared" si="1"/>
        <v>0</v>
      </c>
      <c r="M28" s="1269" t="str">
        <f t="shared" si="2"/>
        <v/>
      </c>
      <c r="N28" s="1285">
        <f>F28-H28</f>
        <v>0</v>
      </c>
      <c r="O28" s="326"/>
    </row>
    <row r="29" spans="1:19" ht="45">
      <c r="A29" s="211" t="s">
        <v>568</v>
      </c>
      <c r="B29" s="267" t="s">
        <v>569</v>
      </c>
      <c r="C29" s="1301" t="s">
        <v>531</v>
      </c>
      <c r="D29" s="211" t="s">
        <v>12</v>
      </c>
      <c r="E29" s="223">
        <v>11.2</v>
      </c>
      <c r="F29" s="211">
        <v>114.02</v>
      </c>
      <c r="G29" s="1289">
        <f t="shared" si="3"/>
        <v>1277.0239999999999</v>
      </c>
      <c r="H29" s="1278">
        <v>114.02</v>
      </c>
      <c r="I29" s="224">
        <v>1277.0239999999999</v>
      </c>
      <c r="J29" s="1269">
        <f t="shared" si="0"/>
        <v>1</v>
      </c>
      <c r="K29" s="1278">
        <f>F29-H29</f>
        <v>0</v>
      </c>
      <c r="L29" s="224">
        <f t="shared" si="1"/>
        <v>0</v>
      </c>
      <c r="M29" s="1269" t="str">
        <f t="shared" si="2"/>
        <v/>
      </c>
      <c r="N29" s="1285">
        <f>F29-H29</f>
        <v>0</v>
      </c>
      <c r="O29" s="326"/>
    </row>
    <row r="30" spans="1:19" ht="30">
      <c r="A30" s="211" t="s">
        <v>570</v>
      </c>
      <c r="B30" s="267" t="s">
        <v>479</v>
      </c>
      <c r="C30" s="1301" t="s">
        <v>2103</v>
      </c>
      <c r="D30" s="211" t="s">
        <v>12</v>
      </c>
      <c r="E30" s="223">
        <v>14.63</v>
      </c>
      <c r="F30" s="211">
        <v>406.93</v>
      </c>
      <c r="G30" s="1289">
        <f t="shared" si="3"/>
        <v>5953.3859000000002</v>
      </c>
      <c r="H30" s="1278">
        <v>406.93</v>
      </c>
      <c r="I30" s="224">
        <v>5953.3859000000002</v>
      </c>
      <c r="J30" s="1269">
        <f t="shared" si="0"/>
        <v>1</v>
      </c>
      <c r="K30" s="1278">
        <f>F30-H30</f>
        <v>0</v>
      </c>
      <c r="L30" s="224">
        <f t="shared" si="1"/>
        <v>0</v>
      </c>
      <c r="M30" s="1269" t="str">
        <f t="shared" si="2"/>
        <v/>
      </c>
      <c r="N30" s="1285">
        <f>F30-H30</f>
        <v>0</v>
      </c>
      <c r="O30" s="326"/>
    </row>
    <row r="31" spans="1:19" ht="30">
      <c r="A31" s="211" t="s">
        <v>571</v>
      </c>
      <c r="B31" s="267" t="s">
        <v>572</v>
      </c>
      <c r="C31" s="1301" t="s">
        <v>573</v>
      </c>
      <c r="D31" s="211" t="s">
        <v>28</v>
      </c>
      <c r="E31" s="223">
        <v>137.44</v>
      </c>
      <c r="F31" s="211">
        <v>1</v>
      </c>
      <c r="G31" s="1289">
        <f t="shared" si="3"/>
        <v>137.44</v>
      </c>
      <c r="H31" s="1278">
        <v>1</v>
      </c>
      <c r="I31" s="224">
        <v>137.44</v>
      </c>
      <c r="J31" s="1269">
        <f t="shared" si="0"/>
        <v>1</v>
      </c>
      <c r="K31" s="1278">
        <f>F31-H31</f>
        <v>0</v>
      </c>
      <c r="L31" s="224">
        <f t="shared" si="1"/>
        <v>0</v>
      </c>
      <c r="M31" s="1269" t="str">
        <f t="shared" si="2"/>
        <v/>
      </c>
      <c r="N31" s="1285">
        <f>F31-H31</f>
        <v>0</v>
      </c>
      <c r="O31" s="326"/>
    </row>
    <row r="32" spans="1:19" ht="30">
      <c r="A32" s="211" t="s">
        <v>574</v>
      </c>
      <c r="B32" s="267" t="s">
        <v>575</v>
      </c>
      <c r="C32" s="1301" t="s">
        <v>573</v>
      </c>
      <c r="D32" s="211" t="s">
        <v>44</v>
      </c>
      <c r="E32" s="223">
        <v>19.48</v>
      </c>
      <c r="F32" s="211">
        <v>7.8</v>
      </c>
      <c r="G32" s="1289">
        <f t="shared" si="3"/>
        <v>151.94399999999999</v>
      </c>
      <c r="H32" s="1278">
        <v>7.8</v>
      </c>
      <c r="I32" s="224">
        <v>151.94399999999999</v>
      </c>
      <c r="J32" s="1269">
        <f t="shared" si="0"/>
        <v>1</v>
      </c>
      <c r="K32" s="1278">
        <f>F32-H32</f>
        <v>0</v>
      </c>
      <c r="L32" s="224">
        <f t="shared" si="1"/>
        <v>0</v>
      </c>
      <c r="M32" s="1269" t="str">
        <f t="shared" si="2"/>
        <v/>
      </c>
      <c r="N32" s="1285">
        <f>F32-H32</f>
        <v>0</v>
      </c>
      <c r="O32" s="326"/>
    </row>
    <row r="33" spans="1:15" ht="45">
      <c r="A33" s="211" t="s">
        <v>577</v>
      </c>
      <c r="B33" s="267" t="s">
        <v>578</v>
      </c>
      <c r="C33" s="1301" t="s">
        <v>579</v>
      </c>
      <c r="D33" s="211" t="s">
        <v>44</v>
      </c>
      <c r="E33" s="223">
        <v>13.19</v>
      </c>
      <c r="F33" s="211">
        <v>15.6</v>
      </c>
      <c r="G33" s="1289">
        <f t="shared" si="3"/>
        <v>205.76399999999998</v>
      </c>
      <c r="H33" s="1278">
        <v>15.6</v>
      </c>
      <c r="I33" s="224">
        <v>205.76399999999998</v>
      </c>
      <c r="J33" s="1269">
        <f t="shared" si="0"/>
        <v>1</v>
      </c>
      <c r="K33" s="1278">
        <f>F33-H33</f>
        <v>0</v>
      </c>
      <c r="L33" s="224">
        <f t="shared" si="1"/>
        <v>0</v>
      </c>
      <c r="M33" s="1269" t="str">
        <f t="shared" si="2"/>
        <v/>
      </c>
      <c r="N33" s="1285">
        <f>F33-H33</f>
        <v>0</v>
      </c>
      <c r="O33" s="326"/>
    </row>
    <row r="34" spans="1:15" ht="45">
      <c r="A34" s="211" t="s">
        <v>580</v>
      </c>
      <c r="B34" s="267" t="s">
        <v>581</v>
      </c>
      <c r="C34" s="1301" t="s">
        <v>582</v>
      </c>
      <c r="D34" s="211" t="s">
        <v>28</v>
      </c>
      <c r="E34" s="223">
        <v>297.25</v>
      </c>
      <c r="F34" s="211">
        <v>2</v>
      </c>
      <c r="G34" s="1289">
        <f t="shared" si="3"/>
        <v>594.5</v>
      </c>
      <c r="H34" s="1278">
        <v>2</v>
      </c>
      <c r="I34" s="224">
        <v>594.5</v>
      </c>
      <c r="J34" s="1269">
        <f t="shared" si="0"/>
        <v>1</v>
      </c>
      <c r="K34" s="1278">
        <f>F34-H34</f>
        <v>0</v>
      </c>
      <c r="L34" s="224">
        <f t="shared" si="1"/>
        <v>0</v>
      </c>
      <c r="M34" s="1269" t="str">
        <f t="shared" si="2"/>
        <v/>
      </c>
      <c r="N34" s="1285">
        <f>F34-H34</f>
        <v>0</v>
      </c>
      <c r="O34" s="326"/>
    </row>
    <row r="35" spans="1:15" ht="60">
      <c r="A35" s="211" t="s">
        <v>583</v>
      </c>
      <c r="B35" s="267" t="s">
        <v>584</v>
      </c>
      <c r="C35" s="1301" t="s">
        <v>585</v>
      </c>
      <c r="D35" s="211" t="s">
        <v>28</v>
      </c>
      <c r="E35" s="223">
        <v>42.25</v>
      </c>
      <c r="F35" s="211">
        <v>16</v>
      </c>
      <c r="G35" s="1289">
        <f t="shared" si="3"/>
        <v>676</v>
      </c>
      <c r="H35" s="1278">
        <v>16</v>
      </c>
      <c r="I35" s="224">
        <v>676</v>
      </c>
      <c r="J35" s="1269">
        <f t="shared" si="0"/>
        <v>1</v>
      </c>
      <c r="K35" s="1278">
        <f>F35-H35</f>
        <v>0</v>
      </c>
      <c r="L35" s="224">
        <f t="shared" si="1"/>
        <v>0</v>
      </c>
      <c r="M35" s="1269" t="str">
        <f t="shared" si="2"/>
        <v/>
      </c>
      <c r="N35" s="1285">
        <f>F35-H35</f>
        <v>0</v>
      </c>
      <c r="O35" s="326"/>
    </row>
    <row r="36" spans="1:15">
      <c r="A36" s="211" t="s">
        <v>586</v>
      </c>
      <c r="B36" s="267" t="s">
        <v>587</v>
      </c>
      <c r="C36" s="1301" t="s">
        <v>588</v>
      </c>
      <c r="D36" s="211" t="s">
        <v>28</v>
      </c>
      <c r="E36" s="223">
        <v>45.8</v>
      </c>
      <c r="F36" s="211">
        <v>2</v>
      </c>
      <c r="G36" s="1289">
        <f t="shared" si="3"/>
        <v>91.6</v>
      </c>
      <c r="H36" s="1278">
        <v>2</v>
      </c>
      <c r="I36" s="224">
        <v>91.6</v>
      </c>
      <c r="J36" s="1269">
        <f t="shared" si="0"/>
        <v>1</v>
      </c>
      <c r="K36" s="1278">
        <f>F36-H36</f>
        <v>0</v>
      </c>
      <c r="L36" s="224">
        <f t="shared" si="1"/>
        <v>0</v>
      </c>
      <c r="M36" s="1269" t="str">
        <f t="shared" si="2"/>
        <v/>
      </c>
      <c r="N36" s="1285">
        <f>F36-H36</f>
        <v>0</v>
      </c>
      <c r="O36" s="326"/>
    </row>
    <row r="37" spans="1:15">
      <c r="A37" s="211" t="s">
        <v>589</v>
      </c>
      <c r="B37" s="267" t="s">
        <v>590</v>
      </c>
      <c r="C37" s="1301" t="s">
        <v>591</v>
      </c>
      <c r="D37" s="211" t="s">
        <v>12</v>
      </c>
      <c r="E37" s="223">
        <v>1.83</v>
      </c>
      <c r="F37" s="211">
        <v>351.35</v>
      </c>
      <c r="G37" s="1289">
        <f t="shared" si="3"/>
        <v>642.97050000000002</v>
      </c>
      <c r="H37" s="1278">
        <v>351.35</v>
      </c>
      <c r="I37" s="224">
        <v>642.97050000000002</v>
      </c>
      <c r="J37" s="1269">
        <f t="shared" si="0"/>
        <v>1</v>
      </c>
      <c r="K37" s="1278">
        <f>F37-H37</f>
        <v>0</v>
      </c>
      <c r="L37" s="224">
        <f t="shared" si="1"/>
        <v>0</v>
      </c>
      <c r="M37" s="1269" t="str">
        <f t="shared" si="2"/>
        <v/>
      </c>
      <c r="N37" s="1285">
        <f>F37-H37</f>
        <v>0</v>
      </c>
      <c r="O37" s="326"/>
    </row>
    <row r="38" spans="1:15" ht="30">
      <c r="A38" s="253" t="s">
        <v>3160</v>
      </c>
      <c r="B38" s="267" t="s">
        <v>486</v>
      </c>
      <c r="C38" s="1301" t="s">
        <v>487</v>
      </c>
      <c r="D38" s="211" t="s">
        <v>12</v>
      </c>
      <c r="E38" s="223">
        <v>6.72</v>
      </c>
      <c r="F38" s="211">
        <v>566.15</v>
      </c>
      <c r="G38" s="1290">
        <f t="shared" si="3"/>
        <v>3804.5279999999998</v>
      </c>
      <c r="H38" s="1278">
        <v>566.14599999999996</v>
      </c>
      <c r="I38" s="224">
        <v>3804.5011199999994</v>
      </c>
      <c r="J38" s="1269">
        <f t="shared" si="0"/>
        <v>0.99999293473461093</v>
      </c>
      <c r="K38" s="1278">
        <f>F38-H38</f>
        <v>4.0000000000190994E-3</v>
      </c>
      <c r="L38" s="817">
        <v>0</v>
      </c>
      <c r="M38" s="1269">
        <f t="shared" si="2"/>
        <v>7.0652653890649112E-6</v>
      </c>
      <c r="N38" s="1285">
        <f>F38-H38</f>
        <v>4.0000000000190994E-3</v>
      </c>
      <c r="O38" s="326"/>
    </row>
    <row r="39" spans="1:15" ht="30">
      <c r="A39" s="211" t="s">
        <v>593</v>
      </c>
      <c r="B39" s="267" t="s">
        <v>10</v>
      </c>
      <c r="C39" s="1301" t="s">
        <v>2104</v>
      </c>
      <c r="D39" s="211" t="s">
        <v>12</v>
      </c>
      <c r="E39" s="223">
        <v>52.27</v>
      </c>
      <c r="F39" s="211">
        <v>466.23</v>
      </c>
      <c r="G39" s="1289">
        <f t="shared" si="3"/>
        <v>24369.842100000002</v>
      </c>
      <c r="H39" s="1278">
        <v>466.23</v>
      </c>
      <c r="I39" s="224">
        <v>24369.842100000002</v>
      </c>
      <c r="J39" s="1269">
        <f t="shared" si="0"/>
        <v>1</v>
      </c>
      <c r="K39" s="1278">
        <f>F39-H39</f>
        <v>0</v>
      </c>
      <c r="L39" s="224">
        <f t="shared" si="1"/>
        <v>0</v>
      </c>
      <c r="M39" s="1269" t="str">
        <f t="shared" si="2"/>
        <v/>
      </c>
      <c r="N39" s="1285">
        <f>F39-H39</f>
        <v>0</v>
      </c>
      <c r="O39" s="326"/>
    </row>
    <row r="40" spans="1:15" ht="45">
      <c r="A40" s="211" t="s">
        <v>594</v>
      </c>
      <c r="B40" s="267" t="s">
        <v>595</v>
      </c>
      <c r="C40" s="1301" t="s">
        <v>596</v>
      </c>
      <c r="D40" s="211" t="s">
        <v>12</v>
      </c>
      <c r="E40" s="223">
        <v>2.0699999999999998</v>
      </c>
      <c r="F40" s="211">
        <v>135.77000000000001</v>
      </c>
      <c r="G40" s="1289">
        <f t="shared" si="3"/>
        <v>281.04390000000001</v>
      </c>
      <c r="H40" s="1278">
        <v>135.77000000000001</v>
      </c>
      <c r="I40" s="224">
        <v>281.04390000000001</v>
      </c>
      <c r="J40" s="1269">
        <f t="shared" si="0"/>
        <v>1</v>
      </c>
      <c r="K40" s="1278">
        <f>F40-H40</f>
        <v>0</v>
      </c>
      <c r="L40" s="224">
        <f t="shared" si="1"/>
        <v>0</v>
      </c>
      <c r="M40" s="1269" t="str">
        <f t="shared" si="2"/>
        <v/>
      </c>
      <c r="N40" s="1285">
        <f>F40-H40</f>
        <v>0</v>
      </c>
      <c r="O40" s="326"/>
    </row>
    <row r="41" spans="1:15" ht="45">
      <c r="A41" s="211" t="s">
        <v>597</v>
      </c>
      <c r="B41" s="267" t="s">
        <v>598</v>
      </c>
      <c r="C41" s="1301" t="s">
        <v>599</v>
      </c>
      <c r="D41" s="211" t="s">
        <v>532</v>
      </c>
      <c r="E41" s="223">
        <v>447.17</v>
      </c>
      <c r="F41" s="211">
        <v>1</v>
      </c>
      <c r="G41" s="1289">
        <f t="shared" si="3"/>
        <v>447.17</v>
      </c>
      <c r="H41" s="1278">
        <v>1</v>
      </c>
      <c r="I41" s="224">
        <v>447.17</v>
      </c>
      <c r="J41" s="1269">
        <f t="shared" si="0"/>
        <v>1</v>
      </c>
      <c r="K41" s="1278">
        <f>F41-H41</f>
        <v>0</v>
      </c>
      <c r="L41" s="224">
        <f t="shared" si="1"/>
        <v>0</v>
      </c>
      <c r="M41" s="1269" t="str">
        <f t="shared" si="2"/>
        <v/>
      </c>
      <c r="N41" s="1285">
        <f>F41-H41</f>
        <v>0</v>
      </c>
      <c r="O41" s="326"/>
    </row>
    <row r="42" spans="1:15" ht="60">
      <c r="A42" s="211" t="s">
        <v>600</v>
      </c>
      <c r="B42" s="267" t="s">
        <v>601</v>
      </c>
      <c r="C42" s="1301" t="s">
        <v>602</v>
      </c>
      <c r="D42" s="211" t="s">
        <v>532</v>
      </c>
      <c r="E42" s="223">
        <v>5496.04</v>
      </c>
      <c r="F42" s="211">
        <v>1</v>
      </c>
      <c r="G42" s="1289">
        <f t="shared" si="3"/>
        <v>5496.04</v>
      </c>
      <c r="H42" s="1278">
        <v>1</v>
      </c>
      <c r="I42" s="224">
        <v>5496.04</v>
      </c>
      <c r="J42" s="1269">
        <f t="shared" si="0"/>
        <v>1</v>
      </c>
      <c r="K42" s="1278">
        <f>F42-H42</f>
        <v>0</v>
      </c>
      <c r="L42" s="224">
        <f t="shared" si="1"/>
        <v>0</v>
      </c>
      <c r="M42" s="1269" t="str">
        <f t="shared" si="2"/>
        <v/>
      </c>
      <c r="N42" s="1285">
        <f>F42-H42</f>
        <v>0</v>
      </c>
      <c r="O42" s="326"/>
    </row>
    <row r="43" spans="1:15" s="231" customFormat="1">
      <c r="A43" s="249" t="s">
        <v>2109</v>
      </c>
      <c r="B43" s="1459" t="s">
        <v>603</v>
      </c>
      <c r="C43" s="1459"/>
      <c r="D43" s="1459"/>
      <c r="E43" s="1459"/>
      <c r="F43" s="1459"/>
      <c r="G43" s="1291">
        <f>G44</f>
        <v>6286.0204000000003</v>
      </c>
      <c r="H43" s="1277">
        <v>0</v>
      </c>
      <c r="I43" s="225">
        <v>6286.0204000000003</v>
      </c>
      <c r="J43" s="1268">
        <f>I43/$G43</f>
        <v>1</v>
      </c>
      <c r="K43" s="1277">
        <f>F43-H43</f>
        <v>0</v>
      </c>
      <c r="L43" s="225">
        <f>L44</f>
        <v>0</v>
      </c>
      <c r="M43" s="1268">
        <f>L43/$G43</f>
        <v>0</v>
      </c>
      <c r="N43" s="1285">
        <f>F43-H43</f>
        <v>0</v>
      </c>
      <c r="O43" s="326"/>
    </row>
    <row r="44" spans="1:15" ht="60">
      <c r="A44" s="211" t="s">
        <v>604</v>
      </c>
      <c r="B44" s="267" t="s">
        <v>605</v>
      </c>
      <c r="C44" s="1301" t="s">
        <v>2105</v>
      </c>
      <c r="D44" s="211" t="s">
        <v>12</v>
      </c>
      <c r="E44" s="223">
        <v>7.37</v>
      </c>
      <c r="F44" s="211">
        <f>708.62+144.3</f>
        <v>852.92000000000007</v>
      </c>
      <c r="G44" s="1289">
        <f t="shared" si="3"/>
        <v>6286.0204000000003</v>
      </c>
      <c r="H44" s="1278">
        <v>852.92000000000007</v>
      </c>
      <c r="I44" s="224">
        <v>6286.0204000000003</v>
      </c>
      <c r="J44" s="1269">
        <f t="shared" si="0"/>
        <v>1</v>
      </c>
      <c r="K44" s="1278">
        <f>F44-H44</f>
        <v>0</v>
      </c>
      <c r="L44" s="224">
        <f>K44*$E44</f>
        <v>0</v>
      </c>
      <c r="M44" s="1269" t="str">
        <f t="shared" si="2"/>
        <v/>
      </c>
      <c r="N44" s="1285">
        <f>F44-H44</f>
        <v>0</v>
      </c>
      <c r="O44" s="326"/>
    </row>
    <row r="45" spans="1:15" s="231" customFormat="1">
      <c r="A45" s="249" t="s">
        <v>2110</v>
      </c>
      <c r="B45" s="1459" t="s">
        <v>2111</v>
      </c>
      <c r="C45" s="1459"/>
      <c r="D45" s="1459"/>
      <c r="E45" s="1459"/>
      <c r="F45" s="1459"/>
      <c r="G45" s="1291">
        <f>G46+G47</f>
        <v>37567.314200000001</v>
      </c>
      <c r="H45" s="1277">
        <v>0</v>
      </c>
      <c r="I45" s="225">
        <v>37567.314200000001</v>
      </c>
      <c r="J45" s="1268">
        <f>I45/$G45</f>
        <v>1</v>
      </c>
      <c r="K45" s="1277">
        <f>F45-H45</f>
        <v>0</v>
      </c>
      <c r="L45" s="225">
        <f>L46+L47</f>
        <v>0</v>
      </c>
      <c r="M45" s="1268">
        <f>L45/$G45</f>
        <v>0</v>
      </c>
      <c r="N45" s="1285">
        <f>F45-H45</f>
        <v>0</v>
      </c>
      <c r="O45" s="326"/>
    </row>
    <row r="46" spans="1:15" ht="30">
      <c r="A46" s="211" t="s">
        <v>606</v>
      </c>
      <c r="B46" s="267" t="s">
        <v>607</v>
      </c>
      <c r="C46" s="1301" t="s">
        <v>608</v>
      </c>
      <c r="D46" s="211" t="s">
        <v>12</v>
      </c>
      <c r="E46" s="223">
        <v>13.34</v>
      </c>
      <c r="F46" s="211">
        <v>986.13</v>
      </c>
      <c r="G46" s="1289">
        <f t="shared" si="3"/>
        <v>13154.974200000001</v>
      </c>
      <c r="H46" s="1278">
        <v>986.13</v>
      </c>
      <c r="I46" s="224">
        <v>13154.974200000001</v>
      </c>
      <c r="J46" s="1269">
        <f t="shared" si="0"/>
        <v>1</v>
      </c>
      <c r="K46" s="1278">
        <f>F46-H46</f>
        <v>0</v>
      </c>
      <c r="L46" s="224">
        <f>K46*$E46</f>
        <v>0</v>
      </c>
      <c r="M46" s="1269" t="str">
        <f t="shared" si="2"/>
        <v/>
      </c>
      <c r="N46" s="1285">
        <f>F46-H46</f>
        <v>0</v>
      </c>
      <c r="O46" s="326"/>
    </row>
    <row r="47" spans="1:15" ht="60">
      <c r="A47" s="211" t="s">
        <v>609</v>
      </c>
      <c r="B47" s="267" t="s">
        <v>610</v>
      </c>
      <c r="C47" s="1301" t="s">
        <v>611</v>
      </c>
      <c r="D47" s="211" t="s">
        <v>612</v>
      </c>
      <c r="E47" s="223">
        <v>24412.34</v>
      </c>
      <c r="F47" s="211">
        <v>1</v>
      </c>
      <c r="G47" s="1289">
        <f t="shared" si="3"/>
        <v>24412.34</v>
      </c>
      <c r="H47" s="1278">
        <v>1</v>
      </c>
      <c r="I47" s="224">
        <v>24412.34</v>
      </c>
      <c r="J47" s="1269">
        <f t="shared" si="0"/>
        <v>1</v>
      </c>
      <c r="K47" s="1278">
        <f>F47-H47</f>
        <v>0</v>
      </c>
      <c r="L47" s="224">
        <f>K47*$E47</f>
        <v>0</v>
      </c>
      <c r="M47" s="1269" t="str">
        <f t="shared" si="2"/>
        <v/>
      </c>
      <c r="N47" s="1285">
        <f>F47-H47</f>
        <v>0</v>
      </c>
      <c r="O47" s="326"/>
    </row>
    <row r="48" spans="1:15" s="231" customFormat="1">
      <c r="A48" s="249" t="s">
        <v>2112</v>
      </c>
      <c r="B48" s="1459" t="s">
        <v>613</v>
      </c>
      <c r="C48" s="1459"/>
      <c r="D48" s="1459"/>
      <c r="E48" s="1459"/>
      <c r="F48" s="1459"/>
      <c r="G48" s="1291">
        <f>G49+G50</f>
        <v>50349.934600000008</v>
      </c>
      <c r="H48" s="1277">
        <v>0</v>
      </c>
      <c r="I48" s="225">
        <v>50350.281100000007</v>
      </c>
      <c r="J48" s="1268">
        <f>I48/$G48</f>
        <v>1.0000068818361485</v>
      </c>
      <c r="K48" s="1277">
        <f>F48-H48</f>
        <v>0</v>
      </c>
      <c r="L48" s="225">
        <f>L49+L50</f>
        <v>0</v>
      </c>
      <c r="M48" s="1268">
        <f>L48/$G48</f>
        <v>0</v>
      </c>
      <c r="N48" s="1285">
        <f>F48-H48</f>
        <v>0</v>
      </c>
      <c r="O48" s="326"/>
    </row>
    <row r="49" spans="1:16" ht="45">
      <c r="A49" s="211" t="s">
        <v>614</v>
      </c>
      <c r="B49" s="267" t="s">
        <v>615</v>
      </c>
      <c r="C49" s="1301" t="s">
        <v>616</v>
      </c>
      <c r="D49" s="211" t="s">
        <v>617</v>
      </c>
      <c r="E49" s="223">
        <v>2.31</v>
      </c>
      <c r="F49" s="211">
        <v>156.30000000000001</v>
      </c>
      <c r="G49" s="1290">
        <f t="shared" si="3"/>
        <v>361.05300000000005</v>
      </c>
      <c r="H49" s="1278">
        <v>156.45000000000005</v>
      </c>
      <c r="I49" s="224">
        <v>361.3995000000001</v>
      </c>
      <c r="J49" s="1269">
        <f t="shared" si="0"/>
        <v>1.0009596928982727</v>
      </c>
      <c r="K49" s="1278">
        <v>0</v>
      </c>
      <c r="L49" s="817">
        <f>K49*$E49</f>
        <v>0</v>
      </c>
      <c r="M49" s="1269" t="str">
        <f t="shared" si="2"/>
        <v/>
      </c>
      <c r="N49" s="1285">
        <f>F49-H49</f>
        <v>-0.15000000000003411</v>
      </c>
      <c r="O49" s="1430"/>
    </row>
    <row r="50" spans="1:16" ht="90">
      <c r="A50" s="211" t="s">
        <v>618</v>
      </c>
      <c r="B50" s="267" t="s">
        <v>49</v>
      </c>
      <c r="C50" s="1301" t="s">
        <v>50</v>
      </c>
      <c r="D50" s="211" t="s">
        <v>51</v>
      </c>
      <c r="E50" s="223">
        <v>81.760000000000005</v>
      </c>
      <c r="F50" s="211">
        <f>588.34+23.07</f>
        <v>611.41000000000008</v>
      </c>
      <c r="G50" s="1289">
        <f t="shared" si="3"/>
        <v>49988.881600000008</v>
      </c>
      <c r="H50" s="1278">
        <v>611.41000000000008</v>
      </c>
      <c r="I50" s="224">
        <v>49988.881600000008</v>
      </c>
      <c r="J50" s="1269">
        <f t="shared" si="0"/>
        <v>1</v>
      </c>
      <c r="K50" s="1278">
        <f>F50-H50</f>
        <v>0</v>
      </c>
      <c r="L50" s="224">
        <f>K50*$E50</f>
        <v>0</v>
      </c>
      <c r="M50" s="1269" t="str">
        <f t="shared" si="2"/>
        <v/>
      </c>
      <c r="N50" s="1285">
        <f>F50-H50</f>
        <v>0</v>
      </c>
      <c r="O50" s="326"/>
    </row>
    <row r="51" spans="1:16" s="230" customFormat="1" ht="15.75">
      <c r="A51" s="247" t="s">
        <v>2113</v>
      </c>
      <c r="B51" s="1470" t="s">
        <v>619</v>
      </c>
      <c r="C51" s="1470"/>
      <c r="D51" s="1470"/>
      <c r="E51" s="1470"/>
      <c r="F51" s="1470"/>
      <c r="G51" s="1292">
        <f>G52+G57+G70+G74</f>
        <v>257432.28900000002</v>
      </c>
      <c r="H51" s="226"/>
      <c r="I51" s="226">
        <v>230955.04900000003</v>
      </c>
      <c r="J51" s="1267">
        <f>I51/$G51</f>
        <v>0.89714872169745574</v>
      </c>
      <c r="K51" s="1279">
        <f>F51-H51</f>
        <v>0</v>
      </c>
      <c r="L51" s="226">
        <f>L52+L57+L70+L74</f>
        <v>26477.240000000005</v>
      </c>
      <c r="M51" s="1267">
        <f>L51/$G51</f>
        <v>0.10285127830254426</v>
      </c>
      <c r="N51" s="1285">
        <f>F51-H51</f>
        <v>0</v>
      </c>
      <c r="O51" s="326"/>
      <c r="P51" s="1425"/>
    </row>
    <row r="52" spans="1:16" s="231" customFormat="1">
      <c r="A52" s="249" t="s">
        <v>2114</v>
      </c>
      <c r="B52" s="1459" t="s">
        <v>620</v>
      </c>
      <c r="C52" s="1459"/>
      <c r="D52" s="1459"/>
      <c r="E52" s="1459"/>
      <c r="F52" s="1459"/>
      <c r="G52" s="1291">
        <f>SUM(G53:G56)</f>
        <v>24604.659499999994</v>
      </c>
      <c r="H52" s="1277">
        <v>0</v>
      </c>
      <c r="I52" s="225">
        <v>24604.659499999994</v>
      </c>
      <c r="J52" s="1268">
        <f>I52/$G52</f>
        <v>1</v>
      </c>
      <c r="K52" s="1277">
        <f>F52-H52</f>
        <v>0</v>
      </c>
      <c r="L52" s="225">
        <f>SUM(L53:L56)</f>
        <v>0</v>
      </c>
      <c r="M52" s="1268">
        <f>L52/$G52</f>
        <v>0</v>
      </c>
      <c r="N52" s="1285">
        <f>F52-H52</f>
        <v>0</v>
      </c>
      <c r="O52" s="326"/>
    </row>
    <row r="53" spans="1:16" ht="30">
      <c r="A53" s="211" t="s">
        <v>621</v>
      </c>
      <c r="B53" s="267" t="s">
        <v>622</v>
      </c>
      <c r="C53" s="1301" t="s">
        <v>623</v>
      </c>
      <c r="D53" s="211" t="s">
        <v>12</v>
      </c>
      <c r="E53" s="223">
        <v>349.99</v>
      </c>
      <c r="F53" s="211">
        <v>8</v>
      </c>
      <c r="G53" s="1289">
        <f>F53*$E53</f>
        <v>2799.92</v>
      </c>
      <c r="H53" s="1278">
        <v>8</v>
      </c>
      <c r="I53" s="224">
        <v>2799.92</v>
      </c>
      <c r="J53" s="1269">
        <f t="shared" si="0"/>
        <v>1</v>
      </c>
      <c r="K53" s="1278">
        <f>F53-H53</f>
        <v>0</v>
      </c>
      <c r="L53" s="224">
        <f>K53*$E53</f>
        <v>0</v>
      </c>
      <c r="M53" s="1269" t="str">
        <f t="shared" si="2"/>
        <v/>
      </c>
      <c r="N53" s="1285">
        <f>F53-H53</f>
        <v>0</v>
      </c>
      <c r="O53" s="326"/>
    </row>
    <row r="54" spans="1:16" ht="105">
      <c r="A54" s="211" t="s">
        <v>624</v>
      </c>
      <c r="B54" s="267" t="s">
        <v>625</v>
      </c>
      <c r="C54" s="1301" t="s">
        <v>626</v>
      </c>
      <c r="D54" s="211" t="s">
        <v>44</v>
      </c>
      <c r="E54" s="223">
        <v>270.83</v>
      </c>
      <c r="F54" s="211">
        <f>50.18+11.92</f>
        <v>62.1</v>
      </c>
      <c r="G54" s="1289">
        <f>F54*$E54</f>
        <v>16818.542999999998</v>
      </c>
      <c r="H54" s="1278">
        <v>62.1</v>
      </c>
      <c r="I54" s="224">
        <v>16818.542999999998</v>
      </c>
      <c r="J54" s="1269">
        <f t="shared" si="0"/>
        <v>1</v>
      </c>
      <c r="K54" s="1278">
        <f>F54-H54</f>
        <v>0</v>
      </c>
      <c r="L54" s="224">
        <f>K54*$E54</f>
        <v>0</v>
      </c>
      <c r="M54" s="1269" t="str">
        <f t="shared" si="2"/>
        <v/>
      </c>
      <c r="N54" s="1285">
        <f>F54-H54</f>
        <v>0</v>
      </c>
      <c r="O54" s="326"/>
    </row>
    <row r="55" spans="1:16" ht="75">
      <c r="A55" s="211" t="s">
        <v>627</v>
      </c>
      <c r="B55" s="267" t="s">
        <v>628</v>
      </c>
      <c r="C55" s="1301" t="s">
        <v>629</v>
      </c>
      <c r="D55" s="211" t="s">
        <v>44</v>
      </c>
      <c r="E55" s="223">
        <v>147.66999999999999</v>
      </c>
      <c r="F55" s="211">
        <v>30.05</v>
      </c>
      <c r="G55" s="1289">
        <f>F55*$E55</f>
        <v>4437.4834999999994</v>
      </c>
      <c r="H55" s="1278">
        <v>30.05</v>
      </c>
      <c r="I55" s="224">
        <v>4437.4834999999994</v>
      </c>
      <c r="J55" s="1269">
        <f t="shared" si="0"/>
        <v>1</v>
      </c>
      <c r="K55" s="1278">
        <f>F55-H55</f>
        <v>0</v>
      </c>
      <c r="L55" s="224">
        <f>K55*$E55</f>
        <v>0</v>
      </c>
      <c r="M55" s="1269" t="str">
        <f t="shared" si="2"/>
        <v/>
      </c>
      <c r="N55" s="1285">
        <f>F55-H55</f>
        <v>0</v>
      </c>
      <c r="O55" s="326"/>
    </row>
    <row r="56" spans="1:16" ht="60">
      <c r="A56" s="211" t="s">
        <v>630</v>
      </c>
      <c r="B56" s="267" t="s">
        <v>631</v>
      </c>
      <c r="C56" s="1301" t="s">
        <v>632</v>
      </c>
      <c r="D56" s="211" t="s">
        <v>44</v>
      </c>
      <c r="E56" s="223">
        <v>9.1300000000000008</v>
      </c>
      <c r="F56" s="211">
        <v>60.1</v>
      </c>
      <c r="G56" s="1289">
        <f>F56*$E56</f>
        <v>548.71300000000008</v>
      </c>
      <c r="H56" s="1278">
        <v>60.099999999999994</v>
      </c>
      <c r="I56" s="224">
        <v>548.71299999999997</v>
      </c>
      <c r="J56" s="1269">
        <f t="shared" si="0"/>
        <v>0.99999999999999989</v>
      </c>
      <c r="K56" s="1278">
        <f>F56-H56</f>
        <v>0</v>
      </c>
      <c r="L56" s="224">
        <f>K56*$E56</f>
        <v>0</v>
      </c>
      <c r="M56" s="1269" t="str">
        <f t="shared" si="2"/>
        <v/>
      </c>
      <c r="N56" s="1285">
        <f>F56-H56</f>
        <v>0</v>
      </c>
      <c r="O56" s="326"/>
    </row>
    <row r="57" spans="1:16" s="231" customFormat="1">
      <c r="A57" s="251" t="s">
        <v>633</v>
      </c>
      <c r="B57" s="1445" t="s">
        <v>634</v>
      </c>
      <c r="C57" s="1445"/>
      <c r="D57" s="1445"/>
      <c r="E57" s="1445"/>
      <c r="F57" s="1445"/>
      <c r="G57" s="1291">
        <f>SUM(G58:G69)</f>
        <v>164411.685</v>
      </c>
      <c r="H57" s="1277">
        <v>0</v>
      </c>
      <c r="I57" s="225">
        <v>138891.32500000001</v>
      </c>
      <c r="J57" s="1268">
        <f>I57/$G57</f>
        <v>0.84477769934661284</v>
      </c>
      <c r="K57" s="1277">
        <f>F57-H57</f>
        <v>0</v>
      </c>
      <c r="L57" s="225">
        <f>SUM(L58:L69)</f>
        <v>25520.36</v>
      </c>
      <c r="M57" s="1268">
        <f>L57/$G57</f>
        <v>0.15522230065338727</v>
      </c>
      <c r="N57" s="1285">
        <f>F57-H57</f>
        <v>0</v>
      </c>
      <c r="O57" s="326"/>
    </row>
    <row r="58" spans="1:16" ht="105">
      <c r="A58" s="211" t="s">
        <v>635</v>
      </c>
      <c r="B58" s="267" t="s">
        <v>636</v>
      </c>
      <c r="C58" s="1301" t="s">
        <v>2117</v>
      </c>
      <c r="D58" s="211" t="s">
        <v>637</v>
      </c>
      <c r="E58" s="223">
        <v>1342.61</v>
      </c>
      <c r="F58" s="211">
        <f>14+11</f>
        <v>25</v>
      </c>
      <c r="G58" s="1290">
        <f t="shared" ref="G58:G76" si="4">F58*$E58</f>
        <v>33565.25</v>
      </c>
      <c r="H58" s="1278">
        <v>19</v>
      </c>
      <c r="I58" s="817">
        <v>25509.589999999997</v>
      </c>
      <c r="J58" s="1269">
        <f t="shared" si="0"/>
        <v>0.76</v>
      </c>
      <c r="K58" s="1278">
        <f>F58-H58</f>
        <v>6</v>
      </c>
      <c r="L58" s="817">
        <f t="shared" ref="L58:L69" si="5">K58*$E58</f>
        <v>8055.66</v>
      </c>
      <c r="M58" s="1269">
        <f t="shared" si="2"/>
        <v>0.24</v>
      </c>
      <c r="N58" s="1285">
        <f>F58-H58</f>
        <v>6</v>
      </c>
      <c r="O58" s="326"/>
    </row>
    <row r="59" spans="1:16" ht="75">
      <c r="A59" s="211" t="s">
        <v>638</v>
      </c>
      <c r="B59" s="267" t="s">
        <v>639</v>
      </c>
      <c r="C59" s="1301" t="s">
        <v>640</v>
      </c>
      <c r="D59" s="211" t="s">
        <v>637</v>
      </c>
      <c r="E59" s="223">
        <v>922.5</v>
      </c>
      <c r="F59" s="211">
        <f>14+11</f>
        <v>25</v>
      </c>
      <c r="G59" s="1290">
        <f t="shared" si="4"/>
        <v>23062.5</v>
      </c>
      <c r="H59" s="1278">
        <v>20</v>
      </c>
      <c r="I59" s="817">
        <v>18450</v>
      </c>
      <c r="J59" s="1269">
        <f t="shared" si="0"/>
        <v>0.8</v>
      </c>
      <c r="K59" s="1278">
        <f>F59-H59</f>
        <v>5</v>
      </c>
      <c r="L59" s="817">
        <f t="shared" si="5"/>
        <v>4612.5</v>
      </c>
      <c r="M59" s="1269">
        <f t="shared" si="2"/>
        <v>0.2</v>
      </c>
      <c r="N59" s="1285">
        <f>F59-H59</f>
        <v>5</v>
      </c>
      <c r="O59" s="326"/>
    </row>
    <row r="60" spans="1:16" ht="120">
      <c r="A60" s="211" t="s">
        <v>641</v>
      </c>
      <c r="B60" s="267" t="s">
        <v>642</v>
      </c>
      <c r="C60" s="1301" t="s">
        <v>643</v>
      </c>
      <c r="D60" s="211" t="s">
        <v>612</v>
      </c>
      <c r="E60" s="223">
        <v>1271.1400000000001</v>
      </c>
      <c r="F60" s="211">
        <f>14+11</f>
        <v>25</v>
      </c>
      <c r="G60" s="1290">
        <f t="shared" si="4"/>
        <v>31778.500000000004</v>
      </c>
      <c r="H60" s="1278">
        <v>20</v>
      </c>
      <c r="I60" s="817">
        <v>25422.800000000003</v>
      </c>
      <c r="J60" s="1269">
        <f t="shared" si="0"/>
        <v>0.8</v>
      </c>
      <c r="K60" s="1278">
        <f>F60-H60</f>
        <v>5</v>
      </c>
      <c r="L60" s="817">
        <f t="shared" si="5"/>
        <v>6355.7000000000007</v>
      </c>
      <c r="M60" s="1269">
        <f t="shared" si="2"/>
        <v>0.2</v>
      </c>
      <c r="N60" s="1285">
        <f>F60-H60</f>
        <v>5</v>
      </c>
      <c r="O60" s="326"/>
    </row>
    <row r="61" spans="1:16" ht="105">
      <c r="A61" s="211" t="s">
        <v>644</v>
      </c>
      <c r="B61" s="267" t="s">
        <v>645</v>
      </c>
      <c r="C61" s="1301" t="s">
        <v>646</v>
      </c>
      <c r="D61" s="211" t="s">
        <v>637</v>
      </c>
      <c r="E61" s="223">
        <v>1299.3</v>
      </c>
      <c r="F61" s="211">
        <f>14+11</f>
        <v>25</v>
      </c>
      <c r="G61" s="1290">
        <f t="shared" si="4"/>
        <v>32482.5</v>
      </c>
      <c r="H61" s="1278">
        <v>20</v>
      </c>
      <c r="I61" s="817">
        <v>25986</v>
      </c>
      <c r="J61" s="1269">
        <f t="shared" si="0"/>
        <v>0.8</v>
      </c>
      <c r="K61" s="1278">
        <f>F61-H61</f>
        <v>5</v>
      </c>
      <c r="L61" s="817">
        <f t="shared" si="5"/>
        <v>6496.5</v>
      </c>
      <c r="M61" s="1269">
        <f t="shared" si="2"/>
        <v>0.2</v>
      </c>
      <c r="N61" s="1285">
        <f>F61-H61</f>
        <v>5</v>
      </c>
      <c r="O61" s="326"/>
    </row>
    <row r="62" spans="1:16" ht="30">
      <c r="A62" s="253" t="s">
        <v>2524</v>
      </c>
      <c r="B62" s="267" t="s">
        <v>648</v>
      </c>
      <c r="C62" s="1301" t="s">
        <v>649</v>
      </c>
      <c r="D62" s="211" t="s">
        <v>28</v>
      </c>
      <c r="E62" s="223">
        <v>1819.02</v>
      </c>
      <c r="F62" s="211">
        <v>4</v>
      </c>
      <c r="G62" s="1290">
        <f t="shared" si="4"/>
        <v>7276.08</v>
      </c>
      <c r="H62" s="1278">
        <v>4</v>
      </c>
      <c r="I62" s="817">
        <v>7276.08</v>
      </c>
      <c r="J62" s="1269">
        <f t="shared" si="0"/>
        <v>1</v>
      </c>
      <c r="K62" s="1278">
        <f>F62-H62</f>
        <v>0</v>
      </c>
      <c r="L62" s="817">
        <f t="shared" si="5"/>
        <v>0</v>
      </c>
      <c r="M62" s="1269" t="str">
        <f t="shared" si="2"/>
        <v/>
      </c>
      <c r="N62" s="1285">
        <f>F62-H62</f>
        <v>0</v>
      </c>
      <c r="O62" s="326"/>
    </row>
    <row r="63" spans="1:16" ht="90">
      <c r="A63" s="211" t="s">
        <v>650</v>
      </c>
      <c r="B63" s="267" t="s">
        <v>651</v>
      </c>
      <c r="C63" s="1301" t="s">
        <v>652</v>
      </c>
      <c r="D63" s="211" t="s">
        <v>44</v>
      </c>
      <c r="E63" s="223">
        <v>61.83</v>
      </c>
      <c r="F63" s="211">
        <v>25</v>
      </c>
      <c r="G63" s="1290">
        <f t="shared" si="4"/>
        <v>1545.75</v>
      </c>
      <c r="H63" s="1278">
        <v>25</v>
      </c>
      <c r="I63" s="817">
        <v>1545.75</v>
      </c>
      <c r="J63" s="1269">
        <f t="shared" si="0"/>
        <v>1</v>
      </c>
      <c r="K63" s="1278">
        <f>F63-H63</f>
        <v>0</v>
      </c>
      <c r="L63" s="817">
        <f t="shared" si="5"/>
        <v>0</v>
      </c>
      <c r="M63" s="1269" t="str">
        <f t="shared" si="2"/>
        <v/>
      </c>
      <c r="N63" s="1285">
        <f>F63-H63</f>
        <v>0</v>
      </c>
      <c r="O63" s="326"/>
    </row>
    <row r="64" spans="1:16" ht="90">
      <c r="A64" s="211" t="s">
        <v>653</v>
      </c>
      <c r="B64" s="267" t="s">
        <v>654</v>
      </c>
      <c r="C64" s="1301" t="s">
        <v>655</v>
      </c>
      <c r="D64" s="211" t="s">
        <v>44</v>
      </c>
      <c r="E64" s="223">
        <v>846.42</v>
      </c>
      <c r="F64" s="211">
        <v>20</v>
      </c>
      <c r="G64" s="1289">
        <f t="shared" si="4"/>
        <v>16928.399999999998</v>
      </c>
      <c r="H64" s="1278">
        <v>20</v>
      </c>
      <c r="I64" s="224">
        <v>16928.399999999998</v>
      </c>
      <c r="J64" s="1269">
        <f t="shared" si="0"/>
        <v>1</v>
      </c>
      <c r="K64" s="1278">
        <f>F64-H64</f>
        <v>0</v>
      </c>
      <c r="L64" s="224">
        <f t="shared" si="5"/>
        <v>0</v>
      </c>
      <c r="M64" s="1269" t="str">
        <f t="shared" si="2"/>
        <v/>
      </c>
      <c r="N64" s="1285">
        <f>F64-H64</f>
        <v>0</v>
      </c>
      <c r="O64" s="326"/>
    </row>
    <row r="65" spans="1:16" ht="60">
      <c r="A65" s="211" t="s">
        <v>656</v>
      </c>
      <c r="B65" s="267" t="s">
        <v>657</v>
      </c>
      <c r="C65" s="1301" t="s">
        <v>658</v>
      </c>
      <c r="D65" s="211" t="s">
        <v>44</v>
      </c>
      <c r="E65" s="223">
        <v>298.92</v>
      </c>
      <c r="F65" s="211">
        <v>15</v>
      </c>
      <c r="G65" s="1290">
        <f t="shared" si="4"/>
        <v>4483.8</v>
      </c>
      <c r="H65" s="1278">
        <v>15</v>
      </c>
      <c r="I65" s="817">
        <v>4483.8</v>
      </c>
      <c r="J65" s="1269">
        <f t="shared" si="0"/>
        <v>1</v>
      </c>
      <c r="K65" s="1278">
        <f>F65-H65</f>
        <v>0</v>
      </c>
      <c r="L65" s="817">
        <f t="shared" si="5"/>
        <v>0</v>
      </c>
      <c r="M65" s="1269" t="str">
        <f t="shared" si="2"/>
        <v/>
      </c>
      <c r="N65" s="1285">
        <f>F65-H65</f>
        <v>0</v>
      </c>
      <c r="O65" s="1423"/>
      <c r="P65" s="1424"/>
    </row>
    <row r="66" spans="1:16" ht="60">
      <c r="A66" s="211" t="s">
        <v>659</v>
      </c>
      <c r="B66" s="267" t="s">
        <v>660</v>
      </c>
      <c r="C66" s="1301" t="s">
        <v>661</v>
      </c>
      <c r="D66" s="211" t="s">
        <v>28</v>
      </c>
      <c r="E66" s="223">
        <v>3534.72</v>
      </c>
      <c r="F66" s="211">
        <v>1</v>
      </c>
      <c r="G66" s="1289">
        <f t="shared" si="4"/>
        <v>3534.72</v>
      </c>
      <c r="H66" s="1278">
        <v>1</v>
      </c>
      <c r="I66" s="224">
        <v>3534.72</v>
      </c>
      <c r="J66" s="1269">
        <f t="shared" si="0"/>
        <v>1</v>
      </c>
      <c r="K66" s="1278">
        <f>F66-H66</f>
        <v>0</v>
      </c>
      <c r="L66" s="224">
        <f t="shared" si="5"/>
        <v>0</v>
      </c>
      <c r="M66" s="1269" t="str">
        <f t="shared" si="2"/>
        <v/>
      </c>
      <c r="N66" s="1285">
        <f>F66-H66</f>
        <v>0</v>
      </c>
      <c r="O66" s="326"/>
    </row>
    <row r="67" spans="1:16" ht="90">
      <c r="A67" s="211" t="s">
        <v>662</v>
      </c>
      <c r="B67" s="267" t="s">
        <v>663</v>
      </c>
      <c r="C67" s="1301" t="s">
        <v>664</v>
      </c>
      <c r="D67" s="211" t="s">
        <v>12</v>
      </c>
      <c r="E67" s="223">
        <v>193.82</v>
      </c>
      <c r="F67" s="211">
        <v>12</v>
      </c>
      <c r="G67" s="1289">
        <f t="shared" si="4"/>
        <v>2325.84</v>
      </c>
      <c r="H67" s="1278">
        <v>12</v>
      </c>
      <c r="I67" s="224">
        <v>2325.84</v>
      </c>
      <c r="J67" s="1269">
        <f t="shared" si="0"/>
        <v>1</v>
      </c>
      <c r="K67" s="1278">
        <f>F67-H67</f>
        <v>0</v>
      </c>
      <c r="L67" s="224">
        <f t="shared" si="5"/>
        <v>0</v>
      </c>
      <c r="M67" s="1269" t="str">
        <f t="shared" si="2"/>
        <v/>
      </c>
      <c r="N67" s="1285">
        <f>F67-H67</f>
        <v>0</v>
      </c>
      <c r="O67" s="326"/>
    </row>
    <row r="68" spans="1:16" ht="105">
      <c r="A68" s="211" t="s">
        <v>665</v>
      </c>
      <c r="B68" s="267" t="s">
        <v>666</v>
      </c>
      <c r="C68" s="1301" t="s">
        <v>667</v>
      </c>
      <c r="D68" s="211" t="s">
        <v>12</v>
      </c>
      <c r="E68" s="223">
        <v>260.60000000000002</v>
      </c>
      <c r="F68" s="211">
        <v>6</v>
      </c>
      <c r="G68" s="1289">
        <f t="shared" si="4"/>
        <v>1563.6000000000001</v>
      </c>
      <c r="H68" s="1278">
        <v>6</v>
      </c>
      <c r="I68" s="224">
        <v>1563.6000000000001</v>
      </c>
      <c r="J68" s="1269">
        <f t="shared" si="0"/>
        <v>1</v>
      </c>
      <c r="K68" s="1278">
        <f>F68-H68</f>
        <v>0</v>
      </c>
      <c r="L68" s="224">
        <f t="shared" si="5"/>
        <v>0</v>
      </c>
      <c r="M68" s="1269" t="str">
        <f t="shared" si="2"/>
        <v/>
      </c>
      <c r="N68" s="1285">
        <f>F68-H68</f>
        <v>0</v>
      </c>
      <c r="O68" s="326"/>
    </row>
    <row r="69" spans="1:16" ht="90">
      <c r="A69" s="211" t="s">
        <v>668</v>
      </c>
      <c r="B69" s="267" t="s">
        <v>669</v>
      </c>
      <c r="C69" s="1301" t="s">
        <v>670</v>
      </c>
      <c r="D69" s="211" t="s">
        <v>12</v>
      </c>
      <c r="E69" s="223">
        <v>538.04999999999995</v>
      </c>
      <c r="F69" s="211">
        <v>10.9</v>
      </c>
      <c r="G69" s="1289">
        <f t="shared" si="4"/>
        <v>5864.7449999999999</v>
      </c>
      <c r="H69" s="1278">
        <v>10.9</v>
      </c>
      <c r="I69" s="224">
        <v>5864.7449999999999</v>
      </c>
      <c r="J69" s="1269">
        <f t="shared" si="0"/>
        <v>1</v>
      </c>
      <c r="K69" s="1278">
        <f>F69-H69</f>
        <v>0</v>
      </c>
      <c r="L69" s="224">
        <f t="shared" si="5"/>
        <v>0</v>
      </c>
      <c r="M69" s="1269" t="str">
        <f t="shared" si="2"/>
        <v/>
      </c>
      <c r="N69" s="1285">
        <f>F69-H69</f>
        <v>0</v>
      </c>
      <c r="O69" s="326"/>
    </row>
    <row r="70" spans="1:16" s="231" customFormat="1">
      <c r="A70" s="249" t="s">
        <v>2115</v>
      </c>
      <c r="B70" s="1459" t="s">
        <v>671</v>
      </c>
      <c r="C70" s="1459"/>
      <c r="D70" s="1459"/>
      <c r="E70" s="1459"/>
      <c r="F70" s="1459"/>
      <c r="G70" s="1291">
        <f>G71+G72+G73</f>
        <v>66634.744500000001</v>
      </c>
      <c r="H70" s="1277">
        <v>0</v>
      </c>
      <c r="I70" s="225">
        <v>65677.864499999996</v>
      </c>
      <c r="J70" s="1268">
        <f>I70/$G70</f>
        <v>0.98563992392887456</v>
      </c>
      <c r="K70" s="1277">
        <f>F70-H70</f>
        <v>0</v>
      </c>
      <c r="L70" s="225">
        <f>L71+L72+L73</f>
        <v>956.88000000000295</v>
      </c>
      <c r="M70" s="1268">
        <f>L70/$G70</f>
        <v>1.4360076071125371E-2</v>
      </c>
      <c r="N70" s="1285">
        <f>F70-H70</f>
        <v>0</v>
      </c>
      <c r="O70" s="326"/>
    </row>
    <row r="71" spans="1:16" s="262" customFormat="1" ht="30">
      <c r="A71" s="259" t="s">
        <v>672</v>
      </c>
      <c r="B71" s="809" t="s">
        <v>673</v>
      </c>
      <c r="C71" s="1302" t="s">
        <v>674</v>
      </c>
      <c r="D71" s="259" t="s">
        <v>44</v>
      </c>
      <c r="E71" s="260">
        <v>16.68</v>
      </c>
      <c r="F71" s="259">
        <f>288+384</f>
        <v>672</v>
      </c>
      <c r="G71" s="1293">
        <f t="shared" si="4"/>
        <v>11208.96</v>
      </c>
      <c r="H71" s="1278">
        <v>672</v>
      </c>
      <c r="I71" s="261">
        <v>11208.96</v>
      </c>
      <c r="J71" s="1270">
        <f t="shared" si="0"/>
        <v>1</v>
      </c>
      <c r="K71" s="1280">
        <f>F71-H71</f>
        <v>0</v>
      </c>
      <c r="L71" s="261">
        <f>K71*$E71</f>
        <v>0</v>
      </c>
      <c r="M71" s="1270" t="str">
        <f t="shared" si="2"/>
        <v/>
      </c>
      <c r="N71" s="1285">
        <f>F71-H71</f>
        <v>0</v>
      </c>
      <c r="O71" s="326"/>
    </row>
    <row r="72" spans="1:16" ht="60">
      <c r="A72" s="253" t="s">
        <v>2538</v>
      </c>
      <c r="B72" s="267" t="s">
        <v>66</v>
      </c>
      <c r="C72" s="1301" t="s">
        <v>67</v>
      </c>
      <c r="D72" s="211" t="s">
        <v>12</v>
      </c>
      <c r="E72" s="223">
        <v>26.58</v>
      </c>
      <c r="F72" s="213">
        <v>1039.6500000000001</v>
      </c>
      <c r="G72" s="1290">
        <f t="shared" si="4"/>
        <v>27633.897000000001</v>
      </c>
      <c r="H72" s="1278">
        <v>1003.65</v>
      </c>
      <c r="I72" s="817">
        <v>26677.016999999996</v>
      </c>
      <c r="J72" s="1269">
        <f t="shared" si="0"/>
        <v>0.96537296205453749</v>
      </c>
      <c r="K72" s="1278">
        <f>F72-H72</f>
        <v>36.000000000000114</v>
      </c>
      <c r="L72" s="817">
        <f>K72*$E72</f>
        <v>956.88000000000295</v>
      </c>
      <c r="M72" s="1269">
        <f t="shared" si="2"/>
        <v>3.462703794546252E-2</v>
      </c>
      <c r="N72" s="1285">
        <f>F72-H72</f>
        <v>36.000000000000114</v>
      </c>
      <c r="O72" s="326"/>
    </row>
    <row r="73" spans="1:16" ht="90">
      <c r="A73" s="211" t="s">
        <v>676</v>
      </c>
      <c r="B73" s="267" t="s">
        <v>69</v>
      </c>
      <c r="C73" s="1301" t="s">
        <v>70</v>
      </c>
      <c r="D73" s="211" t="s">
        <v>12</v>
      </c>
      <c r="E73" s="223">
        <v>30.65</v>
      </c>
      <c r="F73" s="211">
        <v>906.75</v>
      </c>
      <c r="G73" s="1289">
        <f>F73*$E73</f>
        <v>27791.887499999997</v>
      </c>
      <c r="H73" s="1278">
        <v>906.75</v>
      </c>
      <c r="I73" s="224">
        <v>27791.887499999997</v>
      </c>
      <c r="J73" s="1269">
        <f t="shared" si="0"/>
        <v>1</v>
      </c>
      <c r="K73" s="1278">
        <f>F73-H73</f>
        <v>0</v>
      </c>
      <c r="L73" s="224">
        <f>K73*$E73</f>
        <v>0</v>
      </c>
      <c r="M73" s="1269" t="str">
        <f t="shared" si="2"/>
        <v/>
      </c>
      <c r="N73" s="1285">
        <f>F73-H73</f>
        <v>0</v>
      </c>
      <c r="O73" s="326"/>
    </row>
    <row r="74" spans="1:16" s="231" customFormat="1">
      <c r="A74" s="249" t="s">
        <v>2116</v>
      </c>
      <c r="B74" s="1459" t="s">
        <v>677</v>
      </c>
      <c r="C74" s="1459"/>
      <c r="D74" s="1459"/>
      <c r="E74" s="1459"/>
      <c r="F74" s="1459"/>
      <c r="G74" s="1291">
        <f>G75+G76</f>
        <v>1781.1999999999998</v>
      </c>
      <c r="H74" s="1277">
        <v>0</v>
      </c>
      <c r="I74" s="225">
        <v>1781.1999999999998</v>
      </c>
      <c r="J74" s="1268">
        <f>I74/$G74</f>
        <v>1</v>
      </c>
      <c r="K74" s="1277">
        <f>F74-H74</f>
        <v>0</v>
      </c>
      <c r="L74" s="225">
        <f>L75+L76</f>
        <v>0</v>
      </c>
      <c r="M74" s="1268">
        <f>L74/$G74</f>
        <v>0</v>
      </c>
      <c r="N74" s="1285">
        <f>F74-H74</f>
        <v>0</v>
      </c>
      <c r="O74" s="326"/>
    </row>
    <row r="75" spans="1:16" ht="90">
      <c r="A75" s="211" t="s">
        <v>678</v>
      </c>
      <c r="B75" s="267" t="s">
        <v>679</v>
      </c>
      <c r="C75" s="1301" t="s">
        <v>680</v>
      </c>
      <c r="D75" s="211" t="s">
        <v>28</v>
      </c>
      <c r="E75" s="223">
        <v>422.84</v>
      </c>
      <c r="F75" s="211">
        <v>4</v>
      </c>
      <c r="G75" s="1289">
        <f t="shared" si="4"/>
        <v>1691.36</v>
      </c>
      <c r="H75" s="1278">
        <v>4</v>
      </c>
      <c r="I75" s="224">
        <v>1691.36</v>
      </c>
      <c r="J75" s="1269">
        <f t="shared" ref="J75:J124" si="6">IF(H75=0,"",H75/$F75)</f>
        <v>1</v>
      </c>
      <c r="K75" s="1278">
        <f>F75-H75</f>
        <v>0</v>
      </c>
      <c r="L75" s="224">
        <f>K75*$E75</f>
        <v>0</v>
      </c>
      <c r="M75" s="1269" t="str">
        <f t="shared" ref="M75:M124" si="7">IF(K75=0,"",K75/$F75)</f>
        <v/>
      </c>
      <c r="N75" s="1285">
        <f>F75-H75</f>
        <v>0</v>
      </c>
      <c r="O75" s="326"/>
    </row>
    <row r="76" spans="1:16" ht="30">
      <c r="A76" s="211" t="s">
        <v>681</v>
      </c>
      <c r="B76" s="267" t="s">
        <v>682</v>
      </c>
      <c r="C76" s="1301" t="s">
        <v>683</v>
      </c>
      <c r="D76" s="211" t="s">
        <v>28</v>
      </c>
      <c r="E76" s="223">
        <v>22.46</v>
      </c>
      <c r="F76" s="211">
        <v>4</v>
      </c>
      <c r="G76" s="1289">
        <f t="shared" si="4"/>
        <v>89.84</v>
      </c>
      <c r="H76" s="1278">
        <v>4</v>
      </c>
      <c r="I76" s="224">
        <v>89.84</v>
      </c>
      <c r="J76" s="1269">
        <f t="shared" si="6"/>
        <v>1</v>
      </c>
      <c r="K76" s="1278">
        <f>F76-H76</f>
        <v>0</v>
      </c>
      <c r="L76" s="224">
        <f>K76*$E76</f>
        <v>0</v>
      </c>
      <c r="M76" s="1269" t="str">
        <f t="shared" si="7"/>
        <v/>
      </c>
      <c r="N76" s="1285">
        <f>F76-H76</f>
        <v>0</v>
      </c>
      <c r="O76" s="326"/>
    </row>
    <row r="77" spans="1:16" s="230" customFormat="1" ht="15.75">
      <c r="A77" s="252" t="s">
        <v>684</v>
      </c>
      <c r="B77" s="1446" t="s">
        <v>685</v>
      </c>
      <c r="C77" s="1446"/>
      <c r="D77" s="1446"/>
      <c r="E77" s="1446"/>
      <c r="F77" s="1446"/>
      <c r="G77" s="1292">
        <f>G80+G83+G78</f>
        <v>88604.840400000016</v>
      </c>
      <c r="H77" s="226"/>
      <c r="I77" s="226">
        <v>89070.817002000011</v>
      </c>
      <c r="J77" s="1267">
        <f>I77/$G77</f>
        <v>1.0052590422813965</v>
      </c>
      <c r="K77" s="1279">
        <f>F77-H77</f>
        <v>0</v>
      </c>
      <c r="L77" s="226">
        <f>L80+L83+L78</f>
        <v>0</v>
      </c>
      <c r="M77" s="1267">
        <f>L77/$G77</f>
        <v>0</v>
      </c>
      <c r="N77" s="1285">
        <f>F77-H77</f>
        <v>0</v>
      </c>
      <c r="O77" s="326"/>
      <c r="P77" s="1425"/>
    </row>
    <row r="78" spans="1:16" s="231" customFormat="1">
      <c r="A78" s="251" t="s">
        <v>686</v>
      </c>
      <c r="B78" s="811" t="s">
        <v>687</v>
      </c>
      <c r="C78" s="1303"/>
      <c r="D78" s="251"/>
      <c r="E78" s="251"/>
      <c r="F78" s="251"/>
      <c r="G78" s="1291">
        <f>G79</f>
        <v>12884.978400000002</v>
      </c>
      <c r="H78" s="1278">
        <v>0</v>
      </c>
      <c r="I78" s="225">
        <v>13350.775938000001</v>
      </c>
      <c r="J78" s="1268">
        <f>I78/$G78</f>
        <v>1.0361504321963007</v>
      </c>
      <c r="K78" s="1277">
        <f>F78-H78</f>
        <v>0</v>
      </c>
      <c r="L78" s="225">
        <f>L79</f>
        <v>0</v>
      </c>
      <c r="M78" s="1268">
        <f>L78/$G78</f>
        <v>0</v>
      </c>
      <c r="N78" s="1285">
        <f>F78-H78</f>
        <v>0</v>
      </c>
      <c r="O78" s="1430"/>
    </row>
    <row r="79" spans="1:16" ht="30">
      <c r="A79" s="253" t="s">
        <v>2544</v>
      </c>
      <c r="B79" s="267" t="s">
        <v>689</v>
      </c>
      <c r="C79" s="210" t="s">
        <v>690</v>
      </c>
      <c r="D79" s="211" t="s">
        <v>51</v>
      </c>
      <c r="E79" s="223">
        <v>59.88</v>
      </c>
      <c r="F79" s="211">
        <v>215.18</v>
      </c>
      <c r="G79" s="1290">
        <f>F79*$E79</f>
        <v>12884.978400000002</v>
      </c>
      <c r="H79" s="1278">
        <v>222.95885000000001</v>
      </c>
      <c r="I79" s="817">
        <v>13350.775938000001</v>
      </c>
      <c r="J79" s="1269">
        <f t="shared" si="6"/>
        <v>1.0361504321963009</v>
      </c>
      <c r="K79" s="1278">
        <v>0</v>
      </c>
      <c r="L79" s="817">
        <f>K79*$E79</f>
        <v>0</v>
      </c>
      <c r="M79" s="1269" t="str">
        <f t="shared" si="7"/>
        <v/>
      </c>
      <c r="N79" s="1285">
        <f>F79-H79</f>
        <v>-7.7788500000000056</v>
      </c>
      <c r="O79" s="1430"/>
    </row>
    <row r="80" spans="1:16" s="231" customFormat="1">
      <c r="A80" s="251" t="s">
        <v>691</v>
      </c>
      <c r="B80" s="1445" t="s">
        <v>692</v>
      </c>
      <c r="C80" s="1445"/>
      <c r="D80" s="1445"/>
      <c r="E80" s="1445"/>
      <c r="F80" s="1445"/>
      <c r="G80" s="1291">
        <f>G81+G82</f>
        <v>59997.342000000004</v>
      </c>
      <c r="H80" s="1278">
        <v>0</v>
      </c>
      <c r="I80" s="225">
        <v>59997.521064000008</v>
      </c>
      <c r="J80" s="1268">
        <f>I80/$G80</f>
        <v>1.0000029845322149</v>
      </c>
      <c r="K80" s="1277">
        <f>F80-H80</f>
        <v>0</v>
      </c>
      <c r="L80" s="225">
        <f>L81+L82</f>
        <v>0</v>
      </c>
      <c r="M80" s="1268">
        <f>L80/$G80</f>
        <v>0</v>
      </c>
      <c r="N80" s="1285">
        <f>F80-H80</f>
        <v>0</v>
      </c>
      <c r="O80" s="326"/>
    </row>
    <row r="81" spans="1:17" s="262" customFormat="1" ht="75">
      <c r="A81" s="850" t="s">
        <v>2664</v>
      </c>
      <c r="B81" s="809" t="s">
        <v>694</v>
      </c>
      <c r="C81" s="883" t="s">
        <v>695</v>
      </c>
      <c r="D81" s="259" t="s">
        <v>51</v>
      </c>
      <c r="E81" s="260">
        <v>198.96</v>
      </c>
      <c r="F81" s="259">
        <f>177.61+47.09</f>
        <v>224.70000000000002</v>
      </c>
      <c r="G81" s="1294">
        <f>F81*$E81</f>
        <v>44706.312000000005</v>
      </c>
      <c r="H81" s="1278">
        <v>224.70090000000002</v>
      </c>
      <c r="I81" s="852">
        <v>44706.491064000009</v>
      </c>
      <c r="J81" s="1270">
        <f t="shared" si="6"/>
        <v>1.000004005340454</v>
      </c>
      <c r="K81" s="1280">
        <v>0</v>
      </c>
      <c r="L81" s="852">
        <f>K81*$E81</f>
        <v>0</v>
      </c>
      <c r="M81" s="1270" t="str">
        <f t="shared" si="7"/>
        <v/>
      </c>
      <c r="N81" s="1285">
        <f>F81-H81</f>
        <v>-9.0000000000145519E-4</v>
      </c>
      <c r="O81" s="326"/>
    </row>
    <row r="82" spans="1:17" ht="30">
      <c r="A82" s="253" t="s">
        <v>3157</v>
      </c>
      <c r="B82" s="267" t="s">
        <v>697</v>
      </c>
      <c r="C82" s="210" t="s">
        <v>698</v>
      </c>
      <c r="D82" s="211" t="s">
        <v>51</v>
      </c>
      <c r="E82" s="223">
        <v>172.78</v>
      </c>
      <c r="F82" s="211">
        <v>88.5</v>
      </c>
      <c r="G82" s="1289">
        <f>F82*$E82</f>
        <v>15291.03</v>
      </c>
      <c r="H82" s="1278">
        <v>88.5</v>
      </c>
      <c r="I82" s="224">
        <v>15291.03</v>
      </c>
      <c r="J82" s="1269">
        <f t="shared" si="6"/>
        <v>1</v>
      </c>
      <c r="K82" s="1278">
        <f>F82-H82</f>
        <v>0</v>
      </c>
      <c r="L82" s="224">
        <f>K82*$E82</f>
        <v>0</v>
      </c>
      <c r="M82" s="1269" t="str">
        <f t="shared" si="7"/>
        <v/>
      </c>
      <c r="N82" s="1285">
        <f>F82-H82</f>
        <v>0</v>
      </c>
      <c r="O82" s="326"/>
    </row>
    <row r="83" spans="1:17" s="231" customFormat="1">
      <c r="A83" s="251" t="s">
        <v>699</v>
      </c>
      <c r="B83" s="1445" t="s">
        <v>700</v>
      </c>
      <c r="C83" s="1445"/>
      <c r="D83" s="1445"/>
      <c r="E83" s="1445"/>
      <c r="F83" s="1445"/>
      <c r="G83" s="1291">
        <f>G84</f>
        <v>15722.52</v>
      </c>
      <c r="H83" s="1277">
        <v>0</v>
      </c>
      <c r="I83" s="225">
        <v>15722.52</v>
      </c>
      <c r="J83" s="1268">
        <f>I83/$G83</f>
        <v>1</v>
      </c>
      <c r="K83" s="1277">
        <f>F83-H83</f>
        <v>0</v>
      </c>
      <c r="L83" s="225">
        <f>L84</f>
        <v>0</v>
      </c>
      <c r="M83" s="1268">
        <f>L83/$G83</f>
        <v>0</v>
      </c>
      <c r="N83" s="1285">
        <f>F83-H83</f>
        <v>0</v>
      </c>
      <c r="O83" s="326"/>
    </row>
    <row r="84" spans="1:17" ht="60">
      <c r="A84" s="211" t="s">
        <v>701</v>
      </c>
      <c r="B84" s="267" t="s">
        <v>702</v>
      </c>
      <c r="C84" s="1301" t="s">
        <v>703</v>
      </c>
      <c r="D84" s="211" t="s">
        <v>28</v>
      </c>
      <c r="E84" s="223">
        <v>3930.63</v>
      </c>
      <c r="F84" s="211">
        <v>4</v>
      </c>
      <c r="G84" s="1290">
        <f>F84*$E84</f>
        <v>15722.52</v>
      </c>
      <c r="H84" s="1278">
        <v>4</v>
      </c>
      <c r="I84" s="817">
        <v>15722.52</v>
      </c>
      <c r="J84" s="1269">
        <f t="shared" si="6"/>
        <v>1</v>
      </c>
      <c r="K84" s="1278">
        <f>F84-H84</f>
        <v>0</v>
      </c>
      <c r="L84" s="817">
        <f>K84*$E84</f>
        <v>0</v>
      </c>
      <c r="M84" s="1269" t="str">
        <f t="shared" si="7"/>
        <v/>
      </c>
      <c r="N84" s="1285">
        <f>F84-H84</f>
        <v>0</v>
      </c>
      <c r="O84" s="326"/>
    </row>
    <row r="85" spans="1:17" s="230" customFormat="1" ht="18.75">
      <c r="A85" s="247" t="s">
        <v>2118</v>
      </c>
      <c r="B85" s="1470" t="s">
        <v>704</v>
      </c>
      <c r="C85" s="1470"/>
      <c r="D85" s="1470"/>
      <c r="E85" s="1470"/>
      <c r="F85" s="1470"/>
      <c r="G85" s="1292">
        <f>G86+G94+G101+G103+G106+G110+G113</f>
        <v>605624.30340000009</v>
      </c>
      <c r="H85" s="1276">
        <v>0</v>
      </c>
      <c r="I85" s="226">
        <v>610218.11310281523</v>
      </c>
      <c r="J85" s="1267">
        <f>I85/$G85</f>
        <v>1.0075852466240627</v>
      </c>
      <c r="K85" s="1279">
        <f>F85-H85</f>
        <v>0</v>
      </c>
      <c r="L85" s="226">
        <f>L86+L94+L101+L103+L106+L110+L113</f>
        <v>-4586.4572101620033</v>
      </c>
      <c r="M85" s="1271">
        <f>L85/$G85</f>
        <v>-7.5731062713524557E-3</v>
      </c>
      <c r="N85" s="1285">
        <f>F85-H85</f>
        <v>0</v>
      </c>
      <c r="O85" s="326"/>
      <c r="P85" s="1425"/>
    </row>
    <row r="86" spans="1:17" s="231" customFormat="1">
      <c r="A86" s="249" t="s">
        <v>2119</v>
      </c>
      <c r="B86" s="1459" t="s">
        <v>705</v>
      </c>
      <c r="C86" s="1459"/>
      <c r="D86" s="1459"/>
      <c r="E86" s="1459"/>
      <c r="F86" s="1459"/>
      <c r="G86" s="1291">
        <f>SUM(G87:G93)</f>
        <v>147905.58180000001</v>
      </c>
      <c r="H86" s="1277">
        <v>0</v>
      </c>
      <c r="I86" s="225">
        <v>152660.98822316198</v>
      </c>
      <c r="J86" s="1268">
        <f>I86/$G86</f>
        <v>1.032151635964573</v>
      </c>
      <c r="K86" s="1277">
        <f>F86-H86</f>
        <v>0</v>
      </c>
      <c r="L86" s="225">
        <f>SUM(L87:L93)</f>
        <v>-4757.5695951620082</v>
      </c>
      <c r="M86" s="1268">
        <f>L86/$G86</f>
        <v>-3.2166261322005139E-2</v>
      </c>
      <c r="N86" s="1285">
        <f>F86-H86</f>
        <v>0</v>
      </c>
      <c r="O86" s="326"/>
    </row>
    <row r="87" spans="1:17" ht="60">
      <c r="A87" s="211" t="s">
        <v>706</v>
      </c>
      <c r="B87" s="267" t="s">
        <v>707</v>
      </c>
      <c r="C87" s="1301" t="s">
        <v>708</v>
      </c>
      <c r="D87" s="211" t="s">
        <v>12</v>
      </c>
      <c r="E87" s="229">
        <v>115.16</v>
      </c>
      <c r="F87" s="211">
        <f>270.63+4.83</f>
        <v>275.45999999999998</v>
      </c>
      <c r="G87" s="1290">
        <f t="shared" ref="G87:G93" si="8">F87*$E87</f>
        <v>31721.973599999998</v>
      </c>
      <c r="H87" s="1278">
        <v>290.81599999999997</v>
      </c>
      <c r="I87" s="817">
        <v>33490.370559999996</v>
      </c>
      <c r="J87" s="1269">
        <f t="shared" si="6"/>
        <v>1.0557467508894214</v>
      </c>
      <c r="K87" s="1278">
        <f>F87-H87</f>
        <v>-15.355999999999995</v>
      </c>
      <c r="L87" s="817">
        <f t="shared" ref="L87:L93" si="9">K87*$E87</f>
        <v>-1768.3969599999994</v>
      </c>
      <c r="M87" s="1269">
        <f t="shared" si="7"/>
        <v>-5.5746750889421319E-2</v>
      </c>
      <c r="N87" s="1285">
        <f>F87-H87</f>
        <v>-15.355999999999995</v>
      </c>
      <c r="O87" s="1430"/>
      <c r="Q87" s="1285">
        <f>H87-N87</f>
        <v>306.17199999999997</v>
      </c>
    </row>
    <row r="88" spans="1:17" ht="45">
      <c r="A88" s="211" t="s">
        <v>709</v>
      </c>
      <c r="B88" s="267" t="s">
        <v>710</v>
      </c>
      <c r="C88" s="1301" t="s">
        <v>110</v>
      </c>
      <c r="D88" s="211" t="s">
        <v>92</v>
      </c>
      <c r="E88" s="229">
        <v>16.03</v>
      </c>
      <c r="F88" s="213">
        <f>1256.09+96.23</f>
        <v>1352.32</v>
      </c>
      <c r="G88" s="1290">
        <f t="shared" si="8"/>
        <v>21677.689600000002</v>
      </c>
      <c r="H88" s="1278">
        <v>1361.8819100000003</v>
      </c>
      <c r="I88" s="817">
        <v>21830.967017300005</v>
      </c>
      <c r="J88" s="1269">
        <f t="shared" si="6"/>
        <v>1.0070707450899199</v>
      </c>
      <c r="K88" s="1278">
        <f>F88-H88</f>
        <v>-9.5619100000003527</v>
      </c>
      <c r="L88" s="817">
        <f t="shared" si="9"/>
        <v>-153.27741730000565</v>
      </c>
      <c r="M88" s="1269">
        <f t="shared" si="7"/>
        <v>-7.0707450899198067E-3</v>
      </c>
      <c r="N88" s="1285">
        <f>F88-H88</f>
        <v>-9.5619100000003527</v>
      </c>
      <c r="O88" s="1430"/>
    </row>
    <row r="89" spans="1:17" ht="45">
      <c r="A89" s="211" t="s">
        <v>711</v>
      </c>
      <c r="B89" s="267" t="s">
        <v>712</v>
      </c>
      <c r="C89" s="1301" t="s">
        <v>104</v>
      </c>
      <c r="D89" s="211" t="s">
        <v>92</v>
      </c>
      <c r="E89" s="229">
        <v>13.93</v>
      </c>
      <c r="F89" s="213">
        <v>1884.66</v>
      </c>
      <c r="G89" s="1290">
        <f t="shared" si="8"/>
        <v>26253.3138</v>
      </c>
      <c r="H89" s="1278">
        <v>2088.2418534000003</v>
      </c>
      <c r="I89" s="817">
        <v>29089.209017862002</v>
      </c>
      <c r="J89" s="1269">
        <f t="shared" si="6"/>
        <v>1.1080204670338418</v>
      </c>
      <c r="K89" s="1278">
        <f>F89-H89</f>
        <v>-203.58185340000023</v>
      </c>
      <c r="L89" s="817">
        <f t="shared" si="9"/>
        <v>-2835.8952178620029</v>
      </c>
      <c r="M89" s="1269">
        <f t="shared" si="7"/>
        <v>-0.10802046703384176</v>
      </c>
      <c r="N89" s="1285">
        <f>F89-H89</f>
        <v>-203.58185340000023</v>
      </c>
      <c r="O89" s="1430"/>
    </row>
    <row r="90" spans="1:17" ht="45">
      <c r="A90" s="211" t="s">
        <v>713</v>
      </c>
      <c r="B90" s="267" t="s">
        <v>714</v>
      </c>
      <c r="C90" s="1301" t="s">
        <v>715</v>
      </c>
      <c r="D90" s="211" t="s">
        <v>92</v>
      </c>
      <c r="E90" s="227">
        <v>14.73</v>
      </c>
      <c r="F90" s="211">
        <f>899.84+7.32</f>
        <v>907.16000000000008</v>
      </c>
      <c r="G90" s="1289">
        <f t="shared" si="8"/>
        <v>13362.466800000002</v>
      </c>
      <c r="H90" s="1278">
        <v>907.16</v>
      </c>
      <c r="I90" s="224">
        <v>13362.4668</v>
      </c>
      <c r="J90" s="1269">
        <f t="shared" si="6"/>
        <v>0.99999999999999989</v>
      </c>
      <c r="K90" s="1278">
        <f>F90-H90</f>
        <v>0</v>
      </c>
      <c r="L90" s="224">
        <f t="shared" si="9"/>
        <v>0</v>
      </c>
      <c r="M90" s="1269" t="str">
        <f t="shared" si="7"/>
        <v/>
      </c>
      <c r="N90" s="1285">
        <f>F90-H90</f>
        <v>0</v>
      </c>
      <c r="O90" s="326"/>
    </row>
    <row r="91" spans="1:17" ht="75">
      <c r="A91" s="253" t="s">
        <v>2595</v>
      </c>
      <c r="B91" s="267" t="s">
        <v>717</v>
      </c>
      <c r="C91" s="1301" t="s">
        <v>718</v>
      </c>
      <c r="D91" s="211" t="s">
        <v>51</v>
      </c>
      <c r="E91" s="229">
        <v>709.12</v>
      </c>
      <c r="F91" s="211">
        <f>62.68+4.67</f>
        <v>67.349999999999994</v>
      </c>
      <c r="G91" s="1290">
        <f t="shared" si="8"/>
        <v>47759.231999999996</v>
      </c>
      <c r="H91" s="1278">
        <v>67.347000000000008</v>
      </c>
      <c r="I91" s="817">
        <v>47757.104640000005</v>
      </c>
      <c r="J91" s="1269">
        <f t="shared" si="6"/>
        <v>0.99995545657015616</v>
      </c>
      <c r="K91" s="1278">
        <v>0</v>
      </c>
      <c r="L91" s="817">
        <f t="shared" si="9"/>
        <v>0</v>
      </c>
      <c r="M91" s="1269" t="str">
        <f t="shared" si="7"/>
        <v/>
      </c>
      <c r="N91" s="1285">
        <f>F91-H91</f>
        <v>2.9999999999859028E-3</v>
      </c>
      <c r="O91" s="326"/>
    </row>
    <row r="92" spans="1:17" ht="60">
      <c r="A92" s="211" t="s">
        <v>719</v>
      </c>
      <c r="B92" s="267" t="s">
        <v>720</v>
      </c>
      <c r="C92" s="1301" t="s">
        <v>721</v>
      </c>
      <c r="D92" s="211" t="s">
        <v>51</v>
      </c>
      <c r="E92" s="229">
        <v>716.24</v>
      </c>
      <c r="F92" s="211">
        <v>8.76</v>
      </c>
      <c r="G92" s="1290">
        <f t="shared" si="8"/>
        <v>6274.2623999999996</v>
      </c>
      <c r="H92" s="1278">
        <v>8.7599499999999999</v>
      </c>
      <c r="I92" s="817">
        <v>6274.2265880000004</v>
      </c>
      <c r="J92" s="1269">
        <f t="shared" si="6"/>
        <v>0.99999429223744296</v>
      </c>
      <c r="K92" s="1278">
        <v>0</v>
      </c>
      <c r="L92" s="817">
        <f t="shared" si="9"/>
        <v>0</v>
      </c>
      <c r="M92" s="1269" t="str">
        <f t="shared" si="7"/>
        <v/>
      </c>
      <c r="N92" s="1285">
        <f>F92-H92</f>
        <v>4.9999999999883471E-5</v>
      </c>
      <c r="O92" s="326"/>
    </row>
    <row r="93" spans="1:17" ht="30">
      <c r="A93" s="211" t="s">
        <v>722</v>
      </c>
      <c r="B93" s="267" t="s">
        <v>723</v>
      </c>
      <c r="C93" s="1301" t="s">
        <v>724</v>
      </c>
      <c r="D93" s="211" t="s">
        <v>12</v>
      </c>
      <c r="E93" s="227">
        <v>5.26</v>
      </c>
      <c r="F93" s="211">
        <f>144.73+18.13</f>
        <v>162.85999999999999</v>
      </c>
      <c r="G93" s="1289">
        <f t="shared" si="8"/>
        <v>856.64359999999988</v>
      </c>
      <c r="H93" s="1278">
        <v>162.86000000000001</v>
      </c>
      <c r="I93" s="224">
        <v>856.64359999999999</v>
      </c>
      <c r="J93" s="1269">
        <f t="shared" si="6"/>
        <v>1.0000000000000002</v>
      </c>
      <c r="K93" s="1278">
        <f>F93-H93</f>
        <v>0</v>
      </c>
      <c r="L93" s="224">
        <f t="shared" si="9"/>
        <v>0</v>
      </c>
      <c r="M93" s="1269" t="str">
        <f t="shared" si="7"/>
        <v/>
      </c>
      <c r="N93" s="1285">
        <f>F93-H93</f>
        <v>0</v>
      </c>
      <c r="O93" s="326"/>
    </row>
    <row r="94" spans="1:17" s="231" customFormat="1">
      <c r="A94" s="249" t="s">
        <v>2120</v>
      </c>
      <c r="B94" s="1459" t="s">
        <v>725</v>
      </c>
      <c r="C94" s="1459"/>
      <c r="D94" s="1459"/>
      <c r="E94" s="1459"/>
      <c r="F94" s="1459"/>
      <c r="G94" s="1291">
        <f>SUM(G95:G100)</f>
        <v>212600.39020000002</v>
      </c>
      <c r="H94" s="1277">
        <v>0</v>
      </c>
      <c r="I94" s="225">
        <v>212608.76783639999</v>
      </c>
      <c r="J94" s="1268">
        <f>I94/$G94</f>
        <v>1.0000394055551454</v>
      </c>
      <c r="K94" s="1277">
        <f>F94-H94</f>
        <v>0</v>
      </c>
      <c r="L94" s="225">
        <f>SUM(L95:L100)</f>
        <v>0</v>
      </c>
      <c r="M94" s="1268">
        <f>L94/$G94</f>
        <v>0</v>
      </c>
      <c r="N94" s="1285">
        <f>F94-H94</f>
        <v>0</v>
      </c>
      <c r="O94" s="326"/>
    </row>
    <row r="95" spans="1:17" ht="105">
      <c r="A95" s="253" t="s">
        <v>2600</v>
      </c>
      <c r="B95" s="267" t="s">
        <v>112</v>
      </c>
      <c r="C95" s="1301" t="s">
        <v>113</v>
      </c>
      <c r="D95" s="211" t="s">
        <v>12</v>
      </c>
      <c r="E95" s="228">
        <v>135.38999999999999</v>
      </c>
      <c r="F95" s="211">
        <f>669.36+12.92</f>
        <v>682.28</v>
      </c>
      <c r="G95" s="1289">
        <f t="shared" ref="G95:G100" si="10">F95*$E95</f>
        <v>92373.889199999991</v>
      </c>
      <c r="H95" s="1278">
        <v>682.28370000000007</v>
      </c>
      <c r="I95" s="224">
        <v>92374.390142999997</v>
      </c>
      <c r="J95" s="1269">
        <f t="shared" si="6"/>
        <v>1.0000054229934925</v>
      </c>
      <c r="K95" s="1278">
        <v>0</v>
      </c>
      <c r="L95" s="224">
        <f t="shared" ref="L95:L100" si="11">K95*$E95</f>
        <v>0</v>
      </c>
      <c r="M95" s="1269" t="str">
        <f t="shared" si="7"/>
        <v/>
      </c>
      <c r="N95" s="1285">
        <f>F95-H95</f>
        <v>-3.7000000000944056E-3</v>
      </c>
      <c r="O95" s="326"/>
    </row>
    <row r="96" spans="1:17" ht="45">
      <c r="A96" s="253" t="s">
        <v>2611</v>
      </c>
      <c r="B96" s="267" t="s">
        <v>109</v>
      </c>
      <c r="C96" s="1301" t="s">
        <v>110</v>
      </c>
      <c r="D96" s="211" t="s">
        <v>92</v>
      </c>
      <c r="E96" s="229">
        <v>16.03</v>
      </c>
      <c r="F96" s="211">
        <f>582.77+59.76</f>
        <v>642.53</v>
      </c>
      <c r="G96" s="1289">
        <f t="shared" si="10"/>
        <v>10299.7559</v>
      </c>
      <c r="H96" s="1278">
        <v>642.52500000000009</v>
      </c>
      <c r="I96" s="224">
        <v>10299.675750000002</v>
      </c>
      <c r="J96" s="1269">
        <f t="shared" si="6"/>
        <v>0.99999221826218254</v>
      </c>
      <c r="K96" s="1278">
        <v>0</v>
      </c>
      <c r="L96" s="224">
        <f t="shared" si="11"/>
        <v>0</v>
      </c>
      <c r="M96" s="1269" t="str">
        <f t="shared" si="7"/>
        <v/>
      </c>
      <c r="N96" s="1285">
        <f>F96-H96</f>
        <v>4.9999999998817657E-3</v>
      </c>
      <c r="O96" s="326"/>
    </row>
    <row r="97" spans="1:15" ht="45">
      <c r="A97" s="211" t="s">
        <v>728</v>
      </c>
      <c r="B97" s="267" t="s">
        <v>103</v>
      </c>
      <c r="C97" s="1301" t="s">
        <v>104</v>
      </c>
      <c r="D97" s="211" t="s">
        <v>92</v>
      </c>
      <c r="E97" s="229">
        <v>13.93</v>
      </c>
      <c r="F97" s="213">
        <v>2011.57</v>
      </c>
      <c r="G97" s="1290">
        <f t="shared" si="10"/>
        <v>28021.170099999999</v>
      </c>
      <c r="H97" s="1278">
        <v>2011.5700000000004</v>
      </c>
      <c r="I97" s="817">
        <v>28021.170100000007</v>
      </c>
      <c r="J97" s="1269">
        <f t="shared" si="6"/>
        <v>1.0000000000000002</v>
      </c>
      <c r="K97" s="1278">
        <f>F97-H97</f>
        <v>0</v>
      </c>
      <c r="L97" s="817">
        <f t="shared" si="11"/>
        <v>0</v>
      </c>
      <c r="M97" s="1269" t="str">
        <f t="shared" si="7"/>
        <v/>
      </c>
      <c r="N97" s="1285">
        <f>F97-H97</f>
        <v>0</v>
      </c>
      <c r="O97" s="326"/>
    </row>
    <row r="98" spans="1:15" ht="45">
      <c r="A98" s="211" t="s">
        <v>729</v>
      </c>
      <c r="B98" s="267" t="s">
        <v>106</v>
      </c>
      <c r="C98" s="1301" t="s">
        <v>107</v>
      </c>
      <c r="D98" s="211" t="s">
        <v>92</v>
      </c>
      <c r="E98" s="229">
        <v>14.73</v>
      </c>
      <c r="F98" s="213">
        <f>2126.94+554</f>
        <v>2680.94</v>
      </c>
      <c r="G98" s="1290">
        <f t="shared" si="10"/>
        <v>39490.246200000001</v>
      </c>
      <c r="H98" s="1278">
        <v>2680.94</v>
      </c>
      <c r="I98" s="817">
        <v>39490.246200000001</v>
      </c>
      <c r="J98" s="1269">
        <f t="shared" si="6"/>
        <v>1</v>
      </c>
      <c r="K98" s="1278">
        <f>F98-H98</f>
        <v>0</v>
      </c>
      <c r="L98" s="817">
        <f t="shared" si="11"/>
        <v>0</v>
      </c>
      <c r="M98" s="1269" t="str">
        <f t="shared" si="7"/>
        <v/>
      </c>
      <c r="N98" s="1285">
        <f>F98-H98</f>
        <v>0</v>
      </c>
      <c r="O98" s="326"/>
    </row>
    <row r="99" spans="1:15" ht="75">
      <c r="A99" s="253" t="s">
        <v>2619</v>
      </c>
      <c r="B99" s="267" t="s">
        <v>731</v>
      </c>
      <c r="C99" s="1301" t="s">
        <v>732</v>
      </c>
      <c r="D99" s="211" t="s">
        <v>51</v>
      </c>
      <c r="E99" s="229">
        <v>633.55999999999995</v>
      </c>
      <c r="F99" s="211">
        <v>55.84</v>
      </c>
      <c r="G99" s="1290">
        <f t="shared" si="10"/>
        <v>35377.990400000002</v>
      </c>
      <c r="H99" s="1278">
        <v>55.842534999999998</v>
      </c>
      <c r="I99" s="817">
        <v>35379.596474599995</v>
      </c>
      <c r="J99" s="1269">
        <f t="shared" si="6"/>
        <v>1.0000453975644699</v>
      </c>
      <c r="K99" s="1278">
        <v>0</v>
      </c>
      <c r="L99" s="817">
        <f t="shared" si="11"/>
        <v>0</v>
      </c>
      <c r="M99" s="1269" t="str">
        <f t="shared" si="7"/>
        <v/>
      </c>
      <c r="N99" s="1285">
        <f>F99-H99</f>
        <v>-2.5349999999946249E-3</v>
      </c>
      <c r="O99" s="326"/>
    </row>
    <row r="100" spans="1:15" ht="75">
      <c r="A100" s="211" t="s">
        <v>733</v>
      </c>
      <c r="B100" s="267" t="s">
        <v>734</v>
      </c>
      <c r="C100" s="1301" t="s">
        <v>735</v>
      </c>
      <c r="D100" s="211" t="s">
        <v>51</v>
      </c>
      <c r="E100" s="229">
        <v>4291.0600000000004</v>
      </c>
      <c r="F100" s="211">
        <v>1.64</v>
      </c>
      <c r="G100" s="1289">
        <f t="shared" si="10"/>
        <v>7037.3384000000005</v>
      </c>
      <c r="H100" s="1278">
        <v>1.6414800000000001</v>
      </c>
      <c r="I100" s="224">
        <v>7043.6891688000005</v>
      </c>
      <c r="J100" s="1269">
        <f t="shared" si="6"/>
        <v>1.0009024390243904</v>
      </c>
      <c r="K100" s="1278">
        <v>0</v>
      </c>
      <c r="L100" s="224">
        <f t="shared" si="11"/>
        <v>0</v>
      </c>
      <c r="M100" s="1269" t="str">
        <f t="shared" si="7"/>
        <v/>
      </c>
      <c r="N100" s="1285">
        <f>F100-H100</f>
        <v>-1.4800000000001479E-3</v>
      </c>
      <c r="O100" s="326"/>
    </row>
    <row r="101" spans="1:15" s="231" customFormat="1">
      <c r="A101" s="249" t="s">
        <v>2121</v>
      </c>
      <c r="B101" s="1459" t="s">
        <v>736</v>
      </c>
      <c r="C101" s="1459"/>
      <c r="D101" s="1459"/>
      <c r="E101" s="1459"/>
      <c r="F101" s="1459"/>
      <c r="G101" s="1291">
        <f>G102</f>
        <v>92937.217499999984</v>
      </c>
      <c r="H101" s="1277">
        <v>0</v>
      </c>
      <c r="I101" s="225">
        <v>92937.217499999984</v>
      </c>
      <c r="J101" s="1268">
        <f>I101/$G101</f>
        <v>1</v>
      </c>
      <c r="K101" s="1277">
        <f>F101-H101</f>
        <v>0</v>
      </c>
      <c r="L101" s="225">
        <f>L102</f>
        <v>0</v>
      </c>
      <c r="M101" s="1268">
        <f>L101/$G101</f>
        <v>0</v>
      </c>
      <c r="N101" s="1285">
        <f>F101-H101</f>
        <v>0</v>
      </c>
      <c r="O101" s="326"/>
    </row>
    <row r="102" spans="1:15" ht="150">
      <c r="A102" s="211" t="s">
        <v>737</v>
      </c>
      <c r="B102" s="267" t="s">
        <v>738</v>
      </c>
      <c r="C102" s="1301" t="s">
        <v>2126</v>
      </c>
      <c r="D102" s="211" t="s">
        <v>92</v>
      </c>
      <c r="E102" s="223">
        <v>42.75</v>
      </c>
      <c r="F102" s="213">
        <v>2173.9699999999998</v>
      </c>
      <c r="G102" s="1289">
        <f>F102*$E102</f>
        <v>92937.217499999984</v>
      </c>
      <c r="H102" s="1278">
        <v>2173.9699999999998</v>
      </c>
      <c r="I102" s="224">
        <v>92937.217499999984</v>
      </c>
      <c r="J102" s="1269">
        <f t="shared" si="6"/>
        <v>1</v>
      </c>
      <c r="K102" s="1278">
        <f>F102-H102</f>
        <v>0</v>
      </c>
      <c r="L102" s="224">
        <f>K102*$E102</f>
        <v>0</v>
      </c>
      <c r="M102" s="1269" t="str">
        <f t="shared" si="7"/>
        <v/>
      </c>
      <c r="N102" s="1285">
        <f>F102-H102</f>
        <v>0</v>
      </c>
      <c r="O102" s="326"/>
    </row>
    <row r="103" spans="1:15" s="231" customFormat="1">
      <c r="A103" s="249" t="s">
        <v>2122</v>
      </c>
      <c r="B103" s="1456" t="s">
        <v>739</v>
      </c>
      <c r="C103" s="1456"/>
      <c r="D103" s="1456"/>
      <c r="E103" s="1456"/>
      <c r="F103" s="1456"/>
      <c r="G103" s="1291">
        <f>G104+G105</f>
        <v>25434.408499999998</v>
      </c>
      <c r="H103" s="1277">
        <v>0</v>
      </c>
      <c r="I103" s="225">
        <v>25434.835929089328</v>
      </c>
      <c r="J103" s="1268">
        <f>I103/$G103</f>
        <v>1.0000168051515461</v>
      </c>
      <c r="K103" s="1277">
        <f>F103-H103</f>
        <v>0</v>
      </c>
      <c r="L103" s="225">
        <f>L104+L105</f>
        <v>0</v>
      </c>
      <c r="M103" s="1268">
        <f>L103/$G103</f>
        <v>0</v>
      </c>
      <c r="N103" s="1285">
        <f>F103-H103</f>
        <v>0</v>
      </c>
      <c r="O103" s="326"/>
    </row>
    <row r="104" spans="1:15" ht="60">
      <c r="A104" s="211" t="s">
        <v>740</v>
      </c>
      <c r="B104" s="267" t="s">
        <v>741</v>
      </c>
      <c r="C104" s="1301" t="s">
        <v>742</v>
      </c>
      <c r="D104" s="211" t="s">
        <v>28</v>
      </c>
      <c r="E104" s="223">
        <v>21.4</v>
      </c>
      <c r="F104" s="211">
        <f>938+154</f>
        <v>1092</v>
      </c>
      <c r="G104" s="1289">
        <f>F104*$E104</f>
        <v>23368.799999999999</v>
      </c>
      <c r="H104" s="1278">
        <v>1092</v>
      </c>
      <c r="I104" s="224">
        <v>23368.799999999999</v>
      </c>
      <c r="J104" s="1269">
        <f t="shared" si="6"/>
        <v>1</v>
      </c>
      <c r="K104" s="1278">
        <f>F104-H104</f>
        <v>0</v>
      </c>
      <c r="L104" s="224">
        <f>K104*$E104</f>
        <v>0</v>
      </c>
      <c r="M104" s="1269" t="str">
        <f t="shared" si="7"/>
        <v/>
      </c>
      <c r="N104" s="1285">
        <f>F104-H104</f>
        <v>0</v>
      </c>
      <c r="O104" s="326"/>
    </row>
    <row r="105" spans="1:15" ht="45">
      <c r="A105" s="211" t="s">
        <v>743</v>
      </c>
      <c r="B105" s="267" t="s">
        <v>744</v>
      </c>
      <c r="C105" s="1301" t="s">
        <v>745</v>
      </c>
      <c r="D105" s="211" t="s">
        <v>746</v>
      </c>
      <c r="E105" s="223">
        <v>200.35</v>
      </c>
      <c r="F105" s="211">
        <v>10.31</v>
      </c>
      <c r="G105" s="1290">
        <f>F105*$E105</f>
        <v>2065.6084999999998</v>
      </c>
      <c r="H105" s="1278">
        <v>10.31213341197569</v>
      </c>
      <c r="I105" s="817">
        <v>2066.0359290893293</v>
      </c>
      <c r="J105" s="1269">
        <f t="shared" si="6"/>
        <v>1.0002069264767885</v>
      </c>
      <c r="K105" s="1278">
        <f>F5</f>
        <v>0</v>
      </c>
      <c r="L105" s="817">
        <f>K105*$E105</f>
        <v>0</v>
      </c>
      <c r="M105" s="1269" t="str">
        <f t="shared" si="7"/>
        <v/>
      </c>
      <c r="N105" s="1285">
        <f>F105-H105</f>
        <v>-2.1334119756897252E-3</v>
      </c>
      <c r="O105" s="326"/>
    </row>
    <row r="106" spans="1:15" s="231" customFormat="1">
      <c r="A106" s="249" t="s">
        <v>2123</v>
      </c>
      <c r="B106" s="1456" t="s">
        <v>747</v>
      </c>
      <c r="C106" s="1456"/>
      <c r="D106" s="1456"/>
      <c r="E106" s="1456"/>
      <c r="F106" s="1456"/>
      <c r="G106" s="1291">
        <f>SUM(G107+G108+G109)</f>
        <v>88326.330000000016</v>
      </c>
      <c r="H106" s="1277">
        <v>0</v>
      </c>
      <c r="I106" s="225">
        <v>88326.330000000016</v>
      </c>
      <c r="J106" s="1268">
        <f>I106/$G106</f>
        <v>1</v>
      </c>
      <c r="K106" s="1277">
        <f>F106-H106</f>
        <v>0</v>
      </c>
      <c r="L106" s="225">
        <f>SUM(L107+L108+L109)</f>
        <v>0</v>
      </c>
      <c r="M106" s="1268">
        <f>L106/$G106</f>
        <v>0</v>
      </c>
      <c r="N106" s="1285">
        <f>F106-H106</f>
        <v>0</v>
      </c>
      <c r="O106" s="326"/>
    </row>
    <row r="107" spans="1:15" ht="45">
      <c r="A107" s="211" t="s">
        <v>748</v>
      </c>
      <c r="B107" s="267" t="s">
        <v>749</v>
      </c>
      <c r="C107" s="1301" t="s">
        <v>750</v>
      </c>
      <c r="D107" s="211" t="s">
        <v>28</v>
      </c>
      <c r="E107" s="223">
        <v>8445.4500000000007</v>
      </c>
      <c r="F107" s="211">
        <v>1</v>
      </c>
      <c r="G107" s="1289">
        <f t="shared" ref="G107:G117" si="12">F107*$E107</f>
        <v>8445.4500000000007</v>
      </c>
      <c r="H107" s="1278">
        <v>1</v>
      </c>
      <c r="I107" s="224">
        <v>8445.4500000000007</v>
      </c>
      <c r="J107" s="1269">
        <f t="shared" si="6"/>
        <v>1</v>
      </c>
      <c r="K107" s="1278">
        <f>F107-H107</f>
        <v>0</v>
      </c>
      <c r="L107" s="224">
        <f>K107*$E107</f>
        <v>0</v>
      </c>
      <c r="M107" s="1269" t="str">
        <f t="shared" si="7"/>
        <v/>
      </c>
      <c r="N107" s="1285">
        <f>F107-H107</f>
        <v>0</v>
      </c>
      <c r="O107" s="326"/>
    </row>
    <row r="108" spans="1:15" ht="60">
      <c r="A108" s="211" t="s">
        <v>751</v>
      </c>
      <c r="B108" s="267" t="s">
        <v>752</v>
      </c>
      <c r="C108" s="1301" t="s">
        <v>753</v>
      </c>
      <c r="D108" s="211" t="s">
        <v>44</v>
      </c>
      <c r="E108" s="223">
        <v>272.67</v>
      </c>
      <c r="F108" s="211">
        <v>144</v>
      </c>
      <c r="G108" s="1289">
        <f t="shared" si="12"/>
        <v>39264.480000000003</v>
      </c>
      <c r="H108" s="1278">
        <v>144</v>
      </c>
      <c r="I108" s="224">
        <v>39264.480000000003</v>
      </c>
      <c r="J108" s="1269">
        <f t="shared" si="6"/>
        <v>1</v>
      </c>
      <c r="K108" s="1278">
        <f>F108-H108</f>
        <v>0</v>
      </c>
      <c r="L108" s="224">
        <f>K108*$E108</f>
        <v>0</v>
      </c>
      <c r="M108" s="1269" t="str">
        <f t="shared" si="7"/>
        <v/>
      </c>
      <c r="N108" s="1285">
        <f>F108-H108</f>
        <v>0</v>
      </c>
      <c r="O108" s="326"/>
    </row>
    <row r="109" spans="1:15" ht="60">
      <c r="A109" s="211" t="s">
        <v>754</v>
      </c>
      <c r="B109" s="267" t="s">
        <v>755</v>
      </c>
      <c r="C109" s="1301" t="s">
        <v>756</v>
      </c>
      <c r="D109" s="211" t="s">
        <v>44</v>
      </c>
      <c r="E109" s="223">
        <v>307.7</v>
      </c>
      <c r="F109" s="211">
        <v>132</v>
      </c>
      <c r="G109" s="1289">
        <f t="shared" si="12"/>
        <v>40616.400000000001</v>
      </c>
      <c r="H109" s="1278">
        <v>132</v>
      </c>
      <c r="I109" s="224">
        <v>40616.400000000001</v>
      </c>
      <c r="J109" s="1269">
        <f t="shared" si="6"/>
        <v>1</v>
      </c>
      <c r="K109" s="1278">
        <f>F109-H109</f>
        <v>0</v>
      </c>
      <c r="L109" s="224">
        <f>K109*$E109</f>
        <v>0</v>
      </c>
      <c r="M109" s="1269" t="str">
        <f t="shared" si="7"/>
        <v/>
      </c>
      <c r="N109" s="1285">
        <f>F109-H109</f>
        <v>0</v>
      </c>
      <c r="O109" s="326"/>
    </row>
    <row r="110" spans="1:15" s="231" customFormat="1">
      <c r="A110" s="249" t="s">
        <v>2124</v>
      </c>
      <c r="B110" s="1456" t="s">
        <v>757</v>
      </c>
      <c r="C110" s="1456"/>
      <c r="D110" s="1456"/>
      <c r="E110" s="1456"/>
      <c r="F110" s="1456"/>
      <c r="G110" s="1291">
        <f>G111+G112</f>
        <v>12496.429</v>
      </c>
      <c r="H110" s="1277">
        <v>0</v>
      </c>
      <c r="I110" s="225">
        <v>12326.3855</v>
      </c>
      <c r="J110" s="1268">
        <f>I110/$G110</f>
        <v>0.98639263264729471</v>
      </c>
      <c r="K110" s="1277">
        <f>F110-H110</f>
        <v>0</v>
      </c>
      <c r="L110" s="225">
        <f>L111+L112</f>
        <v>170.04349999999934</v>
      </c>
      <c r="M110" s="1268">
        <f>L110/$G110</f>
        <v>1.3607367352705268E-2</v>
      </c>
      <c r="N110" s="1285">
        <f>F110-H110</f>
        <v>0</v>
      </c>
      <c r="O110" s="326"/>
    </row>
    <row r="111" spans="1:15" ht="30">
      <c r="A111" s="211" t="s">
        <v>758</v>
      </c>
      <c r="B111" s="267" t="s">
        <v>759</v>
      </c>
      <c r="C111" s="1301" t="s">
        <v>760</v>
      </c>
      <c r="D111" s="211" t="s">
        <v>12</v>
      </c>
      <c r="E111" s="223">
        <v>79.09</v>
      </c>
      <c r="F111" s="211">
        <v>108.1</v>
      </c>
      <c r="G111" s="1290">
        <f t="shared" si="12"/>
        <v>8549.6290000000008</v>
      </c>
      <c r="H111" s="1278">
        <v>105.95</v>
      </c>
      <c r="I111" s="817">
        <v>8379.585500000001</v>
      </c>
      <c r="J111" s="1269">
        <f t="shared" si="6"/>
        <v>0.98011100832562448</v>
      </c>
      <c r="K111" s="1278">
        <f>F111-H111</f>
        <v>2.1499999999999915</v>
      </c>
      <c r="L111" s="817">
        <f>K111*$E111</f>
        <v>170.04349999999934</v>
      </c>
      <c r="M111" s="1269">
        <f t="shared" si="7"/>
        <v>1.9888991674375502E-2</v>
      </c>
      <c r="N111" s="1285">
        <f>F111-H111</f>
        <v>2.1499999999999915</v>
      </c>
      <c r="O111" s="326"/>
    </row>
    <row r="112" spans="1:15" ht="30">
      <c r="A112" s="211" t="s">
        <v>761</v>
      </c>
      <c r="B112" s="267" t="s">
        <v>762</v>
      </c>
      <c r="C112" s="1301" t="s">
        <v>763</v>
      </c>
      <c r="D112" s="211" t="s">
        <v>12</v>
      </c>
      <c r="E112" s="223">
        <v>17.940000000000001</v>
      </c>
      <c r="F112" s="211">
        <v>220</v>
      </c>
      <c r="G112" s="1289">
        <f t="shared" si="12"/>
        <v>3946.8</v>
      </c>
      <c r="H112" s="1278">
        <v>220</v>
      </c>
      <c r="I112" s="224">
        <v>3946.8</v>
      </c>
      <c r="J112" s="1269">
        <f t="shared" si="6"/>
        <v>1</v>
      </c>
      <c r="K112" s="1278">
        <f>F112-H112</f>
        <v>0</v>
      </c>
      <c r="L112" s="224">
        <f>K112*$E112</f>
        <v>0</v>
      </c>
      <c r="M112" s="1269" t="str">
        <f t="shared" si="7"/>
        <v/>
      </c>
      <c r="N112" s="1285">
        <f>F112-H112</f>
        <v>0</v>
      </c>
      <c r="O112" s="326"/>
    </row>
    <row r="113" spans="1:16" s="231" customFormat="1">
      <c r="A113" s="249" t="s">
        <v>2125</v>
      </c>
      <c r="B113" s="1456" t="s">
        <v>764</v>
      </c>
      <c r="C113" s="1456"/>
      <c r="D113" s="1456"/>
      <c r="E113" s="1456"/>
      <c r="F113" s="1456"/>
      <c r="G113" s="1291">
        <f>SUM(G114:G117)</f>
        <v>25923.946400000001</v>
      </c>
      <c r="H113" s="1278">
        <v>0</v>
      </c>
      <c r="I113" s="225">
        <v>25923.588114163998</v>
      </c>
      <c r="J113" s="1268">
        <f>I113/$G113</f>
        <v>0.99998617934821832</v>
      </c>
      <c r="K113" s="1277">
        <f>F113-H113</f>
        <v>0</v>
      </c>
      <c r="L113" s="225">
        <f>SUM(L114:L117)</f>
        <v>1.0688850000051038</v>
      </c>
      <c r="M113" s="1268">
        <f>L113/$G113</f>
        <v>4.1231569588691316E-5</v>
      </c>
      <c r="N113" s="1285">
        <f>F113-H113</f>
        <v>0</v>
      </c>
      <c r="O113" s="326"/>
    </row>
    <row r="114" spans="1:16" ht="45">
      <c r="A114" s="253" t="s">
        <v>3028</v>
      </c>
      <c r="B114" s="267" t="s">
        <v>78</v>
      </c>
      <c r="C114" s="1301" t="s">
        <v>79</v>
      </c>
      <c r="D114" s="211" t="s">
        <v>12</v>
      </c>
      <c r="E114" s="223">
        <v>155.46</v>
      </c>
      <c r="F114" s="211">
        <v>32.56</v>
      </c>
      <c r="G114" s="1289">
        <f t="shared" si="12"/>
        <v>5061.7776000000003</v>
      </c>
      <c r="H114" s="1278">
        <v>32.558499999999995</v>
      </c>
      <c r="I114" s="224">
        <v>5061.5444099999995</v>
      </c>
      <c r="J114" s="1269">
        <f t="shared" si="6"/>
        <v>0.99995393120393095</v>
      </c>
      <c r="K114" s="1278">
        <f>F114-H114</f>
        <v>1.5000000000071623E-3</v>
      </c>
      <c r="L114" s="224">
        <f>K114*$E114</f>
        <v>0.23319000000111345</v>
      </c>
      <c r="M114" s="1269">
        <f t="shared" si="7"/>
        <v>4.6068796069016039E-5</v>
      </c>
      <c r="N114" s="1285">
        <f>F114-H114</f>
        <v>1.5000000000071623E-3</v>
      </c>
      <c r="O114" s="326"/>
    </row>
    <row r="115" spans="1:16" ht="60">
      <c r="A115" s="211" t="s">
        <v>766</v>
      </c>
      <c r="B115" s="267" t="s">
        <v>84</v>
      </c>
      <c r="C115" s="1301" t="s">
        <v>85</v>
      </c>
      <c r="D115" s="211" t="s">
        <v>12</v>
      </c>
      <c r="E115" s="223">
        <v>27.64</v>
      </c>
      <c r="F115" s="211">
        <v>32.56</v>
      </c>
      <c r="G115" s="1289">
        <f t="shared" si="12"/>
        <v>899.9584000000001</v>
      </c>
      <c r="H115" s="1278">
        <v>32.558499999999995</v>
      </c>
      <c r="I115" s="224">
        <v>899.91693999999984</v>
      </c>
      <c r="J115" s="1269">
        <f t="shared" si="6"/>
        <v>0.99995393120393095</v>
      </c>
      <c r="K115" s="1278">
        <f>F115-H115</f>
        <v>1.5000000000071623E-3</v>
      </c>
      <c r="L115" s="224">
        <f>K115*$E115</f>
        <v>4.1460000000197963E-2</v>
      </c>
      <c r="M115" s="1269">
        <f t="shared" si="7"/>
        <v>4.6068796069016039E-5</v>
      </c>
      <c r="N115" s="1285">
        <f>F115-H115</f>
        <v>1.5000000000071623E-3</v>
      </c>
      <c r="O115" s="1430"/>
    </row>
    <row r="116" spans="1:16" ht="45">
      <c r="A116" s="211" t="s">
        <v>767</v>
      </c>
      <c r="B116" s="267" t="s">
        <v>87</v>
      </c>
      <c r="C116" s="1301" t="s">
        <v>88</v>
      </c>
      <c r="D116" s="211" t="s">
        <v>12</v>
      </c>
      <c r="E116" s="223">
        <v>83.6</v>
      </c>
      <c r="F116" s="211">
        <v>32.56</v>
      </c>
      <c r="G116" s="1289">
        <f t="shared" si="12"/>
        <v>2722.0160000000001</v>
      </c>
      <c r="H116" s="1278">
        <v>32.568499989999999</v>
      </c>
      <c r="I116" s="224">
        <v>2722.7265991639997</v>
      </c>
      <c r="J116" s="1269">
        <f t="shared" si="6"/>
        <v>1.0002610562039311</v>
      </c>
      <c r="K116" s="1278">
        <v>0</v>
      </c>
      <c r="L116" s="224">
        <f>K116*$E116</f>
        <v>0</v>
      </c>
      <c r="M116" s="1269" t="str">
        <f t="shared" si="7"/>
        <v/>
      </c>
      <c r="N116" s="1285">
        <f>F116-H116</f>
        <v>-8.4999899999971262E-3</v>
      </c>
      <c r="O116" s="1430"/>
    </row>
    <row r="117" spans="1:16" ht="60">
      <c r="A117" s="211" t="s">
        <v>768</v>
      </c>
      <c r="B117" s="267" t="s">
        <v>94</v>
      </c>
      <c r="C117" s="1301" t="s">
        <v>95</v>
      </c>
      <c r="D117" s="211" t="s">
        <v>12</v>
      </c>
      <c r="E117" s="223">
        <v>529.49</v>
      </c>
      <c r="F117" s="211">
        <v>32.56</v>
      </c>
      <c r="G117" s="1289">
        <f t="shared" si="12"/>
        <v>17240.1944</v>
      </c>
      <c r="H117" s="1278">
        <v>32.558499999999995</v>
      </c>
      <c r="I117" s="224">
        <v>17239.400164999999</v>
      </c>
      <c r="J117" s="1269">
        <f t="shared" si="6"/>
        <v>0.99995393120393095</v>
      </c>
      <c r="K117" s="1278">
        <f>F117-H117</f>
        <v>1.5000000000071623E-3</v>
      </c>
      <c r="L117" s="224">
        <f>K117*$E117</f>
        <v>0.79423500000379232</v>
      </c>
      <c r="M117" s="1269">
        <f t="shared" si="7"/>
        <v>4.6068796069016039E-5</v>
      </c>
      <c r="N117" s="1285">
        <f>F117-H117</f>
        <v>1.5000000000071623E-3</v>
      </c>
      <c r="O117" s="1430"/>
    </row>
    <row r="118" spans="1:16" s="230" customFormat="1" ht="15.75">
      <c r="A118" s="247" t="s">
        <v>2127</v>
      </c>
      <c r="B118" s="1457" t="s">
        <v>769</v>
      </c>
      <c r="C118" s="1457"/>
      <c r="D118" s="1457"/>
      <c r="E118" s="1457"/>
      <c r="F118" s="1457"/>
      <c r="G118" s="1292">
        <f>G119+G121+G123+G125+G127+G131</f>
        <v>361990.005</v>
      </c>
      <c r="H118" s="1276">
        <v>0</v>
      </c>
      <c r="I118" s="226">
        <v>363324.07144600002</v>
      </c>
      <c r="J118" s="1267">
        <f>I118/$G118</f>
        <v>1.0036853681802624</v>
      </c>
      <c r="K118" s="1279">
        <f>F118-H118</f>
        <v>0</v>
      </c>
      <c r="L118" s="226">
        <f>L119+L121+L123+L125+L127+L131</f>
        <v>-1333.5667419999982</v>
      </c>
      <c r="M118" s="1267">
        <f>L118/$G118</f>
        <v>-3.6839877443577431E-3</v>
      </c>
      <c r="N118" s="1285">
        <f>F118-H118</f>
        <v>0</v>
      </c>
      <c r="O118" s="1430"/>
      <c r="P118" s="1425"/>
    </row>
    <row r="119" spans="1:16" s="231" customFormat="1">
      <c r="A119" s="249" t="s">
        <v>2128</v>
      </c>
      <c r="B119" s="1456" t="s">
        <v>770</v>
      </c>
      <c r="C119" s="1456"/>
      <c r="D119" s="1456"/>
      <c r="E119" s="1456"/>
      <c r="F119" s="1456"/>
      <c r="G119" s="1291">
        <f>G120</f>
        <v>17625.152999999998</v>
      </c>
      <c r="H119" s="1277">
        <v>0</v>
      </c>
      <c r="I119" s="225">
        <v>16937.437999999998</v>
      </c>
      <c r="J119" s="1268">
        <f>I119/$G119</f>
        <v>0.96098104793756967</v>
      </c>
      <c r="K119" s="1277">
        <f>F119-H119</f>
        <v>0</v>
      </c>
      <c r="L119" s="225">
        <f>L120</f>
        <v>687.71499999999935</v>
      </c>
      <c r="M119" s="1268">
        <f>L119/$G119</f>
        <v>3.9018952062430293E-2</v>
      </c>
      <c r="N119" s="1285">
        <f>F119-H119</f>
        <v>0</v>
      </c>
      <c r="O119" s="1430"/>
    </row>
    <row r="120" spans="1:16" ht="60">
      <c r="A120" s="211" t="s">
        <v>771</v>
      </c>
      <c r="B120" s="267" t="s">
        <v>772</v>
      </c>
      <c r="C120" s="1301" t="s">
        <v>773</v>
      </c>
      <c r="D120" s="211" t="s">
        <v>12</v>
      </c>
      <c r="E120" s="223">
        <v>982.45</v>
      </c>
      <c r="F120" s="211">
        <f>5.74+12.2</f>
        <v>17.939999999999998</v>
      </c>
      <c r="G120" s="1289">
        <f>F120*$E120</f>
        <v>17625.152999999998</v>
      </c>
      <c r="H120" s="1278">
        <v>17.239999999999998</v>
      </c>
      <c r="I120" s="224">
        <v>16937.437999999998</v>
      </c>
      <c r="J120" s="1269">
        <f t="shared" si="6"/>
        <v>0.96098104793756967</v>
      </c>
      <c r="K120" s="1278">
        <f>F120-H120</f>
        <v>0.69999999999999929</v>
      </c>
      <c r="L120" s="224">
        <f>K120*$E120</f>
        <v>687.71499999999935</v>
      </c>
      <c r="M120" s="1269">
        <f t="shared" si="7"/>
        <v>3.9018952062430286E-2</v>
      </c>
      <c r="N120" s="1285">
        <f>F120-H120</f>
        <v>0.69999999999999929</v>
      </c>
      <c r="O120" s="1430"/>
    </row>
    <row r="121" spans="1:16" s="231" customFormat="1">
      <c r="A121" s="249" t="s">
        <v>3617</v>
      </c>
      <c r="B121" s="1456" t="s">
        <v>774</v>
      </c>
      <c r="C121" s="1456"/>
      <c r="D121" s="1456"/>
      <c r="E121" s="1456"/>
      <c r="F121" s="1456"/>
      <c r="G121" s="1291">
        <f>G122</f>
        <v>25518.199100000002</v>
      </c>
      <c r="H121" s="1277">
        <v>0</v>
      </c>
      <c r="I121" s="225">
        <v>27539.480842000001</v>
      </c>
      <c r="J121" s="1268">
        <f>I121/$G121</f>
        <v>1.0792094196804036</v>
      </c>
      <c r="K121" s="1277">
        <f>F121-H121</f>
        <v>0</v>
      </c>
      <c r="L121" s="225">
        <f>L122</f>
        <v>-2021.2817419999976</v>
      </c>
      <c r="M121" s="1268">
        <f>L121/$G121</f>
        <v>-7.9209419680403598E-2</v>
      </c>
      <c r="N121" s="1285">
        <f>F121-H121</f>
        <v>0</v>
      </c>
      <c r="O121" s="1430"/>
    </row>
    <row r="122" spans="1:16" ht="75">
      <c r="A122" s="253" t="s">
        <v>2645</v>
      </c>
      <c r="B122" s="267" t="s">
        <v>776</v>
      </c>
      <c r="C122" s="1301" t="s">
        <v>777</v>
      </c>
      <c r="D122" s="211" t="s">
        <v>51</v>
      </c>
      <c r="E122" s="223">
        <v>2146.19</v>
      </c>
      <c r="F122" s="211">
        <v>11.89</v>
      </c>
      <c r="G122" s="1290">
        <f>F122*$E122</f>
        <v>25518.199100000002</v>
      </c>
      <c r="H122" s="1278">
        <v>12.831799999999999</v>
      </c>
      <c r="I122" s="817">
        <v>27539.480842000001</v>
      </c>
      <c r="J122" s="1269">
        <f t="shared" si="6"/>
        <v>1.0792094196804036</v>
      </c>
      <c r="K122" s="1278">
        <f>F122-H122</f>
        <v>-0.94179999999999886</v>
      </c>
      <c r="L122" s="817">
        <f>K122*$E122</f>
        <v>-2021.2817419999976</v>
      </c>
      <c r="M122" s="1269">
        <f t="shared" si="7"/>
        <v>-7.9209419680403598E-2</v>
      </c>
      <c r="N122" s="1285">
        <f>F122-H122</f>
        <v>-0.94179999999999886</v>
      </c>
      <c r="O122" s="1430"/>
    </row>
    <row r="123" spans="1:16" s="231" customFormat="1">
      <c r="A123" s="249" t="s">
        <v>2129</v>
      </c>
      <c r="B123" s="1456" t="s">
        <v>2130</v>
      </c>
      <c r="C123" s="1456"/>
      <c r="D123" s="1456"/>
      <c r="E123" s="1456"/>
      <c r="F123" s="1456"/>
      <c r="G123" s="1291">
        <f>G124</f>
        <v>15825.7099</v>
      </c>
      <c r="H123" s="1277">
        <v>0</v>
      </c>
      <c r="I123" s="225">
        <v>15825.7099</v>
      </c>
      <c r="J123" s="1268">
        <f>I123/$G123</f>
        <v>1</v>
      </c>
      <c r="K123" s="1277">
        <f>F123-H123</f>
        <v>0</v>
      </c>
      <c r="L123" s="225">
        <f>L124</f>
        <v>0</v>
      </c>
      <c r="M123" s="1268">
        <f>L123/$G123</f>
        <v>0</v>
      </c>
      <c r="N123" s="1285">
        <f>F123-H123</f>
        <v>0</v>
      </c>
      <c r="O123" s="1430"/>
    </row>
    <row r="124" spans="1:16" ht="75">
      <c r="A124" s="211" t="s">
        <v>778</v>
      </c>
      <c r="B124" s="267" t="s">
        <v>779</v>
      </c>
      <c r="C124" s="1301" t="s">
        <v>780</v>
      </c>
      <c r="D124" s="211" t="s">
        <v>12</v>
      </c>
      <c r="E124" s="223">
        <v>130.91</v>
      </c>
      <c r="F124" s="211">
        <f>115.78+5.11</f>
        <v>120.89</v>
      </c>
      <c r="G124" s="1290">
        <f>F124*$E124</f>
        <v>15825.7099</v>
      </c>
      <c r="H124" s="1278">
        <v>120.89</v>
      </c>
      <c r="I124" s="817">
        <v>15825.7099</v>
      </c>
      <c r="J124" s="1269">
        <f t="shared" si="6"/>
        <v>1</v>
      </c>
      <c r="K124" s="1278">
        <f>F124-H124</f>
        <v>0</v>
      </c>
      <c r="L124" s="817">
        <f>K124*$E124</f>
        <v>0</v>
      </c>
      <c r="M124" s="1269" t="str">
        <f t="shared" si="7"/>
        <v/>
      </c>
      <c r="N124" s="1285">
        <f>F124-H124</f>
        <v>0</v>
      </c>
      <c r="O124" s="1430"/>
    </row>
    <row r="125" spans="1:16" s="231" customFormat="1">
      <c r="A125" s="249" t="s">
        <v>2131</v>
      </c>
      <c r="B125" s="1456" t="s">
        <v>781</v>
      </c>
      <c r="C125" s="1456"/>
      <c r="D125" s="1456"/>
      <c r="E125" s="1456"/>
      <c r="F125" s="1456"/>
      <c r="G125" s="1291">
        <f>G126</f>
        <v>76452.018399999986</v>
      </c>
      <c r="H125" s="1277">
        <v>0</v>
      </c>
      <c r="I125" s="225">
        <v>76452.371360000019</v>
      </c>
      <c r="J125" s="1268">
        <f>I125/$G125</f>
        <v>1.0000046167518846</v>
      </c>
      <c r="K125" s="1277">
        <f>F125-H125</f>
        <v>0</v>
      </c>
      <c r="L125" s="225">
        <f>L126</f>
        <v>0</v>
      </c>
      <c r="M125" s="1268">
        <f>L125/$G125</f>
        <v>0</v>
      </c>
      <c r="N125" s="1285">
        <f>F125-H125</f>
        <v>0</v>
      </c>
      <c r="O125" s="1430"/>
    </row>
    <row r="126" spans="1:16" ht="90">
      <c r="A126" s="253" t="s">
        <v>2652</v>
      </c>
      <c r="B126" s="267" t="s">
        <v>783</v>
      </c>
      <c r="C126" s="1301" t="s">
        <v>784</v>
      </c>
      <c r="D126" s="211" t="s">
        <v>12</v>
      </c>
      <c r="E126" s="223">
        <v>88.24</v>
      </c>
      <c r="F126" s="211">
        <f>689.26+177.15</f>
        <v>866.41</v>
      </c>
      <c r="G126" s="1290">
        <f>F126*$E126</f>
        <v>76452.018399999986</v>
      </c>
      <c r="H126" s="1278">
        <v>866.41400000000021</v>
      </c>
      <c r="I126" s="817">
        <v>76452.371360000019</v>
      </c>
      <c r="J126" s="1269">
        <f t="shared" ref="J126:J146" si="13">IF(H126=0,"",H126/$F126)</f>
        <v>1.0000046167518846</v>
      </c>
      <c r="K126" s="1278">
        <f>0</f>
        <v>0</v>
      </c>
      <c r="L126" s="817">
        <f>K126*$E126</f>
        <v>0</v>
      </c>
      <c r="M126" s="1269" t="str">
        <f t="shared" ref="M126:M153" si="14">IF(K126=0,"",K126/$F126)</f>
        <v/>
      </c>
      <c r="N126" s="1285">
        <f>F126-H126</f>
        <v>-4.0000000002464731E-3</v>
      </c>
      <c r="O126" s="1430"/>
    </row>
    <row r="127" spans="1:16" s="231" customFormat="1">
      <c r="A127" s="249" t="s">
        <v>2132</v>
      </c>
      <c r="B127" s="1456" t="s">
        <v>785</v>
      </c>
      <c r="C127" s="1456"/>
      <c r="D127" s="1456"/>
      <c r="E127" s="1456"/>
      <c r="F127" s="1456"/>
      <c r="G127" s="1291">
        <f>SUM(G128:G130)</f>
        <v>208190.5814</v>
      </c>
      <c r="H127" s="1277">
        <v>0</v>
      </c>
      <c r="I127" s="225">
        <v>208190.5814</v>
      </c>
      <c r="J127" s="1268">
        <f>I127/$G127</f>
        <v>1</v>
      </c>
      <c r="K127" s="1277">
        <f>F127-H127</f>
        <v>0</v>
      </c>
      <c r="L127" s="225">
        <f>SUM(L128:L130)</f>
        <v>0</v>
      </c>
      <c r="M127" s="1268">
        <f>L127/$G127</f>
        <v>0</v>
      </c>
      <c r="N127" s="1285">
        <f>F127-H127</f>
        <v>0</v>
      </c>
      <c r="O127" s="326"/>
    </row>
    <row r="128" spans="1:16" ht="120">
      <c r="A128" s="211" t="s">
        <v>786</v>
      </c>
      <c r="B128" s="267" t="s">
        <v>787</v>
      </c>
      <c r="C128" s="1301" t="s">
        <v>788</v>
      </c>
      <c r="D128" s="211" t="s">
        <v>12</v>
      </c>
      <c r="E128" s="223">
        <v>333.77</v>
      </c>
      <c r="F128" s="211">
        <f>587.38+18.48</f>
        <v>605.86</v>
      </c>
      <c r="G128" s="1289">
        <f t="shared" ref="G128:G133" si="15">F128*$E128</f>
        <v>202217.8922</v>
      </c>
      <c r="H128" s="1278">
        <v>605.86</v>
      </c>
      <c r="I128" s="224">
        <v>202217.8922</v>
      </c>
      <c r="J128" s="1269">
        <f t="shared" si="13"/>
        <v>1</v>
      </c>
      <c r="K128" s="1278">
        <f>F128-H128</f>
        <v>0</v>
      </c>
      <c r="L128" s="224">
        <f>K128*$E128</f>
        <v>0</v>
      </c>
      <c r="M128" s="1269" t="str">
        <f t="shared" si="14"/>
        <v/>
      </c>
      <c r="N128" s="1285">
        <f>F128-H128</f>
        <v>0</v>
      </c>
      <c r="O128" s="326"/>
    </row>
    <row r="129" spans="1:16" ht="120">
      <c r="A129" s="211" t="s">
        <v>789</v>
      </c>
      <c r="B129" s="267" t="s">
        <v>790</v>
      </c>
      <c r="C129" s="1301" t="s">
        <v>791</v>
      </c>
      <c r="D129" s="211" t="s">
        <v>12</v>
      </c>
      <c r="E129" s="223">
        <v>341.46</v>
      </c>
      <c r="F129" s="211">
        <v>12.86</v>
      </c>
      <c r="G129" s="1289">
        <f t="shared" si="15"/>
        <v>4391.1755999999996</v>
      </c>
      <c r="H129" s="1278">
        <v>12.86</v>
      </c>
      <c r="I129" s="224">
        <v>4391.1755999999996</v>
      </c>
      <c r="J129" s="1269">
        <f t="shared" si="13"/>
        <v>1</v>
      </c>
      <c r="K129" s="1278">
        <f>F129-H129</f>
        <v>0</v>
      </c>
      <c r="L129" s="224">
        <f>K129*$E129</f>
        <v>0</v>
      </c>
      <c r="M129" s="1269" t="str">
        <f t="shared" si="14"/>
        <v/>
      </c>
      <c r="N129" s="1285">
        <f>F129-H129</f>
        <v>0</v>
      </c>
      <c r="O129" s="326"/>
    </row>
    <row r="130" spans="1:16" ht="120">
      <c r="A130" s="211" t="s">
        <v>792</v>
      </c>
      <c r="B130" s="267" t="s">
        <v>793</v>
      </c>
      <c r="C130" s="1301" t="s">
        <v>794</v>
      </c>
      <c r="D130" s="211" t="s">
        <v>12</v>
      </c>
      <c r="E130" s="223">
        <v>349.12</v>
      </c>
      <c r="F130" s="211">
        <v>4.53</v>
      </c>
      <c r="G130" s="1289">
        <f t="shared" si="15"/>
        <v>1581.5136</v>
      </c>
      <c r="H130" s="1278">
        <v>4.53</v>
      </c>
      <c r="I130" s="224">
        <v>1581.5136</v>
      </c>
      <c r="J130" s="1269">
        <f t="shared" si="13"/>
        <v>1</v>
      </c>
      <c r="K130" s="1278">
        <f>F130-H130</f>
        <v>0</v>
      </c>
      <c r="L130" s="224">
        <f>K130*$E130</f>
        <v>0</v>
      </c>
      <c r="M130" s="1269" t="str">
        <f t="shared" si="14"/>
        <v/>
      </c>
      <c r="N130" s="1285">
        <f>F130-H130</f>
        <v>0</v>
      </c>
      <c r="O130" s="326"/>
    </row>
    <row r="131" spans="1:16" s="231" customFormat="1">
      <c r="A131" s="251" t="s">
        <v>795</v>
      </c>
      <c r="B131" s="1442" t="s">
        <v>677</v>
      </c>
      <c r="C131" s="1442"/>
      <c r="D131" s="1442"/>
      <c r="E131" s="1442"/>
      <c r="F131" s="1442"/>
      <c r="G131" s="1291">
        <f>G132+G133</f>
        <v>18378.343199999999</v>
      </c>
      <c r="H131" s="1277">
        <v>0</v>
      </c>
      <c r="I131" s="225">
        <v>18378.489944000001</v>
      </c>
      <c r="J131" s="1268">
        <f>I131/$G131</f>
        <v>1.0000079846152836</v>
      </c>
      <c r="K131" s="1277">
        <f>F131-H131</f>
        <v>0</v>
      </c>
      <c r="L131" s="225">
        <f>L132+L133</f>
        <v>0</v>
      </c>
      <c r="M131" s="1268">
        <f>L131/$G131</f>
        <v>0</v>
      </c>
      <c r="N131" s="1285">
        <f>F131-H131</f>
        <v>0</v>
      </c>
      <c r="O131" s="326"/>
    </row>
    <row r="132" spans="1:16" ht="60">
      <c r="A132" s="211" t="s">
        <v>796</v>
      </c>
      <c r="B132" s="267" t="s">
        <v>797</v>
      </c>
      <c r="C132" s="824" t="s">
        <v>798</v>
      </c>
      <c r="D132" s="211" t="s">
        <v>28</v>
      </c>
      <c r="E132" s="223">
        <v>5.1100000000000003</v>
      </c>
      <c r="F132" s="214">
        <v>1274</v>
      </c>
      <c r="G132" s="1290">
        <f t="shared" si="15"/>
        <v>6510.14</v>
      </c>
      <c r="H132" s="1278">
        <v>1274</v>
      </c>
      <c r="I132" s="817">
        <v>6510.14</v>
      </c>
      <c r="J132" s="1269">
        <f t="shared" si="13"/>
        <v>1</v>
      </c>
      <c r="K132" s="1278">
        <f>F132-H132</f>
        <v>0</v>
      </c>
      <c r="L132" s="817">
        <f>K132*$E132</f>
        <v>0</v>
      </c>
      <c r="M132" s="1269" t="str">
        <f t="shared" si="14"/>
        <v/>
      </c>
      <c r="N132" s="1285">
        <f>F132-H132</f>
        <v>0</v>
      </c>
      <c r="O132" s="326"/>
    </row>
    <row r="133" spans="1:16" ht="90">
      <c r="A133" s="211" t="s">
        <v>799</v>
      </c>
      <c r="B133" s="267" t="s">
        <v>800</v>
      </c>
      <c r="C133" s="824" t="s">
        <v>801</v>
      </c>
      <c r="D133" s="211" t="s">
        <v>12</v>
      </c>
      <c r="E133" s="223">
        <v>56.44</v>
      </c>
      <c r="F133" s="211">
        <v>210.28</v>
      </c>
      <c r="G133" s="1290">
        <f t="shared" si="15"/>
        <v>11868.2032</v>
      </c>
      <c r="H133" s="1278">
        <v>210.28260000000003</v>
      </c>
      <c r="I133" s="817">
        <v>11868.349944000001</v>
      </c>
      <c r="J133" s="1269">
        <f t="shared" si="13"/>
        <v>1.0000123644664258</v>
      </c>
      <c r="K133" s="1278">
        <v>0</v>
      </c>
      <c r="L133" s="817">
        <f>K133*$E133</f>
        <v>0</v>
      </c>
      <c r="M133" s="1269" t="str">
        <f t="shared" si="14"/>
        <v/>
      </c>
      <c r="N133" s="1285">
        <f>F133-H133</f>
        <v>-2.6000000000294676E-3</v>
      </c>
      <c r="O133" s="326"/>
    </row>
    <row r="134" spans="1:16" s="230" customFormat="1" ht="15.75">
      <c r="A134" s="252" t="s">
        <v>802</v>
      </c>
      <c r="B134" s="1453" t="s">
        <v>803</v>
      </c>
      <c r="C134" s="1453"/>
      <c r="D134" s="1453"/>
      <c r="E134" s="1453"/>
      <c r="F134" s="1453"/>
      <c r="G134" s="1292">
        <f>G135+G145+G152</f>
        <v>81829.76999999999</v>
      </c>
      <c r="H134" s="1278">
        <v>0</v>
      </c>
      <c r="I134" s="226">
        <v>81829.76999999999</v>
      </c>
      <c r="J134" s="1267">
        <f>I134/$G134</f>
        <v>1</v>
      </c>
      <c r="K134" s="1279">
        <f>F134-H134</f>
        <v>0</v>
      </c>
      <c r="L134" s="226">
        <f>L135+L145+L152</f>
        <v>0</v>
      </c>
      <c r="M134" s="1267">
        <f>L134/$G134</f>
        <v>0</v>
      </c>
      <c r="N134" s="1285">
        <f>F134-H134</f>
        <v>0</v>
      </c>
      <c r="O134" s="326"/>
      <c r="P134" s="1425"/>
    </row>
    <row r="135" spans="1:16" s="231" customFormat="1">
      <c r="A135" s="251" t="s">
        <v>804</v>
      </c>
      <c r="B135" s="1442" t="s">
        <v>805</v>
      </c>
      <c r="C135" s="1442"/>
      <c r="D135" s="1442"/>
      <c r="E135" s="1442"/>
      <c r="F135" s="1442"/>
      <c r="G135" s="1291">
        <f>SUM(G136:G144)</f>
        <v>30015.199999999997</v>
      </c>
      <c r="H135" s="1277">
        <v>0</v>
      </c>
      <c r="I135" s="225">
        <v>30015.199999999997</v>
      </c>
      <c r="J135" s="1268">
        <f>I135/$G135</f>
        <v>1</v>
      </c>
      <c r="K135" s="1277">
        <f>F135-H135</f>
        <v>0</v>
      </c>
      <c r="L135" s="225">
        <f>SUM(L136:L144)</f>
        <v>0</v>
      </c>
      <c r="M135" s="1268">
        <f>L135/$G135</f>
        <v>0</v>
      </c>
      <c r="N135" s="1285">
        <f>F135-H135</f>
        <v>0</v>
      </c>
      <c r="O135" s="326"/>
    </row>
    <row r="136" spans="1:16" ht="45">
      <c r="A136" s="253" t="s">
        <v>3083</v>
      </c>
      <c r="B136" s="267" t="s">
        <v>807</v>
      </c>
      <c r="C136" s="1301" t="s">
        <v>808</v>
      </c>
      <c r="D136" s="211" t="s">
        <v>28</v>
      </c>
      <c r="E136" s="229">
        <v>494.47</v>
      </c>
      <c r="F136" s="211">
        <v>4</v>
      </c>
      <c r="G136" s="1290">
        <f t="shared" ref="G136:G153" si="16">F136*$E136</f>
        <v>1977.88</v>
      </c>
      <c r="H136" s="1278">
        <v>4</v>
      </c>
      <c r="I136" s="817">
        <v>1977.88</v>
      </c>
      <c r="J136" s="1269">
        <f t="shared" si="13"/>
        <v>1</v>
      </c>
      <c r="K136" s="1278">
        <f>F136-H136</f>
        <v>0</v>
      </c>
      <c r="L136" s="817">
        <f t="shared" ref="L136:L144" si="17">K136*$E136</f>
        <v>0</v>
      </c>
      <c r="M136" s="1269" t="str">
        <f t="shared" si="14"/>
        <v/>
      </c>
      <c r="N136" s="1285">
        <f>F136-H136</f>
        <v>0</v>
      </c>
      <c r="O136" s="326"/>
    </row>
    <row r="137" spans="1:16" ht="45">
      <c r="A137" s="211" t="s">
        <v>809</v>
      </c>
      <c r="B137" s="267" t="s">
        <v>810</v>
      </c>
      <c r="C137" s="1301" t="s">
        <v>811</v>
      </c>
      <c r="D137" s="211" t="s">
        <v>28</v>
      </c>
      <c r="E137" s="229">
        <v>515.09</v>
      </c>
      <c r="F137" s="211">
        <v>9</v>
      </c>
      <c r="G137" s="1290">
        <f t="shared" si="16"/>
        <v>4635.8100000000004</v>
      </c>
      <c r="H137" s="1278">
        <v>9</v>
      </c>
      <c r="I137" s="817">
        <v>4635.8100000000004</v>
      </c>
      <c r="J137" s="1269">
        <f t="shared" si="13"/>
        <v>1</v>
      </c>
      <c r="K137" s="1278">
        <f>F137-H137</f>
        <v>0</v>
      </c>
      <c r="L137" s="817">
        <f t="shared" si="17"/>
        <v>0</v>
      </c>
      <c r="M137" s="1269" t="str">
        <f t="shared" si="14"/>
        <v/>
      </c>
      <c r="N137" s="1285">
        <f>F137-H137</f>
        <v>0</v>
      </c>
      <c r="O137" s="326"/>
    </row>
    <row r="138" spans="1:16" ht="45">
      <c r="A138" s="211" t="s">
        <v>812</v>
      </c>
      <c r="B138" s="267" t="s">
        <v>813</v>
      </c>
      <c r="C138" s="1301" t="s">
        <v>814</v>
      </c>
      <c r="D138" s="211" t="s">
        <v>28</v>
      </c>
      <c r="E138" s="229">
        <v>525.38</v>
      </c>
      <c r="F138" s="211">
        <v>5</v>
      </c>
      <c r="G138" s="1290">
        <f t="shared" si="16"/>
        <v>2626.9</v>
      </c>
      <c r="H138" s="1278">
        <v>5</v>
      </c>
      <c r="I138" s="817">
        <v>2626.9</v>
      </c>
      <c r="J138" s="1269">
        <f t="shared" si="13"/>
        <v>1</v>
      </c>
      <c r="K138" s="1278">
        <f>F138-H138</f>
        <v>0</v>
      </c>
      <c r="L138" s="817">
        <f t="shared" si="17"/>
        <v>0</v>
      </c>
      <c r="M138" s="1269" t="str">
        <f t="shared" si="14"/>
        <v/>
      </c>
      <c r="N138" s="1285">
        <f>F138-H138</f>
        <v>0</v>
      </c>
      <c r="O138" s="326"/>
    </row>
    <row r="139" spans="1:16" ht="90">
      <c r="A139" s="211" t="s">
        <v>815</v>
      </c>
      <c r="B139" s="267" t="s">
        <v>816</v>
      </c>
      <c r="C139" s="1301" t="s">
        <v>817</v>
      </c>
      <c r="D139" s="211" t="s">
        <v>28</v>
      </c>
      <c r="E139" s="229">
        <v>763.48</v>
      </c>
      <c r="F139" s="211">
        <v>1</v>
      </c>
      <c r="G139" s="1289">
        <f t="shared" si="16"/>
        <v>763.48</v>
      </c>
      <c r="H139" s="1278">
        <v>1</v>
      </c>
      <c r="I139" s="224">
        <v>763.48</v>
      </c>
      <c r="J139" s="1269">
        <f t="shared" si="13"/>
        <v>1</v>
      </c>
      <c r="K139" s="1278">
        <f>F139-H139</f>
        <v>0</v>
      </c>
      <c r="L139" s="224">
        <f t="shared" si="17"/>
        <v>0</v>
      </c>
      <c r="M139" s="1269" t="str">
        <f t="shared" si="14"/>
        <v/>
      </c>
      <c r="N139" s="1285">
        <f>F139-H139</f>
        <v>0</v>
      </c>
      <c r="O139" s="326"/>
    </row>
    <row r="140" spans="1:16" ht="60">
      <c r="A140" s="211" t="s">
        <v>818</v>
      </c>
      <c r="B140" s="267" t="s">
        <v>819</v>
      </c>
      <c r="C140" s="1301" t="s">
        <v>820</v>
      </c>
      <c r="D140" s="211" t="s">
        <v>28</v>
      </c>
      <c r="E140" s="229">
        <v>372.9</v>
      </c>
      <c r="F140" s="211">
        <v>28</v>
      </c>
      <c r="G140" s="1289">
        <f t="shared" si="16"/>
        <v>10441.199999999999</v>
      </c>
      <c r="H140" s="1278">
        <v>28</v>
      </c>
      <c r="I140" s="224">
        <v>10441.199999999999</v>
      </c>
      <c r="J140" s="1269">
        <f t="shared" si="13"/>
        <v>1</v>
      </c>
      <c r="K140" s="1278">
        <f>F140-H140</f>
        <v>0</v>
      </c>
      <c r="L140" s="224">
        <f t="shared" si="17"/>
        <v>0</v>
      </c>
      <c r="M140" s="1269" t="str">
        <f t="shared" si="14"/>
        <v/>
      </c>
      <c r="N140" s="1285">
        <f>F140-H140</f>
        <v>0</v>
      </c>
      <c r="O140" s="326"/>
    </row>
    <row r="141" spans="1:16" ht="45">
      <c r="A141" s="211" t="s">
        <v>821</v>
      </c>
      <c r="B141" s="267" t="s">
        <v>822</v>
      </c>
      <c r="C141" s="1301" t="s">
        <v>823</v>
      </c>
      <c r="D141" s="211" t="s">
        <v>28</v>
      </c>
      <c r="E141" s="229">
        <v>194.67</v>
      </c>
      <c r="F141" s="211">
        <v>4</v>
      </c>
      <c r="G141" s="1289">
        <f t="shared" si="16"/>
        <v>778.68</v>
      </c>
      <c r="H141" s="1278">
        <v>4</v>
      </c>
      <c r="I141" s="224">
        <v>778.68</v>
      </c>
      <c r="J141" s="1269">
        <f t="shared" si="13"/>
        <v>1</v>
      </c>
      <c r="K141" s="1278">
        <f>F141-H141</f>
        <v>0</v>
      </c>
      <c r="L141" s="224">
        <f t="shared" si="17"/>
        <v>0</v>
      </c>
      <c r="M141" s="1269" t="str">
        <f t="shared" si="14"/>
        <v/>
      </c>
      <c r="N141" s="1285">
        <f>F141-H141</f>
        <v>0</v>
      </c>
      <c r="O141" s="326"/>
    </row>
    <row r="142" spans="1:16" ht="45">
      <c r="A142" s="211" t="s">
        <v>824</v>
      </c>
      <c r="B142" s="267" t="s">
        <v>825</v>
      </c>
      <c r="C142" s="1301" t="s">
        <v>826</v>
      </c>
      <c r="D142" s="211" t="s">
        <v>28</v>
      </c>
      <c r="E142" s="229">
        <v>202.8</v>
      </c>
      <c r="F142" s="211">
        <f>36+1</f>
        <v>37</v>
      </c>
      <c r="G142" s="1289">
        <f t="shared" si="16"/>
        <v>7503.6</v>
      </c>
      <c r="H142" s="1278">
        <v>37</v>
      </c>
      <c r="I142" s="224">
        <v>7503.6</v>
      </c>
      <c r="J142" s="1269">
        <f t="shared" si="13"/>
        <v>1</v>
      </c>
      <c r="K142" s="1278">
        <f>F142-H142</f>
        <v>0</v>
      </c>
      <c r="L142" s="224">
        <f t="shared" si="17"/>
        <v>0</v>
      </c>
      <c r="M142" s="1269" t="str">
        <f t="shared" si="14"/>
        <v/>
      </c>
      <c r="N142" s="1285">
        <f>F142-H142</f>
        <v>0</v>
      </c>
      <c r="O142" s="326"/>
    </row>
    <row r="143" spans="1:16" ht="45">
      <c r="A143" s="211" t="s">
        <v>827</v>
      </c>
      <c r="B143" s="267" t="s">
        <v>828</v>
      </c>
      <c r="C143" s="1301" t="s">
        <v>829</v>
      </c>
      <c r="D143" s="211" t="s">
        <v>28</v>
      </c>
      <c r="E143" s="229">
        <v>210.89</v>
      </c>
      <c r="F143" s="211">
        <v>5</v>
      </c>
      <c r="G143" s="1289">
        <f t="shared" si="16"/>
        <v>1054.4499999999998</v>
      </c>
      <c r="H143" s="1278">
        <v>5</v>
      </c>
      <c r="I143" s="224">
        <v>1054.4499999999998</v>
      </c>
      <c r="J143" s="1269">
        <f t="shared" si="13"/>
        <v>1</v>
      </c>
      <c r="K143" s="1278">
        <f>F143-H143</f>
        <v>0</v>
      </c>
      <c r="L143" s="224">
        <f t="shared" si="17"/>
        <v>0</v>
      </c>
      <c r="M143" s="1269" t="str">
        <f t="shared" si="14"/>
        <v/>
      </c>
      <c r="N143" s="1285">
        <f>F143-H143</f>
        <v>0</v>
      </c>
      <c r="O143" s="326"/>
    </row>
    <row r="144" spans="1:16" ht="45">
      <c r="A144" s="211" t="s">
        <v>830</v>
      </c>
      <c r="B144" s="267" t="s">
        <v>831</v>
      </c>
      <c r="C144" s="1301" t="s">
        <v>832</v>
      </c>
      <c r="D144" s="211" t="s">
        <v>28</v>
      </c>
      <c r="E144" s="229">
        <v>233.2</v>
      </c>
      <c r="F144" s="211">
        <v>1</v>
      </c>
      <c r="G144" s="1289">
        <f t="shared" si="16"/>
        <v>233.2</v>
      </c>
      <c r="H144" s="1278">
        <v>1</v>
      </c>
      <c r="I144" s="224">
        <v>233.2</v>
      </c>
      <c r="J144" s="1269">
        <f t="shared" si="13"/>
        <v>1</v>
      </c>
      <c r="K144" s="1278">
        <f>F144-H144</f>
        <v>0</v>
      </c>
      <c r="L144" s="224">
        <f t="shared" si="17"/>
        <v>0</v>
      </c>
      <c r="M144" s="1269" t="str">
        <f t="shared" si="14"/>
        <v/>
      </c>
      <c r="N144" s="1285">
        <f>F144-H144</f>
        <v>0</v>
      </c>
      <c r="O144" s="326"/>
    </row>
    <row r="145" spans="1:16" s="233" customFormat="1">
      <c r="A145" s="251" t="s">
        <v>833</v>
      </c>
      <c r="B145" s="1442" t="s">
        <v>834</v>
      </c>
      <c r="C145" s="1442"/>
      <c r="D145" s="1442"/>
      <c r="E145" s="1442"/>
      <c r="F145" s="1442"/>
      <c r="G145" s="1295">
        <f>SUM(G146:G151)</f>
        <v>48253.249999999993</v>
      </c>
      <c r="H145" s="1277">
        <v>0</v>
      </c>
      <c r="I145" s="232">
        <v>48253.249999999993</v>
      </c>
      <c r="J145" s="1268">
        <f>I145/$G145</f>
        <v>1</v>
      </c>
      <c r="K145" s="1281">
        <f>F145-H145</f>
        <v>0</v>
      </c>
      <c r="L145" s="232">
        <f>SUM(L146:L151)</f>
        <v>0</v>
      </c>
      <c r="M145" s="1268">
        <f>L145/$G145</f>
        <v>0</v>
      </c>
      <c r="N145" s="1285">
        <f>F145-H145</f>
        <v>0</v>
      </c>
      <c r="O145" s="326"/>
    </row>
    <row r="146" spans="1:16" ht="90">
      <c r="A146" s="211" t="s">
        <v>835</v>
      </c>
      <c r="B146" s="267" t="s">
        <v>836</v>
      </c>
      <c r="C146" s="1301" t="s">
        <v>837</v>
      </c>
      <c r="D146" s="211" t="s">
        <v>28</v>
      </c>
      <c r="E146" s="229">
        <v>874.76</v>
      </c>
      <c r="F146" s="211">
        <v>4</v>
      </c>
      <c r="G146" s="1289">
        <f t="shared" si="16"/>
        <v>3499.04</v>
      </c>
      <c r="H146" s="1278">
        <v>4</v>
      </c>
      <c r="I146" s="224">
        <v>3499.04</v>
      </c>
      <c r="J146" s="1269">
        <f t="shared" si="13"/>
        <v>1</v>
      </c>
      <c r="K146" s="1278">
        <f>F146-H146</f>
        <v>0</v>
      </c>
      <c r="L146" s="224">
        <f t="shared" ref="L146:L151" si="18">K146*$E146</f>
        <v>0</v>
      </c>
      <c r="M146" s="1269" t="str">
        <f t="shared" si="14"/>
        <v/>
      </c>
      <c r="N146" s="1285">
        <f>F146-H146</f>
        <v>0</v>
      </c>
      <c r="O146" s="326"/>
    </row>
    <row r="147" spans="1:16" ht="90">
      <c r="A147" s="211" t="s">
        <v>838</v>
      </c>
      <c r="B147" s="267" t="s">
        <v>839</v>
      </c>
      <c r="C147" s="1301" t="s">
        <v>840</v>
      </c>
      <c r="D147" s="211" t="s">
        <v>28</v>
      </c>
      <c r="E147" s="229">
        <v>934.18</v>
      </c>
      <c r="F147" s="211">
        <f>8+1</f>
        <v>9</v>
      </c>
      <c r="G147" s="1289">
        <f t="shared" si="16"/>
        <v>8407.619999999999</v>
      </c>
      <c r="H147" s="1278">
        <v>9</v>
      </c>
      <c r="I147" s="224">
        <v>8407.619999999999</v>
      </c>
      <c r="J147" s="1269">
        <f>IF(H147=0,"",H147/$F147)</f>
        <v>1</v>
      </c>
      <c r="K147" s="1278">
        <f>F147-H147</f>
        <v>0</v>
      </c>
      <c r="L147" s="224">
        <f t="shared" si="18"/>
        <v>0</v>
      </c>
      <c r="M147" s="1269" t="str">
        <f t="shared" si="14"/>
        <v/>
      </c>
      <c r="N147" s="1285">
        <f>F147-H147</f>
        <v>0</v>
      </c>
      <c r="O147" s="326"/>
    </row>
    <row r="148" spans="1:16" ht="90">
      <c r="A148" s="211" t="s">
        <v>841</v>
      </c>
      <c r="B148" s="267" t="s">
        <v>842</v>
      </c>
      <c r="C148" s="1301" t="s">
        <v>843</v>
      </c>
      <c r="D148" s="211" t="s">
        <v>28</v>
      </c>
      <c r="E148" s="229">
        <v>1442.73</v>
      </c>
      <c r="F148" s="211">
        <v>5</v>
      </c>
      <c r="G148" s="1289">
        <f t="shared" si="16"/>
        <v>7213.65</v>
      </c>
      <c r="H148" s="1278">
        <v>5</v>
      </c>
      <c r="I148" s="224">
        <v>7213.65</v>
      </c>
      <c r="J148" s="1269">
        <f>IF(H148=0,"",H148/$F148)</f>
        <v>1</v>
      </c>
      <c r="K148" s="1278">
        <f>F148-H148</f>
        <v>0</v>
      </c>
      <c r="L148" s="224">
        <f t="shared" si="18"/>
        <v>0</v>
      </c>
      <c r="M148" s="1269" t="str">
        <f t="shared" si="14"/>
        <v/>
      </c>
      <c r="N148" s="1285">
        <f>F148-H148</f>
        <v>0</v>
      </c>
      <c r="O148" s="326"/>
    </row>
    <row r="149" spans="1:16" ht="75">
      <c r="A149" s="211" t="s">
        <v>844</v>
      </c>
      <c r="B149" s="267" t="s">
        <v>845</v>
      </c>
      <c r="C149" s="1301" t="s">
        <v>846</v>
      </c>
      <c r="D149" s="211" t="s">
        <v>28</v>
      </c>
      <c r="E149" s="229">
        <v>1022.66</v>
      </c>
      <c r="F149" s="211">
        <v>1</v>
      </c>
      <c r="G149" s="1289">
        <f t="shared" si="16"/>
        <v>1022.66</v>
      </c>
      <c r="H149" s="1278">
        <v>1</v>
      </c>
      <c r="I149" s="224">
        <v>1022.66</v>
      </c>
      <c r="J149" s="1269">
        <f>IF(H149=0,"",H149/$F149)</f>
        <v>1</v>
      </c>
      <c r="K149" s="1278">
        <f>F149-H149</f>
        <v>0</v>
      </c>
      <c r="L149" s="224">
        <f t="shared" si="18"/>
        <v>0</v>
      </c>
      <c r="M149" s="1269" t="str">
        <f t="shared" si="14"/>
        <v/>
      </c>
      <c r="N149" s="1285">
        <f>F149-H149</f>
        <v>0</v>
      </c>
      <c r="O149" s="326"/>
    </row>
    <row r="150" spans="1:16" ht="75">
      <c r="A150" s="211" t="s">
        <v>847</v>
      </c>
      <c r="B150" s="267" t="s">
        <v>848</v>
      </c>
      <c r="C150" s="1301" t="s">
        <v>849</v>
      </c>
      <c r="D150" s="211" t="s">
        <v>28</v>
      </c>
      <c r="E150" s="229">
        <v>934.18</v>
      </c>
      <c r="F150" s="211">
        <v>28</v>
      </c>
      <c r="G150" s="1289">
        <f t="shared" si="16"/>
        <v>26157.039999999997</v>
      </c>
      <c r="H150" s="1278">
        <v>28</v>
      </c>
      <c r="I150" s="224">
        <v>26157.039999999997</v>
      </c>
      <c r="J150" s="1269">
        <f>IF(H150=0,"",H150/$F150)</f>
        <v>1</v>
      </c>
      <c r="K150" s="1278">
        <f>F150-H150</f>
        <v>0</v>
      </c>
      <c r="L150" s="224">
        <f t="shared" si="18"/>
        <v>0</v>
      </c>
      <c r="M150" s="1269" t="str">
        <f t="shared" si="14"/>
        <v/>
      </c>
      <c r="N150" s="1285">
        <f>F150-H150</f>
        <v>0</v>
      </c>
      <c r="O150" s="326"/>
    </row>
    <row r="151" spans="1:16" ht="75">
      <c r="A151" s="211" t="s">
        <v>850</v>
      </c>
      <c r="B151" s="267" t="s">
        <v>851</v>
      </c>
      <c r="C151" s="1301" t="s">
        <v>852</v>
      </c>
      <c r="D151" s="211" t="s">
        <v>28</v>
      </c>
      <c r="E151" s="229">
        <v>976.62</v>
      </c>
      <c r="F151" s="211">
        <v>2</v>
      </c>
      <c r="G151" s="1289">
        <f t="shared" si="16"/>
        <v>1953.24</v>
      </c>
      <c r="H151" s="1278">
        <v>2</v>
      </c>
      <c r="I151" s="224">
        <v>1953.24</v>
      </c>
      <c r="J151" s="1269">
        <f>IF(H151=0,"",H151/$F151)</f>
        <v>1</v>
      </c>
      <c r="K151" s="1278">
        <f>F151-H151</f>
        <v>0</v>
      </c>
      <c r="L151" s="224">
        <f t="shared" si="18"/>
        <v>0</v>
      </c>
      <c r="M151" s="1269" t="str">
        <f t="shared" si="14"/>
        <v/>
      </c>
      <c r="N151" s="1285">
        <f>F151-H151</f>
        <v>0</v>
      </c>
      <c r="O151" s="326"/>
    </row>
    <row r="152" spans="1:16" s="233" customFormat="1">
      <c r="A152" s="251" t="s">
        <v>853</v>
      </c>
      <c r="B152" s="1442" t="s">
        <v>677</v>
      </c>
      <c r="C152" s="1442"/>
      <c r="D152" s="1442"/>
      <c r="E152" s="1442"/>
      <c r="F152" s="1442"/>
      <c r="G152" s="1295">
        <f>G153</f>
        <v>3561.32</v>
      </c>
      <c r="H152" s="1277">
        <v>0</v>
      </c>
      <c r="I152" s="232">
        <v>3561.32</v>
      </c>
      <c r="J152" s="1268">
        <f>I152/$G152</f>
        <v>1</v>
      </c>
      <c r="K152" s="1281"/>
      <c r="L152" s="232">
        <f>L153</f>
        <v>0</v>
      </c>
      <c r="M152" s="1268">
        <f>L152/$G152</f>
        <v>0</v>
      </c>
      <c r="N152" s="1285">
        <f>F152-H152</f>
        <v>0</v>
      </c>
      <c r="O152" s="326"/>
    </row>
    <row r="153" spans="1:16" ht="30">
      <c r="A153" s="211" t="s">
        <v>854</v>
      </c>
      <c r="B153" s="267" t="s">
        <v>855</v>
      </c>
      <c r="C153" s="1301" t="s">
        <v>856</v>
      </c>
      <c r="D153" s="211" t="s">
        <v>28</v>
      </c>
      <c r="E153" s="223">
        <v>72.680000000000007</v>
      </c>
      <c r="F153" s="211">
        <f>48+1</f>
        <v>49</v>
      </c>
      <c r="G153" s="1289">
        <f t="shared" si="16"/>
        <v>3561.32</v>
      </c>
      <c r="H153" s="1278">
        <v>49</v>
      </c>
      <c r="I153" s="224">
        <v>3561.32</v>
      </c>
      <c r="J153" s="1269">
        <f>IF(H153=0,"",H153/$F153)</f>
        <v>1</v>
      </c>
      <c r="K153" s="1278">
        <f>F153-H153</f>
        <v>0</v>
      </c>
      <c r="L153" s="224">
        <f>K153*$E153</f>
        <v>0</v>
      </c>
      <c r="M153" s="1269" t="str">
        <f t="shared" si="14"/>
        <v/>
      </c>
      <c r="N153" s="1285">
        <f>F153-H153</f>
        <v>0</v>
      </c>
      <c r="O153" s="326"/>
    </row>
    <row r="154" spans="1:16" s="230" customFormat="1" ht="15.75">
      <c r="A154" s="252" t="s">
        <v>857</v>
      </c>
      <c r="B154" s="1446" t="s">
        <v>858</v>
      </c>
      <c r="C154" s="1446"/>
      <c r="D154" s="1446"/>
      <c r="E154" s="1446"/>
      <c r="F154" s="1446"/>
      <c r="G154" s="1292">
        <f>G155+G157+G159+G164+G168+G175+G179</f>
        <v>309490.93830000004</v>
      </c>
      <c r="H154" s="1276">
        <v>0</v>
      </c>
      <c r="I154" s="226">
        <v>309519.23830000003</v>
      </c>
      <c r="J154" s="1267">
        <f>I154/$G154</f>
        <v>1.0000914404801493</v>
      </c>
      <c r="K154" s="1279"/>
      <c r="L154" s="226">
        <f>L155+L157+L159+L164+L168+L175+L179</f>
        <v>-28.299999999999397</v>
      </c>
      <c r="M154" s="1267">
        <f>L154/$G154</f>
        <v>-9.1440480149267722E-5</v>
      </c>
      <c r="N154" s="1285">
        <f>F154-H154</f>
        <v>0</v>
      </c>
      <c r="O154" s="326"/>
      <c r="P154" s="1425"/>
    </row>
    <row r="155" spans="1:16" s="233" customFormat="1">
      <c r="A155" s="251" t="s">
        <v>859</v>
      </c>
      <c r="B155" s="1442" t="s">
        <v>860</v>
      </c>
      <c r="C155" s="1442"/>
      <c r="D155" s="1442"/>
      <c r="E155" s="1442"/>
      <c r="F155" s="1442"/>
      <c r="G155" s="1295">
        <f>G156</f>
        <v>9063.0750000000007</v>
      </c>
      <c r="H155" s="1277">
        <v>0</v>
      </c>
      <c r="I155" s="232">
        <v>9063.0749999999989</v>
      </c>
      <c r="J155" s="1268">
        <f>I155/$G155</f>
        <v>0.99999999999999978</v>
      </c>
      <c r="K155" s="1281"/>
      <c r="L155" s="232">
        <f>L156</f>
        <v>0</v>
      </c>
      <c r="M155" s="1268">
        <f>L155/$G155</f>
        <v>0</v>
      </c>
      <c r="N155" s="1285">
        <f>F155-H155</f>
        <v>0</v>
      </c>
      <c r="O155" s="326"/>
    </row>
    <row r="156" spans="1:16" ht="60">
      <c r="A156" s="253" t="s">
        <v>3576</v>
      </c>
      <c r="B156" s="267" t="s">
        <v>862</v>
      </c>
      <c r="C156" s="1301" t="s">
        <v>863</v>
      </c>
      <c r="D156" s="211" t="s">
        <v>12</v>
      </c>
      <c r="E156" s="223">
        <v>707.5</v>
      </c>
      <c r="F156" s="211">
        <v>12.81</v>
      </c>
      <c r="G156" s="1290">
        <f>F156*$E156</f>
        <v>9063.0750000000007</v>
      </c>
      <c r="H156" s="1278">
        <v>12.809999999999999</v>
      </c>
      <c r="I156" s="817">
        <v>9063.0749999999989</v>
      </c>
      <c r="J156" s="1269">
        <f>IF(H156=0,"",H156/$F156)</f>
        <v>0.99999999999999989</v>
      </c>
      <c r="K156" s="1278">
        <f>F156-H156</f>
        <v>0</v>
      </c>
      <c r="L156" s="817">
        <f>K156*$E156</f>
        <v>0</v>
      </c>
      <c r="M156" s="1269" t="str">
        <f t="shared" ref="M156:M178" si="19">IF(K156=0,"",K156/$F156)</f>
        <v/>
      </c>
      <c r="N156" s="1285">
        <f>F156-H156</f>
        <v>0</v>
      </c>
      <c r="O156" s="326"/>
    </row>
    <row r="157" spans="1:16" s="233" customFormat="1">
      <c r="A157" s="251" t="s">
        <v>864</v>
      </c>
      <c r="B157" s="1442" t="s">
        <v>865</v>
      </c>
      <c r="C157" s="1442"/>
      <c r="D157" s="1442"/>
      <c r="E157" s="1442"/>
      <c r="F157" s="1442"/>
      <c r="G157" s="1295">
        <f>G158</f>
        <v>15189.810299999999</v>
      </c>
      <c r="H157" s="1277">
        <v>0</v>
      </c>
      <c r="I157" s="232">
        <v>15189.810299999999</v>
      </c>
      <c r="J157" s="1268">
        <f>I157/$G157</f>
        <v>1</v>
      </c>
      <c r="K157" s="1281"/>
      <c r="L157" s="232">
        <f>L158</f>
        <v>0</v>
      </c>
      <c r="M157" s="1268">
        <f>L157/$G157</f>
        <v>0</v>
      </c>
      <c r="N157" s="1285">
        <f>F157-H157</f>
        <v>0</v>
      </c>
      <c r="O157" s="326"/>
    </row>
    <row r="158" spans="1:16" ht="60">
      <c r="A158" s="211" t="s">
        <v>866</v>
      </c>
      <c r="B158" s="267" t="s">
        <v>867</v>
      </c>
      <c r="C158" s="1301" t="s">
        <v>868</v>
      </c>
      <c r="D158" s="211" t="s">
        <v>12</v>
      </c>
      <c r="E158" s="223">
        <v>707.49</v>
      </c>
      <c r="F158" s="211">
        <f>17.57+3.9</f>
        <v>21.47</v>
      </c>
      <c r="G158" s="1289">
        <f>F158*$E158</f>
        <v>15189.810299999999</v>
      </c>
      <c r="H158" s="1278">
        <v>21.47</v>
      </c>
      <c r="I158" s="224">
        <v>15189.810299999999</v>
      </c>
      <c r="J158" s="1269">
        <f>IF(H158=0,"",H158/$F158)</f>
        <v>1</v>
      </c>
      <c r="K158" s="1278">
        <f>F158-H158</f>
        <v>0</v>
      </c>
      <c r="L158" s="224">
        <f>K158*$E158</f>
        <v>0</v>
      </c>
      <c r="M158" s="1269" t="str">
        <f t="shared" si="19"/>
        <v/>
      </c>
      <c r="N158" s="1285">
        <f>F158-H158</f>
        <v>0</v>
      </c>
      <c r="O158" s="326"/>
    </row>
    <row r="159" spans="1:16" s="233" customFormat="1">
      <c r="A159" s="251" t="s">
        <v>869</v>
      </c>
      <c r="B159" s="1442" t="s">
        <v>870</v>
      </c>
      <c r="C159" s="1442"/>
      <c r="D159" s="1442"/>
      <c r="E159" s="1442"/>
      <c r="F159" s="1442"/>
      <c r="G159" s="1295">
        <f>SUM(G160:G163)</f>
        <v>34497.892</v>
      </c>
      <c r="H159" s="1277">
        <v>0</v>
      </c>
      <c r="I159" s="232">
        <v>34526.192000000003</v>
      </c>
      <c r="J159" s="1268">
        <f>I159/$G159</f>
        <v>1.0008203399790341</v>
      </c>
      <c r="K159" s="1281"/>
      <c r="L159" s="232">
        <f>SUM(L160:L163)</f>
        <v>-28.299999999999397</v>
      </c>
      <c r="M159" s="1268">
        <f>L159/$G159</f>
        <v>-8.2033997903406379E-4</v>
      </c>
      <c r="N159" s="1285">
        <f>F159-H159</f>
        <v>0</v>
      </c>
      <c r="O159" s="326"/>
    </row>
    <row r="160" spans="1:16" ht="90">
      <c r="A160" s="211" t="s">
        <v>871</v>
      </c>
      <c r="B160" s="267" t="s">
        <v>872</v>
      </c>
      <c r="C160" s="1301" t="s">
        <v>873</v>
      </c>
      <c r="D160" s="211" t="s">
        <v>12</v>
      </c>
      <c r="E160" s="223">
        <v>707.5</v>
      </c>
      <c r="F160" s="211">
        <v>19.22</v>
      </c>
      <c r="G160" s="1290">
        <f t="shared" ref="G160:G182" si="20">F160*$E160</f>
        <v>13598.15</v>
      </c>
      <c r="H160" s="1278">
        <v>19.259999999999998</v>
      </c>
      <c r="I160" s="817">
        <v>13626.449999999999</v>
      </c>
      <c r="J160" s="1269">
        <f>IF(H160=0,"",H160/$F160)</f>
        <v>1.0020811654526534</v>
      </c>
      <c r="K160" s="1278">
        <f>F160-H160</f>
        <v>-3.9999999999999147E-2</v>
      </c>
      <c r="L160" s="817">
        <f>K160*$E160</f>
        <v>-28.299999999999397</v>
      </c>
      <c r="M160" s="1269">
        <f t="shared" si="19"/>
        <v>-2.0811654526534419E-3</v>
      </c>
      <c r="N160" s="1285">
        <f>F160-H160</f>
        <v>-3.9999999999999147E-2</v>
      </c>
      <c r="O160" s="1430"/>
    </row>
    <row r="161" spans="1:15" ht="60">
      <c r="A161" s="211" t="s">
        <v>874</v>
      </c>
      <c r="B161" s="267" t="s">
        <v>875</v>
      </c>
      <c r="C161" s="1301" t="s">
        <v>876</v>
      </c>
      <c r="D161" s="211" t="s">
        <v>12</v>
      </c>
      <c r="E161" s="223">
        <v>680.91</v>
      </c>
      <c r="F161" s="211">
        <v>15.4</v>
      </c>
      <c r="G161" s="1289">
        <f t="shared" si="20"/>
        <v>10486.013999999999</v>
      </c>
      <c r="H161" s="1278">
        <v>15.4</v>
      </c>
      <c r="I161" s="224">
        <v>10486.013999999999</v>
      </c>
      <c r="J161" s="1269">
        <f t="shared" ref="J161:J182" si="21">IF(H161=0,"",H161/$F161)</f>
        <v>1</v>
      </c>
      <c r="K161" s="1278">
        <f>F161-H161</f>
        <v>0</v>
      </c>
      <c r="L161" s="224">
        <f>K161*$E161</f>
        <v>0</v>
      </c>
      <c r="M161" s="1269" t="str">
        <f t="shared" si="19"/>
        <v/>
      </c>
      <c r="N161" s="1285">
        <f>F161-H161</f>
        <v>0</v>
      </c>
      <c r="O161" s="326"/>
    </row>
    <row r="162" spans="1:15" ht="45">
      <c r="A162" s="211" t="s">
        <v>877</v>
      </c>
      <c r="B162" s="267" t="s">
        <v>878</v>
      </c>
      <c r="C162" s="1301" t="s">
        <v>879</v>
      </c>
      <c r="D162" s="211" t="s">
        <v>12</v>
      </c>
      <c r="E162" s="223">
        <v>1157.72</v>
      </c>
      <c r="F162" s="211">
        <f>1.62+0.66</f>
        <v>2.2800000000000002</v>
      </c>
      <c r="G162" s="1289">
        <f t="shared" si="20"/>
        <v>2639.6016000000004</v>
      </c>
      <c r="H162" s="1278">
        <v>2.2800000000000002</v>
      </c>
      <c r="I162" s="224">
        <v>2639.6016000000004</v>
      </c>
      <c r="J162" s="1269">
        <f t="shared" si="21"/>
        <v>1</v>
      </c>
      <c r="K162" s="1278">
        <f>F162-H162</f>
        <v>0</v>
      </c>
      <c r="L162" s="224">
        <f>K162*$E162</f>
        <v>0</v>
      </c>
      <c r="M162" s="1269" t="str">
        <f t="shared" si="19"/>
        <v/>
      </c>
      <c r="N162" s="1285">
        <f>F162-H162</f>
        <v>0</v>
      </c>
      <c r="O162" s="326"/>
    </row>
    <row r="163" spans="1:15" ht="120">
      <c r="A163" s="253" t="s">
        <v>3893</v>
      </c>
      <c r="B163" s="267" t="s">
        <v>881</v>
      </c>
      <c r="C163" s="1301" t="s">
        <v>882</v>
      </c>
      <c r="D163" s="211" t="s">
        <v>12</v>
      </c>
      <c r="E163" s="223">
        <v>574.16</v>
      </c>
      <c r="F163" s="211">
        <v>13.54</v>
      </c>
      <c r="G163" s="1290">
        <f t="shared" si="20"/>
        <v>7774.1263999999992</v>
      </c>
      <c r="H163" s="1278">
        <v>13.54</v>
      </c>
      <c r="I163" s="817">
        <v>7774.1263999999992</v>
      </c>
      <c r="J163" s="1269">
        <f t="shared" si="21"/>
        <v>1</v>
      </c>
      <c r="K163" s="1278">
        <f>F163-H163</f>
        <v>0</v>
      </c>
      <c r="L163" s="817">
        <f>K163*$E163</f>
        <v>0</v>
      </c>
      <c r="M163" s="1269" t="str">
        <f t="shared" si="19"/>
        <v/>
      </c>
      <c r="N163" s="1285">
        <f>F163-H163</f>
        <v>0</v>
      </c>
      <c r="O163" s="326"/>
    </row>
    <row r="164" spans="1:15" s="233" customFormat="1">
      <c r="A164" s="251" t="s">
        <v>883</v>
      </c>
      <c r="B164" s="1442" t="s">
        <v>884</v>
      </c>
      <c r="C164" s="1442"/>
      <c r="D164" s="1442"/>
      <c r="E164" s="1442"/>
      <c r="F164" s="1442"/>
      <c r="G164" s="1295">
        <f>SUM(G165:G167)</f>
        <v>98393.640000000014</v>
      </c>
      <c r="H164" s="1277">
        <v>0</v>
      </c>
      <c r="I164" s="232">
        <v>98393.640000000014</v>
      </c>
      <c r="J164" s="1268">
        <f>I164/$G164</f>
        <v>1</v>
      </c>
      <c r="K164" s="1281"/>
      <c r="L164" s="232">
        <f>SUM(L165:L167)</f>
        <v>0</v>
      </c>
      <c r="M164" s="1268">
        <f>L164/$G164</f>
        <v>0</v>
      </c>
      <c r="N164" s="1285">
        <f>F164-H164</f>
        <v>0</v>
      </c>
      <c r="O164" s="326"/>
    </row>
    <row r="165" spans="1:15" ht="90">
      <c r="A165" s="211" t="s">
        <v>885</v>
      </c>
      <c r="B165" s="267" t="s">
        <v>886</v>
      </c>
      <c r="C165" s="1301" t="s">
        <v>887</v>
      </c>
      <c r="D165" s="211" t="s">
        <v>28</v>
      </c>
      <c r="E165" s="229">
        <v>19153.88</v>
      </c>
      <c r="F165" s="211">
        <v>1</v>
      </c>
      <c r="G165" s="1289">
        <f t="shared" si="20"/>
        <v>19153.88</v>
      </c>
      <c r="H165" s="1278">
        <v>1</v>
      </c>
      <c r="I165" s="224">
        <v>19153.88</v>
      </c>
      <c r="J165" s="1269">
        <f t="shared" si="21"/>
        <v>1</v>
      </c>
      <c r="K165" s="1278">
        <f>F165-H165</f>
        <v>0</v>
      </c>
      <c r="L165" s="224">
        <f>K165*$E165</f>
        <v>0</v>
      </c>
      <c r="M165" s="1269" t="str">
        <f t="shared" si="19"/>
        <v/>
      </c>
      <c r="N165" s="1285">
        <f>F165-H165</f>
        <v>0</v>
      </c>
      <c r="O165" s="326"/>
    </row>
    <row r="166" spans="1:15" ht="105">
      <c r="A166" s="211" t="s">
        <v>888</v>
      </c>
      <c r="B166" s="267" t="s">
        <v>889</v>
      </c>
      <c r="C166" s="1301" t="s">
        <v>890</v>
      </c>
      <c r="D166" s="211" t="s">
        <v>28</v>
      </c>
      <c r="E166" s="229">
        <v>22660.32</v>
      </c>
      <c r="F166" s="211">
        <v>2</v>
      </c>
      <c r="G166" s="1289">
        <f t="shared" si="20"/>
        <v>45320.639999999999</v>
      </c>
      <c r="H166" s="1278">
        <v>2</v>
      </c>
      <c r="I166" s="224">
        <v>45320.639999999999</v>
      </c>
      <c r="J166" s="1269">
        <f t="shared" si="21"/>
        <v>1</v>
      </c>
      <c r="K166" s="1278">
        <f>F166-H166</f>
        <v>0</v>
      </c>
      <c r="L166" s="224">
        <f>K166*$E166</f>
        <v>0</v>
      </c>
      <c r="M166" s="1269" t="str">
        <f t="shared" si="19"/>
        <v/>
      </c>
      <c r="N166" s="1285">
        <f>F166-H166</f>
        <v>0</v>
      </c>
      <c r="O166" s="326"/>
    </row>
    <row r="167" spans="1:15" ht="90">
      <c r="A167" s="253" t="s">
        <v>3587</v>
      </c>
      <c r="B167" s="267" t="s">
        <v>892</v>
      </c>
      <c r="C167" s="1301" t="s">
        <v>893</v>
      </c>
      <c r="D167" s="211" t="s">
        <v>28</v>
      </c>
      <c r="E167" s="229">
        <v>16959.560000000001</v>
      </c>
      <c r="F167" s="211">
        <v>2</v>
      </c>
      <c r="G167" s="1290">
        <f t="shared" si="20"/>
        <v>33919.120000000003</v>
      </c>
      <c r="H167" s="1278">
        <v>2</v>
      </c>
      <c r="I167" s="817">
        <v>33919.120000000003</v>
      </c>
      <c r="J167" s="1269">
        <f t="shared" si="21"/>
        <v>1</v>
      </c>
      <c r="K167" s="1278">
        <f>F167-H167</f>
        <v>0</v>
      </c>
      <c r="L167" s="817">
        <f>K167*$E167</f>
        <v>0</v>
      </c>
      <c r="M167" s="1269" t="str">
        <f t="shared" si="19"/>
        <v/>
      </c>
      <c r="N167" s="1285">
        <f>F167-H167</f>
        <v>0</v>
      </c>
      <c r="O167" s="326"/>
    </row>
    <row r="168" spans="1:15" s="233" customFormat="1">
      <c r="A168" s="251" t="s">
        <v>894</v>
      </c>
      <c r="B168" s="811" t="s">
        <v>895</v>
      </c>
      <c r="C168" s="1303"/>
      <c r="D168" s="251"/>
      <c r="E168" s="251"/>
      <c r="F168" s="251"/>
      <c r="G168" s="1295">
        <f>SUM(G169:G174)</f>
        <v>68254.035000000003</v>
      </c>
      <c r="H168" s="1277">
        <v>0</v>
      </c>
      <c r="I168" s="232">
        <v>68254.035000000003</v>
      </c>
      <c r="J168" s="1268">
        <f>I168/$G168</f>
        <v>1</v>
      </c>
      <c r="K168" s="1281"/>
      <c r="L168" s="232">
        <f>SUM(L169:L174)</f>
        <v>0</v>
      </c>
      <c r="M168" s="1268">
        <f>L168/$G168</f>
        <v>0</v>
      </c>
      <c r="N168" s="1285">
        <f>F168-H168</f>
        <v>0</v>
      </c>
      <c r="O168" s="326"/>
    </row>
    <row r="169" spans="1:15" ht="60">
      <c r="A169" s="211" t="s">
        <v>896</v>
      </c>
      <c r="B169" s="267" t="s">
        <v>897</v>
      </c>
      <c r="C169" s="1301" t="s">
        <v>898</v>
      </c>
      <c r="D169" s="211" t="s">
        <v>28</v>
      </c>
      <c r="E169" s="229">
        <v>2886.91</v>
      </c>
      <c r="F169" s="211">
        <v>2</v>
      </c>
      <c r="G169" s="1289">
        <f t="shared" si="20"/>
        <v>5773.82</v>
      </c>
      <c r="H169" s="1278">
        <v>2</v>
      </c>
      <c r="I169" s="224">
        <v>5773.82</v>
      </c>
      <c r="J169" s="1269">
        <f t="shared" si="21"/>
        <v>1</v>
      </c>
      <c r="K169" s="1278">
        <f>F169-H169</f>
        <v>0</v>
      </c>
      <c r="L169" s="224">
        <f t="shared" ref="L169:L174" si="22">K169*$E169</f>
        <v>0</v>
      </c>
      <c r="M169" s="1269" t="str">
        <f t="shared" si="19"/>
        <v/>
      </c>
      <c r="N169" s="1285">
        <f>F169-H169</f>
        <v>0</v>
      </c>
      <c r="O169" s="326"/>
    </row>
    <row r="170" spans="1:15" ht="60">
      <c r="A170" s="211" t="s">
        <v>899</v>
      </c>
      <c r="B170" s="267" t="s">
        <v>900</v>
      </c>
      <c r="C170" s="1301" t="s">
        <v>901</v>
      </c>
      <c r="D170" s="211" t="s">
        <v>28</v>
      </c>
      <c r="E170" s="229">
        <v>5707.38</v>
      </c>
      <c r="F170" s="211">
        <v>1</v>
      </c>
      <c r="G170" s="1289">
        <f t="shared" si="20"/>
        <v>5707.38</v>
      </c>
      <c r="H170" s="1278">
        <v>1</v>
      </c>
      <c r="I170" s="224">
        <v>5707.38</v>
      </c>
      <c r="J170" s="1269">
        <f t="shared" si="21"/>
        <v>1</v>
      </c>
      <c r="K170" s="1278">
        <f>F170-H170</f>
        <v>0</v>
      </c>
      <c r="L170" s="224">
        <f t="shared" si="22"/>
        <v>0</v>
      </c>
      <c r="M170" s="1269" t="str">
        <f t="shared" si="19"/>
        <v/>
      </c>
      <c r="N170" s="1285">
        <f>F170-H170</f>
        <v>0</v>
      </c>
      <c r="O170" s="326"/>
    </row>
    <row r="171" spans="1:15" ht="75">
      <c r="A171" s="211" t="s">
        <v>902</v>
      </c>
      <c r="B171" s="267" t="s">
        <v>903</v>
      </c>
      <c r="C171" s="1301" t="s">
        <v>904</v>
      </c>
      <c r="D171" s="211" t="s">
        <v>28</v>
      </c>
      <c r="E171" s="229">
        <v>6531.91</v>
      </c>
      <c r="F171" s="211">
        <v>1</v>
      </c>
      <c r="G171" s="1289">
        <f t="shared" si="20"/>
        <v>6531.91</v>
      </c>
      <c r="H171" s="1278">
        <v>1</v>
      </c>
      <c r="I171" s="224">
        <v>6531.91</v>
      </c>
      <c r="J171" s="1269">
        <f t="shared" si="21"/>
        <v>1</v>
      </c>
      <c r="K171" s="1278">
        <f>F171-H171</f>
        <v>0</v>
      </c>
      <c r="L171" s="224">
        <f t="shared" si="22"/>
        <v>0</v>
      </c>
      <c r="M171" s="1269" t="str">
        <f t="shared" si="19"/>
        <v/>
      </c>
      <c r="N171" s="1285">
        <f>F171-H171</f>
        <v>0</v>
      </c>
      <c r="O171" s="326"/>
    </row>
    <row r="172" spans="1:15" ht="105">
      <c r="A172" s="211" t="s">
        <v>905</v>
      </c>
      <c r="B172" s="267" t="s">
        <v>906</v>
      </c>
      <c r="C172" s="1301" t="s">
        <v>907</v>
      </c>
      <c r="D172" s="211" t="s">
        <v>28</v>
      </c>
      <c r="E172" s="229">
        <v>10138.35</v>
      </c>
      <c r="F172" s="211">
        <v>1</v>
      </c>
      <c r="G172" s="1289">
        <f t="shared" si="20"/>
        <v>10138.35</v>
      </c>
      <c r="H172" s="1278">
        <v>1</v>
      </c>
      <c r="I172" s="224">
        <v>10138.35</v>
      </c>
      <c r="J172" s="1269">
        <f t="shared" si="21"/>
        <v>1</v>
      </c>
      <c r="K172" s="1278">
        <f>F172-H172</f>
        <v>0</v>
      </c>
      <c r="L172" s="224">
        <f t="shared" si="22"/>
        <v>0</v>
      </c>
      <c r="M172" s="1269" t="str">
        <f t="shared" si="19"/>
        <v/>
      </c>
      <c r="N172" s="1285">
        <f>F172-H172</f>
        <v>0</v>
      </c>
      <c r="O172" s="326"/>
    </row>
    <row r="173" spans="1:15" ht="105">
      <c r="A173" s="253" t="s">
        <v>3944</v>
      </c>
      <c r="B173" s="267" t="s">
        <v>909</v>
      </c>
      <c r="C173" s="1301" t="s">
        <v>910</v>
      </c>
      <c r="D173" s="211" t="s">
        <v>28</v>
      </c>
      <c r="E173" s="229">
        <v>10670.96</v>
      </c>
      <c r="F173" s="211">
        <v>1</v>
      </c>
      <c r="G173" s="1290">
        <f t="shared" si="20"/>
        <v>10670.96</v>
      </c>
      <c r="H173" s="1278">
        <v>1</v>
      </c>
      <c r="I173" s="817">
        <v>10670.96</v>
      </c>
      <c r="J173" s="1269">
        <f t="shared" si="21"/>
        <v>1</v>
      </c>
      <c r="K173" s="1278">
        <f>F173-H173</f>
        <v>0</v>
      </c>
      <c r="L173" s="817">
        <f t="shared" si="22"/>
        <v>0</v>
      </c>
      <c r="M173" s="1269" t="str">
        <f t="shared" si="19"/>
        <v/>
      </c>
      <c r="N173" s="1285">
        <f>F173-H173</f>
        <v>0</v>
      </c>
      <c r="O173" s="326"/>
    </row>
    <row r="174" spans="1:15" ht="75">
      <c r="A174" s="211" t="s">
        <v>911</v>
      </c>
      <c r="B174" s="267" t="s">
        <v>912</v>
      </c>
      <c r="C174" s="1301" t="s">
        <v>913</v>
      </c>
      <c r="D174" s="211" t="s">
        <v>12</v>
      </c>
      <c r="E174" s="229">
        <v>463.49</v>
      </c>
      <c r="F174" s="211">
        <v>63.5</v>
      </c>
      <c r="G174" s="1289">
        <f t="shared" si="20"/>
        <v>29431.615000000002</v>
      </c>
      <c r="H174" s="1278">
        <v>63.5</v>
      </c>
      <c r="I174" s="224">
        <v>29431.615000000002</v>
      </c>
      <c r="J174" s="1269">
        <f t="shared" si="21"/>
        <v>1</v>
      </c>
      <c r="K174" s="1278">
        <f>F174-H174</f>
        <v>0</v>
      </c>
      <c r="L174" s="224">
        <f t="shared" si="22"/>
        <v>0</v>
      </c>
      <c r="M174" s="1269" t="str">
        <f t="shared" si="19"/>
        <v/>
      </c>
      <c r="N174" s="1285">
        <f>F174-H174</f>
        <v>0</v>
      </c>
      <c r="O174" s="326"/>
    </row>
    <row r="175" spans="1:15" s="233" customFormat="1">
      <c r="A175" s="251" t="s">
        <v>914</v>
      </c>
      <c r="B175" s="1442" t="s">
        <v>915</v>
      </c>
      <c r="C175" s="1442"/>
      <c r="D175" s="1442"/>
      <c r="E175" s="1442"/>
      <c r="F175" s="1442"/>
      <c r="G175" s="1295">
        <f>G176+G177+G178</f>
        <v>76176.625599999999</v>
      </c>
      <c r="H175" s="1277">
        <v>0</v>
      </c>
      <c r="I175" s="232">
        <v>76176.625599999999</v>
      </c>
      <c r="J175" s="1268">
        <f>I175/$G175</f>
        <v>1</v>
      </c>
      <c r="K175" s="1281"/>
      <c r="L175" s="232">
        <f>L176+L177+L178</f>
        <v>0</v>
      </c>
      <c r="M175" s="1268">
        <f>L175/$G175</f>
        <v>0</v>
      </c>
      <c r="N175" s="1285">
        <f>F175-H175</f>
        <v>0</v>
      </c>
      <c r="O175" s="326"/>
    </row>
    <row r="176" spans="1:15" ht="195">
      <c r="A176" s="211" t="s">
        <v>916</v>
      </c>
      <c r="B176" s="267" t="s">
        <v>917</v>
      </c>
      <c r="C176" s="1301" t="s">
        <v>2134</v>
      </c>
      <c r="D176" s="211" t="s">
        <v>12</v>
      </c>
      <c r="E176" s="229">
        <v>1274.56</v>
      </c>
      <c r="F176" s="211">
        <v>22.91</v>
      </c>
      <c r="G176" s="1289">
        <f t="shared" si="20"/>
        <v>29200.169599999997</v>
      </c>
      <c r="H176" s="1278">
        <v>22.91</v>
      </c>
      <c r="I176" s="224">
        <v>29200.169599999997</v>
      </c>
      <c r="J176" s="1269">
        <f t="shared" si="21"/>
        <v>1</v>
      </c>
      <c r="K176" s="1278">
        <f>F176-H176</f>
        <v>0</v>
      </c>
      <c r="L176" s="224">
        <f>K176*$E176</f>
        <v>0</v>
      </c>
      <c r="M176" s="1269" t="str">
        <f t="shared" si="19"/>
        <v/>
      </c>
      <c r="N176" s="1285">
        <f>F176-H176</f>
        <v>0</v>
      </c>
      <c r="O176" s="326"/>
    </row>
    <row r="177" spans="1:16" ht="60">
      <c r="A177" s="211" t="s">
        <v>918</v>
      </c>
      <c r="B177" s="267" t="s">
        <v>919</v>
      </c>
      <c r="C177" s="1301" t="s">
        <v>920</v>
      </c>
      <c r="D177" s="211" t="s">
        <v>28</v>
      </c>
      <c r="E177" s="229">
        <v>3389.64</v>
      </c>
      <c r="F177" s="211">
        <v>1</v>
      </c>
      <c r="G177" s="1289">
        <f t="shared" si="20"/>
        <v>3389.64</v>
      </c>
      <c r="H177" s="1278">
        <v>1</v>
      </c>
      <c r="I177" s="224">
        <v>3389.64</v>
      </c>
      <c r="J177" s="1269">
        <f t="shared" si="21"/>
        <v>1</v>
      </c>
      <c r="K177" s="1278">
        <f>F177-H177</f>
        <v>0</v>
      </c>
      <c r="L177" s="224">
        <f>K177*$E177</f>
        <v>0</v>
      </c>
      <c r="M177" s="1269" t="str">
        <f t="shared" si="19"/>
        <v/>
      </c>
      <c r="N177" s="1285">
        <f>F177-H177</f>
        <v>0</v>
      </c>
      <c r="O177" s="326"/>
    </row>
    <row r="178" spans="1:16" ht="105">
      <c r="A178" s="211" t="s">
        <v>921</v>
      </c>
      <c r="B178" s="267" t="s">
        <v>281</v>
      </c>
      <c r="C178" s="1301" t="s">
        <v>922</v>
      </c>
      <c r="D178" s="211" t="s">
        <v>12</v>
      </c>
      <c r="E178" s="229">
        <v>598.72</v>
      </c>
      <c r="F178" s="211">
        <v>72.8</v>
      </c>
      <c r="G178" s="1289">
        <f t="shared" si="20"/>
        <v>43586.815999999999</v>
      </c>
      <c r="H178" s="1278">
        <v>72.8</v>
      </c>
      <c r="I178" s="224">
        <v>43586.815999999999</v>
      </c>
      <c r="J178" s="1269">
        <f t="shared" si="21"/>
        <v>1</v>
      </c>
      <c r="K178" s="1278">
        <f>F178-H178</f>
        <v>0</v>
      </c>
      <c r="L178" s="224">
        <f>K178*$E178</f>
        <v>0</v>
      </c>
      <c r="M178" s="1269" t="str">
        <f t="shared" si="19"/>
        <v/>
      </c>
      <c r="N178" s="1285">
        <f>F178-H178</f>
        <v>0</v>
      </c>
      <c r="O178" s="326"/>
    </row>
    <row r="179" spans="1:16" s="233" customFormat="1">
      <c r="A179" s="251" t="s">
        <v>923</v>
      </c>
      <c r="B179" s="1445" t="s">
        <v>924</v>
      </c>
      <c r="C179" s="1445"/>
      <c r="D179" s="1445"/>
      <c r="E179" s="1445"/>
      <c r="F179" s="1445"/>
      <c r="G179" s="1295">
        <f>SUM(G180:G182)</f>
        <v>7915.8603999999996</v>
      </c>
      <c r="H179" s="1278">
        <v>0</v>
      </c>
      <c r="I179" s="232">
        <v>7915.8603999999996</v>
      </c>
      <c r="J179" s="1268">
        <f>I179/$G179</f>
        <v>1</v>
      </c>
      <c r="K179" s="1281"/>
      <c r="L179" s="232">
        <f>SUM(L180:L182)</f>
        <v>0</v>
      </c>
      <c r="M179" s="1268">
        <f>L179/$G179</f>
        <v>0</v>
      </c>
      <c r="N179" s="1285">
        <f>F179-H179</f>
        <v>0</v>
      </c>
      <c r="O179" s="326"/>
    </row>
    <row r="180" spans="1:16" ht="75">
      <c r="A180" s="253" t="s">
        <v>4086</v>
      </c>
      <c r="B180" s="267" t="s">
        <v>926</v>
      </c>
      <c r="C180" s="1301" t="s">
        <v>927</v>
      </c>
      <c r="D180" s="211" t="s">
        <v>12</v>
      </c>
      <c r="E180" s="229">
        <v>285</v>
      </c>
      <c r="F180" s="211">
        <v>14.86</v>
      </c>
      <c r="G180" s="1290">
        <f t="shared" si="20"/>
        <v>4235.0999999999995</v>
      </c>
      <c r="H180" s="1278">
        <v>14.86</v>
      </c>
      <c r="I180" s="817">
        <v>4235.0999999999995</v>
      </c>
      <c r="J180" s="1269">
        <f t="shared" si="21"/>
        <v>1</v>
      </c>
      <c r="K180" s="1278">
        <f>F180-H180</f>
        <v>0</v>
      </c>
      <c r="L180" s="817">
        <f>K180*$E180</f>
        <v>0</v>
      </c>
      <c r="M180" s="1269" t="e">
        <f>IF(#REF!=0,"",K180/$F180)</f>
        <v>#REF!</v>
      </c>
      <c r="N180" s="1285">
        <f>F180-H180</f>
        <v>0</v>
      </c>
      <c r="O180" s="326"/>
    </row>
    <row r="181" spans="1:16" ht="90">
      <c r="A181" s="211" t="s">
        <v>928</v>
      </c>
      <c r="B181" s="267" t="s">
        <v>929</v>
      </c>
      <c r="C181" s="1301" t="s">
        <v>930</v>
      </c>
      <c r="D181" s="211" t="s">
        <v>12</v>
      </c>
      <c r="E181" s="229">
        <v>203.53</v>
      </c>
      <c r="F181" s="211">
        <v>14.86</v>
      </c>
      <c r="G181" s="1290">
        <f t="shared" si="20"/>
        <v>3024.4557999999997</v>
      </c>
      <c r="H181" s="1278">
        <v>14.86</v>
      </c>
      <c r="I181" s="817">
        <v>3024.4557999999997</v>
      </c>
      <c r="J181" s="1269">
        <f t="shared" si="21"/>
        <v>1</v>
      </c>
      <c r="K181" s="1278">
        <f>F181-H181</f>
        <v>0</v>
      </c>
      <c r="L181" s="817">
        <f>K181*$E181</f>
        <v>0</v>
      </c>
      <c r="M181" s="1269" t="e">
        <f>IF(#REF!=0,"",K181/$F181)</f>
        <v>#REF!</v>
      </c>
      <c r="N181" s="1285">
        <f>F181-H181</f>
        <v>0</v>
      </c>
      <c r="O181" s="326"/>
    </row>
    <row r="182" spans="1:16" ht="75">
      <c r="A182" s="211" t="s">
        <v>931</v>
      </c>
      <c r="B182" s="267" t="s">
        <v>932</v>
      </c>
      <c r="C182" s="1301" t="s">
        <v>933</v>
      </c>
      <c r="D182" s="211" t="s">
        <v>12</v>
      </c>
      <c r="E182" s="229">
        <v>64.47</v>
      </c>
      <c r="F182" s="211">
        <v>10.18</v>
      </c>
      <c r="G182" s="1290">
        <f t="shared" si="20"/>
        <v>656.30459999999994</v>
      </c>
      <c r="H182" s="1278">
        <v>10.18</v>
      </c>
      <c r="I182" s="817">
        <v>656.30459999999994</v>
      </c>
      <c r="J182" s="1269">
        <f t="shared" si="21"/>
        <v>1</v>
      </c>
      <c r="K182" s="1278">
        <f>F182-H182</f>
        <v>0</v>
      </c>
      <c r="L182" s="817">
        <f>K182*$E182</f>
        <v>0</v>
      </c>
      <c r="M182" s="1269" t="e">
        <f>IF(#REF!=0,"",K182/$F182)</f>
        <v>#REF!</v>
      </c>
      <c r="N182" s="1285">
        <f>F182-H182</f>
        <v>0</v>
      </c>
      <c r="O182" s="326"/>
    </row>
    <row r="183" spans="1:16" s="230" customFormat="1" ht="15.75">
      <c r="A183" s="252" t="s">
        <v>934</v>
      </c>
      <c r="B183" s="812"/>
      <c r="C183" s="1304" t="s">
        <v>935</v>
      </c>
      <c r="D183" s="252"/>
      <c r="E183" s="254"/>
      <c r="F183" s="252"/>
      <c r="G183" s="1292">
        <f>G184+G187+G189</f>
        <v>62515.475900000005</v>
      </c>
      <c r="H183" s="1278">
        <v>0</v>
      </c>
      <c r="I183" s="226">
        <v>54770.325100000002</v>
      </c>
      <c r="J183" s="1267">
        <f>I183/$G183</f>
        <v>0.8761082645777315</v>
      </c>
      <c r="K183" s="1279"/>
      <c r="L183" s="226">
        <f>L184+L187+L189</f>
        <v>7745.1507999999994</v>
      </c>
      <c r="M183" s="1267">
        <f>L183/$G183</f>
        <v>0.12389173542226843</v>
      </c>
      <c r="N183" s="1285">
        <f>F183-H183</f>
        <v>0</v>
      </c>
      <c r="O183" s="326"/>
      <c r="P183" s="1425"/>
    </row>
    <row r="184" spans="1:16" s="233" customFormat="1">
      <c r="A184" s="251" t="s">
        <v>936</v>
      </c>
      <c r="B184" s="1445" t="s">
        <v>937</v>
      </c>
      <c r="C184" s="1445"/>
      <c r="D184" s="1445"/>
      <c r="E184" s="1445"/>
      <c r="F184" s="1445"/>
      <c r="G184" s="1295">
        <f>G185+G186</f>
        <v>49095.2929</v>
      </c>
      <c r="H184" s="1278">
        <v>0</v>
      </c>
      <c r="I184" s="232">
        <v>49095.2929</v>
      </c>
      <c r="J184" s="1268">
        <f>I184/$G184</f>
        <v>1</v>
      </c>
      <c r="K184" s="1281"/>
      <c r="L184" s="232">
        <f>L185+L186</f>
        <v>0</v>
      </c>
      <c r="M184" s="1268">
        <f>L184/$G184</f>
        <v>0</v>
      </c>
      <c r="N184" s="1285">
        <f>F184-H184</f>
        <v>0</v>
      </c>
      <c r="O184" s="326"/>
    </row>
    <row r="185" spans="1:16" ht="60">
      <c r="A185" s="253" t="s">
        <v>3865</v>
      </c>
      <c r="B185" s="267" t="s">
        <v>939</v>
      </c>
      <c r="C185" s="1301" t="s">
        <v>940</v>
      </c>
      <c r="D185" s="211" t="s">
        <v>12</v>
      </c>
      <c r="E185" s="223">
        <v>714.01</v>
      </c>
      <c r="F185" s="211">
        <v>51.19</v>
      </c>
      <c r="G185" s="1290">
        <f>F185*$E185</f>
        <v>36550.171900000001</v>
      </c>
      <c r="H185" s="1278">
        <v>51.19</v>
      </c>
      <c r="I185" s="817">
        <v>36550.171900000001</v>
      </c>
      <c r="J185" s="1269">
        <f t="shared" ref="J185:J186" si="23">IF(H185=0,"",H185/$F185)</f>
        <v>1</v>
      </c>
      <c r="K185" s="1278">
        <f>F185-H185</f>
        <v>0</v>
      </c>
      <c r="L185" s="817">
        <f>K185*$E185</f>
        <v>0</v>
      </c>
      <c r="M185" s="1269" t="str">
        <f t="shared" ref="M185:M190" si="24">IF(K185=0,"",K185/$F185)</f>
        <v/>
      </c>
      <c r="N185" s="1285">
        <f>F185-H185</f>
        <v>0</v>
      </c>
      <c r="O185" s="326"/>
    </row>
    <row r="186" spans="1:16" ht="45">
      <c r="A186" s="211" t="s">
        <v>941</v>
      </c>
      <c r="B186" s="267" t="s">
        <v>942</v>
      </c>
      <c r="C186" s="1301" t="s">
        <v>943</v>
      </c>
      <c r="D186" s="211" t="s">
        <v>12</v>
      </c>
      <c r="E186" s="223">
        <v>509.55</v>
      </c>
      <c r="F186" s="211">
        <f>15+9.62</f>
        <v>24.619999999999997</v>
      </c>
      <c r="G186" s="1289">
        <f>F186*$E186</f>
        <v>12545.120999999999</v>
      </c>
      <c r="H186" s="1278">
        <v>24.62</v>
      </c>
      <c r="I186" s="224">
        <v>12545.121000000001</v>
      </c>
      <c r="J186" s="1269">
        <f t="shared" si="23"/>
        <v>1.0000000000000002</v>
      </c>
      <c r="K186" s="1278">
        <f>F186-H186</f>
        <v>0</v>
      </c>
      <c r="L186" s="224">
        <f>K186*$E186</f>
        <v>0</v>
      </c>
      <c r="M186" s="1269" t="str">
        <f t="shared" si="24"/>
        <v/>
      </c>
      <c r="N186" s="1285">
        <f>F186-H186</f>
        <v>0</v>
      </c>
      <c r="O186" s="326"/>
    </row>
    <row r="187" spans="1:16" s="233" customFormat="1">
      <c r="A187" s="251" t="s">
        <v>944</v>
      </c>
      <c r="B187" s="1445" t="s">
        <v>945</v>
      </c>
      <c r="C187" s="1445"/>
      <c r="D187" s="1445"/>
      <c r="E187" s="1445"/>
      <c r="F187" s="1445"/>
      <c r="G187" s="1295">
        <f>G188</f>
        <v>5675.0321999999996</v>
      </c>
      <c r="H187" s="1278">
        <v>0</v>
      </c>
      <c r="I187" s="232">
        <v>5675.0321999999996</v>
      </c>
      <c r="J187" s="1268">
        <f>I187/$G187</f>
        <v>1</v>
      </c>
      <c r="K187" s="1281"/>
      <c r="L187" s="232">
        <f>L188</f>
        <v>0</v>
      </c>
      <c r="M187" s="1268">
        <f>L187/$G187</f>
        <v>0</v>
      </c>
      <c r="N187" s="1285">
        <f>F187-H187</f>
        <v>0</v>
      </c>
      <c r="O187" s="326"/>
    </row>
    <row r="188" spans="1:16" ht="75">
      <c r="A188" s="253" t="s">
        <v>3869</v>
      </c>
      <c r="B188" s="267" t="s">
        <v>163</v>
      </c>
      <c r="C188" s="1301" t="s">
        <v>164</v>
      </c>
      <c r="D188" s="211" t="s">
        <v>12</v>
      </c>
      <c r="E188" s="223">
        <v>826.06</v>
      </c>
      <c r="F188" s="211">
        <v>6.87</v>
      </c>
      <c r="G188" s="1290">
        <f>F188*$E188</f>
        <v>5675.0321999999996</v>
      </c>
      <c r="H188" s="1278">
        <v>6.87</v>
      </c>
      <c r="I188" s="817">
        <v>5675.0321999999996</v>
      </c>
      <c r="J188" s="1269">
        <f t="shared" ref="J188" si="25">IF(H188=0,"",H188/$F188)</f>
        <v>1</v>
      </c>
      <c r="K188" s="1278">
        <f>F188-H188</f>
        <v>0</v>
      </c>
      <c r="L188" s="817">
        <f>K188*$E188</f>
        <v>0</v>
      </c>
      <c r="M188" s="1269" t="str">
        <f t="shared" si="24"/>
        <v/>
      </c>
      <c r="N188" s="1285">
        <f>F188-H188</f>
        <v>0</v>
      </c>
      <c r="O188" s="326"/>
    </row>
    <row r="189" spans="1:16" s="233" customFormat="1">
      <c r="A189" s="251" t="s">
        <v>947</v>
      </c>
      <c r="B189" s="1445" t="s">
        <v>948</v>
      </c>
      <c r="C189" s="1445"/>
      <c r="D189" s="1445"/>
      <c r="E189" s="1445"/>
      <c r="F189" s="1445"/>
      <c r="G189" s="1295">
        <f>G190</f>
        <v>7745.1507999999994</v>
      </c>
      <c r="H189" s="1278">
        <v>0</v>
      </c>
      <c r="I189" s="232">
        <v>0</v>
      </c>
      <c r="J189" s="1268">
        <f>I189/$G189</f>
        <v>0</v>
      </c>
      <c r="K189" s="1281"/>
      <c r="L189" s="232">
        <f>L190</f>
        <v>7745.1507999999994</v>
      </c>
      <c r="M189" s="1268">
        <f>L189/$G189</f>
        <v>1</v>
      </c>
      <c r="N189" s="1285">
        <f>F189-H189</f>
        <v>0</v>
      </c>
      <c r="O189" s="326"/>
    </row>
    <row r="190" spans="1:16" ht="45">
      <c r="A190" s="253" t="s">
        <v>3871</v>
      </c>
      <c r="B190" s="267" t="s">
        <v>950</v>
      </c>
      <c r="C190" s="1301" t="s">
        <v>951</v>
      </c>
      <c r="D190" s="211" t="s">
        <v>12</v>
      </c>
      <c r="E190" s="223">
        <v>572.02</v>
      </c>
      <c r="F190" s="211">
        <v>13.54</v>
      </c>
      <c r="G190" s="1290">
        <f>F190*$E190</f>
        <v>7745.1507999999994</v>
      </c>
      <c r="H190" s="1278">
        <v>0</v>
      </c>
      <c r="I190" s="817">
        <v>0</v>
      </c>
      <c r="J190" s="1269" t="str">
        <f t="shared" ref="J190" si="26">IF(H190=0,"",H190/$F190)</f>
        <v/>
      </c>
      <c r="K190" s="1278">
        <f>F190-H190</f>
        <v>13.54</v>
      </c>
      <c r="L190" s="817">
        <f>K190*$E190</f>
        <v>7745.1507999999994</v>
      </c>
      <c r="M190" s="1269">
        <f t="shared" si="24"/>
        <v>1</v>
      </c>
      <c r="N190" s="1285">
        <f>F190-H190</f>
        <v>13.54</v>
      </c>
      <c r="O190" s="326"/>
    </row>
    <row r="191" spans="1:16" s="230" customFormat="1" ht="15.75">
      <c r="A191" s="252" t="s">
        <v>952</v>
      </c>
      <c r="B191" s="1453" t="s">
        <v>953</v>
      </c>
      <c r="C191" s="1453"/>
      <c r="D191" s="1453"/>
      <c r="E191" s="1453"/>
      <c r="F191" s="1453"/>
      <c r="G191" s="1292">
        <f>G192+G194+G196+G199</f>
        <v>329372.7095</v>
      </c>
      <c r="H191" s="1276">
        <v>0</v>
      </c>
      <c r="I191" s="226">
        <v>322762.53169999999</v>
      </c>
      <c r="J191" s="1267">
        <f>I191/$G191</f>
        <v>0.97993100943294753</v>
      </c>
      <c r="K191" s="1279"/>
      <c r="L191" s="226">
        <f>L192+L194+L196+L199</f>
        <v>6610.1777999999995</v>
      </c>
      <c r="M191" s="1267">
        <f>L191/$G191</f>
        <v>2.0068990567052428E-2</v>
      </c>
      <c r="N191" s="1285">
        <f>F191-H191</f>
        <v>0</v>
      </c>
      <c r="O191" s="326"/>
      <c r="P191" s="1425"/>
    </row>
    <row r="192" spans="1:16" s="233" customFormat="1">
      <c r="A192" s="251" t="s">
        <v>954</v>
      </c>
      <c r="B192" s="1442" t="s">
        <v>955</v>
      </c>
      <c r="C192" s="1442"/>
      <c r="D192" s="1442"/>
      <c r="E192" s="1442"/>
      <c r="F192" s="1442"/>
      <c r="G192" s="1295">
        <f>G193</f>
        <v>202446.90000000002</v>
      </c>
      <c r="H192" s="1277">
        <v>0</v>
      </c>
      <c r="I192" s="232">
        <v>202446.90000000002</v>
      </c>
      <c r="J192" s="1268">
        <f>I192/$G192</f>
        <v>1</v>
      </c>
      <c r="K192" s="1281"/>
      <c r="L192" s="232">
        <f>L193</f>
        <v>0</v>
      </c>
      <c r="M192" s="1268">
        <f>L192/$G192</f>
        <v>0</v>
      </c>
      <c r="N192" s="1285">
        <f>F192-H192</f>
        <v>0</v>
      </c>
      <c r="O192" s="326"/>
    </row>
    <row r="193" spans="1:19" ht="150">
      <c r="A193" s="253" t="s">
        <v>2948</v>
      </c>
      <c r="B193" s="267" t="s">
        <v>738</v>
      </c>
      <c r="C193" s="1301" t="s">
        <v>2135</v>
      </c>
      <c r="D193" s="211" t="s">
        <v>92</v>
      </c>
      <c r="E193" s="223">
        <v>42.75</v>
      </c>
      <c r="F193" s="213">
        <f>4640.85+94.75</f>
        <v>4735.6000000000004</v>
      </c>
      <c r="G193" s="1290">
        <f>F193*$E193</f>
        <v>202446.90000000002</v>
      </c>
      <c r="H193" s="1278">
        <v>4735.6000000000004</v>
      </c>
      <c r="I193" s="817">
        <v>202446.90000000002</v>
      </c>
      <c r="J193" s="1269">
        <f>IF(H193=0,"",H193/$F193)</f>
        <v>1</v>
      </c>
      <c r="K193" s="1278">
        <f>F193-H193</f>
        <v>0</v>
      </c>
      <c r="L193" s="817">
        <f>K193*$E193</f>
        <v>0</v>
      </c>
      <c r="M193" s="1269" t="str">
        <f t="shared" ref="M193:M200" si="27">IF(K193=0,"",K193/$F193)</f>
        <v/>
      </c>
      <c r="N193" s="1285">
        <f>F193-H193</f>
        <v>0</v>
      </c>
      <c r="O193" s="326"/>
    </row>
    <row r="194" spans="1:19" s="233" customFormat="1">
      <c r="A194" s="251" t="s">
        <v>957</v>
      </c>
      <c r="B194" s="1442" t="s">
        <v>958</v>
      </c>
      <c r="C194" s="1442"/>
      <c r="D194" s="1442"/>
      <c r="E194" s="1442"/>
      <c r="F194" s="1442"/>
      <c r="G194" s="1295">
        <f>G195</f>
        <v>93624.30279999999</v>
      </c>
      <c r="H194" s="1277">
        <v>0</v>
      </c>
      <c r="I194" s="232">
        <v>93624.302800000005</v>
      </c>
      <c r="J194" s="1268">
        <f>I194/$G194</f>
        <v>1.0000000000000002</v>
      </c>
      <c r="K194" s="1281"/>
      <c r="L194" s="232">
        <f>L195</f>
        <v>0</v>
      </c>
      <c r="M194" s="1268">
        <f>L194/$G194</f>
        <v>0</v>
      </c>
      <c r="N194" s="1285">
        <f>F194-H194</f>
        <v>0</v>
      </c>
      <c r="O194" s="326"/>
    </row>
    <row r="195" spans="1:19" ht="150">
      <c r="A195" s="253" t="s">
        <v>3098</v>
      </c>
      <c r="B195" s="267" t="s">
        <v>960</v>
      </c>
      <c r="C195" s="1301" t="s">
        <v>2133</v>
      </c>
      <c r="D195" s="211" t="s">
        <v>12</v>
      </c>
      <c r="E195" s="223">
        <v>282.52</v>
      </c>
      <c r="F195" s="211">
        <f>323.43+7.96</f>
        <v>331.39</v>
      </c>
      <c r="G195" s="1290">
        <f>F195*$E195</f>
        <v>93624.30279999999</v>
      </c>
      <c r="H195" s="1278">
        <v>331.39000000000004</v>
      </c>
      <c r="I195" s="817">
        <v>93624.302800000005</v>
      </c>
      <c r="J195" s="1269">
        <f t="shared" ref="J195" si="28">IF(H195=0,"",H195/$F195)</f>
        <v>1.0000000000000002</v>
      </c>
      <c r="K195" s="1278">
        <f>F195-H195</f>
        <v>0</v>
      </c>
      <c r="L195" s="817">
        <f>K195*$E195</f>
        <v>0</v>
      </c>
      <c r="M195" s="1269" t="str">
        <f t="shared" si="27"/>
        <v/>
      </c>
      <c r="N195" s="1285">
        <f>F195-H195</f>
        <v>0</v>
      </c>
      <c r="O195" s="326"/>
    </row>
    <row r="196" spans="1:19" s="233" customFormat="1">
      <c r="A196" s="251" t="s">
        <v>961</v>
      </c>
      <c r="B196" s="1442" t="s">
        <v>962</v>
      </c>
      <c r="C196" s="1442"/>
      <c r="D196" s="1442"/>
      <c r="E196" s="1442"/>
      <c r="F196" s="1442"/>
      <c r="G196" s="1295">
        <f>G197+G198</f>
        <v>11629.6932</v>
      </c>
      <c r="H196" s="1277">
        <v>0</v>
      </c>
      <c r="I196" s="232">
        <v>5019.5154000000002</v>
      </c>
      <c r="J196" s="1268">
        <f>I196/$G196</f>
        <v>0.43161202223288231</v>
      </c>
      <c r="K196" s="1281">
        <f>F196-H196</f>
        <v>0</v>
      </c>
      <c r="L196" s="232">
        <f>L197+L198</f>
        <v>6610.1777999999995</v>
      </c>
      <c r="M196" s="1268">
        <f>L196/$G196</f>
        <v>0.56838797776711769</v>
      </c>
      <c r="N196" s="1285">
        <f>F196-H196</f>
        <v>0</v>
      </c>
      <c r="O196" s="326"/>
    </row>
    <row r="197" spans="1:19" ht="45">
      <c r="A197" s="211" t="s">
        <v>963</v>
      </c>
      <c r="B197" s="267" t="s">
        <v>964</v>
      </c>
      <c r="C197" s="1301" t="s">
        <v>965</v>
      </c>
      <c r="D197" s="211" t="s">
        <v>44</v>
      </c>
      <c r="E197" s="223">
        <v>135.51</v>
      </c>
      <c r="F197" s="211">
        <v>48.78</v>
      </c>
      <c r="G197" s="1290">
        <f>F197*$E197</f>
        <v>6610.1777999999995</v>
      </c>
      <c r="H197" s="1278">
        <v>0</v>
      </c>
      <c r="I197" s="817">
        <v>0</v>
      </c>
      <c r="J197" s="1269" t="str">
        <f t="shared" ref="J197" si="29">IF(H197=0,"",H197/$F197)</f>
        <v/>
      </c>
      <c r="K197" s="1278">
        <f>F197-H197</f>
        <v>48.78</v>
      </c>
      <c r="L197" s="817">
        <f>K197*$E197</f>
        <v>6610.1777999999995</v>
      </c>
      <c r="M197" s="1269">
        <f t="shared" si="27"/>
        <v>1</v>
      </c>
      <c r="N197" s="1285">
        <f>F197-H197</f>
        <v>48.78</v>
      </c>
      <c r="O197" s="326"/>
    </row>
    <row r="198" spans="1:19" ht="30">
      <c r="A198" s="211" t="s">
        <v>966</v>
      </c>
      <c r="B198" s="267" t="s">
        <v>967</v>
      </c>
      <c r="C198" s="1301" t="s">
        <v>968</v>
      </c>
      <c r="D198" s="211" t="s">
        <v>44</v>
      </c>
      <c r="E198" s="223">
        <v>50.14</v>
      </c>
      <c r="F198" s="211">
        <f>51.33+48.78</f>
        <v>100.11</v>
      </c>
      <c r="G198" s="1289">
        <f>F198*$E198</f>
        <v>5019.5154000000002</v>
      </c>
      <c r="H198" s="1278">
        <v>100.11</v>
      </c>
      <c r="I198" s="224">
        <v>5019.5154000000002</v>
      </c>
      <c r="J198" s="1269">
        <f t="shared" ref="J198:J256" si="30">IF(H198=0,"",H198/$F198)</f>
        <v>1</v>
      </c>
      <c r="K198" s="1278">
        <f>F198-H198</f>
        <v>0</v>
      </c>
      <c r="L198" s="224">
        <f>K198*$E198</f>
        <v>0</v>
      </c>
      <c r="M198" s="1269" t="str">
        <f t="shared" si="27"/>
        <v/>
      </c>
      <c r="N198" s="1285">
        <f>F198-H198</f>
        <v>0</v>
      </c>
      <c r="O198" s="326"/>
    </row>
    <row r="199" spans="1:19" s="233" customFormat="1">
      <c r="A199" s="251" t="s">
        <v>969</v>
      </c>
      <c r="B199" s="1442" t="s">
        <v>970</v>
      </c>
      <c r="C199" s="1442"/>
      <c r="D199" s="1442"/>
      <c r="E199" s="1442"/>
      <c r="F199" s="1442"/>
      <c r="G199" s="1295">
        <f>G200</f>
        <v>21671.8135</v>
      </c>
      <c r="H199" s="1277">
        <v>0</v>
      </c>
      <c r="I199" s="232">
        <v>21671.8135</v>
      </c>
      <c r="J199" s="1268">
        <f>I199/$G199</f>
        <v>1</v>
      </c>
      <c r="K199" s="1281">
        <f>F199-H199</f>
        <v>0</v>
      </c>
      <c r="L199" s="232">
        <f>L200</f>
        <v>0</v>
      </c>
      <c r="M199" s="1268">
        <f>L199/$G199</f>
        <v>0</v>
      </c>
      <c r="N199" s="1285">
        <f>F199-H199</f>
        <v>0</v>
      </c>
      <c r="O199" s="326"/>
    </row>
    <row r="200" spans="1:19" ht="45">
      <c r="A200" s="211" t="s">
        <v>971</v>
      </c>
      <c r="B200" s="267" t="s">
        <v>972</v>
      </c>
      <c r="C200" s="1301" t="s">
        <v>973</v>
      </c>
      <c r="D200" s="211" t="s">
        <v>44</v>
      </c>
      <c r="E200" s="223">
        <v>119.45</v>
      </c>
      <c r="F200" s="211">
        <f>119.27+62.16</f>
        <v>181.43</v>
      </c>
      <c r="G200" s="1290">
        <f>F200*$E200</f>
        <v>21671.8135</v>
      </c>
      <c r="H200" s="1278">
        <v>181.43</v>
      </c>
      <c r="I200" s="817">
        <v>21671.8135</v>
      </c>
      <c r="J200" s="1269">
        <f t="shared" si="30"/>
        <v>1</v>
      </c>
      <c r="K200" s="1278">
        <f>F200-H200</f>
        <v>0</v>
      </c>
      <c r="L200" s="817">
        <f>K200*$E200</f>
        <v>0</v>
      </c>
      <c r="M200" s="1269" t="str">
        <f t="shared" si="27"/>
        <v/>
      </c>
      <c r="N200" s="1285">
        <f>F200-H200</f>
        <v>0</v>
      </c>
      <c r="O200" s="326"/>
    </row>
    <row r="201" spans="1:19" s="230" customFormat="1" ht="15.75">
      <c r="A201" s="252" t="s">
        <v>974</v>
      </c>
      <c r="B201" s="1446" t="s">
        <v>975</v>
      </c>
      <c r="C201" s="1446"/>
      <c r="D201" s="1446"/>
      <c r="E201" s="1446"/>
      <c r="F201" s="1446"/>
      <c r="G201" s="1292">
        <f>G202+G204+G207</f>
        <v>91151.918000000005</v>
      </c>
      <c r="H201" s="1278">
        <v>0</v>
      </c>
      <c r="I201" s="226">
        <v>74384.556200000006</v>
      </c>
      <c r="J201" s="1267">
        <f>I201/$G201</f>
        <v>0.81605036769495076</v>
      </c>
      <c r="K201" s="1279">
        <f>F201-H201</f>
        <v>0</v>
      </c>
      <c r="L201" s="226">
        <f>L202+L204+L207</f>
        <v>16767.309600000001</v>
      </c>
      <c r="M201" s="1267">
        <f>L201/$G201</f>
        <v>0.18394905963470784</v>
      </c>
      <c r="N201" s="1285">
        <f>F201-H201</f>
        <v>0</v>
      </c>
      <c r="O201" s="326"/>
      <c r="P201" s="1425"/>
    </row>
    <row r="202" spans="1:19" s="233" customFormat="1">
      <c r="A202" s="251" t="s">
        <v>976</v>
      </c>
      <c r="B202" s="1445" t="s">
        <v>977</v>
      </c>
      <c r="C202" s="1445"/>
      <c r="D202" s="1445"/>
      <c r="E202" s="1445"/>
      <c r="F202" s="1445"/>
      <c r="G202" s="1295">
        <f>G203</f>
        <v>10654.798000000001</v>
      </c>
      <c r="H202" s="1277">
        <v>0</v>
      </c>
      <c r="I202" s="232">
        <v>10654.798000000001</v>
      </c>
      <c r="J202" s="1268">
        <f>I202/$G202</f>
        <v>1</v>
      </c>
      <c r="K202" s="1281">
        <f>F202-H202</f>
        <v>0</v>
      </c>
      <c r="L202" s="232">
        <f>L203</f>
        <v>0</v>
      </c>
      <c r="M202" s="1268">
        <f>L202/$G202</f>
        <v>0</v>
      </c>
      <c r="N202" s="1285">
        <f>F202-H202</f>
        <v>0</v>
      </c>
      <c r="O202" s="326"/>
    </row>
    <row r="203" spans="1:19" ht="60">
      <c r="A203" s="211" t="s">
        <v>978</v>
      </c>
      <c r="B203" s="267" t="s">
        <v>979</v>
      </c>
      <c r="C203" s="1301" t="s">
        <v>980</v>
      </c>
      <c r="D203" s="211" t="s">
        <v>12</v>
      </c>
      <c r="E203" s="223">
        <v>60.2</v>
      </c>
      <c r="F203" s="211">
        <f>154.18+22.81</f>
        <v>176.99</v>
      </c>
      <c r="G203" s="1289">
        <f>F203*$E203</f>
        <v>10654.798000000001</v>
      </c>
      <c r="H203" s="1278">
        <v>176.99</v>
      </c>
      <c r="I203" s="224">
        <v>10654.798000000001</v>
      </c>
      <c r="J203" s="1269">
        <f t="shared" si="30"/>
        <v>1</v>
      </c>
      <c r="K203" s="1278">
        <f>F203-H203</f>
        <v>0</v>
      </c>
      <c r="L203" s="224">
        <f>K203*$E203</f>
        <v>0</v>
      </c>
      <c r="M203" s="1269" t="str">
        <f>IF(K203=0,"",K203/$F203)</f>
        <v/>
      </c>
      <c r="N203" s="1285">
        <f>F203-H203</f>
        <v>0</v>
      </c>
      <c r="O203" s="326"/>
    </row>
    <row r="204" spans="1:19" s="233" customFormat="1">
      <c r="A204" s="249" t="s">
        <v>2946</v>
      </c>
      <c r="B204" s="1445" t="s">
        <v>982</v>
      </c>
      <c r="C204" s="1445"/>
      <c r="D204" s="1445"/>
      <c r="E204" s="1445"/>
      <c r="F204" s="1445"/>
      <c r="G204" s="1295">
        <f>G205+G206</f>
        <v>63729.810399999995</v>
      </c>
      <c r="H204" s="1278">
        <v>0</v>
      </c>
      <c r="I204" s="232">
        <v>63729.758200000004</v>
      </c>
      <c r="J204" s="1268">
        <f>I204/$G204</f>
        <v>0.99999918091706752</v>
      </c>
      <c r="K204" s="1281">
        <f>F204-H204</f>
        <v>0</v>
      </c>
      <c r="L204" s="232">
        <f>L205+L206</f>
        <v>0</v>
      </c>
      <c r="M204" s="1268">
        <f>L204/$G204</f>
        <v>0</v>
      </c>
      <c r="N204" s="1285">
        <f>F204-H204</f>
        <v>0</v>
      </c>
      <c r="O204" s="326"/>
    </row>
    <row r="205" spans="1:19" ht="90">
      <c r="A205" s="211" t="s">
        <v>983</v>
      </c>
      <c r="B205" s="267" t="s">
        <v>382</v>
      </c>
      <c r="C205" s="1301" t="s">
        <v>383</v>
      </c>
      <c r="D205" s="211" t="s">
        <v>12</v>
      </c>
      <c r="E205" s="223">
        <v>252.32</v>
      </c>
      <c r="F205" s="211">
        <v>242.54</v>
      </c>
      <c r="G205" s="1289">
        <f>F205*$E205</f>
        <v>61197.692799999997</v>
      </c>
      <c r="H205" s="1278">
        <v>242.54000000000002</v>
      </c>
      <c r="I205" s="224">
        <v>61197.692800000004</v>
      </c>
      <c r="J205" s="1269">
        <f t="shared" si="30"/>
        <v>1.0000000000000002</v>
      </c>
      <c r="K205" s="1278">
        <f>F205-H205</f>
        <v>0</v>
      </c>
      <c r="L205" s="224">
        <f>K205*$E205</f>
        <v>0</v>
      </c>
      <c r="M205" s="1269" t="str">
        <f>IF(K205=0,"",K205/$F205)</f>
        <v/>
      </c>
      <c r="N205" s="1285">
        <f>F205-H205</f>
        <v>0</v>
      </c>
      <c r="O205" s="326"/>
    </row>
    <row r="206" spans="1:19" ht="30">
      <c r="A206" s="211" t="s">
        <v>984</v>
      </c>
      <c r="B206" s="267" t="s">
        <v>985</v>
      </c>
      <c r="C206" s="1301" t="s">
        <v>986</v>
      </c>
      <c r="D206" s="211" t="s">
        <v>12</v>
      </c>
      <c r="E206" s="223">
        <v>10.44</v>
      </c>
      <c r="F206" s="211">
        <v>242.54</v>
      </c>
      <c r="G206" s="1289">
        <f>F206*$E206</f>
        <v>2532.1175999999996</v>
      </c>
      <c r="H206" s="1278">
        <v>242.53500000000003</v>
      </c>
      <c r="I206" s="224">
        <v>2532.0654</v>
      </c>
      <c r="J206" s="1269">
        <f t="shared" si="30"/>
        <v>0.99997938484373727</v>
      </c>
      <c r="K206" s="1278">
        <f>0</f>
        <v>0</v>
      </c>
      <c r="L206" s="224">
        <f>K206*$E206</f>
        <v>0</v>
      </c>
      <c r="M206" s="1269" t="str">
        <f>IF(K206=0,"",K206/$F206)</f>
        <v/>
      </c>
      <c r="N206" s="1285">
        <f>F206-H206</f>
        <v>4.9999999999670308E-3</v>
      </c>
      <c r="O206" s="326"/>
      <c r="P206" s="1416"/>
      <c r="Q206" s="1416"/>
      <c r="R206" s="1416"/>
      <c r="S206" s="1416"/>
    </row>
    <row r="207" spans="1:19" s="233" customFormat="1" ht="15.75">
      <c r="A207" s="251" t="s">
        <v>987</v>
      </c>
      <c r="B207" s="1445" t="s">
        <v>988</v>
      </c>
      <c r="C207" s="1445"/>
      <c r="D207" s="1445"/>
      <c r="E207" s="1445"/>
      <c r="F207" s="1445"/>
      <c r="G207" s="1295">
        <f>G208</f>
        <v>16767.309600000001</v>
      </c>
      <c r="H207" s="1277">
        <v>0</v>
      </c>
      <c r="I207" s="232">
        <v>0</v>
      </c>
      <c r="J207" s="1268">
        <f>I207/$G207</f>
        <v>0</v>
      </c>
      <c r="K207" s="1281">
        <f>F207-H207</f>
        <v>0</v>
      </c>
      <c r="L207" s="232">
        <f>L208</f>
        <v>16767.309600000001</v>
      </c>
      <c r="M207" s="1268">
        <f>L207/$G207</f>
        <v>1</v>
      </c>
      <c r="N207" s="1285">
        <f>F207-H207</f>
        <v>0</v>
      </c>
      <c r="O207" s="326"/>
      <c r="P207" s="1418"/>
      <c r="Q207" s="1418"/>
      <c r="R207" s="1418"/>
      <c r="S207" s="1418"/>
    </row>
    <row r="208" spans="1:19" ht="45">
      <c r="A208" s="211" t="s">
        <v>989</v>
      </c>
      <c r="B208" s="267" t="s">
        <v>990</v>
      </c>
      <c r="C208" s="1301" t="s">
        <v>991</v>
      </c>
      <c r="D208" s="211" t="s">
        <v>12</v>
      </c>
      <c r="E208" s="223">
        <v>81.72</v>
      </c>
      <c r="F208" s="211">
        <v>205.18</v>
      </c>
      <c r="G208" s="1290">
        <f>F208*$E208</f>
        <v>16767.309600000001</v>
      </c>
      <c r="H208" s="1278">
        <v>0</v>
      </c>
      <c r="I208" s="817">
        <v>0</v>
      </c>
      <c r="J208" s="1269" t="str">
        <f t="shared" ref="J208" si="31">IF(H208=0,"",H208/$F208)</f>
        <v/>
      </c>
      <c r="K208" s="1278">
        <f>F208-H208</f>
        <v>205.18</v>
      </c>
      <c r="L208" s="817">
        <f>K208*$E208</f>
        <v>16767.309600000001</v>
      </c>
      <c r="M208" s="1269">
        <f t="shared" ref="M208:M256" si="32">IF(K208=0,"",K208/$F208)</f>
        <v>1</v>
      </c>
      <c r="N208" s="1285">
        <f>F208-H208</f>
        <v>205.18</v>
      </c>
      <c r="O208" s="326"/>
      <c r="P208" s="1416"/>
      <c r="Q208" s="1416"/>
      <c r="R208" s="1416"/>
      <c r="S208" s="1416"/>
    </row>
    <row r="209" spans="1:19" s="230" customFormat="1" ht="15.75">
      <c r="A209" s="252" t="s">
        <v>992</v>
      </c>
      <c r="B209" s="1446" t="s">
        <v>993</v>
      </c>
      <c r="C209" s="1446"/>
      <c r="D209" s="1446"/>
      <c r="E209" s="1446"/>
      <c r="F209" s="1446"/>
      <c r="G209" s="1292">
        <f>G210+G213</f>
        <v>125138.19069999999</v>
      </c>
      <c r="H209" s="1276">
        <v>0</v>
      </c>
      <c r="I209" s="226">
        <v>115732.79469999998</v>
      </c>
      <c r="J209" s="1267">
        <f>I209/$G209</f>
        <v>0.92483992338879162</v>
      </c>
      <c r="K209" s="1279">
        <f>F209-H209</f>
        <v>0</v>
      </c>
      <c r="L209" s="226">
        <f>L210+L213</f>
        <v>9405.3960000000006</v>
      </c>
      <c r="M209" s="1267">
        <f>L209/$G209</f>
        <v>7.5160076611208354E-2</v>
      </c>
      <c r="N209" s="1285">
        <f>F209-H209</f>
        <v>0</v>
      </c>
      <c r="O209" s="326"/>
      <c r="P209" s="1425"/>
      <c r="Q209" s="234"/>
      <c r="R209" s="234"/>
      <c r="S209" s="234"/>
    </row>
    <row r="210" spans="1:19" s="231" customFormat="1">
      <c r="A210" s="251" t="s">
        <v>994</v>
      </c>
      <c r="B210" s="1445" t="s">
        <v>995</v>
      </c>
      <c r="C210" s="1445"/>
      <c r="D210" s="1445"/>
      <c r="E210" s="1445"/>
      <c r="F210" s="1445"/>
      <c r="G210" s="1291">
        <f>G211+G212</f>
        <v>11277.6664</v>
      </c>
      <c r="H210" s="1277">
        <v>0</v>
      </c>
      <c r="I210" s="225">
        <v>1872.2703999999999</v>
      </c>
      <c r="J210" s="1268">
        <f>I210/$G210</f>
        <v>0.16601576368671447</v>
      </c>
      <c r="K210" s="1277">
        <f>F210-H210</f>
        <v>0</v>
      </c>
      <c r="L210" s="225">
        <f>L211+L212</f>
        <v>9405.3960000000006</v>
      </c>
      <c r="M210" s="1268">
        <f>L210/$G210</f>
        <v>0.83398423631328555</v>
      </c>
      <c r="N210" s="1285">
        <f>F210-H210</f>
        <v>0</v>
      </c>
      <c r="O210" s="326"/>
      <c r="P210" s="163"/>
      <c r="Q210" s="165"/>
      <c r="R210" s="166"/>
      <c r="S210" s="165"/>
    </row>
    <row r="211" spans="1:19" ht="45">
      <c r="A211" s="253" t="s">
        <v>3175</v>
      </c>
      <c r="B211" s="267" t="s">
        <v>388</v>
      </c>
      <c r="C211" s="1301" t="s">
        <v>389</v>
      </c>
      <c r="D211" s="211" t="s">
        <v>12</v>
      </c>
      <c r="E211" s="223">
        <v>13.78</v>
      </c>
      <c r="F211" s="211">
        <v>140.83000000000001</v>
      </c>
      <c r="G211" s="1290">
        <f>F211*$E211</f>
        <v>1940.6374000000001</v>
      </c>
      <c r="H211" s="1278">
        <v>23.38</v>
      </c>
      <c r="I211" s="817">
        <v>322.17639999999994</v>
      </c>
      <c r="J211" s="1269">
        <f t="shared" si="30"/>
        <v>0.16601576368671445</v>
      </c>
      <c r="K211" s="1278">
        <f>F211-H211</f>
        <v>117.45000000000002</v>
      </c>
      <c r="L211" s="817">
        <f>K211*$E211</f>
        <v>1618.4610000000002</v>
      </c>
      <c r="M211" s="1269">
        <f t="shared" si="32"/>
        <v>0.83398423631328555</v>
      </c>
      <c r="N211" s="1285">
        <f>F211-H211</f>
        <v>117.45000000000002</v>
      </c>
      <c r="O211" s="326"/>
    </row>
    <row r="212" spans="1:19" ht="45">
      <c r="A212" s="211" t="s">
        <v>997</v>
      </c>
      <c r="B212" s="267" t="s">
        <v>391</v>
      </c>
      <c r="C212" s="1301" t="s">
        <v>392</v>
      </c>
      <c r="D212" s="211" t="s">
        <v>12</v>
      </c>
      <c r="E212" s="223">
        <v>66.3</v>
      </c>
      <c r="F212" s="211">
        <v>140.83000000000001</v>
      </c>
      <c r="G212" s="1290">
        <f>F212*$E212</f>
        <v>9337.0290000000005</v>
      </c>
      <c r="H212" s="1278">
        <v>23.38</v>
      </c>
      <c r="I212" s="817">
        <v>1550.0939999999998</v>
      </c>
      <c r="J212" s="1269">
        <f t="shared" si="30"/>
        <v>0.16601576368671445</v>
      </c>
      <c r="K212" s="1278">
        <f>F212-H212</f>
        <v>117.45000000000002</v>
      </c>
      <c r="L212" s="817">
        <f>K212*$E212</f>
        <v>7786.9350000000004</v>
      </c>
      <c r="M212" s="1269">
        <f t="shared" si="32"/>
        <v>0.83398423631328555</v>
      </c>
      <c r="N212" s="1285">
        <f>F212-H212</f>
        <v>117.45000000000002</v>
      </c>
      <c r="O212" s="326"/>
    </row>
    <row r="213" spans="1:19" s="231" customFormat="1">
      <c r="A213" s="251" t="s">
        <v>998</v>
      </c>
      <c r="B213" s="1445" t="s">
        <v>999</v>
      </c>
      <c r="C213" s="1445"/>
      <c r="D213" s="1445"/>
      <c r="E213" s="1445"/>
      <c r="F213" s="1445"/>
      <c r="G213" s="1291">
        <f>G214+G215+G216</f>
        <v>113860.52429999999</v>
      </c>
      <c r="H213" s="1277">
        <v>0</v>
      </c>
      <c r="I213" s="225">
        <v>113860.52429999999</v>
      </c>
      <c r="J213" s="1268">
        <f>I213/$G213</f>
        <v>1</v>
      </c>
      <c r="K213" s="1277">
        <f>F213-H213</f>
        <v>0</v>
      </c>
      <c r="L213" s="225">
        <f>L214+L215+L216</f>
        <v>0</v>
      </c>
      <c r="M213" s="1268">
        <f>L213/$G213</f>
        <v>0</v>
      </c>
      <c r="N213" s="1285">
        <f>F213-H213</f>
        <v>0</v>
      </c>
      <c r="O213" s="326"/>
    </row>
    <row r="214" spans="1:19" ht="45">
      <c r="A214" s="211" t="s">
        <v>1000</v>
      </c>
      <c r="B214" s="267" t="s">
        <v>1001</v>
      </c>
      <c r="C214" s="1301" t="s">
        <v>1002</v>
      </c>
      <c r="D214" s="211" t="s">
        <v>12</v>
      </c>
      <c r="E214" s="223">
        <v>92.6</v>
      </c>
      <c r="F214" s="211">
        <v>59.71</v>
      </c>
      <c r="G214" s="1289">
        <f>F214*$E214</f>
        <v>5529.1459999999997</v>
      </c>
      <c r="H214" s="1278">
        <v>59.71</v>
      </c>
      <c r="I214" s="224">
        <v>5529.1459999999997</v>
      </c>
      <c r="J214" s="1269">
        <f t="shared" si="30"/>
        <v>1</v>
      </c>
      <c r="K214" s="1278">
        <f>F214-H214</f>
        <v>0</v>
      </c>
      <c r="L214" s="224">
        <f>K214*$E214</f>
        <v>0</v>
      </c>
      <c r="M214" s="1269" t="str">
        <f t="shared" si="32"/>
        <v/>
      </c>
      <c r="N214" s="1285">
        <f>F214-H214</f>
        <v>0</v>
      </c>
      <c r="O214" s="326"/>
    </row>
    <row r="215" spans="1:19" ht="105">
      <c r="A215" s="211" t="s">
        <v>1003</v>
      </c>
      <c r="B215" s="267" t="s">
        <v>1004</v>
      </c>
      <c r="C215" s="1301" t="s">
        <v>1005</v>
      </c>
      <c r="D215" s="211" t="s">
        <v>12</v>
      </c>
      <c r="E215" s="223">
        <v>174.17</v>
      </c>
      <c r="F215" s="211">
        <v>516.74</v>
      </c>
      <c r="G215" s="1289">
        <f>F215*$E215</f>
        <v>90000.60579999999</v>
      </c>
      <c r="H215" s="1278">
        <v>516.74</v>
      </c>
      <c r="I215" s="224">
        <v>90000.60579999999</v>
      </c>
      <c r="J215" s="1269">
        <f t="shared" si="30"/>
        <v>1</v>
      </c>
      <c r="K215" s="1278">
        <f>F215-H215</f>
        <v>0</v>
      </c>
      <c r="L215" s="224">
        <f>K215*$E215</f>
        <v>0</v>
      </c>
      <c r="M215" s="1269" t="str">
        <f t="shared" si="32"/>
        <v/>
      </c>
      <c r="N215" s="1285">
        <f>F215-H215</f>
        <v>0</v>
      </c>
      <c r="O215" s="326"/>
    </row>
    <row r="216" spans="1:19" ht="45">
      <c r="A216" s="211" t="s">
        <v>1006</v>
      </c>
      <c r="B216" s="267" t="s">
        <v>1007</v>
      </c>
      <c r="C216" s="1301" t="s">
        <v>1008</v>
      </c>
      <c r="D216" s="211" t="s">
        <v>44</v>
      </c>
      <c r="E216" s="223">
        <v>25.65</v>
      </c>
      <c r="F216" s="211">
        <v>714.65</v>
      </c>
      <c r="G216" s="1289">
        <f>F216*$E216</f>
        <v>18330.772499999999</v>
      </c>
      <c r="H216" s="1278">
        <v>714.65</v>
      </c>
      <c r="I216" s="224">
        <v>18330.772499999999</v>
      </c>
      <c r="J216" s="1269">
        <f t="shared" si="30"/>
        <v>1</v>
      </c>
      <c r="K216" s="1278">
        <f>F216-H216</f>
        <v>0</v>
      </c>
      <c r="L216" s="224">
        <f>K216*$E216</f>
        <v>0</v>
      </c>
      <c r="M216" s="1269" t="str">
        <f t="shared" si="32"/>
        <v/>
      </c>
      <c r="N216" s="1285">
        <f>F216-H216</f>
        <v>0</v>
      </c>
      <c r="O216" s="326"/>
    </row>
    <row r="217" spans="1:19" s="230" customFormat="1" ht="15.75">
      <c r="A217" s="252" t="s">
        <v>1009</v>
      </c>
      <c r="B217" s="1446" t="s">
        <v>1010</v>
      </c>
      <c r="C217" s="1446"/>
      <c r="D217" s="1446"/>
      <c r="E217" s="1446"/>
      <c r="F217" s="1446"/>
      <c r="G217" s="1292">
        <f>G218+G222</f>
        <v>239945.14060000001</v>
      </c>
      <c r="H217" s="1276">
        <v>0</v>
      </c>
      <c r="I217" s="226">
        <v>239944.81751200001</v>
      </c>
      <c r="J217" s="1267">
        <f>I217/$G217</f>
        <v>0.99999865349221406</v>
      </c>
      <c r="K217" s="1279">
        <f>F217-H217</f>
        <v>0</v>
      </c>
      <c r="L217" s="226">
        <f>L218+L222</f>
        <v>0</v>
      </c>
      <c r="M217" s="1267">
        <f>L217/$G217</f>
        <v>0</v>
      </c>
      <c r="N217" s="1285">
        <f>F217-H217</f>
        <v>0</v>
      </c>
      <c r="O217" s="326"/>
      <c r="P217" s="1425"/>
    </row>
    <row r="218" spans="1:19" s="231" customFormat="1">
      <c r="A218" s="251" t="s">
        <v>1011</v>
      </c>
      <c r="B218" s="1445" t="s">
        <v>995</v>
      </c>
      <c r="C218" s="1445"/>
      <c r="D218" s="1445"/>
      <c r="E218" s="1445"/>
      <c r="F218" s="1445"/>
      <c r="G218" s="1291">
        <f>G219+G220+G221</f>
        <v>112356.58900000001</v>
      </c>
      <c r="H218" s="1277">
        <v>0</v>
      </c>
      <c r="I218" s="225">
        <v>112356.265912</v>
      </c>
      <c r="J218" s="1268">
        <f>I218/$G218</f>
        <v>0.9999971244410063</v>
      </c>
      <c r="K218" s="1277">
        <f>F218-H218</f>
        <v>0</v>
      </c>
      <c r="L218" s="225">
        <f>L219+L220+L221</f>
        <v>0</v>
      </c>
      <c r="M218" s="1268">
        <f>L218/$G218</f>
        <v>0</v>
      </c>
      <c r="N218" s="1285">
        <f>F218-H218</f>
        <v>0</v>
      </c>
      <c r="O218" s="326"/>
    </row>
    <row r="219" spans="1:19" ht="60">
      <c r="A219" s="253" t="s">
        <v>2715</v>
      </c>
      <c r="B219" s="267" t="s">
        <v>1013</v>
      </c>
      <c r="C219" s="1301" t="s">
        <v>1014</v>
      </c>
      <c r="D219" s="211" t="s">
        <v>12</v>
      </c>
      <c r="E219" s="223">
        <v>34.49</v>
      </c>
      <c r="F219" s="211">
        <v>492.5</v>
      </c>
      <c r="G219" s="1290">
        <f>F219*$E219</f>
        <v>16986.325000000001</v>
      </c>
      <c r="H219" s="1278">
        <v>492.50009999999997</v>
      </c>
      <c r="I219" s="817">
        <v>16986.328449000001</v>
      </c>
      <c r="J219" s="1269">
        <f t="shared" si="30"/>
        <v>1.0000002030456852</v>
      </c>
      <c r="K219" s="1278">
        <v>0</v>
      </c>
      <c r="L219" s="817">
        <f>K219*$E219</f>
        <v>0</v>
      </c>
      <c r="M219" s="1269" t="str">
        <f t="shared" si="32"/>
        <v/>
      </c>
      <c r="N219" s="1285">
        <f>F219-H219</f>
        <v>-9.9999999974897946E-5</v>
      </c>
      <c r="O219" s="326"/>
    </row>
    <row r="220" spans="1:19" ht="45">
      <c r="A220" s="253" t="s">
        <v>2716</v>
      </c>
      <c r="B220" s="267" t="s">
        <v>394</v>
      </c>
      <c r="C220" s="1301" t="s">
        <v>395</v>
      </c>
      <c r="D220" s="211" t="s">
        <v>12</v>
      </c>
      <c r="E220" s="223">
        <v>7.09</v>
      </c>
      <c r="F220" s="213">
        <v>1886.71</v>
      </c>
      <c r="G220" s="1290">
        <f>F220*$E220</f>
        <v>13376.7739</v>
      </c>
      <c r="H220" s="1278">
        <v>1886.7021000000004</v>
      </c>
      <c r="I220" s="817">
        <v>13376.717889000003</v>
      </c>
      <c r="J220" s="1269">
        <f t="shared" si="30"/>
        <v>0.99999581281702032</v>
      </c>
      <c r="K220" s="1278">
        <v>0</v>
      </c>
      <c r="L220" s="817">
        <f>K220*$E220</f>
        <v>0</v>
      </c>
      <c r="M220" s="1269" t="str">
        <f t="shared" si="32"/>
        <v/>
      </c>
      <c r="N220" s="1285">
        <f>F220-H220</f>
        <v>7.8999999996085535E-3</v>
      </c>
      <c r="O220" s="326"/>
    </row>
    <row r="221" spans="1:19" s="262" customFormat="1" ht="60">
      <c r="A221" s="850" t="s">
        <v>2717</v>
      </c>
      <c r="B221" s="809" t="s">
        <v>400</v>
      </c>
      <c r="C221" s="1302" t="s">
        <v>401</v>
      </c>
      <c r="D221" s="259" t="s">
        <v>12</v>
      </c>
      <c r="E221" s="260">
        <v>58.81</v>
      </c>
      <c r="F221" s="851">
        <v>1394.21</v>
      </c>
      <c r="G221" s="1294">
        <f>F221*$E221</f>
        <v>81993.49010000001</v>
      </c>
      <c r="H221" s="1278">
        <v>1394.2054000000001</v>
      </c>
      <c r="I221" s="852">
        <v>81993.219574000002</v>
      </c>
      <c r="J221" s="1270">
        <f t="shared" si="30"/>
        <v>0.99999670064050605</v>
      </c>
      <c r="K221" s="1280">
        <v>0</v>
      </c>
      <c r="L221" s="852">
        <f>K221*$E221</f>
        <v>0</v>
      </c>
      <c r="M221" s="1270" t="str">
        <f t="shared" si="32"/>
        <v/>
      </c>
      <c r="N221" s="1285">
        <f>F221-H221</f>
        <v>4.5999999999821739E-3</v>
      </c>
      <c r="O221" s="326"/>
    </row>
    <row r="222" spans="1:19" s="231" customFormat="1">
      <c r="A222" s="251" t="s">
        <v>1017</v>
      </c>
      <c r="B222" s="1445" t="s">
        <v>1018</v>
      </c>
      <c r="C222" s="1445"/>
      <c r="D222" s="1445"/>
      <c r="E222" s="1445"/>
      <c r="F222" s="1445"/>
      <c r="G222" s="1291">
        <f>G223+G224</f>
        <v>127588.55160000001</v>
      </c>
      <c r="H222" s="1277">
        <v>0</v>
      </c>
      <c r="I222" s="225">
        <v>127588.55160000001</v>
      </c>
      <c r="J222" s="1268">
        <f>I222/$G222</f>
        <v>1</v>
      </c>
      <c r="K222" s="1277">
        <f>F222-H222</f>
        <v>0</v>
      </c>
      <c r="L222" s="225">
        <f>L223+L224</f>
        <v>0</v>
      </c>
      <c r="M222" s="1268">
        <f>L222/$G222</f>
        <v>0</v>
      </c>
      <c r="N222" s="1285">
        <f>F222-H222</f>
        <v>0</v>
      </c>
      <c r="O222" s="326"/>
    </row>
    <row r="223" spans="1:19" ht="75">
      <c r="A223" s="253" t="s">
        <v>3187</v>
      </c>
      <c r="B223" s="267" t="s">
        <v>1020</v>
      </c>
      <c r="C223" s="1301" t="s">
        <v>1021</v>
      </c>
      <c r="D223" s="211" t="s">
        <v>12</v>
      </c>
      <c r="E223" s="223">
        <v>251.69</v>
      </c>
      <c r="F223" s="211">
        <f>26.27+287.23</f>
        <v>313.5</v>
      </c>
      <c r="G223" s="1289">
        <f>F223*$E223</f>
        <v>78904.815000000002</v>
      </c>
      <c r="H223" s="1278">
        <v>313.5</v>
      </c>
      <c r="I223" s="224">
        <v>78904.815000000002</v>
      </c>
      <c r="J223" s="1269">
        <f t="shared" si="30"/>
        <v>1</v>
      </c>
      <c r="K223" s="1278">
        <f>F223-H223</f>
        <v>0</v>
      </c>
      <c r="L223" s="224">
        <f>K223*$E223</f>
        <v>0</v>
      </c>
      <c r="M223" s="1270" t="str">
        <f t="shared" si="32"/>
        <v/>
      </c>
      <c r="N223" s="1285">
        <f>F223-H223</f>
        <v>0</v>
      </c>
      <c r="O223" s="326"/>
    </row>
    <row r="224" spans="1:19" ht="75">
      <c r="A224" s="253" t="s">
        <v>3188</v>
      </c>
      <c r="B224" s="267" t="s">
        <v>1023</v>
      </c>
      <c r="C224" s="1301" t="s">
        <v>1024</v>
      </c>
      <c r="D224" s="211" t="s">
        <v>12</v>
      </c>
      <c r="E224" s="223">
        <v>104.42</v>
      </c>
      <c r="F224" s="211">
        <v>466.23</v>
      </c>
      <c r="G224" s="1290">
        <f>F224*$E224</f>
        <v>48683.736600000004</v>
      </c>
      <c r="H224" s="1278">
        <v>466.23</v>
      </c>
      <c r="I224" s="817">
        <v>48683.736600000004</v>
      </c>
      <c r="J224" s="1269">
        <f t="shared" si="30"/>
        <v>1</v>
      </c>
      <c r="K224" s="1278">
        <f>F224-H224</f>
        <v>0</v>
      </c>
      <c r="L224" s="817">
        <f>K224*$E224</f>
        <v>0</v>
      </c>
      <c r="M224" s="1270" t="str">
        <f t="shared" si="32"/>
        <v/>
      </c>
      <c r="N224" s="1285">
        <f>F224-H224</f>
        <v>0</v>
      </c>
      <c r="O224" s="326"/>
    </row>
    <row r="225" spans="1:16" s="230" customFormat="1" ht="15.75">
      <c r="A225" s="252" t="s">
        <v>1025</v>
      </c>
      <c r="B225" s="1446" t="s">
        <v>1026</v>
      </c>
      <c r="C225" s="1446"/>
      <c r="D225" s="1446"/>
      <c r="E225" s="1446"/>
      <c r="F225" s="1446"/>
      <c r="G225" s="1292">
        <f>G226+G228+G233+G241+G246+G249+G253</f>
        <v>350844.44109999994</v>
      </c>
      <c r="H225" s="1276">
        <v>0</v>
      </c>
      <c r="I225" s="226">
        <v>349137.05615725002</v>
      </c>
      <c r="J225" s="1267">
        <f>I225/$G225</f>
        <v>0.99513349865998513</v>
      </c>
      <c r="K225" s="1279">
        <f>F225-H225</f>
        <v>0</v>
      </c>
      <c r="L225" s="226">
        <f>L226+L228+L233+L241+L246+L249+L253</f>
        <v>1713.5250000000001</v>
      </c>
      <c r="M225" s="1267">
        <f>L225/$G225</f>
        <v>4.8840021367521115E-3</v>
      </c>
      <c r="N225" s="1285">
        <f>F225-H225</f>
        <v>0</v>
      </c>
      <c r="O225" s="326"/>
      <c r="P225" s="1425"/>
    </row>
    <row r="226" spans="1:16" s="231" customFormat="1">
      <c r="A226" s="251" t="s">
        <v>1027</v>
      </c>
      <c r="B226" s="1445" t="s">
        <v>1028</v>
      </c>
      <c r="C226" s="1445"/>
      <c r="D226" s="1445"/>
      <c r="E226" s="1445"/>
      <c r="F226" s="1445"/>
      <c r="G226" s="1291">
        <f>G227</f>
        <v>15546.0291</v>
      </c>
      <c r="H226" s="1277">
        <v>0</v>
      </c>
      <c r="I226" s="225">
        <v>15546.0291</v>
      </c>
      <c r="J226" s="1268">
        <f>I226/$G226</f>
        <v>1</v>
      </c>
      <c r="K226" s="1277">
        <f>F226-H226</f>
        <v>0</v>
      </c>
      <c r="L226" s="225">
        <f>L227</f>
        <v>0</v>
      </c>
      <c r="M226" s="1268">
        <f>L226/$G226</f>
        <v>0</v>
      </c>
      <c r="N226" s="1285">
        <f>F226-H226</f>
        <v>0</v>
      </c>
      <c r="O226" s="326"/>
    </row>
    <row r="227" spans="1:16" ht="45">
      <c r="A227" s="211" t="s">
        <v>1029</v>
      </c>
      <c r="B227" s="267" t="s">
        <v>403</v>
      </c>
      <c r="C227" s="1301" t="s">
        <v>404</v>
      </c>
      <c r="D227" s="211" t="s">
        <v>12</v>
      </c>
      <c r="E227" s="223">
        <v>24.99</v>
      </c>
      <c r="F227" s="211">
        <v>622.09</v>
      </c>
      <c r="G227" s="1290">
        <f>F227*$E227</f>
        <v>15546.0291</v>
      </c>
      <c r="H227" s="1278">
        <v>622.09</v>
      </c>
      <c r="I227" s="817">
        <v>15546.0291</v>
      </c>
      <c r="J227" s="1269">
        <f t="shared" si="30"/>
        <v>1</v>
      </c>
      <c r="K227" s="1278">
        <f>F227-H227</f>
        <v>0</v>
      </c>
      <c r="L227" s="817">
        <f>K227*$E227</f>
        <v>0</v>
      </c>
      <c r="M227" s="1270" t="str">
        <f t="shared" si="32"/>
        <v/>
      </c>
      <c r="N227" s="1285">
        <f>F227-H227</f>
        <v>0</v>
      </c>
      <c r="O227" s="326"/>
    </row>
    <row r="228" spans="1:16" s="231" customFormat="1">
      <c r="A228" s="251" t="s">
        <v>1030</v>
      </c>
      <c r="B228" s="1445" t="s">
        <v>1018</v>
      </c>
      <c r="C228" s="1445"/>
      <c r="D228" s="1445"/>
      <c r="E228" s="1445"/>
      <c r="F228" s="1445"/>
      <c r="G228" s="1291">
        <f>SUM(G229:G232)</f>
        <v>152470.1752</v>
      </c>
      <c r="H228" s="1277">
        <v>0</v>
      </c>
      <c r="I228" s="225">
        <v>150756.6502</v>
      </c>
      <c r="J228" s="1268">
        <f>I228/$G228</f>
        <v>0.98876157256491437</v>
      </c>
      <c r="K228" s="1277">
        <f>F228-H228</f>
        <v>0</v>
      </c>
      <c r="L228" s="225">
        <f>SUM(L229:L232)</f>
        <v>1713.5250000000001</v>
      </c>
      <c r="M228" s="1268">
        <f>L228/$G228</f>
        <v>1.123842743508568E-2</v>
      </c>
      <c r="N228" s="1285">
        <f>F228-H228</f>
        <v>0</v>
      </c>
      <c r="O228" s="326"/>
    </row>
    <row r="229" spans="1:16" ht="90">
      <c r="A229" s="211" t="s">
        <v>1031</v>
      </c>
      <c r="B229" s="267" t="s">
        <v>1032</v>
      </c>
      <c r="C229" s="1301" t="s">
        <v>1033</v>
      </c>
      <c r="D229" s="211" t="s">
        <v>12</v>
      </c>
      <c r="E229" s="223">
        <v>258.31</v>
      </c>
      <c r="F229" s="211">
        <v>66.81</v>
      </c>
      <c r="G229" s="1289">
        <f t="shared" ref="G229:G257" si="33">F229*$E229</f>
        <v>17257.6911</v>
      </c>
      <c r="H229" s="1278">
        <v>66.81</v>
      </c>
      <c r="I229" s="224">
        <v>17257.6911</v>
      </c>
      <c r="J229" s="1269">
        <f t="shared" si="30"/>
        <v>1</v>
      </c>
      <c r="K229" s="1278">
        <f>F229-H229</f>
        <v>0</v>
      </c>
      <c r="L229" s="224">
        <f>K229*$E229</f>
        <v>0</v>
      </c>
      <c r="M229" s="1270" t="str">
        <f t="shared" si="32"/>
        <v/>
      </c>
      <c r="N229" s="1285">
        <f>F229-H229</f>
        <v>0</v>
      </c>
      <c r="O229" s="326"/>
    </row>
    <row r="230" spans="1:16" ht="90">
      <c r="A230" s="211" t="s">
        <v>1034</v>
      </c>
      <c r="B230" s="267" t="s">
        <v>1035</v>
      </c>
      <c r="C230" s="1301" t="s">
        <v>1036</v>
      </c>
      <c r="D230" s="211" t="s">
        <v>12</v>
      </c>
      <c r="E230" s="223">
        <v>233.32</v>
      </c>
      <c r="F230" s="211">
        <v>508.28</v>
      </c>
      <c r="G230" s="1289">
        <f t="shared" si="33"/>
        <v>118591.88959999999</v>
      </c>
      <c r="H230" s="1278">
        <v>508.28</v>
      </c>
      <c r="I230" s="224">
        <v>118591.88959999999</v>
      </c>
      <c r="J230" s="1269">
        <f t="shared" si="30"/>
        <v>1</v>
      </c>
      <c r="K230" s="1278">
        <f>F230-H230</f>
        <v>0</v>
      </c>
      <c r="L230" s="224">
        <f>K230*$E230</f>
        <v>0</v>
      </c>
      <c r="M230" s="1270" t="str">
        <f t="shared" si="32"/>
        <v/>
      </c>
      <c r="N230" s="1285">
        <f>F230-H230</f>
        <v>0</v>
      </c>
      <c r="O230" s="326"/>
    </row>
    <row r="231" spans="1:16" ht="105">
      <c r="A231" s="253" t="s">
        <v>4001</v>
      </c>
      <c r="B231" s="267" t="s">
        <v>1038</v>
      </c>
      <c r="C231" s="1301" t="s">
        <v>1039</v>
      </c>
      <c r="D231" s="211" t="s">
        <v>12</v>
      </c>
      <c r="E231" s="223">
        <v>456.94</v>
      </c>
      <c r="F231" s="211">
        <v>3.75</v>
      </c>
      <c r="G231" s="1290">
        <f t="shared" si="33"/>
        <v>1713.5250000000001</v>
      </c>
      <c r="H231" s="1278">
        <v>0</v>
      </c>
      <c r="I231" s="817">
        <v>0</v>
      </c>
      <c r="J231" s="1269" t="str">
        <f t="shared" si="30"/>
        <v/>
      </c>
      <c r="K231" s="1278">
        <f>F231-H231</f>
        <v>3.75</v>
      </c>
      <c r="L231" s="817">
        <f>K231*$E231</f>
        <v>1713.5250000000001</v>
      </c>
      <c r="M231" s="1270">
        <f t="shared" si="32"/>
        <v>1</v>
      </c>
      <c r="N231" s="1285">
        <f>F231-H231</f>
        <v>3.75</v>
      </c>
      <c r="O231" s="326"/>
    </row>
    <row r="232" spans="1:16" ht="105">
      <c r="A232" s="253" t="s">
        <v>3810</v>
      </c>
      <c r="B232" s="267" t="s">
        <v>1041</v>
      </c>
      <c r="C232" s="1301" t="s">
        <v>1042</v>
      </c>
      <c r="D232" s="211" t="s">
        <v>12</v>
      </c>
      <c r="E232" s="223">
        <v>229.87</v>
      </c>
      <c r="F232" s="211">
        <v>64.849999999999994</v>
      </c>
      <c r="G232" s="1290">
        <f t="shared" si="33"/>
        <v>14907.0695</v>
      </c>
      <c r="H232" s="1278">
        <v>64.849999999999994</v>
      </c>
      <c r="I232" s="817">
        <v>14907.0695</v>
      </c>
      <c r="J232" s="1269">
        <f t="shared" si="30"/>
        <v>1</v>
      </c>
      <c r="K232" s="1278">
        <f>F232-H232</f>
        <v>0</v>
      </c>
      <c r="L232" s="817">
        <f>K232*$E232</f>
        <v>0</v>
      </c>
      <c r="M232" s="1270" t="str">
        <f t="shared" si="32"/>
        <v/>
      </c>
      <c r="N232" s="1285">
        <f>F232-H232</f>
        <v>0</v>
      </c>
      <c r="O232" s="326"/>
    </row>
    <row r="233" spans="1:16" s="231" customFormat="1">
      <c r="A233" s="251" t="s">
        <v>1043</v>
      </c>
      <c r="B233" s="1445" t="s">
        <v>1044</v>
      </c>
      <c r="C233" s="1445"/>
      <c r="D233" s="1445"/>
      <c r="E233" s="1445"/>
      <c r="F233" s="1445"/>
      <c r="G233" s="1291">
        <f>SUM(G234:G240)</f>
        <v>90843.929799999984</v>
      </c>
      <c r="H233" s="1277">
        <v>0</v>
      </c>
      <c r="I233" s="225">
        <v>90843.929799999984</v>
      </c>
      <c r="J233" s="1268">
        <f>I233/$G233</f>
        <v>1</v>
      </c>
      <c r="K233" s="1277">
        <f>F233-H233</f>
        <v>0</v>
      </c>
      <c r="L233" s="225">
        <f>SUM(L234:L240)</f>
        <v>0</v>
      </c>
      <c r="M233" s="1268">
        <f>L233/$G233</f>
        <v>0</v>
      </c>
      <c r="N233" s="1285">
        <f>F233-H233</f>
        <v>0</v>
      </c>
      <c r="O233" s="326"/>
    </row>
    <row r="234" spans="1:16" ht="75">
      <c r="A234" s="253" t="s">
        <v>3397</v>
      </c>
      <c r="B234" s="267" t="s">
        <v>1046</v>
      </c>
      <c r="C234" s="1301" t="s">
        <v>1047</v>
      </c>
      <c r="D234" s="211" t="s">
        <v>44</v>
      </c>
      <c r="E234" s="229">
        <v>95.3</v>
      </c>
      <c r="F234" s="211">
        <v>793.25</v>
      </c>
      <c r="G234" s="1290">
        <f t="shared" si="33"/>
        <v>75596.724999999991</v>
      </c>
      <c r="H234" s="1278">
        <v>793.25</v>
      </c>
      <c r="I234" s="817">
        <v>75596.724999999991</v>
      </c>
      <c r="J234" s="1269">
        <f t="shared" si="30"/>
        <v>1</v>
      </c>
      <c r="K234" s="1278">
        <f>F234-H234</f>
        <v>0</v>
      </c>
      <c r="L234" s="817">
        <f t="shared" ref="L234:L240" si="34">K234*$E234</f>
        <v>0</v>
      </c>
      <c r="M234" s="1270" t="e">
        <f>IF(#REF!=0,"",K234/$F234)</f>
        <v>#REF!</v>
      </c>
      <c r="N234" s="1285">
        <f>F234-H234</f>
        <v>0</v>
      </c>
      <c r="O234" s="326"/>
    </row>
    <row r="235" spans="1:16" ht="45">
      <c r="A235" s="211" t="s">
        <v>1048</v>
      </c>
      <c r="B235" s="267" t="s">
        <v>1049</v>
      </c>
      <c r="C235" s="1301" t="s">
        <v>1050</v>
      </c>
      <c r="D235" s="211" t="s">
        <v>44</v>
      </c>
      <c r="E235" s="229">
        <v>443.77</v>
      </c>
      <c r="F235" s="211">
        <v>1.38</v>
      </c>
      <c r="G235" s="1289">
        <f t="shared" si="33"/>
        <v>612.40259999999989</v>
      </c>
      <c r="H235" s="1278">
        <v>1.38</v>
      </c>
      <c r="I235" s="224">
        <v>612.40259999999989</v>
      </c>
      <c r="J235" s="1269">
        <f t="shared" si="30"/>
        <v>1</v>
      </c>
      <c r="K235" s="1278">
        <f>F235-H235</f>
        <v>0</v>
      </c>
      <c r="L235" s="224">
        <f t="shared" si="34"/>
        <v>0</v>
      </c>
      <c r="M235" s="1270" t="str">
        <f t="shared" si="32"/>
        <v/>
      </c>
      <c r="N235" s="1285">
        <f>F235-H235</f>
        <v>0</v>
      </c>
      <c r="O235" s="326"/>
    </row>
    <row r="236" spans="1:16" ht="30">
      <c r="A236" s="211" t="s">
        <v>1051</v>
      </c>
      <c r="B236" s="267" t="s">
        <v>1052</v>
      </c>
      <c r="C236" s="1301" t="s">
        <v>1053</v>
      </c>
      <c r="D236" s="211" t="s">
        <v>44</v>
      </c>
      <c r="E236" s="229">
        <v>100.17</v>
      </c>
      <c r="F236" s="211">
        <f>5.2+8.8</f>
        <v>14</v>
      </c>
      <c r="G236" s="1289">
        <f t="shared" si="33"/>
        <v>1402.38</v>
      </c>
      <c r="H236" s="1278">
        <v>14</v>
      </c>
      <c r="I236" s="224">
        <v>1402.38</v>
      </c>
      <c r="J236" s="1269">
        <f t="shared" si="30"/>
        <v>1</v>
      </c>
      <c r="K236" s="1278">
        <f>F236-H236</f>
        <v>0</v>
      </c>
      <c r="L236" s="224">
        <f t="shared" si="34"/>
        <v>0</v>
      </c>
      <c r="M236" s="1270" t="str">
        <f t="shared" si="32"/>
        <v/>
      </c>
      <c r="N236" s="1285">
        <f>F236-H236</f>
        <v>0</v>
      </c>
      <c r="O236" s="326"/>
    </row>
    <row r="237" spans="1:16" ht="45">
      <c r="A237" s="211" t="s">
        <v>1054</v>
      </c>
      <c r="B237" s="267" t="s">
        <v>1055</v>
      </c>
      <c r="C237" s="1301" t="s">
        <v>1056</v>
      </c>
      <c r="D237" s="211" t="s">
        <v>44</v>
      </c>
      <c r="E237" s="229">
        <v>100.17</v>
      </c>
      <c r="F237" s="211">
        <v>6.9</v>
      </c>
      <c r="G237" s="1289">
        <f t="shared" si="33"/>
        <v>691.173</v>
      </c>
      <c r="H237" s="1278">
        <v>6.9</v>
      </c>
      <c r="I237" s="224">
        <v>691.173</v>
      </c>
      <c r="J237" s="1269">
        <f t="shared" si="30"/>
        <v>1</v>
      </c>
      <c r="K237" s="1278">
        <f>F237-H237</f>
        <v>0</v>
      </c>
      <c r="L237" s="224">
        <f t="shared" si="34"/>
        <v>0</v>
      </c>
      <c r="M237" s="1270" t="str">
        <f t="shared" si="32"/>
        <v/>
      </c>
      <c r="N237" s="1285">
        <f>F237-H237</f>
        <v>0</v>
      </c>
      <c r="O237" s="326"/>
    </row>
    <row r="238" spans="1:16" ht="45">
      <c r="A238" s="211" t="s">
        <v>1057</v>
      </c>
      <c r="B238" s="267" t="s">
        <v>1058</v>
      </c>
      <c r="C238" s="1301" t="s">
        <v>1059</v>
      </c>
      <c r="D238" s="211" t="s">
        <v>44</v>
      </c>
      <c r="E238" s="229">
        <v>116.41</v>
      </c>
      <c r="F238" s="211">
        <v>1.8</v>
      </c>
      <c r="G238" s="1289">
        <f t="shared" si="33"/>
        <v>209.53800000000001</v>
      </c>
      <c r="H238" s="1278">
        <v>1.8</v>
      </c>
      <c r="I238" s="224">
        <v>209.53800000000001</v>
      </c>
      <c r="J238" s="1269">
        <f t="shared" si="30"/>
        <v>1</v>
      </c>
      <c r="K238" s="1278">
        <f>F238-H238</f>
        <v>0</v>
      </c>
      <c r="L238" s="224">
        <f t="shared" si="34"/>
        <v>0</v>
      </c>
      <c r="M238" s="1270" t="str">
        <f t="shared" si="32"/>
        <v/>
      </c>
      <c r="N238" s="1285">
        <f>F238-H238</f>
        <v>0</v>
      </c>
      <c r="O238" s="326"/>
    </row>
    <row r="239" spans="1:16" ht="30">
      <c r="A239" s="211" t="s">
        <v>1060</v>
      </c>
      <c r="B239" s="267" t="s">
        <v>1061</v>
      </c>
      <c r="C239" s="1301" t="s">
        <v>1062</v>
      </c>
      <c r="D239" s="211" t="s">
        <v>44</v>
      </c>
      <c r="E239" s="229">
        <v>89.34</v>
      </c>
      <c r="F239" s="211">
        <v>0.8</v>
      </c>
      <c r="G239" s="1289">
        <f t="shared" si="33"/>
        <v>71.472000000000008</v>
      </c>
      <c r="H239" s="1278">
        <v>0.8</v>
      </c>
      <c r="I239" s="224">
        <v>71.472000000000008</v>
      </c>
      <c r="J239" s="1269">
        <f t="shared" si="30"/>
        <v>1</v>
      </c>
      <c r="K239" s="1278">
        <f>F239-H239</f>
        <v>0</v>
      </c>
      <c r="L239" s="224">
        <f t="shared" si="34"/>
        <v>0</v>
      </c>
      <c r="M239" s="1270" t="str">
        <f t="shared" si="32"/>
        <v/>
      </c>
      <c r="N239" s="1285">
        <f>F239-H239</f>
        <v>0</v>
      </c>
      <c r="O239" s="326"/>
    </row>
    <row r="240" spans="1:16" ht="30">
      <c r="A240" s="211" t="s">
        <v>1063</v>
      </c>
      <c r="B240" s="267" t="s">
        <v>1064</v>
      </c>
      <c r="C240" s="1301" t="s">
        <v>1065</v>
      </c>
      <c r="D240" s="211" t="s">
        <v>44</v>
      </c>
      <c r="E240" s="229">
        <v>120.34</v>
      </c>
      <c r="F240" s="211">
        <v>101.88</v>
      </c>
      <c r="G240" s="1289">
        <f t="shared" si="33"/>
        <v>12260.2392</v>
      </c>
      <c r="H240" s="1278">
        <v>101.88</v>
      </c>
      <c r="I240" s="224">
        <v>12260.2392</v>
      </c>
      <c r="J240" s="1269">
        <f t="shared" si="30"/>
        <v>1</v>
      </c>
      <c r="K240" s="1278">
        <f>F240-H240</f>
        <v>0</v>
      </c>
      <c r="L240" s="224">
        <f t="shared" si="34"/>
        <v>0</v>
      </c>
      <c r="M240" s="1270" t="str">
        <f t="shared" si="32"/>
        <v/>
      </c>
      <c r="N240" s="1285">
        <f>F240-H240</f>
        <v>0</v>
      </c>
      <c r="O240" s="326"/>
    </row>
    <row r="241" spans="1:15" s="231" customFormat="1">
      <c r="A241" s="251" t="s">
        <v>1066</v>
      </c>
      <c r="B241" s="1445" t="s">
        <v>1067</v>
      </c>
      <c r="C241" s="1445"/>
      <c r="D241" s="1445"/>
      <c r="E241" s="1445"/>
      <c r="F241" s="1445"/>
      <c r="G241" s="1291">
        <f>SUM(G242:G245)</f>
        <v>3478.3049000000001</v>
      </c>
      <c r="H241" s="1277">
        <v>0</v>
      </c>
      <c r="I241" s="225">
        <v>3478.3049000000001</v>
      </c>
      <c r="J241" s="1268">
        <f>I241/$G241</f>
        <v>1</v>
      </c>
      <c r="K241" s="1277">
        <f>F241-H241</f>
        <v>0</v>
      </c>
      <c r="L241" s="225">
        <f>SUM(L242:L245)</f>
        <v>0</v>
      </c>
      <c r="M241" s="1268">
        <f>L241/$G241</f>
        <v>0</v>
      </c>
      <c r="N241" s="1285">
        <f>F241-H241</f>
        <v>0</v>
      </c>
      <c r="O241" s="326"/>
    </row>
    <row r="242" spans="1:15" ht="45">
      <c r="A242" s="211" t="s">
        <v>1068</v>
      </c>
      <c r="B242" s="267" t="s">
        <v>403</v>
      </c>
      <c r="C242" s="1301" t="s">
        <v>404</v>
      </c>
      <c r="D242" s="211" t="s">
        <v>12</v>
      </c>
      <c r="E242" s="229">
        <v>24.99</v>
      </c>
      <c r="F242" s="211">
        <v>28.05</v>
      </c>
      <c r="G242" s="1289">
        <f t="shared" si="33"/>
        <v>700.96949999999993</v>
      </c>
      <c r="H242" s="1278">
        <v>28.049999999999997</v>
      </c>
      <c r="I242" s="224">
        <v>700.96949999999993</v>
      </c>
      <c r="J242" s="1269">
        <f t="shared" si="30"/>
        <v>0.99999999999999989</v>
      </c>
      <c r="K242" s="1278">
        <f>F242-H242</f>
        <v>0</v>
      </c>
      <c r="L242" s="224">
        <f>K242*$E242</f>
        <v>0</v>
      </c>
      <c r="M242" s="1270" t="str">
        <f t="shared" si="32"/>
        <v/>
      </c>
      <c r="N242" s="1285">
        <f>F242-H242</f>
        <v>0</v>
      </c>
      <c r="O242" s="326"/>
    </row>
    <row r="243" spans="1:15" ht="45">
      <c r="A243" s="211" t="s">
        <v>1069</v>
      </c>
      <c r="B243" s="267" t="s">
        <v>1070</v>
      </c>
      <c r="C243" s="1301" t="s">
        <v>1071</v>
      </c>
      <c r="D243" s="211" t="s">
        <v>12</v>
      </c>
      <c r="E243" s="229">
        <v>3.48</v>
      </c>
      <c r="F243" s="211">
        <v>28.05</v>
      </c>
      <c r="G243" s="1289">
        <f t="shared" si="33"/>
        <v>97.614000000000004</v>
      </c>
      <c r="H243" s="1278">
        <v>28.05</v>
      </c>
      <c r="I243" s="224">
        <v>97.614000000000004</v>
      </c>
      <c r="J243" s="1269">
        <f t="shared" si="30"/>
        <v>1</v>
      </c>
      <c r="K243" s="1278">
        <f>F243-H243</f>
        <v>0</v>
      </c>
      <c r="L243" s="224">
        <f>K243*$E243</f>
        <v>0</v>
      </c>
      <c r="M243" s="1270" t="str">
        <f t="shared" si="32"/>
        <v/>
      </c>
      <c r="N243" s="1285">
        <f>F243-H243</f>
        <v>0</v>
      </c>
      <c r="O243" s="326"/>
    </row>
    <row r="244" spans="1:15" ht="75">
      <c r="A244" s="211" t="s">
        <v>1072</v>
      </c>
      <c r="B244" s="267" t="s">
        <v>1073</v>
      </c>
      <c r="C244" s="1301" t="s">
        <v>1074</v>
      </c>
      <c r="D244" s="211" t="s">
        <v>12</v>
      </c>
      <c r="E244" s="229">
        <v>83.5</v>
      </c>
      <c r="F244" s="211">
        <v>28.05</v>
      </c>
      <c r="G244" s="1289">
        <f t="shared" si="33"/>
        <v>2342.1750000000002</v>
      </c>
      <c r="H244" s="1278">
        <v>28.05</v>
      </c>
      <c r="I244" s="224">
        <v>2342.1750000000002</v>
      </c>
      <c r="J244" s="1269">
        <f t="shared" si="30"/>
        <v>1</v>
      </c>
      <c r="K244" s="1278">
        <f>F244-H244</f>
        <v>0</v>
      </c>
      <c r="L244" s="224">
        <f>K244*$E244</f>
        <v>0</v>
      </c>
      <c r="M244" s="1270" t="str">
        <f t="shared" si="32"/>
        <v/>
      </c>
      <c r="N244" s="1285">
        <f>F244-H244</f>
        <v>0</v>
      </c>
      <c r="O244" s="326"/>
    </row>
    <row r="245" spans="1:15" ht="30">
      <c r="A245" s="253" t="s">
        <v>3877</v>
      </c>
      <c r="B245" s="267" t="s">
        <v>1076</v>
      </c>
      <c r="C245" s="1301" t="s">
        <v>1077</v>
      </c>
      <c r="D245" s="211" t="s">
        <v>12</v>
      </c>
      <c r="E245" s="229">
        <v>318.44</v>
      </c>
      <c r="F245" s="211">
        <v>1.06</v>
      </c>
      <c r="G245" s="1290">
        <f t="shared" si="33"/>
        <v>337.54640000000001</v>
      </c>
      <c r="H245" s="1278">
        <v>1.06</v>
      </c>
      <c r="I245" s="817">
        <v>337.54640000000001</v>
      </c>
      <c r="J245" s="1269">
        <f t="shared" si="30"/>
        <v>1</v>
      </c>
      <c r="K245" s="1278">
        <f>F245-H245</f>
        <v>0</v>
      </c>
      <c r="L245" s="817">
        <f>K245*$E245</f>
        <v>0</v>
      </c>
      <c r="M245" s="1270" t="str">
        <f>IF(K245=0,"",K245/$F245)</f>
        <v/>
      </c>
      <c r="N245" s="1285">
        <f>F245-H245</f>
        <v>0</v>
      </c>
      <c r="O245" s="326"/>
    </row>
    <row r="246" spans="1:15" s="231" customFormat="1">
      <c r="A246" s="251" t="s">
        <v>1078</v>
      </c>
      <c r="B246" s="1445" t="s">
        <v>1079</v>
      </c>
      <c r="C246" s="1445"/>
      <c r="D246" s="1445"/>
      <c r="E246" s="1445"/>
      <c r="F246" s="1445"/>
      <c r="G246" s="1291">
        <f>G247+G248</f>
        <v>8477.7999999999993</v>
      </c>
      <c r="H246" s="1277">
        <v>0</v>
      </c>
      <c r="I246" s="225">
        <v>8477.7999999999993</v>
      </c>
      <c r="J246" s="1268">
        <f>I246/$G246</f>
        <v>1</v>
      </c>
      <c r="K246" s="1277">
        <f>F246-H246</f>
        <v>0</v>
      </c>
      <c r="L246" s="225">
        <f>L247+L248</f>
        <v>0</v>
      </c>
      <c r="M246" s="1268">
        <f>L246/$G246</f>
        <v>0</v>
      </c>
      <c r="N246" s="1285">
        <f>F246-H246</f>
        <v>0</v>
      </c>
      <c r="O246" s="326"/>
    </row>
    <row r="247" spans="1:15" ht="90">
      <c r="A247" s="253" t="s">
        <v>3881</v>
      </c>
      <c r="B247" s="267" t="s">
        <v>1081</v>
      </c>
      <c r="C247" s="1301" t="s">
        <v>1082</v>
      </c>
      <c r="D247" s="211" t="s">
        <v>12</v>
      </c>
      <c r="E247" s="223">
        <v>151.30000000000001</v>
      </c>
      <c r="F247" s="211">
        <v>48.5</v>
      </c>
      <c r="G247" s="1290">
        <f t="shared" si="33"/>
        <v>7338.05</v>
      </c>
      <c r="H247" s="1278">
        <v>48.5</v>
      </c>
      <c r="I247" s="817">
        <v>7338.05</v>
      </c>
      <c r="J247" s="1269">
        <f t="shared" si="30"/>
        <v>1</v>
      </c>
      <c r="K247" s="1278">
        <f>F247-H247</f>
        <v>0</v>
      </c>
      <c r="L247" s="817">
        <f>K247*$E247</f>
        <v>0</v>
      </c>
      <c r="M247" s="1270" t="str">
        <f t="shared" si="32"/>
        <v/>
      </c>
      <c r="N247" s="1285">
        <f>F247-H247</f>
        <v>0</v>
      </c>
      <c r="O247" s="326"/>
    </row>
    <row r="248" spans="1:15" ht="30">
      <c r="A248" s="253" t="s">
        <v>3882</v>
      </c>
      <c r="B248" s="267" t="s">
        <v>1084</v>
      </c>
      <c r="C248" s="1301" t="s">
        <v>1085</v>
      </c>
      <c r="D248" s="211" t="s">
        <v>12</v>
      </c>
      <c r="E248" s="223">
        <v>23.5</v>
      </c>
      <c r="F248" s="211">
        <v>48.5</v>
      </c>
      <c r="G248" s="1290">
        <f t="shared" si="33"/>
        <v>1139.75</v>
      </c>
      <c r="H248" s="1278">
        <v>48.5</v>
      </c>
      <c r="I248" s="817">
        <v>1139.75</v>
      </c>
      <c r="J248" s="1269">
        <f t="shared" si="30"/>
        <v>1</v>
      </c>
      <c r="K248" s="1278">
        <f>F248-H248</f>
        <v>0</v>
      </c>
      <c r="L248" s="817">
        <f>K248*$E248</f>
        <v>0</v>
      </c>
      <c r="M248" s="1269"/>
      <c r="N248" s="1285">
        <f>F248-H248</f>
        <v>0</v>
      </c>
      <c r="O248" s="326"/>
    </row>
    <row r="249" spans="1:15" s="231" customFormat="1">
      <c r="A249" s="251" t="s">
        <v>1086</v>
      </c>
      <c r="B249" s="1445" t="s">
        <v>1087</v>
      </c>
      <c r="C249" s="1445"/>
      <c r="D249" s="1445"/>
      <c r="E249" s="1445"/>
      <c r="F249" s="1445"/>
      <c r="G249" s="1291">
        <f>SUM(G250:G252)</f>
        <v>59760.900099999999</v>
      </c>
      <c r="H249" s="1277">
        <v>0</v>
      </c>
      <c r="I249" s="225">
        <v>59760.900099999999</v>
      </c>
      <c r="J249" s="1268">
        <f>I249/$G249</f>
        <v>1</v>
      </c>
      <c r="K249" s="1277">
        <f>F249-H249</f>
        <v>0</v>
      </c>
      <c r="L249" s="225">
        <f>SUM(L250:L252)</f>
        <v>0</v>
      </c>
      <c r="M249" s="1268">
        <f>L249/$G249</f>
        <v>0</v>
      </c>
      <c r="N249" s="1285">
        <f>F249-H249</f>
        <v>0</v>
      </c>
      <c r="O249" s="326"/>
    </row>
    <row r="250" spans="1:15" ht="105">
      <c r="A250" s="253" t="s">
        <v>3883</v>
      </c>
      <c r="B250" s="267" t="s">
        <v>1041</v>
      </c>
      <c r="C250" s="1301" t="s">
        <v>1042</v>
      </c>
      <c r="D250" s="211" t="s">
        <v>12</v>
      </c>
      <c r="E250" s="229">
        <v>229.87</v>
      </c>
      <c r="F250" s="211">
        <v>28.05</v>
      </c>
      <c r="G250" s="1290">
        <f t="shared" si="33"/>
        <v>6447.8535000000002</v>
      </c>
      <c r="H250" s="1278">
        <v>28.05</v>
      </c>
      <c r="I250" s="817">
        <v>6447.8535000000002</v>
      </c>
      <c r="J250" s="1269">
        <f t="shared" si="30"/>
        <v>1</v>
      </c>
      <c r="K250" s="1278">
        <f>F250-H250</f>
        <v>0</v>
      </c>
      <c r="L250" s="817">
        <f>K250*$E250</f>
        <v>0</v>
      </c>
      <c r="M250" s="1269" t="str">
        <f t="shared" si="32"/>
        <v/>
      </c>
      <c r="N250" s="1285">
        <f>F250-H250</f>
        <v>0</v>
      </c>
      <c r="O250" s="326"/>
    </row>
    <row r="251" spans="1:15" ht="105">
      <c r="A251" s="211" t="s">
        <v>1089</v>
      </c>
      <c r="B251" s="267" t="s">
        <v>1090</v>
      </c>
      <c r="C251" s="1301" t="s">
        <v>1091</v>
      </c>
      <c r="D251" s="211" t="s">
        <v>12</v>
      </c>
      <c r="E251" s="229">
        <v>241.07</v>
      </c>
      <c r="F251" s="211">
        <v>155.18</v>
      </c>
      <c r="G251" s="1289">
        <f t="shared" si="33"/>
        <v>37409.242599999998</v>
      </c>
      <c r="H251" s="1278">
        <v>155.18</v>
      </c>
      <c r="I251" s="224">
        <v>37409.242599999998</v>
      </c>
      <c r="J251" s="1269">
        <f t="shared" si="30"/>
        <v>1</v>
      </c>
      <c r="K251" s="1278">
        <f>F251-H251</f>
        <v>0</v>
      </c>
      <c r="L251" s="224">
        <f>K251*$E251</f>
        <v>0</v>
      </c>
      <c r="M251" s="1269" t="str">
        <f t="shared" si="32"/>
        <v/>
      </c>
      <c r="N251" s="1285">
        <f>F251-H251</f>
        <v>0</v>
      </c>
      <c r="O251" s="326"/>
    </row>
    <row r="252" spans="1:15" ht="60">
      <c r="A252" s="211" t="s">
        <v>1092</v>
      </c>
      <c r="B252" s="267" t="s">
        <v>454</v>
      </c>
      <c r="C252" s="1301" t="s">
        <v>455</v>
      </c>
      <c r="D252" s="211" t="s">
        <v>44</v>
      </c>
      <c r="E252" s="229">
        <v>61.95</v>
      </c>
      <c r="F252" s="211">
        <v>256.72000000000003</v>
      </c>
      <c r="G252" s="1289">
        <f t="shared" si="33"/>
        <v>15903.804000000002</v>
      </c>
      <c r="H252" s="1278">
        <v>256.72000000000003</v>
      </c>
      <c r="I252" s="224">
        <v>15903.804000000002</v>
      </c>
      <c r="J252" s="1269">
        <f t="shared" si="30"/>
        <v>1</v>
      </c>
      <c r="K252" s="1278">
        <f>F252-H252</f>
        <v>0</v>
      </c>
      <c r="L252" s="224">
        <f>K252*$E252</f>
        <v>0</v>
      </c>
      <c r="M252" s="1269" t="str">
        <f t="shared" si="32"/>
        <v/>
      </c>
      <c r="N252" s="1285">
        <f>F252-H252</f>
        <v>0</v>
      </c>
      <c r="O252" s="326"/>
    </row>
    <row r="253" spans="1:15" s="231" customFormat="1">
      <c r="A253" s="251" t="s">
        <v>1093</v>
      </c>
      <c r="B253" s="1445" t="s">
        <v>1094</v>
      </c>
      <c r="C253" s="1445"/>
      <c r="D253" s="1445"/>
      <c r="E253" s="1445"/>
      <c r="F253" s="1445"/>
      <c r="G253" s="1296">
        <f>SUM(G254:G257)</f>
        <v>20267.302000000003</v>
      </c>
      <c r="H253" s="1277">
        <v>0</v>
      </c>
      <c r="I253" s="255">
        <v>20273.442057250002</v>
      </c>
      <c r="J253" s="1268">
        <f>I253/$G253</f>
        <v>1.0003029538539465</v>
      </c>
      <c r="K253" s="1277">
        <f>F253-H253</f>
        <v>0</v>
      </c>
      <c r="L253" s="255">
        <f>SUM(L254:L257)</f>
        <v>0</v>
      </c>
      <c r="M253" s="1268">
        <f>L253/$G253</f>
        <v>0</v>
      </c>
      <c r="N253" s="1285">
        <f>F253-H253</f>
        <v>0</v>
      </c>
      <c r="O253" s="326"/>
    </row>
    <row r="254" spans="1:15" ht="60">
      <c r="A254" s="211" t="s">
        <v>1095</v>
      </c>
      <c r="B254" s="267" t="s">
        <v>1096</v>
      </c>
      <c r="C254" s="1301" t="s">
        <v>1097</v>
      </c>
      <c r="D254" s="211" t="s">
        <v>44</v>
      </c>
      <c r="E254" s="229">
        <v>36.81</v>
      </c>
      <c r="F254" s="211">
        <v>3.3</v>
      </c>
      <c r="G254" s="1290">
        <f t="shared" si="33"/>
        <v>121.473</v>
      </c>
      <c r="H254" s="1278">
        <v>3.3</v>
      </c>
      <c r="I254" s="817">
        <v>121.473</v>
      </c>
      <c r="J254" s="1269">
        <f t="shared" si="30"/>
        <v>1</v>
      </c>
      <c r="K254" s="1278">
        <f>F254-H254</f>
        <v>0</v>
      </c>
      <c r="L254" s="817">
        <f>K254*$E254</f>
        <v>0</v>
      </c>
      <c r="M254" s="1269" t="str">
        <f t="shared" si="32"/>
        <v/>
      </c>
      <c r="N254" s="1285">
        <f>F254-H254</f>
        <v>0</v>
      </c>
      <c r="O254" s="326"/>
    </row>
    <row r="255" spans="1:15">
      <c r="A255" s="211" t="s">
        <v>1098</v>
      </c>
      <c r="B255" s="267" t="s">
        <v>1099</v>
      </c>
      <c r="C255" s="210" t="s">
        <v>1100</v>
      </c>
      <c r="D255" s="211" t="s">
        <v>12</v>
      </c>
      <c r="E255" s="229">
        <v>11.75</v>
      </c>
      <c r="F255" s="211">
        <v>59.82</v>
      </c>
      <c r="G255" s="1290">
        <f t="shared" si="33"/>
        <v>702.88499999999999</v>
      </c>
      <c r="H255" s="1278">
        <v>59.820554999999999</v>
      </c>
      <c r="I255" s="817">
        <v>702.89152124999998</v>
      </c>
      <c r="J255" s="1269">
        <f t="shared" si="30"/>
        <v>1.0000092778335006</v>
      </c>
      <c r="K255" s="1278">
        <v>0</v>
      </c>
      <c r="L255" s="817">
        <f>K255*$E255</f>
        <v>0</v>
      </c>
      <c r="M255" s="1269" t="str">
        <f t="shared" si="32"/>
        <v/>
      </c>
      <c r="N255" s="1285">
        <f>F255-H255</f>
        <v>-5.5499999999852889E-4</v>
      </c>
      <c r="O255" s="326"/>
    </row>
    <row r="256" spans="1:15" ht="90">
      <c r="A256" s="211" t="s">
        <v>1101</v>
      </c>
      <c r="B256" s="267" t="s">
        <v>1102</v>
      </c>
      <c r="C256" s="210" t="s">
        <v>1103</v>
      </c>
      <c r="D256" s="211" t="s">
        <v>44</v>
      </c>
      <c r="E256" s="229">
        <v>27.48</v>
      </c>
      <c r="F256" s="211">
        <v>308.25</v>
      </c>
      <c r="G256" s="1289">
        <f t="shared" si="33"/>
        <v>8470.7100000000009</v>
      </c>
      <c r="H256" s="1278">
        <v>308.47320000000002</v>
      </c>
      <c r="I256" s="224">
        <v>8476.8435360000003</v>
      </c>
      <c r="J256" s="1269">
        <f t="shared" si="30"/>
        <v>1.0007240875912409</v>
      </c>
      <c r="K256" s="1278">
        <v>0</v>
      </c>
      <c r="L256" s="224">
        <f>K256*$E256</f>
        <v>0</v>
      </c>
      <c r="M256" s="1269" t="str">
        <f t="shared" si="32"/>
        <v/>
      </c>
      <c r="N256" s="1285">
        <f>F256-H256</f>
        <v>-0.22320000000001983</v>
      </c>
      <c r="O256" s="326"/>
    </row>
    <row r="257" spans="1:19" ht="45">
      <c r="A257" s="211" t="s">
        <v>1104</v>
      </c>
      <c r="B257" s="267" t="s">
        <v>1102</v>
      </c>
      <c r="C257" s="1301" t="s">
        <v>1105</v>
      </c>
      <c r="D257" s="211" t="s">
        <v>44</v>
      </c>
      <c r="E257" s="229">
        <v>50.54</v>
      </c>
      <c r="F257" s="211">
        <v>217.1</v>
      </c>
      <c r="G257" s="1289">
        <f t="shared" si="33"/>
        <v>10972.234</v>
      </c>
      <c r="H257" s="1278">
        <v>217.10000000000002</v>
      </c>
      <c r="I257" s="224">
        <v>10972.234</v>
      </c>
      <c r="J257" s="1269">
        <f>IF(H257=0,"",H257/$F257)</f>
        <v>1.0000000000000002</v>
      </c>
      <c r="K257" s="1278">
        <f>F257-H257</f>
        <v>0</v>
      </c>
      <c r="L257" s="224">
        <f>K257*$E257</f>
        <v>0</v>
      </c>
      <c r="M257" s="1269" t="str">
        <f>IF(K257=0,"",K257/$F257)</f>
        <v/>
      </c>
      <c r="N257" s="1285">
        <f>F257-H257</f>
        <v>0</v>
      </c>
      <c r="O257" s="326"/>
    </row>
    <row r="258" spans="1:19" s="230" customFormat="1" ht="15.75">
      <c r="A258" s="252" t="s">
        <v>1106</v>
      </c>
      <c r="B258" s="1453" t="s">
        <v>1107</v>
      </c>
      <c r="C258" s="1453"/>
      <c r="D258" s="1453"/>
      <c r="E258" s="1453"/>
      <c r="F258" s="1453"/>
      <c r="G258" s="1297">
        <f>G259+G261+G265+G274+G279+G284+G296+G304+G311+G314+G319</f>
        <v>123113.44950000002</v>
      </c>
      <c r="H258" s="1276">
        <v>0</v>
      </c>
      <c r="I258" s="256">
        <v>123134.236124</v>
      </c>
      <c r="J258" s="1267">
        <f>I258/$G258</f>
        <v>1.00016884121178</v>
      </c>
      <c r="K258" s="1279">
        <f>F258-H258</f>
        <v>0</v>
      </c>
      <c r="L258" s="256">
        <f>L259+L261+L265+L274+L279+L284+L296+L304+L311+L314+L319</f>
        <v>-20.298000000000002</v>
      </c>
      <c r="M258" s="1267">
        <f>L258/$G258</f>
        <v>-1.6487231965667568E-4</v>
      </c>
      <c r="N258" s="1285">
        <f>F258-H258</f>
        <v>0</v>
      </c>
      <c r="O258" s="326"/>
      <c r="P258" s="1425"/>
    </row>
    <row r="259" spans="1:19" s="231" customFormat="1">
      <c r="A259" s="251" t="s">
        <v>1108</v>
      </c>
      <c r="B259" s="1445" t="s">
        <v>1109</v>
      </c>
      <c r="C259" s="1445"/>
      <c r="D259" s="1445"/>
      <c r="E259" s="1445"/>
      <c r="F259" s="1445"/>
      <c r="G259" s="1296">
        <f>G260</f>
        <v>546.61</v>
      </c>
      <c r="H259" s="1277">
        <v>0</v>
      </c>
      <c r="I259" s="255">
        <v>546.61</v>
      </c>
      <c r="J259" s="1268">
        <f>I259/$G259</f>
        <v>1</v>
      </c>
      <c r="K259" s="1277">
        <f>F259-H259</f>
        <v>0</v>
      </c>
      <c r="L259" s="255">
        <f>L260</f>
        <v>0</v>
      </c>
      <c r="M259" s="1268">
        <f>L259/$G259</f>
        <v>0</v>
      </c>
      <c r="N259" s="1285">
        <f>F259-H259</f>
        <v>0</v>
      </c>
      <c r="O259" s="326"/>
    </row>
    <row r="260" spans="1:19" ht="90">
      <c r="A260" s="253" t="s">
        <v>4098</v>
      </c>
      <c r="B260" s="267" t="s">
        <v>1111</v>
      </c>
      <c r="C260" s="1301" t="s">
        <v>1112</v>
      </c>
      <c r="D260" s="211" t="s">
        <v>28</v>
      </c>
      <c r="E260" s="223">
        <v>546.61</v>
      </c>
      <c r="F260" s="211">
        <v>1</v>
      </c>
      <c r="G260" s="1290">
        <f>F260*$E260</f>
        <v>546.61</v>
      </c>
      <c r="H260" s="1278">
        <v>1</v>
      </c>
      <c r="I260" s="817">
        <v>546.61</v>
      </c>
      <c r="J260" s="1269">
        <f t="shared" ref="J260:J321" si="35">IF(H260=0,"",H260/$F260)</f>
        <v>1</v>
      </c>
      <c r="K260" s="1278">
        <f>F260-H260</f>
        <v>0</v>
      </c>
      <c r="L260" s="817">
        <f>K260*$E260</f>
        <v>0</v>
      </c>
      <c r="M260" s="1269" t="str">
        <f t="shared" ref="M260:M323" si="36">IF(K260=0,"",K260/$F260)</f>
        <v/>
      </c>
      <c r="N260" s="1285">
        <f>F260-H260</f>
        <v>0</v>
      </c>
      <c r="O260" s="326"/>
    </row>
    <row r="261" spans="1:19" s="231" customFormat="1">
      <c r="A261" s="251" t="s">
        <v>1113</v>
      </c>
      <c r="B261" s="1445" t="s">
        <v>1114</v>
      </c>
      <c r="C261" s="1445"/>
      <c r="D261" s="1445"/>
      <c r="E261" s="1445"/>
      <c r="F261" s="1445"/>
      <c r="G261" s="1296">
        <f>G262+G263+G264</f>
        <v>8184.4480000000003</v>
      </c>
      <c r="H261" s="1277">
        <v>0</v>
      </c>
      <c r="I261" s="255">
        <v>8184.4480000000003</v>
      </c>
      <c r="J261" s="1268">
        <f>I261/$G261</f>
        <v>1</v>
      </c>
      <c r="K261" s="1277">
        <f>F261-H261</f>
        <v>0</v>
      </c>
      <c r="L261" s="255">
        <f>L262+L263+L264</f>
        <v>0</v>
      </c>
      <c r="M261" s="1268">
        <f>L261/$G261</f>
        <v>0</v>
      </c>
      <c r="N261" s="1285">
        <f>F261-H261</f>
        <v>0</v>
      </c>
      <c r="O261" s="326"/>
    </row>
    <row r="262" spans="1:19" ht="45">
      <c r="A262" s="211" t="s">
        <v>1115</v>
      </c>
      <c r="B262" s="267" t="s">
        <v>1116</v>
      </c>
      <c r="C262" s="1301" t="s">
        <v>1117</v>
      </c>
      <c r="D262" s="211" t="s">
        <v>44</v>
      </c>
      <c r="E262" s="223">
        <v>70.040000000000006</v>
      </c>
      <c r="F262" s="211">
        <v>72.099999999999994</v>
      </c>
      <c r="G262" s="1289">
        <f>F262*$E262</f>
        <v>5049.884</v>
      </c>
      <c r="H262" s="1278">
        <v>72.099999999999994</v>
      </c>
      <c r="I262" s="224">
        <v>5049.884</v>
      </c>
      <c r="J262" s="1269">
        <f t="shared" si="35"/>
        <v>1</v>
      </c>
      <c r="K262" s="1278">
        <f>F262-H262</f>
        <v>0</v>
      </c>
      <c r="L262" s="224">
        <f>K262*$E262</f>
        <v>0</v>
      </c>
      <c r="M262" s="1269" t="str">
        <f t="shared" si="36"/>
        <v/>
      </c>
      <c r="N262" s="1285">
        <f>F262-H262</f>
        <v>0</v>
      </c>
      <c r="O262" s="326"/>
    </row>
    <row r="263" spans="1:19" ht="45">
      <c r="A263" s="211" t="s">
        <v>1118</v>
      </c>
      <c r="B263" s="267" t="s">
        <v>1119</v>
      </c>
      <c r="C263" s="1301" t="s">
        <v>1120</v>
      </c>
      <c r="D263" s="211" t="s">
        <v>44</v>
      </c>
      <c r="E263" s="223">
        <v>114.78</v>
      </c>
      <c r="F263" s="211">
        <v>15.8</v>
      </c>
      <c r="G263" s="1289">
        <f>F263*$E263</f>
        <v>1813.5240000000001</v>
      </c>
      <c r="H263" s="1278">
        <v>15.8</v>
      </c>
      <c r="I263" s="224">
        <v>1813.5240000000001</v>
      </c>
      <c r="J263" s="1269">
        <f t="shared" si="35"/>
        <v>1</v>
      </c>
      <c r="K263" s="1278">
        <f>F263-H263</f>
        <v>0</v>
      </c>
      <c r="L263" s="224">
        <f>K263*$E263</f>
        <v>0</v>
      </c>
      <c r="M263" s="1269" t="str">
        <f t="shared" si="36"/>
        <v/>
      </c>
      <c r="N263" s="1285">
        <f>F263-H263</f>
        <v>0</v>
      </c>
      <c r="O263" s="326"/>
    </row>
    <row r="264" spans="1:19" ht="45">
      <c r="A264" s="211" t="s">
        <v>1121</v>
      </c>
      <c r="B264" s="267" t="s">
        <v>1122</v>
      </c>
      <c r="C264" s="1301" t="s">
        <v>1123</v>
      </c>
      <c r="D264" s="211" t="s">
        <v>44</v>
      </c>
      <c r="E264" s="223">
        <v>188.72</v>
      </c>
      <c r="F264" s="211">
        <v>7</v>
      </c>
      <c r="G264" s="1289">
        <f>F264*$E264</f>
        <v>1321.04</v>
      </c>
      <c r="H264" s="1278">
        <v>7</v>
      </c>
      <c r="I264" s="224">
        <v>1321.04</v>
      </c>
      <c r="J264" s="1269">
        <f t="shared" si="35"/>
        <v>1</v>
      </c>
      <c r="K264" s="1278">
        <f>F264-H264</f>
        <v>0</v>
      </c>
      <c r="L264" s="224">
        <f>K264*$E264</f>
        <v>0</v>
      </c>
      <c r="M264" s="1269" t="str">
        <f t="shared" si="36"/>
        <v/>
      </c>
      <c r="N264" s="1285">
        <f>F264-H264</f>
        <v>0</v>
      </c>
      <c r="O264" s="326"/>
    </row>
    <row r="265" spans="1:19" s="231" customFormat="1">
      <c r="A265" s="251" t="s">
        <v>1124</v>
      </c>
      <c r="B265" s="1445" t="s">
        <v>1125</v>
      </c>
      <c r="C265" s="1445"/>
      <c r="D265" s="1445"/>
      <c r="E265" s="1445"/>
      <c r="F265" s="1445"/>
      <c r="G265" s="1296">
        <f>SUM(G266:G273)</f>
        <v>12381.768000000002</v>
      </c>
      <c r="H265" s="1277">
        <v>0</v>
      </c>
      <c r="I265" s="255">
        <v>12381.768000000002</v>
      </c>
      <c r="J265" s="1268">
        <f>I265/$G265</f>
        <v>1</v>
      </c>
      <c r="K265" s="1277">
        <f>F265-H265</f>
        <v>0</v>
      </c>
      <c r="L265" s="255">
        <f>SUM(L266:L273)</f>
        <v>0</v>
      </c>
      <c r="M265" s="1268">
        <f>L265/$G265</f>
        <v>0</v>
      </c>
      <c r="N265" s="1285">
        <f>F265-H265</f>
        <v>0</v>
      </c>
      <c r="O265" s="326"/>
    </row>
    <row r="266" spans="1:19" ht="105">
      <c r="A266" s="211" t="s">
        <v>1126</v>
      </c>
      <c r="B266" s="267" t="s">
        <v>1127</v>
      </c>
      <c r="C266" s="1301" t="s">
        <v>1128</v>
      </c>
      <c r="D266" s="211" t="s">
        <v>28</v>
      </c>
      <c r="E266" s="229">
        <v>785.58</v>
      </c>
      <c r="F266" s="211">
        <v>4</v>
      </c>
      <c r="G266" s="1289">
        <f t="shared" ref="G266:G325" si="37">F266*$E266</f>
        <v>3142.32</v>
      </c>
      <c r="H266" s="1278">
        <v>4</v>
      </c>
      <c r="I266" s="224">
        <v>3142.32</v>
      </c>
      <c r="J266" s="1269">
        <f t="shared" si="35"/>
        <v>1</v>
      </c>
      <c r="K266" s="1278">
        <f>F266-H266</f>
        <v>0</v>
      </c>
      <c r="L266" s="224">
        <f t="shared" ref="L266:L273" si="38">K266*$E266</f>
        <v>0</v>
      </c>
      <c r="M266" s="1269" t="str">
        <f t="shared" si="36"/>
        <v/>
      </c>
      <c r="N266" s="1285">
        <f>F266-H266</f>
        <v>0</v>
      </c>
      <c r="O266" s="326"/>
    </row>
    <row r="267" spans="1:19" ht="105">
      <c r="A267" s="211" t="s">
        <v>1129</v>
      </c>
      <c r="B267" s="267" t="s">
        <v>1130</v>
      </c>
      <c r="C267" s="1301" t="s">
        <v>1131</v>
      </c>
      <c r="D267" s="211" t="s">
        <v>28</v>
      </c>
      <c r="E267" s="229">
        <v>874.28</v>
      </c>
      <c r="F267" s="211">
        <v>2</v>
      </c>
      <c r="G267" s="1289">
        <f t="shared" si="37"/>
        <v>1748.56</v>
      </c>
      <c r="H267" s="1278">
        <v>2</v>
      </c>
      <c r="I267" s="224">
        <v>1748.56</v>
      </c>
      <c r="J267" s="1269">
        <f t="shared" si="35"/>
        <v>1</v>
      </c>
      <c r="K267" s="1278">
        <f>F267-H267</f>
        <v>0</v>
      </c>
      <c r="L267" s="224">
        <f t="shared" si="38"/>
        <v>0</v>
      </c>
      <c r="M267" s="1269" t="str">
        <f t="shared" si="36"/>
        <v/>
      </c>
      <c r="N267" s="1285">
        <f>F267-H267</f>
        <v>0</v>
      </c>
      <c r="O267" s="326"/>
    </row>
    <row r="268" spans="1:19" ht="105">
      <c r="A268" s="211" t="s">
        <v>1132</v>
      </c>
      <c r="B268" s="267" t="s">
        <v>1133</v>
      </c>
      <c r="C268" s="1301" t="s">
        <v>1134</v>
      </c>
      <c r="D268" s="211" t="s">
        <v>28</v>
      </c>
      <c r="E268" s="229">
        <v>828.98</v>
      </c>
      <c r="F268" s="211">
        <v>1</v>
      </c>
      <c r="G268" s="1289">
        <f t="shared" si="37"/>
        <v>828.98</v>
      </c>
      <c r="H268" s="1278">
        <v>1</v>
      </c>
      <c r="I268" s="224">
        <v>828.98</v>
      </c>
      <c r="J268" s="1269">
        <f t="shared" si="35"/>
        <v>1</v>
      </c>
      <c r="K268" s="1278">
        <f>F268-H268</f>
        <v>0</v>
      </c>
      <c r="L268" s="224">
        <f t="shared" si="38"/>
        <v>0</v>
      </c>
      <c r="M268" s="1269" t="str">
        <f t="shared" si="36"/>
        <v/>
      </c>
      <c r="N268" s="1285">
        <f>F268-H268</f>
        <v>0</v>
      </c>
      <c r="O268" s="326"/>
      <c r="P268" s="1416"/>
      <c r="Q268" s="1416"/>
      <c r="R268" s="1416"/>
      <c r="S268" s="1416"/>
    </row>
    <row r="269" spans="1:19" ht="105">
      <c r="A269" s="211" t="s">
        <v>1135</v>
      </c>
      <c r="B269" s="267" t="s">
        <v>1136</v>
      </c>
      <c r="C269" s="1301" t="s">
        <v>1137</v>
      </c>
      <c r="D269" s="211" t="s">
        <v>28</v>
      </c>
      <c r="E269" s="229">
        <v>874.28</v>
      </c>
      <c r="F269" s="211">
        <v>1</v>
      </c>
      <c r="G269" s="1289">
        <f t="shared" si="37"/>
        <v>874.28</v>
      </c>
      <c r="H269" s="1278">
        <v>1</v>
      </c>
      <c r="I269" s="224">
        <v>874.28</v>
      </c>
      <c r="J269" s="1269">
        <f t="shared" si="35"/>
        <v>1</v>
      </c>
      <c r="K269" s="1278">
        <f>F269-H269</f>
        <v>0</v>
      </c>
      <c r="L269" s="224">
        <f t="shared" si="38"/>
        <v>0</v>
      </c>
      <c r="M269" s="1269" t="str">
        <f t="shared" si="36"/>
        <v/>
      </c>
      <c r="N269" s="1285">
        <f>F269-H269</f>
        <v>0</v>
      </c>
      <c r="O269" s="326"/>
      <c r="P269" s="1416"/>
      <c r="Q269" s="1416"/>
      <c r="R269" s="1416"/>
      <c r="S269" s="1416"/>
    </row>
    <row r="270" spans="1:19" ht="45">
      <c r="A270" s="211" t="s">
        <v>1138</v>
      </c>
      <c r="B270" s="267" t="s">
        <v>1139</v>
      </c>
      <c r="C270" s="1301" t="s">
        <v>1140</v>
      </c>
      <c r="D270" s="211" t="s">
        <v>28</v>
      </c>
      <c r="E270" s="229">
        <v>556.79999999999995</v>
      </c>
      <c r="F270" s="211">
        <v>1</v>
      </c>
      <c r="G270" s="1289">
        <f t="shared" si="37"/>
        <v>556.79999999999995</v>
      </c>
      <c r="H270" s="1278">
        <v>1</v>
      </c>
      <c r="I270" s="224">
        <v>556.79999999999995</v>
      </c>
      <c r="J270" s="1269">
        <f t="shared" si="35"/>
        <v>1</v>
      </c>
      <c r="K270" s="1278">
        <f>F270-H270</f>
        <v>0</v>
      </c>
      <c r="L270" s="224">
        <f t="shared" si="38"/>
        <v>0</v>
      </c>
      <c r="M270" s="1269" t="str">
        <f t="shared" si="36"/>
        <v/>
      </c>
      <c r="N270" s="1285">
        <f>F270-H270</f>
        <v>0</v>
      </c>
      <c r="O270" s="326"/>
      <c r="P270" s="1416"/>
      <c r="Q270" s="1416"/>
      <c r="R270" s="1416"/>
      <c r="S270" s="1416"/>
    </row>
    <row r="271" spans="1:19" ht="90">
      <c r="A271" s="211" t="s">
        <v>1141</v>
      </c>
      <c r="B271" s="267" t="s">
        <v>1142</v>
      </c>
      <c r="C271" s="1301" t="s">
        <v>1143</v>
      </c>
      <c r="D271" s="211" t="s">
        <v>28</v>
      </c>
      <c r="E271" s="229">
        <v>404.8</v>
      </c>
      <c r="F271" s="211">
        <v>2</v>
      </c>
      <c r="G271" s="1289">
        <f t="shared" si="37"/>
        <v>809.6</v>
      </c>
      <c r="H271" s="1278">
        <v>2</v>
      </c>
      <c r="I271" s="224">
        <v>809.6</v>
      </c>
      <c r="J271" s="1269">
        <f t="shared" si="35"/>
        <v>1</v>
      </c>
      <c r="K271" s="1278">
        <f>F271-H271</f>
        <v>0</v>
      </c>
      <c r="L271" s="224">
        <f t="shared" si="38"/>
        <v>0</v>
      </c>
      <c r="M271" s="1269" t="str">
        <f t="shared" si="36"/>
        <v/>
      </c>
      <c r="N271" s="1285">
        <f>F271-H271</f>
        <v>0</v>
      </c>
      <c r="O271" s="326"/>
      <c r="P271" s="1416"/>
      <c r="Q271" s="1416"/>
      <c r="R271" s="1416"/>
      <c r="S271" s="1416"/>
    </row>
    <row r="272" spans="1:19" ht="105">
      <c r="A272" s="211" t="s">
        <v>1144</v>
      </c>
      <c r="B272" s="267" t="s">
        <v>1145</v>
      </c>
      <c r="C272" s="1301" t="s">
        <v>1146</v>
      </c>
      <c r="D272" s="211" t="s">
        <v>28</v>
      </c>
      <c r="E272" s="229">
        <v>777.26</v>
      </c>
      <c r="F272" s="211">
        <v>4</v>
      </c>
      <c r="G272" s="1289">
        <f t="shared" si="37"/>
        <v>3109.04</v>
      </c>
      <c r="H272" s="1278">
        <v>4</v>
      </c>
      <c r="I272" s="224">
        <v>3109.04</v>
      </c>
      <c r="J272" s="1269">
        <f t="shared" si="35"/>
        <v>1</v>
      </c>
      <c r="K272" s="1278">
        <f>F272-H272</f>
        <v>0</v>
      </c>
      <c r="L272" s="224">
        <f t="shared" si="38"/>
        <v>0</v>
      </c>
      <c r="M272" s="1269" t="str">
        <f t="shared" si="36"/>
        <v/>
      </c>
      <c r="N272" s="1285">
        <f>F272-H272</f>
        <v>0</v>
      </c>
      <c r="O272" s="326"/>
      <c r="P272" s="1417"/>
      <c r="Q272" s="1417"/>
      <c r="R272" s="1417"/>
      <c r="S272" s="1417"/>
    </row>
    <row r="273" spans="1:19" ht="30">
      <c r="A273" s="211" t="s">
        <v>1147</v>
      </c>
      <c r="B273" s="267" t="s">
        <v>1148</v>
      </c>
      <c r="C273" s="1301" t="s">
        <v>1149</v>
      </c>
      <c r="D273" s="211" t="s">
        <v>44</v>
      </c>
      <c r="E273" s="229">
        <v>305.16000000000003</v>
      </c>
      <c r="F273" s="211">
        <v>4.3</v>
      </c>
      <c r="G273" s="1289">
        <f t="shared" si="37"/>
        <v>1312.1880000000001</v>
      </c>
      <c r="H273" s="1278">
        <v>4.3</v>
      </c>
      <c r="I273" s="224">
        <v>1312.1880000000001</v>
      </c>
      <c r="J273" s="1269">
        <f t="shared" si="35"/>
        <v>1</v>
      </c>
      <c r="K273" s="1278">
        <f>F273-H273</f>
        <v>0</v>
      </c>
      <c r="L273" s="224">
        <f t="shared" si="38"/>
        <v>0</v>
      </c>
      <c r="M273" s="1269" t="str">
        <f t="shared" si="36"/>
        <v/>
      </c>
      <c r="N273" s="1285">
        <f>F273-H273</f>
        <v>0</v>
      </c>
      <c r="O273" s="326"/>
      <c r="P273" s="3"/>
      <c r="Q273" s="1"/>
      <c r="R273" s="5"/>
      <c r="S273" s="1"/>
    </row>
    <row r="274" spans="1:19" s="231" customFormat="1">
      <c r="A274" s="251" t="s">
        <v>1150</v>
      </c>
      <c r="B274" s="1442" t="s">
        <v>1151</v>
      </c>
      <c r="C274" s="1442"/>
      <c r="D274" s="1442"/>
      <c r="E274" s="1442"/>
      <c r="F274" s="1442"/>
      <c r="G274" s="1296">
        <f>G275+G276+G277+G278</f>
        <v>16257.328799999999</v>
      </c>
      <c r="H274" s="1277">
        <v>0</v>
      </c>
      <c r="I274" s="255">
        <v>16257.758090000001</v>
      </c>
      <c r="J274" s="1268">
        <f>I274/$G274</f>
        <v>1.0000264059369952</v>
      </c>
      <c r="K274" s="1277">
        <f>F274-H274</f>
        <v>0</v>
      </c>
      <c r="L274" s="255">
        <f>L275+L276+L277+L278</f>
        <v>0</v>
      </c>
      <c r="M274" s="1268">
        <f>L274/$G274</f>
        <v>0</v>
      </c>
      <c r="N274" s="1285">
        <f>F274-H274</f>
        <v>0</v>
      </c>
      <c r="O274" s="326"/>
    </row>
    <row r="275" spans="1:19" ht="30">
      <c r="A275" s="211" t="s">
        <v>1152</v>
      </c>
      <c r="B275" s="267" t="s">
        <v>194</v>
      </c>
      <c r="C275" s="1301" t="s">
        <v>195</v>
      </c>
      <c r="D275" s="211" t="s">
        <v>44</v>
      </c>
      <c r="E275" s="229">
        <v>28.7</v>
      </c>
      <c r="F275" s="211">
        <v>242.17</v>
      </c>
      <c r="G275" s="1289">
        <f t="shared" si="37"/>
        <v>6950.2789999999995</v>
      </c>
      <c r="H275" s="1278">
        <v>242.167</v>
      </c>
      <c r="I275" s="224">
        <v>6950.1929</v>
      </c>
      <c r="J275" s="1269">
        <f t="shared" si="35"/>
        <v>0.9999876120080935</v>
      </c>
      <c r="K275" s="1278">
        <f>F275-H275</f>
        <v>2.9999999999859028E-3</v>
      </c>
      <c r="L275" s="817">
        <v>0</v>
      </c>
      <c r="M275" s="1269">
        <f t="shared" si="36"/>
        <v>1.2387991906453743E-5</v>
      </c>
      <c r="N275" s="1285">
        <f>F275-H275</f>
        <v>2.9999999999859028E-3</v>
      </c>
      <c r="O275" s="326"/>
    </row>
    <row r="276" spans="1:19" ht="30">
      <c r="A276" s="253" t="s">
        <v>3123</v>
      </c>
      <c r="B276" s="267" t="s">
        <v>197</v>
      </c>
      <c r="C276" s="1301" t="s">
        <v>198</v>
      </c>
      <c r="D276" s="211" t="s">
        <v>44</v>
      </c>
      <c r="E276" s="229">
        <v>40.93</v>
      </c>
      <c r="F276" s="211">
        <v>26.65</v>
      </c>
      <c r="G276" s="1289">
        <f t="shared" si="37"/>
        <v>1090.7845</v>
      </c>
      <c r="H276" s="1278">
        <v>26.649000000000001</v>
      </c>
      <c r="I276" s="224">
        <v>1090.7435700000001</v>
      </c>
      <c r="J276" s="1269">
        <f t="shared" si="35"/>
        <v>0.99996247654784254</v>
      </c>
      <c r="K276" s="1278">
        <f>F276-H276</f>
        <v>9.9999999999766942E-4</v>
      </c>
      <c r="L276" s="224">
        <v>0</v>
      </c>
      <c r="M276" s="1269">
        <f t="shared" si="36"/>
        <v>3.7523452157511051E-5</v>
      </c>
      <c r="N276" s="1285">
        <f>F276-H276</f>
        <v>9.9999999999766942E-4</v>
      </c>
      <c r="O276" s="326"/>
    </row>
    <row r="277" spans="1:19" ht="30">
      <c r="A277" s="211" t="s">
        <v>1154</v>
      </c>
      <c r="B277" s="267" t="s">
        <v>1155</v>
      </c>
      <c r="C277" s="1301" t="s">
        <v>1156</v>
      </c>
      <c r="D277" s="211" t="s">
        <v>44</v>
      </c>
      <c r="E277" s="229">
        <v>64.77</v>
      </c>
      <c r="F277" s="211">
        <v>55.69</v>
      </c>
      <c r="G277" s="1290">
        <f t="shared" si="37"/>
        <v>3607.0412999999994</v>
      </c>
      <c r="H277" s="1278">
        <v>55.692000000000007</v>
      </c>
      <c r="I277" s="817">
        <v>3607.1708400000002</v>
      </c>
      <c r="J277" s="1269">
        <f t="shared" si="35"/>
        <v>1.0000359130903216</v>
      </c>
      <c r="K277" s="1278">
        <v>0</v>
      </c>
      <c r="L277" s="817">
        <f>K277*$E277</f>
        <v>0</v>
      </c>
      <c r="M277" s="1269" t="str">
        <f t="shared" si="36"/>
        <v/>
      </c>
      <c r="N277" s="1285">
        <f>F277-H277</f>
        <v>-2.0000000000095497E-3</v>
      </c>
      <c r="O277" s="326"/>
    </row>
    <row r="278" spans="1:19" ht="30">
      <c r="A278" s="253" t="s">
        <v>3125</v>
      </c>
      <c r="B278" s="267" t="s">
        <v>1158</v>
      </c>
      <c r="C278" s="1301" t="s">
        <v>1159</v>
      </c>
      <c r="D278" s="211" t="s">
        <v>44</v>
      </c>
      <c r="E278" s="229">
        <v>94.84</v>
      </c>
      <c r="F278" s="211">
        <v>48.6</v>
      </c>
      <c r="G278" s="1290">
        <f t="shared" si="37"/>
        <v>4609.2240000000002</v>
      </c>
      <c r="H278" s="1278">
        <v>48.604500000000002</v>
      </c>
      <c r="I278" s="817">
        <v>4609.6507799999999</v>
      </c>
      <c r="J278" s="1269">
        <v>1</v>
      </c>
      <c r="K278" s="1278">
        <v>0</v>
      </c>
      <c r="L278" s="817">
        <f>K278*$E278</f>
        <v>0</v>
      </c>
      <c r="M278" s="1269" t="str">
        <f t="shared" si="36"/>
        <v/>
      </c>
      <c r="N278" s="1285">
        <f>F278-H278</f>
        <v>-4.5000000000001705E-3</v>
      </c>
      <c r="O278" s="326"/>
    </row>
    <row r="279" spans="1:19" s="231" customFormat="1">
      <c r="A279" s="251" t="s">
        <v>1160</v>
      </c>
      <c r="B279" s="1445" t="s">
        <v>2996</v>
      </c>
      <c r="C279" s="1445"/>
      <c r="D279" s="1445"/>
      <c r="E279" s="1445"/>
      <c r="F279" s="1445"/>
      <c r="G279" s="1296">
        <f>G280+G281+G282+G283</f>
        <v>357.78999999999996</v>
      </c>
      <c r="H279" s="1277">
        <v>0</v>
      </c>
      <c r="I279" s="255">
        <v>357.78999999999996</v>
      </c>
      <c r="J279" s="1268">
        <f>I279/$G279</f>
        <v>1</v>
      </c>
      <c r="K279" s="1277">
        <f>F279-H279</f>
        <v>0</v>
      </c>
      <c r="L279" s="255">
        <f>L280+L281+L282+L283</f>
        <v>0</v>
      </c>
      <c r="M279" s="1268">
        <f>L279/$G279</f>
        <v>0</v>
      </c>
      <c r="N279" s="1285">
        <f>F279-H279</f>
        <v>0</v>
      </c>
      <c r="O279" s="326"/>
    </row>
    <row r="280" spans="1:19" ht="45">
      <c r="A280" s="211" t="s">
        <v>1162</v>
      </c>
      <c r="B280" s="267" t="s">
        <v>1163</v>
      </c>
      <c r="C280" s="1301" t="s">
        <v>1164</v>
      </c>
      <c r="D280" s="211" t="s">
        <v>28</v>
      </c>
      <c r="E280" s="229">
        <v>22.94</v>
      </c>
      <c r="F280" s="211">
        <v>1</v>
      </c>
      <c r="G280" s="1290">
        <f t="shared" si="37"/>
        <v>22.94</v>
      </c>
      <c r="H280" s="1278">
        <v>1</v>
      </c>
      <c r="I280" s="817">
        <v>22.94</v>
      </c>
      <c r="J280" s="1269">
        <f t="shared" si="35"/>
        <v>1</v>
      </c>
      <c r="K280" s="1278">
        <f>F280-H280</f>
        <v>0</v>
      </c>
      <c r="L280" s="817">
        <f>K280*$E280</f>
        <v>0</v>
      </c>
      <c r="M280" s="1269" t="str">
        <f t="shared" si="36"/>
        <v/>
      </c>
      <c r="N280" s="1285">
        <f>F280-H280</f>
        <v>0</v>
      </c>
      <c r="O280" s="326"/>
    </row>
    <row r="281" spans="1:19" ht="45">
      <c r="A281" s="211" t="s">
        <v>1165</v>
      </c>
      <c r="B281" s="267" t="s">
        <v>1166</v>
      </c>
      <c r="C281" s="1301" t="s">
        <v>1167</v>
      </c>
      <c r="D281" s="211" t="s">
        <v>28</v>
      </c>
      <c r="E281" s="229">
        <v>30.41</v>
      </c>
      <c r="F281" s="211">
        <v>3</v>
      </c>
      <c r="G281" s="1289">
        <f t="shared" si="37"/>
        <v>91.23</v>
      </c>
      <c r="H281" s="1278">
        <v>3</v>
      </c>
      <c r="I281" s="224">
        <v>91.23</v>
      </c>
      <c r="J281" s="1269">
        <f t="shared" si="35"/>
        <v>1</v>
      </c>
      <c r="K281" s="1278">
        <f>F281-H281</f>
        <v>0</v>
      </c>
      <c r="L281" s="224">
        <f>K281*$E281</f>
        <v>0</v>
      </c>
      <c r="M281" s="1269" t="str">
        <f t="shared" si="36"/>
        <v/>
      </c>
      <c r="N281" s="1285">
        <f>F281-H281</f>
        <v>0</v>
      </c>
      <c r="O281" s="326"/>
    </row>
    <row r="282" spans="1:19" ht="45">
      <c r="A282" s="211" t="s">
        <v>1168</v>
      </c>
      <c r="B282" s="267" t="s">
        <v>1169</v>
      </c>
      <c r="C282" s="1301" t="s">
        <v>1170</v>
      </c>
      <c r="D282" s="211" t="s">
        <v>28</v>
      </c>
      <c r="E282" s="229">
        <v>47.42</v>
      </c>
      <c r="F282" s="211">
        <v>2</v>
      </c>
      <c r="G282" s="1289">
        <f t="shared" si="37"/>
        <v>94.84</v>
      </c>
      <c r="H282" s="1278">
        <v>2</v>
      </c>
      <c r="I282" s="224">
        <v>94.84</v>
      </c>
      <c r="J282" s="1269">
        <f t="shared" si="35"/>
        <v>1</v>
      </c>
      <c r="K282" s="1278">
        <f>F282-H282</f>
        <v>0</v>
      </c>
      <c r="L282" s="224">
        <f>K282*$E282</f>
        <v>0</v>
      </c>
      <c r="M282" s="1269" t="str">
        <f t="shared" si="36"/>
        <v/>
      </c>
      <c r="N282" s="1285">
        <f>F282-H282</f>
        <v>0</v>
      </c>
      <c r="O282" s="326"/>
    </row>
    <row r="283" spans="1:19" ht="45">
      <c r="A283" s="211" t="s">
        <v>1171</v>
      </c>
      <c r="B283" s="267" t="s">
        <v>1172</v>
      </c>
      <c r="C283" s="1301" t="s">
        <v>1173</v>
      </c>
      <c r="D283" s="211" t="s">
        <v>28</v>
      </c>
      <c r="E283" s="229">
        <v>74.39</v>
      </c>
      <c r="F283" s="211">
        <v>2</v>
      </c>
      <c r="G283" s="1289">
        <f t="shared" si="37"/>
        <v>148.78</v>
      </c>
      <c r="H283" s="1278">
        <v>2</v>
      </c>
      <c r="I283" s="224">
        <v>148.78</v>
      </c>
      <c r="J283" s="1269">
        <f t="shared" si="35"/>
        <v>1</v>
      </c>
      <c r="K283" s="1278">
        <f>F283-H283</f>
        <v>0</v>
      </c>
      <c r="L283" s="224">
        <f>K283*$E283</f>
        <v>0</v>
      </c>
      <c r="M283" s="1269" t="str">
        <f t="shared" si="36"/>
        <v/>
      </c>
      <c r="N283" s="1285">
        <f>F283-H283</f>
        <v>0</v>
      </c>
      <c r="O283" s="326"/>
    </row>
    <row r="284" spans="1:19" s="231" customFormat="1">
      <c r="A284" s="251" t="s">
        <v>1174</v>
      </c>
      <c r="B284" s="1445" t="s">
        <v>1175</v>
      </c>
      <c r="C284" s="1445"/>
      <c r="D284" s="1445"/>
      <c r="E284" s="1445"/>
      <c r="F284" s="1445"/>
      <c r="G284" s="1296">
        <f>SUM(G285:G295)</f>
        <v>9680.2099999999991</v>
      </c>
      <c r="H284" s="1277">
        <v>0</v>
      </c>
      <c r="I284" s="255">
        <v>9680.2099999999991</v>
      </c>
      <c r="J284" s="1268">
        <f>I284/$G284</f>
        <v>1</v>
      </c>
      <c r="K284" s="1277">
        <f>F284-H284</f>
        <v>0</v>
      </c>
      <c r="L284" s="255">
        <f>SUM(L285:L295)</f>
        <v>0</v>
      </c>
      <c r="M284" s="1268">
        <f>L284/$G284</f>
        <v>0</v>
      </c>
      <c r="N284" s="1285">
        <f>F284-H284</f>
        <v>0</v>
      </c>
      <c r="O284" s="326"/>
    </row>
    <row r="285" spans="1:19" ht="30">
      <c r="A285" s="253" t="s">
        <v>3131</v>
      </c>
      <c r="B285" s="267" t="s">
        <v>254</v>
      </c>
      <c r="C285" s="1301" t="s">
        <v>255</v>
      </c>
      <c r="D285" s="211" t="s">
        <v>28</v>
      </c>
      <c r="E285" s="229">
        <v>73.05</v>
      </c>
      <c r="F285" s="211">
        <v>1</v>
      </c>
      <c r="G285" s="1290">
        <f t="shared" si="37"/>
        <v>73.05</v>
      </c>
      <c r="H285" s="1278">
        <v>1</v>
      </c>
      <c r="I285" s="817">
        <v>73.05</v>
      </c>
      <c r="J285" s="1269">
        <f t="shared" si="35"/>
        <v>1</v>
      </c>
      <c r="K285" s="1278">
        <f>F285-H285</f>
        <v>0</v>
      </c>
      <c r="L285" s="817">
        <f t="shared" ref="L285:L295" si="39">K285*$E285</f>
        <v>0</v>
      </c>
      <c r="M285" s="1269" t="str">
        <f t="shared" si="36"/>
        <v/>
      </c>
      <c r="N285" s="1285">
        <f>F285-H285</f>
        <v>0</v>
      </c>
      <c r="O285" s="326"/>
    </row>
    <row r="286" spans="1:19" ht="30">
      <c r="A286" s="253" t="s">
        <v>3130</v>
      </c>
      <c r="B286" s="267" t="s">
        <v>1178</v>
      </c>
      <c r="C286" s="1301" t="s">
        <v>1179</v>
      </c>
      <c r="D286" s="211" t="s">
        <v>28</v>
      </c>
      <c r="E286" s="229">
        <v>92.83</v>
      </c>
      <c r="F286" s="211">
        <v>2</v>
      </c>
      <c r="G286" s="1290">
        <f t="shared" si="37"/>
        <v>185.66</v>
      </c>
      <c r="H286" s="1278">
        <v>2</v>
      </c>
      <c r="I286" s="817">
        <v>185.66</v>
      </c>
      <c r="J286" s="1269">
        <f t="shared" si="35"/>
        <v>1</v>
      </c>
      <c r="K286" s="1278">
        <f>F286-H286</f>
        <v>0</v>
      </c>
      <c r="L286" s="817">
        <f t="shared" si="39"/>
        <v>0</v>
      </c>
      <c r="M286" s="1269" t="str">
        <f t="shared" si="36"/>
        <v/>
      </c>
      <c r="N286" s="1285">
        <f>F286-H286</f>
        <v>0</v>
      </c>
      <c r="O286" s="326"/>
    </row>
    <row r="287" spans="1:19" ht="30">
      <c r="A287" s="211" t="s">
        <v>1180</v>
      </c>
      <c r="B287" s="267" t="s">
        <v>1181</v>
      </c>
      <c r="C287" s="1301" t="s">
        <v>1182</v>
      </c>
      <c r="D287" s="211" t="s">
        <v>28</v>
      </c>
      <c r="E287" s="229">
        <v>145.53</v>
      </c>
      <c r="F287" s="211">
        <v>1</v>
      </c>
      <c r="G287" s="1290">
        <f t="shared" si="37"/>
        <v>145.53</v>
      </c>
      <c r="H287" s="1278">
        <v>1</v>
      </c>
      <c r="I287" s="817">
        <v>145.53</v>
      </c>
      <c r="J287" s="1269">
        <f t="shared" si="35"/>
        <v>1</v>
      </c>
      <c r="K287" s="1278">
        <f>F287-H287</f>
        <v>0</v>
      </c>
      <c r="L287" s="817">
        <f t="shared" si="39"/>
        <v>0</v>
      </c>
      <c r="M287" s="1269" t="str">
        <f t="shared" si="36"/>
        <v/>
      </c>
      <c r="N287" s="1285">
        <f>F287-H287</f>
        <v>0</v>
      </c>
      <c r="O287" s="326"/>
    </row>
    <row r="288" spans="1:19" ht="30">
      <c r="A288" s="211" t="s">
        <v>1183</v>
      </c>
      <c r="B288" s="267" t="s">
        <v>1184</v>
      </c>
      <c r="C288" s="1301" t="s">
        <v>1185</v>
      </c>
      <c r="D288" s="211" t="s">
        <v>28</v>
      </c>
      <c r="E288" s="229">
        <v>224.95</v>
      </c>
      <c r="F288" s="211">
        <v>3</v>
      </c>
      <c r="G288" s="1290">
        <f t="shared" si="37"/>
        <v>674.84999999999991</v>
      </c>
      <c r="H288" s="1278">
        <v>3</v>
      </c>
      <c r="I288" s="817">
        <v>674.84999999999991</v>
      </c>
      <c r="J288" s="1269">
        <f t="shared" si="35"/>
        <v>1</v>
      </c>
      <c r="K288" s="1278">
        <f>F288-H288</f>
        <v>0</v>
      </c>
      <c r="L288" s="817">
        <f t="shared" si="39"/>
        <v>0</v>
      </c>
      <c r="M288" s="1269" t="str">
        <f t="shared" si="36"/>
        <v/>
      </c>
      <c r="N288" s="1285">
        <f>F288-H288</f>
        <v>0</v>
      </c>
      <c r="O288" s="326"/>
    </row>
    <row r="289" spans="1:15" ht="45">
      <c r="A289" s="211" t="s">
        <v>1186</v>
      </c>
      <c r="B289" s="267" t="s">
        <v>1187</v>
      </c>
      <c r="C289" s="1301" t="s">
        <v>1188</v>
      </c>
      <c r="D289" s="211" t="s">
        <v>28</v>
      </c>
      <c r="E289" s="229">
        <v>152.47</v>
      </c>
      <c r="F289" s="211">
        <v>31</v>
      </c>
      <c r="G289" s="1290">
        <f t="shared" si="37"/>
        <v>4726.57</v>
      </c>
      <c r="H289" s="1278">
        <v>31</v>
      </c>
      <c r="I289" s="817">
        <v>4726.57</v>
      </c>
      <c r="J289" s="1269">
        <f t="shared" si="35"/>
        <v>1</v>
      </c>
      <c r="K289" s="1278">
        <f>F289-H289</f>
        <v>0</v>
      </c>
      <c r="L289" s="817">
        <f t="shared" si="39"/>
        <v>0</v>
      </c>
      <c r="M289" s="1269" t="str">
        <f t="shared" si="36"/>
        <v/>
      </c>
      <c r="N289" s="1285">
        <f>F289-H289</f>
        <v>0</v>
      </c>
      <c r="O289" s="326"/>
    </row>
    <row r="290" spans="1:15" ht="45">
      <c r="A290" s="211" t="s">
        <v>1189</v>
      </c>
      <c r="B290" s="267" t="s">
        <v>1190</v>
      </c>
      <c r="C290" s="1301" t="s">
        <v>1191</v>
      </c>
      <c r="D290" s="211" t="s">
        <v>28</v>
      </c>
      <c r="E290" s="229">
        <v>203.06</v>
      </c>
      <c r="F290" s="211">
        <v>1</v>
      </c>
      <c r="G290" s="1290">
        <f t="shared" si="37"/>
        <v>203.06</v>
      </c>
      <c r="H290" s="1278">
        <v>1</v>
      </c>
      <c r="I290" s="817">
        <v>203.06</v>
      </c>
      <c r="J290" s="1269">
        <f t="shared" si="35"/>
        <v>1</v>
      </c>
      <c r="K290" s="1278">
        <f>F290-H290</f>
        <v>0</v>
      </c>
      <c r="L290" s="817">
        <f t="shared" si="39"/>
        <v>0</v>
      </c>
      <c r="M290" s="1269" t="str">
        <f t="shared" si="36"/>
        <v/>
      </c>
      <c r="N290" s="1285">
        <f>F290-H290</f>
        <v>0</v>
      </c>
      <c r="O290" s="326"/>
    </row>
    <row r="291" spans="1:15" ht="45">
      <c r="A291" s="211" t="s">
        <v>1192</v>
      </c>
      <c r="B291" s="267" t="s">
        <v>1193</v>
      </c>
      <c r="C291" s="1301" t="s">
        <v>1194</v>
      </c>
      <c r="D291" s="211" t="s">
        <v>28</v>
      </c>
      <c r="E291" s="229">
        <v>142.04</v>
      </c>
      <c r="F291" s="211">
        <v>7</v>
      </c>
      <c r="G291" s="1290">
        <f t="shared" si="37"/>
        <v>994.28</v>
      </c>
      <c r="H291" s="1278">
        <v>7</v>
      </c>
      <c r="I291" s="817">
        <v>994.28</v>
      </c>
      <c r="J291" s="1269">
        <f t="shared" si="35"/>
        <v>1</v>
      </c>
      <c r="K291" s="1278">
        <f>F291-H291</f>
        <v>0</v>
      </c>
      <c r="L291" s="817">
        <f t="shared" si="39"/>
        <v>0</v>
      </c>
      <c r="M291" s="1269" t="str">
        <f t="shared" si="36"/>
        <v/>
      </c>
      <c r="N291" s="1285">
        <f>F291-H291</f>
        <v>0</v>
      </c>
      <c r="O291" s="326"/>
    </row>
    <row r="292" spans="1:15" ht="45">
      <c r="A292" s="211" t="s">
        <v>1195</v>
      </c>
      <c r="B292" s="267" t="s">
        <v>1196</v>
      </c>
      <c r="C292" s="1301" t="s">
        <v>1197</v>
      </c>
      <c r="D292" s="211" t="s">
        <v>28</v>
      </c>
      <c r="E292" s="229">
        <v>401.65</v>
      </c>
      <c r="F292" s="211">
        <v>1</v>
      </c>
      <c r="G292" s="1290">
        <f t="shared" si="37"/>
        <v>401.65</v>
      </c>
      <c r="H292" s="1278">
        <v>1</v>
      </c>
      <c r="I292" s="817">
        <v>401.65</v>
      </c>
      <c r="J292" s="1269">
        <f t="shared" si="35"/>
        <v>1</v>
      </c>
      <c r="K292" s="1278">
        <f>F292-H292</f>
        <v>0</v>
      </c>
      <c r="L292" s="817">
        <f t="shared" si="39"/>
        <v>0</v>
      </c>
      <c r="M292" s="1269" t="str">
        <f t="shared" si="36"/>
        <v/>
      </c>
      <c r="N292" s="1285">
        <f>F292-H292</f>
        <v>0</v>
      </c>
      <c r="O292" s="326"/>
    </row>
    <row r="293" spans="1:15" ht="45">
      <c r="A293" s="211" t="s">
        <v>1198</v>
      </c>
      <c r="B293" s="267" t="s">
        <v>1199</v>
      </c>
      <c r="C293" s="1301" t="s">
        <v>1200</v>
      </c>
      <c r="D293" s="211" t="s">
        <v>28</v>
      </c>
      <c r="E293" s="229">
        <v>467.7</v>
      </c>
      <c r="F293" s="211">
        <v>4</v>
      </c>
      <c r="G293" s="1290">
        <f t="shared" si="37"/>
        <v>1870.8</v>
      </c>
      <c r="H293" s="1278">
        <v>4</v>
      </c>
      <c r="I293" s="817">
        <v>1870.8</v>
      </c>
      <c r="J293" s="1269">
        <f t="shared" si="35"/>
        <v>1</v>
      </c>
      <c r="K293" s="1278">
        <f>F293-H293</f>
        <v>0</v>
      </c>
      <c r="L293" s="817">
        <f t="shared" si="39"/>
        <v>0</v>
      </c>
      <c r="M293" s="1269" t="str">
        <f t="shared" si="36"/>
        <v/>
      </c>
      <c r="N293" s="1285">
        <f>F293-H293</f>
        <v>0</v>
      </c>
      <c r="O293" s="326"/>
    </row>
    <row r="294" spans="1:15" ht="30">
      <c r="A294" s="211" t="s">
        <v>1201</v>
      </c>
      <c r="B294" s="267" t="s">
        <v>1202</v>
      </c>
      <c r="C294" s="1301" t="s">
        <v>1203</v>
      </c>
      <c r="D294" s="211" t="s">
        <v>28</v>
      </c>
      <c r="E294" s="229">
        <v>50.4</v>
      </c>
      <c r="F294" s="211">
        <v>3</v>
      </c>
      <c r="G294" s="1289">
        <f t="shared" si="37"/>
        <v>151.19999999999999</v>
      </c>
      <c r="H294" s="1278">
        <v>3</v>
      </c>
      <c r="I294" s="224">
        <v>151.19999999999999</v>
      </c>
      <c r="J294" s="1269">
        <f t="shared" si="35"/>
        <v>1</v>
      </c>
      <c r="K294" s="1278">
        <f>F294-H294</f>
        <v>0</v>
      </c>
      <c r="L294" s="224">
        <f t="shared" si="39"/>
        <v>0</v>
      </c>
      <c r="M294" s="1269" t="str">
        <f t="shared" si="36"/>
        <v/>
      </c>
      <c r="N294" s="1285">
        <f>F294-H294</f>
        <v>0</v>
      </c>
      <c r="O294" s="326"/>
    </row>
    <row r="295" spans="1:15" ht="30">
      <c r="A295" s="211" t="s">
        <v>1204</v>
      </c>
      <c r="B295" s="267" t="s">
        <v>257</v>
      </c>
      <c r="C295" s="1301" t="s">
        <v>258</v>
      </c>
      <c r="D295" s="211" t="s">
        <v>28</v>
      </c>
      <c r="E295" s="229">
        <v>126.78</v>
      </c>
      <c r="F295" s="211">
        <v>2</v>
      </c>
      <c r="G295" s="1289">
        <f t="shared" si="37"/>
        <v>253.56</v>
      </c>
      <c r="H295" s="1278">
        <v>2</v>
      </c>
      <c r="I295" s="224">
        <v>253.56</v>
      </c>
      <c r="J295" s="1269">
        <f t="shared" si="35"/>
        <v>1</v>
      </c>
      <c r="K295" s="1278">
        <f>F295-H295</f>
        <v>0</v>
      </c>
      <c r="L295" s="224">
        <f t="shared" si="39"/>
        <v>0</v>
      </c>
      <c r="M295" s="1269" t="str">
        <f t="shared" si="36"/>
        <v/>
      </c>
      <c r="N295" s="1285">
        <f>F295-H295</f>
        <v>0</v>
      </c>
      <c r="O295" s="326"/>
    </row>
    <row r="296" spans="1:15" s="231" customFormat="1">
      <c r="A296" s="251" t="s">
        <v>1205</v>
      </c>
      <c r="B296" s="1445" t="s">
        <v>1206</v>
      </c>
      <c r="C296" s="1445"/>
      <c r="D296" s="1445"/>
      <c r="E296" s="1445"/>
      <c r="F296" s="1445"/>
      <c r="G296" s="1296">
        <f>SUM(G297:G303)</f>
        <v>20921.162199999999</v>
      </c>
      <c r="H296" s="1277">
        <v>0</v>
      </c>
      <c r="I296" s="255">
        <v>20921.221533999997</v>
      </c>
      <c r="J296" s="1268">
        <f>I296/$G296</f>
        <v>1.0000028360757127</v>
      </c>
      <c r="K296" s="1277">
        <f>F296-H296</f>
        <v>0</v>
      </c>
      <c r="L296" s="255">
        <f>SUM(L297:L303)</f>
        <v>0</v>
      </c>
      <c r="M296" s="1268">
        <f>L296/$G296</f>
        <v>0</v>
      </c>
      <c r="N296" s="1285">
        <f>F296-H296</f>
        <v>0</v>
      </c>
      <c r="O296" s="326"/>
    </row>
    <row r="297" spans="1:15" ht="45">
      <c r="A297" s="211" t="s">
        <v>1207</v>
      </c>
      <c r="B297" s="267" t="s">
        <v>203</v>
      </c>
      <c r="C297" s="1301" t="s">
        <v>204</v>
      </c>
      <c r="D297" s="211" t="s">
        <v>44</v>
      </c>
      <c r="E297" s="229">
        <v>40.28</v>
      </c>
      <c r="F297" s="211">
        <v>35.840000000000003</v>
      </c>
      <c r="G297" s="1290">
        <f t="shared" si="37"/>
        <v>1443.6352000000002</v>
      </c>
      <c r="H297" s="1278">
        <v>35.84055</v>
      </c>
      <c r="I297" s="817">
        <v>1443.6573540000002</v>
      </c>
      <c r="J297" s="1269">
        <f t="shared" si="35"/>
        <v>1.0000153459821428</v>
      </c>
      <c r="K297" s="1278">
        <v>0</v>
      </c>
      <c r="L297" s="817">
        <f t="shared" ref="L297:L303" si="40">K297*$E297</f>
        <v>0</v>
      </c>
      <c r="M297" s="1269" t="str">
        <f t="shared" si="36"/>
        <v/>
      </c>
      <c r="N297" s="1285">
        <f>F297-H297</f>
        <v>-5.4999999999694182E-4</v>
      </c>
      <c r="O297" s="326"/>
    </row>
    <row r="298" spans="1:15" ht="45">
      <c r="A298" s="211" t="s">
        <v>1208</v>
      </c>
      <c r="B298" s="267" t="s">
        <v>206</v>
      </c>
      <c r="C298" s="1301" t="s">
        <v>207</v>
      </c>
      <c r="D298" s="211" t="s">
        <v>44</v>
      </c>
      <c r="E298" s="229">
        <v>53</v>
      </c>
      <c r="F298" s="211">
        <v>127.62</v>
      </c>
      <c r="G298" s="1290">
        <f t="shared" si="37"/>
        <v>6763.8600000000006</v>
      </c>
      <c r="H298" s="1278">
        <v>127.6215</v>
      </c>
      <c r="I298" s="817">
        <v>6763.9394999999995</v>
      </c>
      <c r="J298" s="1269">
        <f t="shared" si="35"/>
        <v>1.0000117536436295</v>
      </c>
      <c r="K298" s="1278">
        <v>0</v>
      </c>
      <c r="L298" s="817">
        <f t="shared" si="40"/>
        <v>0</v>
      </c>
      <c r="M298" s="1269" t="str">
        <f t="shared" si="36"/>
        <v/>
      </c>
      <c r="N298" s="1285">
        <f>F298-H298</f>
        <v>-1.4999999999929514E-3</v>
      </c>
      <c r="O298" s="326"/>
    </row>
    <row r="299" spans="1:15" ht="45">
      <c r="A299" s="211" t="s">
        <v>1209</v>
      </c>
      <c r="B299" s="267" t="s">
        <v>209</v>
      </c>
      <c r="C299" s="1301" t="s">
        <v>210</v>
      </c>
      <c r="D299" s="211" t="s">
        <v>44</v>
      </c>
      <c r="E299" s="229">
        <v>76.739999999999995</v>
      </c>
      <c r="F299" s="211">
        <v>8.33</v>
      </c>
      <c r="G299" s="1290">
        <f t="shared" si="37"/>
        <v>639.24419999999998</v>
      </c>
      <c r="H299" s="1278">
        <v>8.33</v>
      </c>
      <c r="I299" s="817">
        <v>639.24419999999998</v>
      </c>
      <c r="J299" s="1269">
        <f t="shared" si="35"/>
        <v>1</v>
      </c>
      <c r="K299" s="1278">
        <f>F299-H299</f>
        <v>0</v>
      </c>
      <c r="L299" s="817">
        <f t="shared" si="40"/>
        <v>0</v>
      </c>
      <c r="M299" s="1269" t="str">
        <f t="shared" si="36"/>
        <v/>
      </c>
      <c r="N299" s="1285">
        <f>F299-H299</f>
        <v>0</v>
      </c>
      <c r="O299" s="326"/>
    </row>
    <row r="300" spans="1:15" ht="45">
      <c r="A300" s="211" t="s">
        <v>1210</v>
      </c>
      <c r="B300" s="267" t="s">
        <v>212</v>
      </c>
      <c r="C300" s="1301" t="s">
        <v>213</v>
      </c>
      <c r="D300" s="211" t="s">
        <v>44</v>
      </c>
      <c r="E300" s="229">
        <v>84.64</v>
      </c>
      <c r="F300" s="211">
        <v>115.52</v>
      </c>
      <c r="G300" s="1290">
        <f t="shared" si="37"/>
        <v>9777.612799999999</v>
      </c>
      <c r="H300" s="1278">
        <v>115.51949999999999</v>
      </c>
      <c r="I300" s="817">
        <v>9777.5704800000003</v>
      </c>
      <c r="J300" s="1269">
        <f t="shared" si="35"/>
        <v>0.99999567174515236</v>
      </c>
      <c r="K300" s="1278">
        <v>0</v>
      </c>
      <c r="L300" s="817">
        <f t="shared" si="40"/>
        <v>0</v>
      </c>
      <c r="M300" s="1269" t="str">
        <f t="shared" si="36"/>
        <v/>
      </c>
      <c r="N300" s="1285">
        <f>F300-H300</f>
        <v>5.0000000000238742E-4</v>
      </c>
      <c r="O300" s="326"/>
    </row>
    <row r="301" spans="1:15" ht="45">
      <c r="A301" s="211" t="s">
        <v>1211</v>
      </c>
      <c r="B301" s="267" t="s">
        <v>215</v>
      </c>
      <c r="C301" s="1301" t="s">
        <v>216</v>
      </c>
      <c r="D301" s="211" t="s">
        <v>44</v>
      </c>
      <c r="E301" s="229">
        <v>130.12</v>
      </c>
      <c r="F301" s="211">
        <v>16.5</v>
      </c>
      <c r="G301" s="1290">
        <f t="shared" si="37"/>
        <v>2146.98</v>
      </c>
      <c r="H301" s="1278">
        <v>16.5</v>
      </c>
      <c r="I301" s="817">
        <v>2146.98</v>
      </c>
      <c r="J301" s="1269">
        <f t="shared" si="35"/>
        <v>1</v>
      </c>
      <c r="K301" s="1278">
        <f>F301-H301</f>
        <v>0</v>
      </c>
      <c r="L301" s="817">
        <f>K301*$E301</f>
        <v>0</v>
      </c>
      <c r="M301" s="1269" t="str">
        <f t="shared" si="36"/>
        <v/>
      </c>
      <c r="N301" s="1285">
        <f>F301-H301</f>
        <v>0</v>
      </c>
      <c r="O301" s="326"/>
    </row>
    <row r="302" spans="1:15" ht="30">
      <c r="A302" s="211" t="s">
        <v>1212</v>
      </c>
      <c r="B302" s="267" t="s">
        <v>1213</v>
      </c>
      <c r="C302" s="1301" t="s">
        <v>1214</v>
      </c>
      <c r="D302" s="211" t="s">
        <v>28</v>
      </c>
      <c r="E302" s="229">
        <v>17.66</v>
      </c>
      <c r="F302" s="211">
        <v>7</v>
      </c>
      <c r="G302" s="1290">
        <f t="shared" si="37"/>
        <v>123.62</v>
      </c>
      <c r="H302" s="1278">
        <v>7</v>
      </c>
      <c r="I302" s="817">
        <v>123.62</v>
      </c>
      <c r="J302" s="1269">
        <f t="shared" si="35"/>
        <v>1</v>
      </c>
      <c r="K302" s="1278">
        <f>F302-H302</f>
        <v>0</v>
      </c>
      <c r="L302" s="817">
        <f t="shared" si="40"/>
        <v>0</v>
      </c>
      <c r="M302" s="1269" t="str">
        <f t="shared" si="36"/>
        <v/>
      </c>
      <c r="N302" s="1285">
        <f>F302-H302</f>
        <v>0</v>
      </c>
      <c r="O302" s="326"/>
    </row>
    <row r="303" spans="1:15" ht="30">
      <c r="A303" s="211" t="s">
        <v>1215</v>
      </c>
      <c r="B303" s="267" t="s">
        <v>1216</v>
      </c>
      <c r="C303" s="1301" t="s">
        <v>1217</v>
      </c>
      <c r="D303" s="211" t="s">
        <v>28</v>
      </c>
      <c r="E303" s="229">
        <v>26.21</v>
      </c>
      <c r="F303" s="211">
        <v>1</v>
      </c>
      <c r="G303" s="1290">
        <f t="shared" si="37"/>
        <v>26.21</v>
      </c>
      <c r="H303" s="1278">
        <v>1</v>
      </c>
      <c r="I303" s="817">
        <v>26.21</v>
      </c>
      <c r="J303" s="1269">
        <f t="shared" si="35"/>
        <v>1</v>
      </c>
      <c r="K303" s="1278">
        <f>F303-H303</f>
        <v>0</v>
      </c>
      <c r="L303" s="817">
        <f t="shared" si="40"/>
        <v>0</v>
      </c>
      <c r="M303" s="1269" t="str">
        <f t="shared" si="36"/>
        <v/>
      </c>
      <c r="N303" s="1285">
        <f>F303-H303</f>
        <v>0</v>
      </c>
      <c r="O303" s="326"/>
    </row>
    <row r="304" spans="1:15" s="231" customFormat="1">
      <c r="A304" s="251" t="s">
        <v>1218</v>
      </c>
      <c r="B304" s="1445" t="s">
        <v>1219</v>
      </c>
      <c r="C304" s="1445"/>
      <c r="D304" s="1445"/>
      <c r="E304" s="1445"/>
      <c r="F304" s="1445"/>
      <c r="G304" s="1296">
        <f>SUM(G305:G310)</f>
        <v>4358.670000000001</v>
      </c>
      <c r="H304" s="1277">
        <v>0</v>
      </c>
      <c r="I304" s="255">
        <v>4358.670000000001</v>
      </c>
      <c r="J304" s="1268">
        <f>I304/$G304</f>
        <v>1</v>
      </c>
      <c r="K304" s="1277">
        <f>F304-H304</f>
        <v>0</v>
      </c>
      <c r="L304" s="255">
        <f>SUM(L305:L310)</f>
        <v>0</v>
      </c>
      <c r="M304" s="1268">
        <f>L304/$G304</f>
        <v>0</v>
      </c>
      <c r="N304" s="1285">
        <f>F304-H304</f>
        <v>0</v>
      </c>
      <c r="O304" s="326"/>
    </row>
    <row r="305" spans="1:15" ht="45">
      <c r="A305" s="211" t="s">
        <v>1220</v>
      </c>
      <c r="B305" s="267" t="s">
        <v>1221</v>
      </c>
      <c r="C305" s="1301" t="s">
        <v>1222</v>
      </c>
      <c r="D305" s="211" t="s">
        <v>28</v>
      </c>
      <c r="E305" s="229">
        <v>154.78</v>
      </c>
      <c r="F305" s="211">
        <v>11</v>
      </c>
      <c r="G305" s="1289">
        <f t="shared" si="37"/>
        <v>1702.58</v>
      </c>
      <c r="H305" s="1278">
        <v>11</v>
      </c>
      <c r="I305" s="224">
        <v>1702.58</v>
      </c>
      <c r="J305" s="1269">
        <f t="shared" si="35"/>
        <v>1</v>
      </c>
      <c r="K305" s="1278">
        <f>F305-H305</f>
        <v>0</v>
      </c>
      <c r="L305" s="224">
        <f t="shared" ref="L305:L310" si="41">K305*$E305</f>
        <v>0</v>
      </c>
      <c r="M305" s="1269" t="str">
        <f t="shared" si="36"/>
        <v/>
      </c>
      <c r="N305" s="1285">
        <f>F305-H305</f>
        <v>0</v>
      </c>
      <c r="O305" s="326"/>
    </row>
    <row r="306" spans="1:15" ht="45">
      <c r="A306" s="211" t="s">
        <v>1223</v>
      </c>
      <c r="B306" s="267" t="s">
        <v>1224</v>
      </c>
      <c r="C306" s="1301" t="s">
        <v>1225</v>
      </c>
      <c r="D306" s="211" t="s">
        <v>28</v>
      </c>
      <c r="E306" s="229">
        <v>114.54</v>
      </c>
      <c r="F306" s="211">
        <v>16</v>
      </c>
      <c r="G306" s="1289">
        <f t="shared" si="37"/>
        <v>1832.64</v>
      </c>
      <c r="H306" s="1278">
        <v>16</v>
      </c>
      <c r="I306" s="224">
        <v>1832.64</v>
      </c>
      <c r="J306" s="1269">
        <f t="shared" si="35"/>
        <v>1</v>
      </c>
      <c r="K306" s="1278">
        <f>F306-H306</f>
        <v>0</v>
      </c>
      <c r="L306" s="224">
        <f t="shared" si="41"/>
        <v>0</v>
      </c>
      <c r="M306" s="1269" t="str">
        <f t="shared" si="36"/>
        <v/>
      </c>
      <c r="N306" s="1285">
        <f>F306-H306</f>
        <v>0</v>
      </c>
      <c r="O306" s="326"/>
    </row>
    <row r="307" spans="1:15" ht="30">
      <c r="A307" s="211" t="s">
        <v>1226</v>
      </c>
      <c r="B307" s="267" t="s">
        <v>1227</v>
      </c>
      <c r="C307" s="1301" t="s">
        <v>1228</v>
      </c>
      <c r="D307" s="211" t="s">
        <v>28</v>
      </c>
      <c r="E307" s="229">
        <v>101.53</v>
      </c>
      <c r="F307" s="211">
        <v>1</v>
      </c>
      <c r="G307" s="1289">
        <f t="shared" si="37"/>
        <v>101.53</v>
      </c>
      <c r="H307" s="1278">
        <v>1</v>
      </c>
      <c r="I307" s="224">
        <v>101.53</v>
      </c>
      <c r="J307" s="1269">
        <f t="shared" si="35"/>
        <v>1</v>
      </c>
      <c r="K307" s="1278">
        <f>F307-H307</f>
        <v>0</v>
      </c>
      <c r="L307" s="224">
        <f t="shared" si="41"/>
        <v>0</v>
      </c>
      <c r="M307" s="1269" t="str">
        <f t="shared" si="36"/>
        <v/>
      </c>
      <c r="N307" s="1285">
        <f>F307-H307</f>
        <v>0</v>
      </c>
      <c r="O307" s="326"/>
    </row>
    <row r="308" spans="1:15" ht="30">
      <c r="A308" s="211" t="s">
        <v>1229</v>
      </c>
      <c r="B308" s="267" t="s">
        <v>1230</v>
      </c>
      <c r="C308" s="1301" t="s">
        <v>1231</v>
      </c>
      <c r="D308" s="211" t="s">
        <v>28</v>
      </c>
      <c r="E308" s="229">
        <v>89.41</v>
      </c>
      <c r="F308" s="211">
        <v>3</v>
      </c>
      <c r="G308" s="1289">
        <f t="shared" si="37"/>
        <v>268.23</v>
      </c>
      <c r="H308" s="1278">
        <v>3</v>
      </c>
      <c r="I308" s="224">
        <v>268.23</v>
      </c>
      <c r="J308" s="1269">
        <f t="shared" si="35"/>
        <v>1</v>
      </c>
      <c r="K308" s="1278">
        <f>F308-H308</f>
        <v>0</v>
      </c>
      <c r="L308" s="224">
        <f t="shared" si="41"/>
        <v>0</v>
      </c>
      <c r="M308" s="1269" t="str">
        <f t="shared" si="36"/>
        <v/>
      </c>
      <c r="N308" s="1285">
        <f>F308-H308</f>
        <v>0</v>
      </c>
      <c r="O308" s="326"/>
    </row>
    <row r="309" spans="1:15" ht="30">
      <c r="A309" s="211" t="s">
        <v>1232</v>
      </c>
      <c r="B309" s="267" t="s">
        <v>1233</v>
      </c>
      <c r="C309" s="1301" t="s">
        <v>1234</v>
      </c>
      <c r="D309" s="211" t="s">
        <v>28</v>
      </c>
      <c r="E309" s="229">
        <v>52.77</v>
      </c>
      <c r="F309" s="211">
        <v>5</v>
      </c>
      <c r="G309" s="1289">
        <f t="shared" si="37"/>
        <v>263.85000000000002</v>
      </c>
      <c r="H309" s="1278">
        <v>5</v>
      </c>
      <c r="I309" s="224">
        <v>263.85000000000002</v>
      </c>
      <c r="J309" s="1269">
        <f t="shared" si="35"/>
        <v>1</v>
      </c>
      <c r="K309" s="1278">
        <f>F309-H309</f>
        <v>0</v>
      </c>
      <c r="L309" s="224">
        <f t="shared" si="41"/>
        <v>0</v>
      </c>
      <c r="M309" s="1269" t="str">
        <f t="shared" si="36"/>
        <v/>
      </c>
      <c r="N309" s="1285">
        <f>F309-H309</f>
        <v>0</v>
      </c>
      <c r="O309" s="326"/>
    </row>
    <row r="310" spans="1:15" ht="30">
      <c r="A310" s="211" t="s">
        <v>1235</v>
      </c>
      <c r="B310" s="267" t="s">
        <v>1236</v>
      </c>
      <c r="C310" s="1301" t="s">
        <v>1237</v>
      </c>
      <c r="D310" s="211" t="s">
        <v>28</v>
      </c>
      <c r="E310" s="229">
        <v>94.92</v>
      </c>
      <c r="F310" s="211">
        <v>2</v>
      </c>
      <c r="G310" s="1289">
        <f t="shared" si="37"/>
        <v>189.84</v>
      </c>
      <c r="H310" s="1278">
        <v>2</v>
      </c>
      <c r="I310" s="224">
        <v>189.84</v>
      </c>
      <c r="J310" s="1269">
        <f t="shared" si="35"/>
        <v>1</v>
      </c>
      <c r="K310" s="1278">
        <f>F310-H310</f>
        <v>0</v>
      </c>
      <c r="L310" s="224">
        <f t="shared" si="41"/>
        <v>0</v>
      </c>
      <c r="M310" s="1269" t="str">
        <f t="shared" si="36"/>
        <v/>
      </c>
      <c r="N310" s="1285">
        <f>F310-H310</f>
        <v>0</v>
      </c>
      <c r="O310" s="326"/>
    </row>
    <row r="311" spans="1:15" s="231" customFormat="1">
      <c r="A311" s="251" t="s">
        <v>1238</v>
      </c>
      <c r="B311" s="1445" t="s">
        <v>1239</v>
      </c>
      <c r="C311" s="1445"/>
      <c r="D311" s="1445"/>
      <c r="E311" s="1445"/>
      <c r="F311" s="1445"/>
      <c r="G311" s="1296">
        <f>G312+G313</f>
        <v>10174.419999999998</v>
      </c>
      <c r="H311" s="1277">
        <v>0</v>
      </c>
      <c r="I311" s="255">
        <v>10174.419999999998</v>
      </c>
      <c r="J311" s="1268">
        <f>I311/$G311</f>
        <v>1</v>
      </c>
      <c r="K311" s="1277">
        <f>F311-H311</f>
        <v>0</v>
      </c>
      <c r="L311" s="255">
        <f>L312+L313</f>
        <v>0</v>
      </c>
      <c r="M311" s="1268">
        <f>L311/$G311</f>
        <v>0</v>
      </c>
      <c r="N311" s="1285">
        <f>F311-H311</f>
        <v>0</v>
      </c>
      <c r="O311" s="326"/>
    </row>
    <row r="312" spans="1:15" ht="30">
      <c r="A312" s="211" t="s">
        <v>1240</v>
      </c>
      <c r="B312" s="211" t="s">
        <v>1241</v>
      </c>
      <c r="C312" s="210" t="s">
        <v>1242</v>
      </c>
      <c r="D312" s="211" t="s">
        <v>28</v>
      </c>
      <c r="E312" s="223">
        <v>126.46</v>
      </c>
      <c r="F312" s="211">
        <v>1</v>
      </c>
      <c r="G312" s="1289">
        <f t="shared" si="37"/>
        <v>126.46</v>
      </c>
      <c r="H312" s="1278">
        <v>1</v>
      </c>
      <c r="I312" s="224">
        <v>126.46</v>
      </c>
      <c r="J312" s="1269">
        <f t="shared" si="35"/>
        <v>1</v>
      </c>
      <c r="K312" s="1278">
        <f>F312-H312</f>
        <v>0</v>
      </c>
      <c r="L312" s="224">
        <f>K312*$E312</f>
        <v>0</v>
      </c>
      <c r="M312" s="1269" t="str">
        <f t="shared" si="36"/>
        <v/>
      </c>
      <c r="N312" s="1285">
        <f>F312-H312</f>
        <v>0</v>
      </c>
      <c r="O312" s="326"/>
    </row>
    <row r="313" spans="1:15" ht="60">
      <c r="A313" s="211" t="s">
        <v>1243</v>
      </c>
      <c r="B313" s="211" t="s">
        <v>1244</v>
      </c>
      <c r="C313" s="210" t="s">
        <v>1245</v>
      </c>
      <c r="D313" s="211" t="s">
        <v>28</v>
      </c>
      <c r="E313" s="223">
        <v>5023.9799999999996</v>
      </c>
      <c r="F313" s="211">
        <v>2</v>
      </c>
      <c r="G313" s="1289">
        <f t="shared" si="37"/>
        <v>10047.959999999999</v>
      </c>
      <c r="H313" s="1278">
        <v>2</v>
      </c>
      <c r="I313" s="224">
        <v>10047.959999999999</v>
      </c>
      <c r="J313" s="1269">
        <f t="shared" si="35"/>
        <v>1</v>
      </c>
      <c r="K313" s="1278">
        <f>F313-H313</f>
        <v>0</v>
      </c>
      <c r="L313" s="224">
        <f>K313*$E313</f>
        <v>0</v>
      </c>
      <c r="M313" s="1269" t="str">
        <f t="shared" si="36"/>
        <v/>
      </c>
      <c r="N313" s="1285">
        <f>F313-H313</f>
        <v>0</v>
      </c>
      <c r="O313" s="326"/>
    </row>
    <row r="314" spans="1:15" s="231" customFormat="1">
      <c r="A314" s="251" t="s">
        <v>1246</v>
      </c>
      <c r="B314" s="1445" t="s">
        <v>1247</v>
      </c>
      <c r="C314" s="1445"/>
      <c r="D314" s="1445"/>
      <c r="E314" s="1445"/>
      <c r="F314" s="1445"/>
      <c r="G314" s="1296">
        <f>SUM(G315:G318)</f>
        <v>34792.999000000003</v>
      </c>
      <c r="H314" s="1277">
        <v>0</v>
      </c>
      <c r="I314" s="255">
        <v>34792.999000000003</v>
      </c>
      <c r="J314" s="1268">
        <f>I314/$G314</f>
        <v>1</v>
      </c>
      <c r="K314" s="1277">
        <f>F314-H314</f>
        <v>0</v>
      </c>
      <c r="L314" s="255">
        <f>SUM(L315:L318)</f>
        <v>0</v>
      </c>
      <c r="M314" s="1268">
        <f>L314/$G314</f>
        <v>0</v>
      </c>
      <c r="N314" s="1285">
        <f>F314-H314</f>
        <v>0</v>
      </c>
      <c r="O314" s="326"/>
    </row>
    <row r="315" spans="1:15" ht="30">
      <c r="A315" s="253" t="s">
        <v>3149</v>
      </c>
      <c r="B315" s="267" t="s">
        <v>194</v>
      </c>
      <c r="C315" s="1301" t="s">
        <v>195</v>
      </c>
      <c r="D315" s="211" t="s">
        <v>44</v>
      </c>
      <c r="E315" s="229">
        <v>28.7</v>
      </c>
      <c r="F315" s="211">
        <f>107.1+3.65</f>
        <v>110.75</v>
      </c>
      <c r="G315" s="1289">
        <f t="shared" si="37"/>
        <v>3178.5250000000001</v>
      </c>
      <c r="H315" s="1278">
        <v>110.75</v>
      </c>
      <c r="I315" s="224">
        <v>3178.5250000000001</v>
      </c>
      <c r="J315" s="1269">
        <f t="shared" si="35"/>
        <v>1</v>
      </c>
      <c r="K315" s="1278">
        <f>F315-H315</f>
        <v>0</v>
      </c>
      <c r="L315" s="224">
        <f>K315*$E315</f>
        <v>0</v>
      </c>
      <c r="M315" s="1269" t="str">
        <f t="shared" si="36"/>
        <v/>
      </c>
      <c r="N315" s="1285">
        <f>F315-H315</f>
        <v>0</v>
      </c>
      <c r="O315" s="326"/>
    </row>
    <row r="316" spans="1:15" ht="45">
      <c r="A316" s="211" t="s">
        <v>1249</v>
      </c>
      <c r="B316" s="267" t="s">
        <v>203</v>
      </c>
      <c r="C316" s="1301" t="s">
        <v>204</v>
      </c>
      <c r="D316" s="211" t="s">
        <v>44</v>
      </c>
      <c r="E316" s="229">
        <v>40.28</v>
      </c>
      <c r="F316" s="211">
        <f>159.2+1.2</f>
        <v>160.39999999999998</v>
      </c>
      <c r="G316" s="1289">
        <f t="shared" si="37"/>
        <v>6460.9119999999994</v>
      </c>
      <c r="H316" s="1278">
        <v>160.39999999999998</v>
      </c>
      <c r="I316" s="224">
        <v>6460.9119999999994</v>
      </c>
      <c r="J316" s="1269">
        <f t="shared" si="35"/>
        <v>1</v>
      </c>
      <c r="K316" s="1278">
        <f>F316-H316</f>
        <v>0</v>
      </c>
      <c r="L316" s="224">
        <f>K316*$E316</f>
        <v>0</v>
      </c>
      <c r="M316" s="1269" t="str">
        <f t="shared" si="36"/>
        <v/>
      </c>
      <c r="N316" s="1285">
        <f>F316-H316</f>
        <v>0</v>
      </c>
      <c r="O316" s="326"/>
    </row>
    <row r="317" spans="1:15" ht="60">
      <c r="A317" s="211" t="s">
        <v>1250</v>
      </c>
      <c r="B317" s="267" t="s">
        <v>1251</v>
      </c>
      <c r="C317" s="1301" t="s">
        <v>1252</v>
      </c>
      <c r="D317" s="211" t="s">
        <v>44</v>
      </c>
      <c r="E317" s="229">
        <v>95.96</v>
      </c>
      <c r="F317" s="211">
        <f>107.1+3.55</f>
        <v>110.64999999999999</v>
      </c>
      <c r="G317" s="1289">
        <f t="shared" si="37"/>
        <v>10617.973999999998</v>
      </c>
      <c r="H317" s="1278">
        <v>110.64999999999999</v>
      </c>
      <c r="I317" s="224">
        <v>10617.973999999998</v>
      </c>
      <c r="J317" s="1269">
        <f t="shared" si="35"/>
        <v>1</v>
      </c>
      <c r="K317" s="1278">
        <f>F317-H317</f>
        <v>0</v>
      </c>
      <c r="L317" s="224">
        <f>K317*$E317</f>
        <v>0</v>
      </c>
      <c r="M317" s="1269" t="str">
        <f t="shared" si="36"/>
        <v/>
      </c>
      <c r="N317" s="1285">
        <f>F317-H317</f>
        <v>0</v>
      </c>
      <c r="O317" s="326"/>
    </row>
    <row r="318" spans="1:15" ht="60">
      <c r="A318" s="211" t="s">
        <v>1253</v>
      </c>
      <c r="B318" s="267" t="s">
        <v>1254</v>
      </c>
      <c r="C318" s="1301" t="s">
        <v>1255</v>
      </c>
      <c r="D318" s="211" t="s">
        <v>44</v>
      </c>
      <c r="E318" s="229">
        <v>134.34</v>
      </c>
      <c r="F318" s="211">
        <f>107+1.2</f>
        <v>108.2</v>
      </c>
      <c r="G318" s="1289">
        <f t="shared" si="37"/>
        <v>14535.588000000002</v>
      </c>
      <c r="H318" s="1278">
        <v>108.2</v>
      </c>
      <c r="I318" s="224">
        <v>14535.588000000002</v>
      </c>
      <c r="J318" s="1269">
        <f t="shared" si="35"/>
        <v>1</v>
      </c>
      <c r="K318" s="1278">
        <f>F318-H318</f>
        <v>0</v>
      </c>
      <c r="L318" s="224">
        <f>K318*$E318</f>
        <v>0</v>
      </c>
      <c r="M318" s="1269" t="str">
        <f t="shared" si="36"/>
        <v/>
      </c>
      <c r="N318" s="1285">
        <f>F318-H318</f>
        <v>0</v>
      </c>
      <c r="O318" s="326"/>
    </row>
    <row r="319" spans="1:15" s="231" customFormat="1">
      <c r="A319" s="251" t="s">
        <v>1256</v>
      </c>
      <c r="B319" s="1445" t="s">
        <v>1257</v>
      </c>
      <c r="C319" s="1445"/>
      <c r="D319" s="1445"/>
      <c r="E319" s="1445"/>
      <c r="F319" s="1445"/>
      <c r="G319" s="1296">
        <f>SUM(G320:G325)</f>
        <v>5458.0434999999998</v>
      </c>
      <c r="H319" s="1277">
        <v>0</v>
      </c>
      <c r="I319" s="255">
        <v>5478.3414999999995</v>
      </c>
      <c r="J319" s="1268">
        <f>I319/$G319</f>
        <v>1.0037189150288011</v>
      </c>
      <c r="K319" s="1277">
        <f>F319-H319</f>
        <v>0</v>
      </c>
      <c r="L319" s="255">
        <f>SUM(L320:L325)</f>
        <v>-20.298000000000002</v>
      </c>
      <c r="M319" s="1268">
        <f>L319/$G319</f>
        <v>-3.7189150288010719E-3</v>
      </c>
      <c r="N319" s="1285">
        <f>F319-H319</f>
        <v>0</v>
      </c>
      <c r="O319" s="326"/>
    </row>
    <row r="320" spans="1:15" ht="45">
      <c r="A320" s="211" t="s">
        <v>1258</v>
      </c>
      <c r="B320" s="267" t="s">
        <v>218</v>
      </c>
      <c r="C320" s="1301" t="s">
        <v>219</v>
      </c>
      <c r="D320" s="211" t="s">
        <v>44</v>
      </c>
      <c r="E320" s="229">
        <v>12.56</v>
      </c>
      <c r="F320" s="211">
        <v>43.15</v>
      </c>
      <c r="G320" s="1289">
        <f t="shared" si="37"/>
        <v>541.96400000000006</v>
      </c>
      <c r="H320" s="1278">
        <v>43.15</v>
      </c>
      <c r="I320" s="224">
        <v>541.96400000000006</v>
      </c>
      <c r="J320" s="1269">
        <f t="shared" si="35"/>
        <v>1</v>
      </c>
      <c r="K320" s="1278">
        <f>F320-H320</f>
        <v>0</v>
      </c>
      <c r="L320" s="224">
        <f t="shared" ref="L320:L325" si="42">K320*$E320</f>
        <v>0</v>
      </c>
      <c r="M320" s="1269" t="str">
        <f t="shared" si="36"/>
        <v/>
      </c>
      <c r="N320" s="1285">
        <f>F320-H320</f>
        <v>0</v>
      </c>
      <c r="O320" s="326"/>
    </row>
    <row r="321" spans="1:19" ht="45">
      <c r="A321" s="211" t="s">
        <v>1259</v>
      </c>
      <c r="B321" s="267" t="s">
        <v>230</v>
      </c>
      <c r="C321" s="1301" t="s">
        <v>231</v>
      </c>
      <c r="D321" s="211" t="s">
        <v>44</v>
      </c>
      <c r="E321" s="229">
        <v>36.479999999999997</v>
      </c>
      <c r="F321" s="211">
        <v>92.8</v>
      </c>
      <c r="G321" s="1289">
        <f t="shared" si="37"/>
        <v>3385.3439999999996</v>
      </c>
      <c r="H321" s="1278">
        <v>92.8</v>
      </c>
      <c r="I321" s="224">
        <v>3385.3439999999996</v>
      </c>
      <c r="J321" s="1269">
        <f t="shared" si="35"/>
        <v>1</v>
      </c>
      <c r="K321" s="1278">
        <f>F321-H321</f>
        <v>0</v>
      </c>
      <c r="L321" s="224">
        <f t="shared" si="42"/>
        <v>0</v>
      </c>
      <c r="M321" s="1269" t="str">
        <f t="shared" si="36"/>
        <v/>
      </c>
      <c r="N321" s="1285">
        <f>F321-H321</f>
        <v>0</v>
      </c>
      <c r="O321" s="326"/>
    </row>
    <row r="322" spans="1:19" ht="45">
      <c r="A322" s="211" t="s">
        <v>1260</v>
      </c>
      <c r="B322" s="267" t="s">
        <v>233</v>
      </c>
      <c r="C322" s="1301" t="s">
        <v>234</v>
      </c>
      <c r="D322" s="211" t="s">
        <v>44</v>
      </c>
      <c r="E322" s="229">
        <v>53.06</v>
      </c>
      <c r="F322" s="211">
        <v>28</v>
      </c>
      <c r="G322" s="1289">
        <f t="shared" si="37"/>
        <v>1485.68</v>
      </c>
      <c r="H322" s="1278">
        <v>28</v>
      </c>
      <c r="I322" s="224">
        <v>1485.68</v>
      </c>
      <c r="J322" s="1269">
        <f>IF(H322=0,"",H322/$F322)</f>
        <v>1</v>
      </c>
      <c r="K322" s="1278">
        <f>F322-H322</f>
        <v>0</v>
      </c>
      <c r="L322" s="224">
        <f t="shared" si="42"/>
        <v>0</v>
      </c>
      <c r="M322" s="1269" t="str">
        <f t="shared" si="36"/>
        <v/>
      </c>
      <c r="N322" s="1285">
        <f>F322-H322</f>
        <v>0</v>
      </c>
      <c r="O322" s="1430"/>
    </row>
    <row r="323" spans="1:19" ht="45">
      <c r="A323" s="211" t="s">
        <v>1261</v>
      </c>
      <c r="B323" s="267" t="s">
        <v>1262</v>
      </c>
      <c r="C323" s="1301" t="s">
        <v>1263</v>
      </c>
      <c r="D323" s="211" t="s">
        <v>1264</v>
      </c>
      <c r="E323" s="229">
        <v>4.09</v>
      </c>
      <c r="F323" s="211">
        <v>2.25</v>
      </c>
      <c r="G323" s="1290">
        <f t="shared" si="37"/>
        <v>9.2025000000000006</v>
      </c>
      <c r="H323" s="1278">
        <v>2.85</v>
      </c>
      <c r="I323" s="817">
        <v>11.656499999999999</v>
      </c>
      <c r="J323" s="1269">
        <f t="shared" ref="J323:J383" si="43">IF(H323=0,"",H323/$F323)</f>
        <v>1.2666666666666666</v>
      </c>
      <c r="K323" s="1278">
        <f>F323-H323</f>
        <v>-0.60000000000000009</v>
      </c>
      <c r="L323" s="817">
        <f t="shared" si="42"/>
        <v>-2.4540000000000002</v>
      </c>
      <c r="M323" s="1269">
        <f t="shared" si="36"/>
        <v>-0.26666666666666672</v>
      </c>
      <c r="N323" s="1285">
        <f>F323-H323</f>
        <v>-0.60000000000000009</v>
      </c>
      <c r="O323" s="1430"/>
    </row>
    <row r="324" spans="1:19" ht="60">
      <c r="A324" s="211" t="s">
        <v>1265</v>
      </c>
      <c r="B324" s="267" t="s">
        <v>1266</v>
      </c>
      <c r="C324" s="1301" t="s">
        <v>1267</v>
      </c>
      <c r="D324" s="211" t="s">
        <v>1264</v>
      </c>
      <c r="E324" s="229">
        <v>6.53</v>
      </c>
      <c r="F324" s="211">
        <v>3</v>
      </c>
      <c r="G324" s="1290">
        <f t="shared" si="37"/>
        <v>19.59</v>
      </c>
      <c r="H324" s="1278">
        <v>4.2</v>
      </c>
      <c r="I324" s="817">
        <v>27.426000000000002</v>
      </c>
      <c r="J324" s="1269">
        <f t="shared" si="43"/>
        <v>1.4000000000000001</v>
      </c>
      <c r="K324" s="1278">
        <f>F324-H324</f>
        <v>-1.2000000000000002</v>
      </c>
      <c r="L324" s="817">
        <f t="shared" si="42"/>
        <v>-7.8360000000000012</v>
      </c>
      <c r="M324" s="1269">
        <f>IF(K324=0,"",K324/$F324)</f>
        <v>-0.40000000000000008</v>
      </c>
      <c r="N324" s="1285">
        <f>F324-H324</f>
        <v>-1.2000000000000002</v>
      </c>
      <c r="O324" s="1430"/>
    </row>
    <row r="325" spans="1:19" ht="60">
      <c r="A325" s="211" t="s">
        <v>1268</v>
      </c>
      <c r="B325" s="267" t="s">
        <v>1269</v>
      </c>
      <c r="C325" s="1301" t="s">
        <v>1270</v>
      </c>
      <c r="D325" s="211" t="s">
        <v>1264</v>
      </c>
      <c r="E325" s="229">
        <v>8.34</v>
      </c>
      <c r="F325" s="211">
        <v>1.95</v>
      </c>
      <c r="G325" s="1290">
        <f t="shared" si="37"/>
        <v>16.262999999999998</v>
      </c>
      <c r="H325" s="1278">
        <v>3.15</v>
      </c>
      <c r="I325" s="817">
        <v>26.270999999999997</v>
      </c>
      <c r="J325" s="1269">
        <f t="shared" si="43"/>
        <v>1.6153846153846154</v>
      </c>
      <c r="K325" s="1278">
        <f>F325-H325</f>
        <v>-1.2</v>
      </c>
      <c r="L325" s="817">
        <f t="shared" si="42"/>
        <v>-10.007999999999999</v>
      </c>
      <c r="M325" s="1269">
        <f>IF(K325=0,"",K325/$F325)</f>
        <v>-0.61538461538461542</v>
      </c>
      <c r="N325" s="1285">
        <f>F325-H325</f>
        <v>-1.2</v>
      </c>
      <c r="O325" s="1430"/>
    </row>
    <row r="326" spans="1:19" s="230" customFormat="1" ht="15.75">
      <c r="A326" s="252" t="s">
        <v>1271</v>
      </c>
      <c r="B326" s="1446" t="s">
        <v>1272</v>
      </c>
      <c r="C326" s="1446"/>
      <c r="D326" s="1446"/>
      <c r="E326" s="1446"/>
      <c r="F326" s="1446"/>
      <c r="G326" s="1297">
        <f>G327+G351+G384+G395+G415+G430+G443+G452+G457</f>
        <v>617302.70500000007</v>
      </c>
      <c r="H326" s="1276">
        <v>0</v>
      </c>
      <c r="I326" s="256">
        <v>605604.00499999989</v>
      </c>
      <c r="J326" s="1267">
        <f>I326/$G326</f>
        <v>0.98104868178084492</v>
      </c>
      <c r="K326" s="1279">
        <f>F326-H326</f>
        <v>0</v>
      </c>
      <c r="L326" s="256">
        <f>L327+L351+L384+L395+L415+L430+L443+L452+L457</f>
        <v>11698.7</v>
      </c>
      <c r="M326" s="1267">
        <f>L326/$G326</f>
        <v>1.8951318219154734E-2</v>
      </c>
      <c r="N326" s="1285">
        <f>F326-H326</f>
        <v>0</v>
      </c>
      <c r="O326" s="1430"/>
      <c r="P326" s="1425"/>
    </row>
    <row r="327" spans="1:19" s="231" customFormat="1">
      <c r="A327" s="251" t="s">
        <v>1273</v>
      </c>
      <c r="B327" s="1445" t="s">
        <v>1274</v>
      </c>
      <c r="C327" s="1445"/>
      <c r="D327" s="1445"/>
      <c r="E327" s="1445"/>
      <c r="F327" s="1445"/>
      <c r="G327" s="1296">
        <f>SUM(G328:G350)</f>
        <v>170585.38999999998</v>
      </c>
      <c r="H327" s="1277">
        <v>0</v>
      </c>
      <c r="I327" s="255">
        <v>158691.72999999998</v>
      </c>
      <c r="J327" s="1268">
        <f>I327/$G327</f>
        <v>0.93027738190240084</v>
      </c>
      <c r="K327" s="1277">
        <f>F327-H327</f>
        <v>0</v>
      </c>
      <c r="L327" s="255">
        <f>SUM(L328:L350)</f>
        <v>11893.66</v>
      </c>
      <c r="M327" s="1268">
        <f>L327/$G327</f>
        <v>6.9722618097599096E-2</v>
      </c>
      <c r="N327" s="1285">
        <f>F327-H327</f>
        <v>0</v>
      </c>
      <c r="O327" s="1430"/>
    </row>
    <row r="328" spans="1:19" ht="45">
      <c r="A328" s="211" t="s">
        <v>1275</v>
      </c>
      <c r="B328" s="267" t="s">
        <v>1276</v>
      </c>
      <c r="C328" s="1301" t="s">
        <v>1277</v>
      </c>
      <c r="D328" s="211" t="s">
        <v>44</v>
      </c>
      <c r="E328" s="229">
        <v>106.99</v>
      </c>
      <c r="F328" s="211">
        <v>60</v>
      </c>
      <c r="G328" s="1289">
        <f t="shared" ref="G328:G391" si="44">F328*$E328</f>
        <v>6419.4</v>
      </c>
      <c r="H328" s="1278">
        <v>60</v>
      </c>
      <c r="I328" s="224">
        <v>6419.4</v>
      </c>
      <c r="J328" s="1269">
        <f t="shared" si="43"/>
        <v>1</v>
      </c>
      <c r="K328" s="1278">
        <f>F328-H328</f>
        <v>0</v>
      </c>
      <c r="L328" s="224">
        <f t="shared" ref="L328:L350" si="45">K328*$E328</f>
        <v>0</v>
      </c>
      <c r="M328" s="1269" t="str">
        <f t="shared" ref="M328:M352" si="46">IF(K328=0,"",K328/$F328)</f>
        <v/>
      </c>
      <c r="N328" s="1285">
        <f>F328-H328</f>
        <v>0</v>
      </c>
      <c r="O328" s="1430"/>
    </row>
    <row r="329" spans="1:19" ht="30">
      <c r="A329" s="211" t="s">
        <v>1278</v>
      </c>
      <c r="B329" s="267" t="s">
        <v>1279</v>
      </c>
      <c r="C329" s="1301" t="s">
        <v>1280</v>
      </c>
      <c r="D329" s="211" t="s">
        <v>44</v>
      </c>
      <c r="E329" s="229">
        <v>226.2</v>
      </c>
      <c r="F329" s="211">
        <v>40</v>
      </c>
      <c r="G329" s="1289">
        <f t="shared" si="44"/>
        <v>9048</v>
      </c>
      <c r="H329" s="1278">
        <v>40</v>
      </c>
      <c r="I329" s="224">
        <v>9048</v>
      </c>
      <c r="J329" s="1269">
        <f t="shared" si="43"/>
        <v>1</v>
      </c>
      <c r="K329" s="1278">
        <f>F329-H329</f>
        <v>0</v>
      </c>
      <c r="L329" s="224">
        <f t="shared" si="45"/>
        <v>0</v>
      </c>
      <c r="M329" s="1269" t="str">
        <f t="shared" si="46"/>
        <v/>
      </c>
      <c r="N329" s="1285">
        <f>F329-H329</f>
        <v>0</v>
      </c>
      <c r="O329" s="1430"/>
    </row>
    <row r="330" spans="1:19" ht="75">
      <c r="A330" s="211" t="s">
        <v>1281</v>
      </c>
      <c r="B330" s="267" t="s">
        <v>1282</v>
      </c>
      <c r="C330" s="1301" t="s">
        <v>1283</v>
      </c>
      <c r="D330" s="211" t="s">
        <v>28</v>
      </c>
      <c r="E330" s="229">
        <v>1633.7</v>
      </c>
      <c r="F330" s="211">
        <v>2</v>
      </c>
      <c r="G330" s="1289">
        <f t="shared" si="44"/>
        <v>3267.4</v>
      </c>
      <c r="H330" s="1278">
        <v>2</v>
      </c>
      <c r="I330" s="224">
        <v>3267.4</v>
      </c>
      <c r="J330" s="1269">
        <f t="shared" si="43"/>
        <v>1</v>
      </c>
      <c r="K330" s="1278">
        <f>F330-H330</f>
        <v>0</v>
      </c>
      <c r="L330" s="224">
        <f t="shared" si="45"/>
        <v>0</v>
      </c>
      <c r="M330" s="1269" t="str">
        <f t="shared" si="46"/>
        <v/>
      </c>
      <c r="N330" s="1285">
        <f>F330-H330</f>
        <v>0</v>
      </c>
      <c r="O330" s="1430"/>
    </row>
    <row r="331" spans="1:19" ht="45">
      <c r="A331" s="211" t="s">
        <v>1284</v>
      </c>
      <c r="B331" s="267" t="s">
        <v>1285</v>
      </c>
      <c r="C331" s="1301" t="s">
        <v>1286</v>
      </c>
      <c r="D331" s="211" t="s">
        <v>44</v>
      </c>
      <c r="E331" s="229">
        <v>68.23</v>
      </c>
      <c r="F331" s="211">
        <v>12</v>
      </c>
      <c r="G331" s="1289">
        <f t="shared" si="44"/>
        <v>818.76</v>
      </c>
      <c r="H331" s="1278">
        <v>12</v>
      </c>
      <c r="I331" s="224">
        <v>818.76</v>
      </c>
      <c r="J331" s="1269">
        <f t="shared" si="43"/>
        <v>1</v>
      </c>
      <c r="K331" s="1278">
        <f>F331-H331</f>
        <v>0</v>
      </c>
      <c r="L331" s="224">
        <f t="shared" si="45"/>
        <v>0</v>
      </c>
      <c r="M331" s="1269" t="str">
        <f t="shared" si="46"/>
        <v/>
      </c>
      <c r="N331" s="1285">
        <f>F331-H331</f>
        <v>0</v>
      </c>
      <c r="O331" s="326"/>
    </row>
    <row r="332" spans="1:19">
      <c r="A332" s="211" t="s">
        <v>1287</v>
      </c>
      <c r="B332" s="267" t="s">
        <v>1288</v>
      </c>
      <c r="C332" s="1301" t="s">
        <v>1289</v>
      </c>
      <c r="D332" s="211" t="s">
        <v>44</v>
      </c>
      <c r="E332" s="229">
        <v>50.88</v>
      </c>
      <c r="F332" s="211">
        <v>35</v>
      </c>
      <c r="G332" s="1289">
        <f t="shared" si="44"/>
        <v>1780.8000000000002</v>
      </c>
      <c r="H332" s="1278">
        <v>35</v>
      </c>
      <c r="I332" s="224">
        <v>1780.8000000000002</v>
      </c>
      <c r="J332" s="1269">
        <f t="shared" si="43"/>
        <v>1</v>
      </c>
      <c r="K332" s="1278">
        <f>F332-H332</f>
        <v>0</v>
      </c>
      <c r="L332" s="224">
        <f t="shared" si="45"/>
        <v>0</v>
      </c>
      <c r="M332" s="1269" t="str">
        <f t="shared" si="46"/>
        <v/>
      </c>
      <c r="N332" s="1285">
        <f>F332-H332</f>
        <v>0</v>
      </c>
      <c r="O332" s="326"/>
    </row>
    <row r="333" spans="1:19" ht="90">
      <c r="A333" s="253" t="s">
        <v>3348</v>
      </c>
      <c r="B333" s="267" t="s">
        <v>1291</v>
      </c>
      <c r="C333" s="1301" t="s">
        <v>1292</v>
      </c>
      <c r="D333" s="211" t="s">
        <v>28</v>
      </c>
      <c r="E333" s="229">
        <v>435.54</v>
      </c>
      <c r="F333" s="211">
        <v>5</v>
      </c>
      <c r="G333" s="1290">
        <f t="shared" si="44"/>
        <v>2177.7000000000003</v>
      </c>
      <c r="H333" s="1278">
        <v>5</v>
      </c>
      <c r="I333" s="817">
        <v>2177.7000000000003</v>
      </c>
      <c r="J333" s="1269">
        <f t="shared" si="43"/>
        <v>1</v>
      </c>
      <c r="K333" s="1278">
        <f>F333-H333</f>
        <v>0</v>
      </c>
      <c r="L333" s="817">
        <f t="shared" si="45"/>
        <v>0</v>
      </c>
      <c r="M333" s="1269" t="str">
        <f t="shared" si="46"/>
        <v/>
      </c>
      <c r="N333" s="1285">
        <f>F333-H333</f>
        <v>0</v>
      </c>
      <c r="O333" s="326"/>
      <c r="P333" s="1416"/>
      <c r="Q333" s="1416"/>
      <c r="R333" s="1416"/>
      <c r="S333" s="1416"/>
    </row>
    <row r="334" spans="1:19" ht="30">
      <c r="A334" s="211" t="s">
        <v>1293</v>
      </c>
      <c r="B334" s="267" t="s">
        <v>1294</v>
      </c>
      <c r="C334" s="1301" t="s">
        <v>1295</v>
      </c>
      <c r="D334" s="211" t="s">
        <v>44</v>
      </c>
      <c r="E334" s="229">
        <v>147.44999999999999</v>
      </c>
      <c r="F334" s="211">
        <v>12</v>
      </c>
      <c r="G334" s="1289">
        <f t="shared" si="44"/>
        <v>1769.3999999999999</v>
      </c>
      <c r="H334" s="1278">
        <v>12</v>
      </c>
      <c r="I334" s="224">
        <v>1769.3999999999999</v>
      </c>
      <c r="J334" s="1269">
        <f t="shared" si="43"/>
        <v>1</v>
      </c>
      <c r="K334" s="1278">
        <f>F334-H334</f>
        <v>0</v>
      </c>
      <c r="L334" s="224">
        <f t="shared" si="45"/>
        <v>0</v>
      </c>
      <c r="M334" s="1269" t="str">
        <f t="shared" si="46"/>
        <v/>
      </c>
      <c r="N334" s="1285">
        <f>F334-H334</f>
        <v>0</v>
      </c>
      <c r="O334" s="326"/>
      <c r="P334" s="1416"/>
      <c r="Q334" s="1416"/>
      <c r="R334" s="1416"/>
      <c r="S334" s="1416"/>
    </row>
    <row r="335" spans="1:19" ht="30">
      <c r="A335" s="211" t="s">
        <v>1296</v>
      </c>
      <c r="B335" s="267" t="s">
        <v>1297</v>
      </c>
      <c r="C335" s="1301" t="s">
        <v>1298</v>
      </c>
      <c r="D335" s="211" t="s">
        <v>44</v>
      </c>
      <c r="E335" s="229">
        <v>61.95</v>
      </c>
      <c r="F335" s="211">
        <v>13</v>
      </c>
      <c r="G335" s="1289">
        <f t="shared" si="44"/>
        <v>805.35</v>
      </c>
      <c r="H335" s="1278">
        <v>13</v>
      </c>
      <c r="I335" s="224">
        <v>805.35</v>
      </c>
      <c r="J335" s="1269">
        <f t="shared" si="43"/>
        <v>1</v>
      </c>
      <c r="K335" s="1278">
        <f>F335-H335</f>
        <v>0</v>
      </c>
      <c r="L335" s="224">
        <f t="shared" si="45"/>
        <v>0</v>
      </c>
      <c r="M335" s="1269" t="str">
        <f t="shared" si="46"/>
        <v/>
      </c>
      <c r="N335" s="1285">
        <f>F335-H335</f>
        <v>0</v>
      </c>
      <c r="O335" s="326"/>
      <c r="P335" s="1416"/>
      <c r="Q335" s="1416"/>
      <c r="R335" s="1416"/>
      <c r="S335" s="1416"/>
    </row>
    <row r="336" spans="1:19" ht="30">
      <c r="A336" s="211" t="s">
        <v>1299</v>
      </c>
      <c r="B336" s="267" t="s">
        <v>1300</v>
      </c>
      <c r="C336" s="1301" t="s">
        <v>1301</v>
      </c>
      <c r="D336" s="211" t="s">
        <v>44</v>
      </c>
      <c r="E336" s="229">
        <v>224.41</v>
      </c>
      <c r="F336" s="211">
        <v>6</v>
      </c>
      <c r="G336" s="1290">
        <f t="shared" si="44"/>
        <v>1346.46</v>
      </c>
      <c r="H336" s="1278">
        <v>6</v>
      </c>
      <c r="I336" s="817">
        <v>1346.46</v>
      </c>
      <c r="J336" s="1269">
        <f t="shared" si="43"/>
        <v>1</v>
      </c>
      <c r="K336" s="1278">
        <f>F336-H336</f>
        <v>0</v>
      </c>
      <c r="L336" s="817">
        <f t="shared" si="45"/>
        <v>0</v>
      </c>
      <c r="M336" s="1269" t="str">
        <f t="shared" si="46"/>
        <v/>
      </c>
      <c r="N336" s="1285">
        <f>F336-H336</f>
        <v>0</v>
      </c>
      <c r="O336" s="326"/>
      <c r="P336" s="1416"/>
      <c r="Q336" s="1416"/>
      <c r="R336" s="1416"/>
      <c r="S336" s="1416"/>
    </row>
    <row r="337" spans="1:19" ht="45">
      <c r="A337" s="211" t="s">
        <v>1302</v>
      </c>
      <c r="B337" s="267" t="s">
        <v>1303</v>
      </c>
      <c r="C337" s="1301" t="s">
        <v>1304</v>
      </c>
      <c r="D337" s="211" t="s">
        <v>44</v>
      </c>
      <c r="E337" s="229">
        <v>31.28</v>
      </c>
      <c r="F337" s="211">
        <v>10</v>
      </c>
      <c r="G337" s="1289">
        <f t="shared" si="44"/>
        <v>312.8</v>
      </c>
      <c r="H337" s="1278">
        <v>10</v>
      </c>
      <c r="I337" s="224">
        <v>312.8</v>
      </c>
      <c r="J337" s="1269">
        <f t="shared" si="43"/>
        <v>1</v>
      </c>
      <c r="K337" s="1278">
        <f>F337-H337</f>
        <v>0</v>
      </c>
      <c r="L337" s="224">
        <f t="shared" si="45"/>
        <v>0</v>
      </c>
      <c r="M337" s="1269" t="str">
        <f t="shared" si="46"/>
        <v/>
      </c>
      <c r="N337" s="1285">
        <f>F337-H337</f>
        <v>0</v>
      </c>
      <c r="O337" s="326"/>
      <c r="P337" s="1417"/>
      <c r="Q337" s="1417"/>
      <c r="R337" s="1417"/>
      <c r="S337" s="1417"/>
    </row>
    <row r="338" spans="1:19" ht="75">
      <c r="A338" s="211" t="s">
        <v>1305</v>
      </c>
      <c r="B338" s="267" t="s">
        <v>1306</v>
      </c>
      <c r="C338" s="1301" t="s">
        <v>1307</v>
      </c>
      <c r="D338" s="211" t="s">
        <v>28</v>
      </c>
      <c r="E338" s="229">
        <v>383.51</v>
      </c>
      <c r="F338" s="211">
        <v>4</v>
      </c>
      <c r="G338" s="1289">
        <f t="shared" si="44"/>
        <v>1534.04</v>
      </c>
      <c r="H338" s="1278">
        <v>4</v>
      </c>
      <c r="I338" s="224">
        <v>1534.04</v>
      </c>
      <c r="J338" s="1269">
        <f t="shared" si="43"/>
        <v>1</v>
      </c>
      <c r="K338" s="1278">
        <f>F338-H338</f>
        <v>0</v>
      </c>
      <c r="L338" s="224">
        <f t="shared" si="45"/>
        <v>0</v>
      </c>
      <c r="M338" s="1269" t="str">
        <f t="shared" si="46"/>
        <v/>
      </c>
      <c r="N338" s="1285">
        <f>F338-H338</f>
        <v>0</v>
      </c>
      <c r="O338" s="326"/>
      <c r="P338" s="3"/>
      <c r="Q338" s="1"/>
      <c r="R338" s="5"/>
      <c r="S338" s="1"/>
    </row>
    <row r="339" spans="1:19" ht="30">
      <c r="A339" s="211" t="s">
        <v>1308</v>
      </c>
      <c r="B339" s="267" t="s">
        <v>1309</v>
      </c>
      <c r="C339" s="1301" t="s">
        <v>1310</v>
      </c>
      <c r="D339" s="211" t="s">
        <v>28</v>
      </c>
      <c r="E339" s="229">
        <v>284.31</v>
      </c>
      <c r="F339" s="211">
        <v>2</v>
      </c>
      <c r="G339" s="1289">
        <f t="shared" si="44"/>
        <v>568.62</v>
      </c>
      <c r="H339" s="1278">
        <v>2</v>
      </c>
      <c r="I339" s="224">
        <v>568.62</v>
      </c>
      <c r="J339" s="1269">
        <f t="shared" si="43"/>
        <v>1</v>
      </c>
      <c r="K339" s="1278">
        <f>F339-H339</f>
        <v>0</v>
      </c>
      <c r="L339" s="224">
        <f t="shared" si="45"/>
        <v>0</v>
      </c>
      <c r="M339" s="1269" t="str">
        <f t="shared" si="46"/>
        <v/>
      </c>
      <c r="N339" s="1285">
        <f>F339-H339</f>
        <v>0</v>
      </c>
      <c r="O339" s="326"/>
    </row>
    <row r="340" spans="1:19" ht="30">
      <c r="A340" s="211" t="s">
        <v>1311</v>
      </c>
      <c r="B340" s="267" t="s">
        <v>1312</v>
      </c>
      <c r="C340" s="1301" t="s">
        <v>1313</v>
      </c>
      <c r="D340" s="211" t="s">
        <v>44</v>
      </c>
      <c r="E340" s="229">
        <v>257.89999999999998</v>
      </c>
      <c r="F340" s="211">
        <v>60</v>
      </c>
      <c r="G340" s="1289">
        <f t="shared" si="44"/>
        <v>15473.999999999998</v>
      </c>
      <c r="H340" s="1278">
        <v>60</v>
      </c>
      <c r="I340" s="224">
        <v>15473.999999999998</v>
      </c>
      <c r="J340" s="1269">
        <f t="shared" si="43"/>
        <v>1</v>
      </c>
      <c r="K340" s="1278">
        <f>F340-H340</f>
        <v>0</v>
      </c>
      <c r="L340" s="224">
        <f t="shared" si="45"/>
        <v>0</v>
      </c>
      <c r="M340" s="1269" t="str">
        <f t="shared" si="46"/>
        <v/>
      </c>
      <c r="N340" s="1285">
        <f>F340-H340</f>
        <v>0</v>
      </c>
      <c r="O340" s="326"/>
    </row>
    <row r="341" spans="1:19" ht="30">
      <c r="A341" s="253" t="s">
        <v>4002</v>
      </c>
      <c r="B341" s="267" t="s">
        <v>1315</v>
      </c>
      <c r="C341" s="1301" t="s">
        <v>1316</v>
      </c>
      <c r="D341" s="211" t="s">
        <v>28</v>
      </c>
      <c r="E341" s="229">
        <v>714.07</v>
      </c>
      <c r="F341" s="211">
        <v>2</v>
      </c>
      <c r="G341" s="1290">
        <f t="shared" si="44"/>
        <v>1428.14</v>
      </c>
      <c r="H341" s="1278">
        <v>0</v>
      </c>
      <c r="I341" s="817">
        <v>0</v>
      </c>
      <c r="J341" s="1269" t="str">
        <f t="shared" si="43"/>
        <v/>
      </c>
      <c r="K341" s="1278">
        <f>F341-H341</f>
        <v>2</v>
      </c>
      <c r="L341" s="817">
        <f t="shared" si="45"/>
        <v>1428.14</v>
      </c>
      <c r="M341" s="1269">
        <f t="shared" si="46"/>
        <v>1</v>
      </c>
      <c r="N341" s="1285">
        <f>F341-H341</f>
        <v>2</v>
      </c>
      <c r="O341" s="326"/>
    </row>
    <row r="342" spans="1:19">
      <c r="A342" s="211" t="s">
        <v>1317</v>
      </c>
      <c r="B342" s="267" t="s">
        <v>1318</v>
      </c>
      <c r="C342" s="1301" t="s">
        <v>1319</v>
      </c>
      <c r="D342" s="211" t="s">
        <v>28</v>
      </c>
      <c r="E342" s="229">
        <v>703.13</v>
      </c>
      <c r="F342" s="211">
        <v>2</v>
      </c>
      <c r="G342" s="1289">
        <f t="shared" si="44"/>
        <v>1406.26</v>
      </c>
      <c r="H342" s="1278">
        <v>2</v>
      </c>
      <c r="I342" s="224">
        <v>1406.26</v>
      </c>
      <c r="J342" s="1269">
        <f t="shared" si="43"/>
        <v>1</v>
      </c>
      <c r="K342" s="1278">
        <f>F342-H342</f>
        <v>0</v>
      </c>
      <c r="L342" s="224">
        <f t="shared" si="45"/>
        <v>0</v>
      </c>
      <c r="M342" s="1269" t="str">
        <f t="shared" si="46"/>
        <v/>
      </c>
      <c r="N342" s="1285">
        <f>F342-H342</f>
        <v>0</v>
      </c>
      <c r="O342" s="326"/>
    </row>
    <row r="343" spans="1:19">
      <c r="A343" s="211" t="s">
        <v>1320</v>
      </c>
      <c r="B343" s="267" t="s">
        <v>1321</v>
      </c>
      <c r="C343" s="1301" t="s">
        <v>1322</v>
      </c>
      <c r="D343" s="211" t="s">
        <v>28</v>
      </c>
      <c r="E343" s="229">
        <v>4503.38</v>
      </c>
      <c r="F343" s="211">
        <v>1</v>
      </c>
      <c r="G343" s="1290">
        <f t="shared" si="44"/>
        <v>4503.38</v>
      </c>
      <c r="H343" s="1278">
        <v>1</v>
      </c>
      <c r="I343" s="817">
        <v>4503.38</v>
      </c>
      <c r="J343" s="1269">
        <f t="shared" si="43"/>
        <v>1</v>
      </c>
      <c r="K343" s="1278">
        <f>F343-H343</f>
        <v>0</v>
      </c>
      <c r="L343" s="817">
        <f t="shared" si="45"/>
        <v>0</v>
      </c>
      <c r="M343" s="1269" t="str">
        <f t="shared" si="46"/>
        <v/>
      </c>
      <c r="N343" s="1285">
        <f>F343-H343</f>
        <v>0</v>
      </c>
      <c r="O343" s="326"/>
    </row>
    <row r="344" spans="1:19">
      <c r="A344" s="211" t="s">
        <v>1323</v>
      </c>
      <c r="B344" s="267" t="s">
        <v>288</v>
      </c>
      <c r="C344" s="1301" t="s">
        <v>289</v>
      </c>
      <c r="D344" s="211" t="s">
        <v>44</v>
      </c>
      <c r="E344" s="229">
        <v>2.2799999999999998</v>
      </c>
      <c r="F344" s="211">
        <v>21</v>
      </c>
      <c r="G344" s="1290">
        <f t="shared" si="44"/>
        <v>47.879999999999995</v>
      </c>
      <c r="H344" s="1278">
        <v>21</v>
      </c>
      <c r="I344" s="817">
        <v>47.879999999999995</v>
      </c>
      <c r="J344" s="1269">
        <f t="shared" si="43"/>
        <v>1</v>
      </c>
      <c r="K344" s="1278">
        <f>F344-H344</f>
        <v>0</v>
      </c>
      <c r="L344" s="817">
        <f t="shared" si="45"/>
        <v>0</v>
      </c>
      <c r="M344" s="1269" t="str">
        <f t="shared" si="46"/>
        <v/>
      </c>
      <c r="N344" s="1285">
        <f>F344-H344</f>
        <v>0</v>
      </c>
      <c r="O344" s="326"/>
    </row>
    <row r="345" spans="1:19" ht="30">
      <c r="A345" s="211" t="s">
        <v>1324</v>
      </c>
      <c r="B345" s="267" t="s">
        <v>1325</v>
      </c>
      <c r="C345" s="1301" t="s">
        <v>1326</v>
      </c>
      <c r="D345" s="211" t="s">
        <v>28</v>
      </c>
      <c r="E345" s="229">
        <v>180.44</v>
      </c>
      <c r="F345" s="211">
        <v>60</v>
      </c>
      <c r="G345" s="1290">
        <f t="shared" si="44"/>
        <v>10826.4</v>
      </c>
      <c r="H345" s="1278">
        <v>2</v>
      </c>
      <c r="I345" s="817">
        <v>360.88</v>
      </c>
      <c r="J345" s="1269">
        <f t="shared" si="43"/>
        <v>3.3333333333333333E-2</v>
      </c>
      <c r="K345" s="1278">
        <f>F345-H345</f>
        <v>58</v>
      </c>
      <c r="L345" s="817">
        <f t="shared" si="45"/>
        <v>10465.52</v>
      </c>
      <c r="M345" s="1269">
        <f t="shared" si="46"/>
        <v>0.96666666666666667</v>
      </c>
      <c r="N345" s="1285">
        <f>F345-H345</f>
        <v>58</v>
      </c>
      <c r="O345" s="326"/>
    </row>
    <row r="346" spans="1:19">
      <c r="A346" s="211" t="s">
        <v>1327</v>
      </c>
      <c r="B346" s="267" t="s">
        <v>1328</v>
      </c>
      <c r="C346" s="1301" t="s">
        <v>1329</v>
      </c>
      <c r="D346" s="211" t="s">
        <v>28</v>
      </c>
      <c r="E346" s="229">
        <v>62.11</v>
      </c>
      <c r="F346" s="211">
        <v>4</v>
      </c>
      <c r="G346" s="1289">
        <f t="shared" si="44"/>
        <v>248.44</v>
      </c>
      <c r="H346" s="1278">
        <v>4</v>
      </c>
      <c r="I346" s="224">
        <v>248.44</v>
      </c>
      <c r="J346" s="1269">
        <f t="shared" si="43"/>
        <v>1</v>
      </c>
      <c r="K346" s="1278">
        <f>F346-H346</f>
        <v>0</v>
      </c>
      <c r="L346" s="224">
        <f t="shared" si="45"/>
        <v>0</v>
      </c>
      <c r="M346" s="1269" t="str">
        <f t="shared" si="46"/>
        <v/>
      </c>
      <c r="N346" s="1285">
        <f>F346-H346</f>
        <v>0</v>
      </c>
      <c r="O346" s="326"/>
    </row>
    <row r="347" spans="1:19" ht="195">
      <c r="A347" s="211" t="s">
        <v>1330</v>
      </c>
      <c r="B347" s="267" t="s">
        <v>1331</v>
      </c>
      <c r="C347" s="1301" t="s">
        <v>2136</v>
      </c>
      <c r="D347" s="211" t="s">
        <v>28</v>
      </c>
      <c r="E347" s="229">
        <v>97584.74</v>
      </c>
      <c r="F347" s="211">
        <v>1</v>
      </c>
      <c r="G347" s="1290">
        <f t="shared" si="44"/>
        <v>97584.74</v>
      </c>
      <c r="H347" s="1278">
        <v>1</v>
      </c>
      <c r="I347" s="817">
        <v>97584.74</v>
      </c>
      <c r="J347" s="1269">
        <f t="shared" si="43"/>
        <v>1</v>
      </c>
      <c r="K347" s="1278">
        <f>F347-H347</f>
        <v>0</v>
      </c>
      <c r="L347" s="817">
        <f t="shared" si="45"/>
        <v>0</v>
      </c>
      <c r="M347" s="1269" t="str">
        <f t="shared" si="46"/>
        <v/>
      </c>
      <c r="N347" s="1285">
        <f>F347-H347</f>
        <v>0</v>
      </c>
      <c r="O347" s="326"/>
    </row>
    <row r="348" spans="1:19" ht="45">
      <c r="A348" s="211" t="s">
        <v>1332</v>
      </c>
      <c r="B348" s="267" t="s">
        <v>1333</v>
      </c>
      <c r="C348" s="1301" t="s">
        <v>1334</v>
      </c>
      <c r="D348" s="211" t="s">
        <v>28</v>
      </c>
      <c r="E348" s="229">
        <v>607.35</v>
      </c>
      <c r="F348" s="211">
        <v>4</v>
      </c>
      <c r="G348" s="1289">
        <f t="shared" si="44"/>
        <v>2429.4</v>
      </c>
      <c r="H348" s="1278">
        <v>4</v>
      </c>
      <c r="I348" s="224">
        <v>2429.4</v>
      </c>
      <c r="J348" s="1269">
        <f t="shared" si="43"/>
        <v>1</v>
      </c>
      <c r="K348" s="1278">
        <f>F348-H348</f>
        <v>0</v>
      </c>
      <c r="L348" s="224">
        <f t="shared" si="45"/>
        <v>0</v>
      </c>
      <c r="M348" s="1269" t="str">
        <f t="shared" si="46"/>
        <v/>
      </c>
      <c r="N348" s="1285">
        <f>F348-H348</f>
        <v>0</v>
      </c>
      <c r="O348" s="326"/>
    </row>
    <row r="349" spans="1:19" ht="165">
      <c r="A349" s="211" t="s">
        <v>1335</v>
      </c>
      <c r="B349" s="267" t="s">
        <v>1336</v>
      </c>
      <c r="C349" s="1301" t="s">
        <v>2137</v>
      </c>
      <c r="D349" s="211" t="s">
        <v>28</v>
      </c>
      <c r="E349" s="229">
        <v>6608.58</v>
      </c>
      <c r="F349" s="211">
        <v>1</v>
      </c>
      <c r="G349" s="1289">
        <f t="shared" si="44"/>
        <v>6608.58</v>
      </c>
      <c r="H349" s="1278">
        <v>1</v>
      </c>
      <c r="I349" s="224">
        <v>6608.58</v>
      </c>
      <c r="J349" s="1269">
        <f t="shared" si="43"/>
        <v>1</v>
      </c>
      <c r="K349" s="1278">
        <f>F349-H349</f>
        <v>0</v>
      </c>
      <c r="L349" s="224">
        <f t="shared" si="45"/>
        <v>0</v>
      </c>
      <c r="M349" s="1269" t="str">
        <f t="shared" si="46"/>
        <v/>
      </c>
      <c r="N349" s="1285">
        <f>F349-H349</f>
        <v>0</v>
      </c>
      <c r="O349" s="326"/>
    </row>
    <row r="350" spans="1:19" ht="30">
      <c r="A350" s="211" t="s">
        <v>1337</v>
      </c>
      <c r="B350" s="267" t="s">
        <v>1338</v>
      </c>
      <c r="C350" s="1301" t="s">
        <v>1339</v>
      </c>
      <c r="D350" s="211" t="s">
        <v>28</v>
      </c>
      <c r="E350" s="229">
        <v>22.43</v>
      </c>
      <c r="F350" s="211">
        <v>8</v>
      </c>
      <c r="G350" s="1289">
        <f t="shared" si="44"/>
        <v>179.44</v>
      </c>
      <c r="H350" s="1278">
        <v>8</v>
      </c>
      <c r="I350" s="224">
        <v>179.44</v>
      </c>
      <c r="J350" s="1269">
        <f>IF(H350=0,"",H350/$F350)</f>
        <v>1</v>
      </c>
      <c r="K350" s="1278">
        <f>F350-H350</f>
        <v>0</v>
      </c>
      <c r="L350" s="224">
        <f t="shared" si="45"/>
        <v>0</v>
      </c>
      <c r="M350" s="1269" t="str">
        <f t="shared" si="46"/>
        <v/>
      </c>
      <c r="N350" s="1285">
        <f>F350-H350</f>
        <v>0</v>
      </c>
      <c r="O350" s="326"/>
    </row>
    <row r="351" spans="1:19" s="231" customFormat="1">
      <c r="A351" s="251" t="s">
        <v>1340</v>
      </c>
      <c r="B351" s="1442" t="s">
        <v>1341</v>
      </c>
      <c r="C351" s="1442"/>
      <c r="D351" s="1442"/>
      <c r="E351" s="1442"/>
      <c r="F351" s="1442"/>
      <c r="G351" s="1296">
        <f>SUM(G352:G383)</f>
        <v>134041.74000000002</v>
      </c>
      <c r="H351" s="1277">
        <v>0</v>
      </c>
      <c r="I351" s="255">
        <v>134236.70000000001</v>
      </c>
      <c r="J351" s="1268">
        <f>I351/$G351</f>
        <v>1.001454472315862</v>
      </c>
      <c r="K351" s="1277">
        <f>F351-H351</f>
        <v>0</v>
      </c>
      <c r="L351" s="255">
        <f>SUM(L352:L383)</f>
        <v>-194.96</v>
      </c>
      <c r="M351" s="1268">
        <f>L351/$G351</f>
        <v>-1.4544723158622082E-3</v>
      </c>
      <c r="N351" s="1285">
        <f>F351-H351</f>
        <v>0</v>
      </c>
      <c r="O351" s="326"/>
    </row>
    <row r="352" spans="1:19" ht="30">
      <c r="A352" s="211" t="s">
        <v>1342</v>
      </c>
      <c r="B352" s="267" t="s">
        <v>312</v>
      </c>
      <c r="C352" s="1301" t="s">
        <v>313</v>
      </c>
      <c r="D352" s="211" t="s">
        <v>44</v>
      </c>
      <c r="E352" s="229">
        <v>19.72</v>
      </c>
      <c r="F352" s="211">
        <v>320</v>
      </c>
      <c r="G352" s="1290">
        <f t="shared" si="44"/>
        <v>6310.4</v>
      </c>
      <c r="H352" s="1278">
        <v>320</v>
      </c>
      <c r="I352" s="817">
        <v>6310.4</v>
      </c>
      <c r="J352" s="1269">
        <f t="shared" si="43"/>
        <v>1</v>
      </c>
      <c r="K352" s="1278">
        <f>F352-H352</f>
        <v>0</v>
      </c>
      <c r="L352" s="817">
        <f t="shared" ref="L352:L383" si="47">K352*$E352</f>
        <v>0</v>
      </c>
      <c r="M352" s="1269" t="str">
        <f t="shared" si="46"/>
        <v/>
      </c>
      <c r="N352" s="1285">
        <f>F352-H352</f>
        <v>0</v>
      </c>
      <c r="O352" s="326"/>
    </row>
    <row r="353" spans="1:15" ht="30">
      <c r="A353" s="211" t="s">
        <v>1343</v>
      </c>
      <c r="B353" s="267" t="s">
        <v>315</v>
      </c>
      <c r="C353" s="1301" t="s">
        <v>316</v>
      </c>
      <c r="D353" s="211" t="s">
        <v>44</v>
      </c>
      <c r="E353" s="229">
        <v>29.61</v>
      </c>
      <c r="F353" s="211">
        <v>43</v>
      </c>
      <c r="G353" s="1290">
        <f t="shared" si="44"/>
        <v>1273.23</v>
      </c>
      <c r="H353" s="1278">
        <v>43</v>
      </c>
      <c r="I353" s="817">
        <v>1273.23</v>
      </c>
      <c r="J353" s="1269">
        <f t="shared" si="43"/>
        <v>1</v>
      </c>
      <c r="K353" s="1278">
        <f>F353-H353</f>
        <v>0</v>
      </c>
      <c r="L353" s="817">
        <f t="shared" si="47"/>
        <v>0</v>
      </c>
      <c r="M353" s="1269" t="str">
        <f t="shared" ref="M353:M383" si="48">IF(K353=0,"",K353/$F353)</f>
        <v/>
      </c>
      <c r="N353" s="1285">
        <f>F353-H353</f>
        <v>0</v>
      </c>
      <c r="O353" s="326"/>
    </row>
    <row r="354" spans="1:15" ht="30">
      <c r="A354" s="211" t="s">
        <v>1344</v>
      </c>
      <c r="B354" s="267" t="s">
        <v>1345</v>
      </c>
      <c r="C354" s="1301" t="s">
        <v>1346</v>
      </c>
      <c r="D354" s="211" t="s">
        <v>44</v>
      </c>
      <c r="E354" s="229">
        <v>54.81</v>
      </c>
      <c r="F354" s="211">
        <v>16</v>
      </c>
      <c r="G354" s="1290">
        <f t="shared" si="44"/>
        <v>876.96</v>
      </c>
      <c r="H354" s="1278">
        <v>16</v>
      </c>
      <c r="I354" s="817">
        <v>876.96</v>
      </c>
      <c r="J354" s="1269">
        <f t="shared" si="43"/>
        <v>1</v>
      </c>
      <c r="K354" s="1278">
        <f>F354-H354</f>
        <v>0</v>
      </c>
      <c r="L354" s="817">
        <f t="shared" si="47"/>
        <v>0</v>
      </c>
      <c r="M354" s="1269" t="str">
        <f t="shared" si="48"/>
        <v/>
      </c>
      <c r="N354" s="1285">
        <f>F354-H354</f>
        <v>0</v>
      </c>
      <c r="O354" s="326"/>
    </row>
    <row r="355" spans="1:15" ht="30">
      <c r="A355" s="211" t="s">
        <v>1347</v>
      </c>
      <c r="B355" s="267" t="s">
        <v>1348</v>
      </c>
      <c r="C355" s="1301" t="s">
        <v>1349</v>
      </c>
      <c r="D355" s="211" t="s">
        <v>44</v>
      </c>
      <c r="E355" s="229">
        <v>27.7</v>
      </c>
      <c r="F355" s="211">
        <v>104</v>
      </c>
      <c r="G355" s="1290">
        <f t="shared" si="44"/>
        <v>2880.7999999999997</v>
      </c>
      <c r="H355" s="1278">
        <v>104</v>
      </c>
      <c r="I355" s="817">
        <v>2880.7999999999997</v>
      </c>
      <c r="J355" s="1269">
        <f t="shared" si="43"/>
        <v>1</v>
      </c>
      <c r="K355" s="1278">
        <f>F355-H355</f>
        <v>0</v>
      </c>
      <c r="L355" s="817">
        <f t="shared" si="47"/>
        <v>0</v>
      </c>
      <c r="M355" s="1269" t="str">
        <f t="shared" si="48"/>
        <v/>
      </c>
      <c r="N355" s="1285">
        <f>F355-H355</f>
        <v>0</v>
      </c>
      <c r="O355" s="326"/>
    </row>
    <row r="356" spans="1:15" ht="30">
      <c r="A356" s="211" t="s">
        <v>1350</v>
      </c>
      <c r="B356" s="267" t="s">
        <v>1351</v>
      </c>
      <c r="C356" s="1301" t="s">
        <v>1352</v>
      </c>
      <c r="D356" s="211" t="s">
        <v>44</v>
      </c>
      <c r="E356" s="229">
        <v>45.36</v>
      </c>
      <c r="F356" s="211">
        <v>80</v>
      </c>
      <c r="G356" s="1290">
        <f t="shared" si="44"/>
        <v>3628.8</v>
      </c>
      <c r="H356" s="1278">
        <v>80</v>
      </c>
      <c r="I356" s="817">
        <v>3628.8</v>
      </c>
      <c r="J356" s="1269">
        <f t="shared" si="43"/>
        <v>1</v>
      </c>
      <c r="K356" s="1278">
        <f>F356-H356</f>
        <v>0</v>
      </c>
      <c r="L356" s="817">
        <f t="shared" si="47"/>
        <v>0</v>
      </c>
      <c r="M356" s="1269" t="str">
        <f t="shared" si="48"/>
        <v/>
      </c>
      <c r="N356" s="1285">
        <f>F356-H356</f>
        <v>0</v>
      </c>
      <c r="O356" s="326"/>
    </row>
    <row r="357" spans="1:15">
      <c r="A357" s="211" t="s">
        <v>1353</v>
      </c>
      <c r="B357" s="267" t="s">
        <v>1354</v>
      </c>
      <c r="C357" s="1301" t="s">
        <v>1355</v>
      </c>
      <c r="D357" s="211" t="s">
        <v>28</v>
      </c>
      <c r="E357" s="229">
        <v>12.29</v>
      </c>
      <c r="F357" s="211">
        <v>100</v>
      </c>
      <c r="G357" s="1290">
        <f t="shared" si="44"/>
        <v>1229</v>
      </c>
      <c r="H357" s="1278">
        <v>100</v>
      </c>
      <c r="I357" s="817">
        <v>1229</v>
      </c>
      <c r="J357" s="1269">
        <f t="shared" si="43"/>
        <v>1</v>
      </c>
      <c r="K357" s="1278">
        <f>F357-H357</f>
        <v>0</v>
      </c>
      <c r="L357" s="817">
        <f t="shared" si="47"/>
        <v>0</v>
      </c>
      <c r="M357" s="1269" t="str">
        <f t="shared" si="48"/>
        <v/>
      </c>
      <c r="N357" s="1285">
        <f>F357-H357</f>
        <v>0</v>
      </c>
      <c r="O357" s="326"/>
    </row>
    <row r="358" spans="1:15">
      <c r="A358" s="211" t="s">
        <v>1356</v>
      </c>
      <c r="B358" s="267" t="s">
        <v>1357</v>
      </c>
      <c r="C358" s="1301" t="s">
        <v>1358</v>
      </c>
      <c r="D358" s="211" t="s">
        <v>28</v>
      </c>
      <c r="E358" s="229">
        <v>12.78</v>
      </c>
      <c r="F358" s="211">
        <v>18</v>
      </c>
      <c r="G358" s="1290">
        <f t="shared" si="44"/>
        <v>230.04</v>
      </c>
      <c r="H358" s="1278">
        <v>18</v>
      </c>
      <c r="I358" s="817">
        <v>230.04</v>
      </c>
      <c r="J358" s="1269">
        <f t="shared" si="43"/>
        <v>1</v>
      </c>
      <c r="K358" s="1278">
        <f>F358-H358</f>
        <v>0</v>
      </c>
      <c r="L358" s="817">
        <f t="shared" si="47"/>
        <v>0</v>
      </c>
      <c r="M358" s="1269" t="str">
        <f t="shared" si="48"/>
        <v/>
      </c>
      <c r="N358" s="1285">
        <f>F358-H358</f>
        <v>0</v>
      </c>
      <c r="O358" s="326"/>
    </row>
    <row r="359" spans="1:15" ht="30">
      <c r="A359" s="211" t="s">
        <v>1359</v>
      </c>
      <c r="B359" s="267" t="s">
        <v>1360</v>
      </c>
      <c r="C359" s="1301" t="s">
        <v>1361</v>
      </c>
      <c r="D359" s="211" t="s">
        <v>44</v>
      </c>
      <c r="E359" s="229">
        <v>199.8</v>
      </c>
      <c r="F359" s="211">
        <v>36</v>
      </c>
      <c r="G359" s="1290">
        <f t="shared" si="44"/>
        <v>7192.8</v>
      </c>
      <c r="H359" s="1278">
        <v>36</v>
      </c>
      <c r="I359" s="817">
        <v>7192.8</v>
      </c>
      <c r="J359" s="1269">
        <f t="shared" si="43"/>
        <v>1</v>
      </c>
      <c r="K359" s="1278">
        <f>F359-H359</f>
        <v>0</v>
      </c>
      <c r="L359" s="817">
        <f t="shared" si="47"/>
        <v>0</v>
      </c>
      <c r="M359" s="1269" t="str">
        <f t="shared" si="48"/>
        <v/>
      </c>
      <c r="N359" s="1285">
        <f>F359-H359</f>
        <v>0</v>
      </c>
      <c r="O359" s="326"/>
    </row>
    <row r="360" spans="1:15" ht="45">
      <c r="A360" s="211" t="s">
        <v>1362</v>
      </c>
      <c r="B360" s="267" t="s">
        <v>1363</v>
      </c>
      <c r="C360" s="1301" t="s">
        <v>1364</v>
      </c>
      <c r="D360" s="211" t="s">
        <v>44</v>
      </c>
      <c r="E360" s="229">
        <v>166.24</v>
      </c>
      <c r="F360" s="211">
        <v>117</v>
      </c>
      <c r="G360" s="1290">
        <f t="shared" si="44"/>
        <v>19450.080000000002</v>
      </c>
      <c r="H360" s="1278">
        <v>117</v>
      </c>
      <c r="I360" s="817">
        <v>19450.080000000002</v>
      </c>
      <c r="J360" s="1269">
        <f t="shared" si="43"/>
        <v>1</v>
      </c>
      <c r="K360" s="1278">
        <f>F360-H360</f>
        <v>0</v>
      </c>
      <c r="L360" s="817">
        <f t="shared" si="47"/>
        <v>0</v>
      </c>
      <c r="M360" s="1269" t="str">
        <f t="shared" si="48"/>
        <v/>
      </c>
      <c r="N360" s="1285">
        <f>F360-H360</f>
        <v>0</v>
      </c>
      <c r="O360" s="326"/>
    </row>
    <row r="361" spans="1:15" ht="30">
      <c r="A361" s="211" t="s">
        <v>1365</v>
      </c>
      <c r="B361" s="267" t="s">
        <v>1366</v>
      </c>
      <c r="C361" s="1301" t="s">
        <v>1367</v>
      </c>
      <c r="D361" s="211" t="s">
        <v>44</v>
      </c>
      <c r="E361" s="229">
        <v>10.050000000000001</v>
      </c>
      <c r="F361" s="211">
        <v>213</v>
      </c>
      <c r="G361" s="1290">
        <f t="shared" si="44"/>
        <v>2140.65</v>
      </c>
      <c r="H361" s="1278">
        <v>213</v>
      </c>
      <c r="I361" s="817">
        <v>2140.65</v>
      </c>
      <c r="J361" s="1269">
        <f t="shared" si="43"/>
        <v>1</v>
      </c>
      <c r="K361" s="1278">
        <f>F361-H361</f>
        <v>0</v>
      </c>
      <c r="L361" s="817">
        <f t="shared" si="47"/>
        <v>0</v>
      </c>
      <c r="M361" s="1269" t="str">
        <f t="shared" si="48"/>
        <v/>
      </c>
      <c r="N361" s="1285">
        <f>F361-H361</f>
        <v>0</v>
      </c>
      <c r="O361" s="326"/>
    </row>
    <row r="362" spans="1:15" ht="45">
      <c r="A362" s="211" t="s">
        <v>1368</v>
      </c>
      <c r="B362" s="267" t="s">
        <v>1369</v>
      </c>
      <c r="C362" s="1301" t="s">
        <v>1370</v>
      </c>
      <c r="D362" s="211" t="s">
        <v>28</v>
      </c>
      <c r="E362" s="229">
        <v>74.239999999999995</v>
      </c>
      <c r="F362" s="211">
        <v>117</v>
      </c>
      <c r="G362" s="1290">
        <f t="shared" si="44"/>
        <v>8686.08</v>
      </c>
      <c r="H362" s="1278">
        <v>117</v>
      </c>
      <c r="I362" s="817">
        <v>8686.08</v>
      </c>
      <c r="J362" s="1269">
        <f t="shared" si="43"/>
        <v>1</v>
      </c>
      <c r="K362" s="1278">
        <f>F362-H362</f>
        <v>0</v>
      </c>
      <c r="L362" s="817">
        <f t="shared" si="47"/>
        <v>0</v>
      </c>
      <c r="M362" s="1269" t="str">
        <f t="shared" si="48"/>
        <v/>
      </c>
      <c r="N362" s="1285">
        <f>F362-H362</f>
        <v>0</v>
      </c>
      <c r="O362" s="326"/>
    </row>
    <row r="363" spans="1:15" ht="30">
      <c r="A363" s="211" t="s">
        <v>1371</v>
      </c>
      <c r="B363" s="267" t="s">
        <v>1372</v>
      </c>
      <c r="C363" s="1301" t="s">
        <v>1373</v>
      </c>
      <c r="D363" s="211" t="s">
        <v>44</v>
      </c>
      <c r="E363" s="229">
        <v>87.73</v>
      </c>
      <c r="F363" s="211">
        <v>82</v>
      </c>
      <c r="G363" s="1290">
        <f t="shared" si="44"/>
        <v>7193.8600000000006</v>
      </c>
      <c r="H363" s="1278">
        <v>82</v>
      </c>
      <c r="I363" s="817">
        <v>7193.8600000000006</v>
      </c>
      <c r="J363" s="1269">
        <f t="shared" si="43"/>
        <v>1</v>
      </c>
      <c r="K363" s="1278">
        <f>F363-H363</f>
        <v>0</v>
      </c>
      <c r="L363" s="817">
        <f t="shared" si="47"/>
        <v>0</v>
      </c>
      <c r="M363" s="1269" t="str">
        <f t="shared" si="48"/>
        <v/>
      </c>
      <c r="N363" s="1285">
        <f>F363-H363</f>
        <v>0</v>
      </c>
      <c r="O363" s="326"/>
    </row>
    <row r="364" spans="1:15" ht="90">
      <c r="A364" s="211" t="s">
        <v>1374</v>
      </c>
      <c r="B364" s="267" t="s">
        <v>1375</v>
      </c>
      <c r="C364" s="1301" t="s">
        <v>1376</v>
      </c>
      <c r="D364" s="211" t="s">
        <v>28</v>
      </c>
      <c r="E364" s="229">
        <v>50.61</v>
      </c>
      <c r="F364" s="211">
        <v>58</v>
      </c>
      <c r="G364" s="1290">
        <f t="shared" si="44"/>
        <v>2935.38</v>
      </c>
      <c r="H364" s="1278">
        <v>58</v>
      </c>
      <c r="I364" s="817">
        <v>2935.38</v>
      </c>
      <c r="J364" s="1269">
        <f t="shared" si="43"/>
        <v>1</v>
      </c>
      <c r="K364" s="1278">
        <f>F364-H364</f>
        <v>0</v>
      </c>
      <c r="L364" s="817">
        <f t="shared" si="47"/>
        <v>0</v>
      </c>
      <c r="M364" s="1269" t="str">
        <f t="shared" si="48"/>
        <v/>
      </c>
      <c r="N364" s="1285">
        <f>F364-H364</f>
        <v>0</v>
      </c>
      <c r="O364" s="326"/>
    </row>
    <row r="365" spans="1:15" ht="30">
      <c r="A365" s="211" t="s">
        <v>1377</v>
      </c>
      <c r="B365" s="267" t="s">
        <v>1378</v>
      </c>
      <c r="C365" s="1301" t="s">
        <v>1379</v>
      </c>
      <c r="D365" s="211" t="s">
        <v>44</v>
      </c>
      <c r="E365" s="229">
        <v>116.06</v>
      </c>
      <c r="F365" s="211">
        <v>12</v>
      </c>
      <c r="G365" s="1290">
        <f t="shared" si="44"/>
        <v>1392.72</v>
      </c>
      <c r="H365" s="1278">
        <v>12</v>
      </c>
      <c r="I365" s="817">
        <v>1392.72</v>
      </c>
      <c r="J365" s="1269">
        <f t="shared" si="43"/>
        <v>1</v>
      </c>
      <c r="K365" s="1278">
        <f>F365-H365</f>
        <v>0</v>
      </c>
      <c r="L365" s="817">
        <f t="shared" si="47"/>
        <v>0</v>
      </c>
      <c r="M365" s="1269" t="str">
        <f t="shared" si="48"/>
        <v/>
      </c>
      <c r="N365" s="1285">
        <f>F365-H365</f>
        <v>0</v>
      </c>
      <c r="O365" s="326"/>
    </row>
    <row r="366" spans="1:15" ht="30">
      <c r="A366" s="211" t="s">
        <v>1380</v>
      </c>
      <c r="B366" s="267" t="s">
        <v>1381</v>
      </c>
      <c r="C366" s="1301" t="s">
        <v>1382</v>
      </c>
      <c r="D366" s="211" t="s">
        <v>44</v>
      </c>
      <c r="E366" s="229">
        <v>171.15</v>
      </c>
      <c r="F366" s="211">
        <v>10</v>
      </c>
      <c r="G366" s="1290">
        <f t="shared" si="44"/>
        <v>1711.5</v>
      </c>
      <c r="H366" s="1278">
        <v>10</v>
      </c>
      <c r="I366" s="817">
        <v>1711.5</v>
      </c>
      <c r="J366" s="1269">
        <f t="shared" si="43"/>
        <v>1</v>
      </c>
      <c r="K366" s="1278">
        <f>F366-H366</f>
        <v>0</v>
      </c>
      <c r="L366" s="817">
        <f t="shared" si="47"/>
        <v>0</v>
      </c>
      <c r="M366" s="1269" t="str">
        <f t="shared" si="48"/>
        <v/>
      </c>
      <c r="N366" s="1285">
        <f>F366-H366</f>
        <v>0</v>
      </c>
      <c r="O366" s="326"/>
    </row>
    <row r="367" spans="1:15" ht="45">
      <c r="A367" s="211" t="s">
        <v>1383</v>
      </c>
      <c r="B367" s="267" t="s">
        <v>1384</v>
      </c>
      <c r="C367" s="1301" t="s">
        <v>1385</v>
      </c>
      <c r="D367" s="211" t="s">
        <v>28</v>
      </c>
      <c r="E367" s="229">
        <v>12.87</v>
      </c>
      <c r="F367" s="211">
        <v>7</v>
      </c>
      <c r="G367" s="1290">
        <f t="shared" si="44"/>
        <v>90.089999999999989</v>
      </c>
      <c r="H367" s="1278">
        <v>7</v>
      </c>
      <c r="I367" s="817">
        <v>90.089999999999989</v>
      </c>
      <c r="J367" s="1269">
        <f t="shared" si="43"/>
        <v>1</v>
      </c>
      <c r="K367" s="1278">
        <f>F367-H367</f>
        <v>0</v>
      </c>
      <c r="L367" s="817">
        <f t="shared" si="47"/>
        <v>0</v>
      </c>
      <c r="M367" s="1269" t="str">
        <f t="shared" si="48"/>
        <v/>
      </c>
      <c r="N367" s="1285">
        <f>F367-H367</f>
        <v>0</v>
      </c>
      <c r="O367" s="326"/>
    </row>
    <row r="368" spans="1:15" ht="45">
      <c r="A368" s="211" t="s">
        <v>1386</v>
      </c>
      <c r="B368" s="267" t="s">
        <v>1387</v>
      </c>
      <c r="C368" s="1301" t="s">
        <v>1388</v>
      </c>
      <c r="D368" s="211" t="s">
        <v>28</v>
      </c>
      <c r="E368" s="229">
        <v>24.37</v>
      </c>
      <c r="F368" s="211">
        <v>8</v>
      </c>
      <c r="G368" s="1290">
        <f t="shared" si="44"/>
        <v>194.96</v>
      </c>
      <c r="H368" s="1278">
        <v>16</v>
      </c>
      <c r="I368" s="817">
        <v>389.92</v>
      </c>
      <c r="J368" s="1269">
        <f t="shared" si="43"/>
        <v>2</v>
      </c>
      <c r="K368" s="1278">
        <f>F368-H368</f>
        <v>-8</v>
      </c>
      <c r="L368" s="817">
        <f t="shared" si="47"/>
        <v>-194.96</v>
      </c>
      <c r="M368" s="1269">
        <f t="shared" si="48"/>
        <v>-1</v>
      </c>
      <c r="N368" s="1285">
        <f>F368-H368</f>
        <v>-8</v>
      </c>
      <c r="O368" s="1430"/>
    </row>
    <row r="369" spans="1:15" ht="30">
      <c r="A369" s="211" t="s">
        <v>1389</v>
      </c>
      <c r="B369" s="267" t="s">
        <v>1390</v>
      </c>
      <c r="C369" s="1301" t="s">
        <v>1391</v>
      </c>
      <c r="D369" s="211" t="s">
        <v>44</v>
      </c>
      <c r="E369" s="229">
        <v>98.52</v>
      </c>
      <c r="F369" s="211">
        <v>10</v>
      </c>
      <c r="G369" s="1290">
        <f t="shared" si="44"/>
        <v>985.19999999999993</v>
      </c>
      <c r="H369" s="1278">
        <v>10</v>
      </c>
      <c r="I369" s="817">
        <v>985.19999999999993</v>
      </c>
      <c r="J369" s="1269">
        <f t="shared" si="43"/>
        <v>1</v>
      </c>
      <c r="K369" s="1278">
        <f>F369-H369</f>
        <v>0</v>
      </c>
      <c r="L369" s="817">
        <f t="shared" si="47"/>
        <v>0</v>
      </c>
      <c r="M369" s="1269" t="str">
        <f t="shared" si="48"/>
        <v/>
      </c>
      <c r="N369" s="1285">
        <f>F369-H369</f>
        <v>0</v>
      </c>
      <c r="O369" s="326"/>
    </row>
    <row r="370" spans="1:15" ht="45">
      <c r="A370" s="211" t="s">
        <v>1392</v>
      </c>
      <c r="B370" s="267" t="s">
        <v>1393</v>
      </c>
      <c r="C370" s="1301" t="s">
        <v>1394</v>
      </c>
      <c r="D370" s="211" t="s">
        <v>28</v>
      </c>
      <c r="E370" s="229">
        <v>10.26</v>
      </c>
      <c r="F370" s="211">
        <v>37</v>
      </c>
      <c r="G370" s="1290">
        <f t="shared" si="44"/>
        <v>379.62</v>
      </c>
      <c r="H370" s="1278">
        <v>37</v>
      </c>
      <c r="I370" s="817">
        <v>379.62</v>
      </c>
      <c r="J370" s="1269">
        <f t="shared" si="43"/>
        <v>1</v>
      </c>
      <c r="K370" s="1278">
        <f>F370-H370</f>
        <v>0</v>
      </c>
      <c r="L370" s="817">
        <f t="shared" si="47"/>
        <v>0</v>
      </c>
      <c r="M370" s="1269" t="str">
        <f t="shared" si="48"/>
        <v/>
      </c>
      <c r="N370" s="1285">
        <f>F370-H370</f>
        <v>0</v>
      </c>
      <c r="O370" s="326"/>
    </row>
    <row r="371" spans="1:15" ht="45">
      <c r="A371" s="211" t="s">
        <v>1395</v>
      </c>
      <c r="B371" s="267" t="s">
        <v>1396</v>
      </c>
      <c r="C371" s="1301" t="s">
        <v>1397</v>
      </c>
      <c r="D371" s="211" t="s">
        <v>28</v>
      </c>
      <c r="E371" s="229">
        <v>141.96</v>
      </c>
      <c r="F371" s="211">
        <v>14</v>
      </c>
      <c r="G371" s="1290">
        <f t="shared" si="44"/>
        <v>1987.44</v>
      </c>
      <c r="H371" s="1278">
        <v>14</v>
      </c>
      <c r="I371" s="817">
        <v>1987.44</v>
      </c>
      <c r="J371" s="1269">
        <f t="shared" si="43"/>
        <v>1</v>
      </c>
      <c r="K371" s="1278">
        <f>F371-H371</f>
        <v>0</v>
      </c>
      <c r="L371" s="817">
        <f t="shared" si="47"/>
        <v>0</v>
      </c>
      <c r="M371" s="1269" t="str">
        <f t="shared" si="48"/>
        <v/>
      </c>
      <c r="N371" s="1285">
        <f>F371-H371</f>
        <v>0</v>
      </c>
      <c r="O371" s="326"/>
    </row>
    <row r="372" spans="1:15" ht="45">
      <c r="A372" s="211" t="s">
        <v>1398</v>
      </c>
      <c r="B372" s="267" t="s">
        <v>1399</v>
      </c>
      <c r="C372" s="1301" t="s">
        <v>1400</v>
      </c>
      <c r="D372" s="211" t="s">
        <v>28</v>
      </c>
      <c r="E372" s="229">
        <v>178.7</v>
      </c>
      <c r="F372" s="211">
        <v>7</v>
      </c>
      <c r="G372" s="1290">
        <f t="shared" si="44"/>
        <v>1250.8999999999999</v>
      </c>
      <c r="H372" s="1278">
        <v>7</v>
      </c>
      <c r="I372" s="817">
        <v>1250.8999999999999</v>
      </c>
      <c r="J372" s="1269">
        <f t="shared" si="43"/>
        <v>1</v>
      </c>
      <c r="K372" s="1278">
        <f>F372-H372</f>
        <v>0</v>
      </c>
      <c r="L372" s="817">
        <f t="shared" si="47"/>
        <v>0</v>
      </c>
      <c r="M372" s="1269" t="str">
        <f t="shared" si="48"/>
        <v/>
      </c>
      <c r="N372" s="1285">
        <f>F372-H372</f>
        <v>0</v>
      </c>
      <c r="O372" s="326"/>
    </row>
    <row r="373" spans="1:15" ht="60">
      <c r="A373" s="211" t="s">
        <v>1401</v>
      </c>
      <c r="B373" s="267" t="s">
        <v>1402</v>
      </c>
      <c r="C373" s="1301" t="s">
        <v>1403</v>
      </c>
      <c r="D373" s="211" t="s">
        <v>28</v>
      </c>
      <c r="E373" s="229">
        <v>6.78</v>
      </c>
      <c r="F373" s="211">
        <v>8</v>
      </c>
      <c r="G373" s="1290">
        <f t="shared" si="44"/>
        <v>54.24</v>
      </c>
      <c r="H373" s="1278">
        <v>8</v>
      </c>
      <c r="I373" s="817">
        <v>54.24</v>
      </c>
      <c r="J373" s="1269">
        <f t="shared" si="43"/>
        <v>1</v>
      </c>
      <c r="K373" s="1278">
        <f>F373-H373</f>
        <v>0</v>
      </c>
      <c r="L373" s="817">
        <f t="shared" si="47"/>
        <v>0</v>
      </c>
      <c r="M373" s="1269" t="str">
        <f t="shared" si="48"/>
        <v/>
      </c>
      <c r="N373" s="1285">
        <f>F373-H373</f>
        <v>0</v>
      </c>
      <c r="O373" s="326"/>
    </row>
    <row r="374" spans="1:15" ht="45">
      <c r="A374" s="211" t="s">
        <v>1404</v>
      </c>
      <c r="B374" s="267" t="s">
        <v>1405</v>
      </c>
      <c r="C374" s="1301" t="s">
        <v>1406</v>
      </c>
      <c r="D374" s="211" t="s">
        <v>28</v>
      </c>
      <c r="E374" s="229">
        <v>15.61</v>
      </c>
      <c r="F374" s="211">
        <v>34</v>
      </c>
      <c r="G374" s="1290">
        <f t="shared" si="44"/>
        <v>530.74</v>
      </c>
      <c r="H374" s="1278">
        <v>34</v>
      </c>
      <c r="I374" s="817">
        <v>530.74</v>
      </c>
      <c r="J374" s="1269">
        <f t="shared" si="43"/>
        <v>1</v>
      </c>
      <c r="K374" s="1278">
        <f>F374-H374</f>
        <v>0</v>
      </c>
      <c r="L374" s="817">
        <f t="shared" si="47"/>
        <v>0</v>
      </c>
      <c r="M374" s="1269" t="str">
        <f t="shared" si="48"/>
        <v/>
      </c>
      <c r="N374" s="1285">
        <f>F374-H374</f>
        <v>0</v>
      </c>
      <c r="O374" s="326"/>
    </row>
    <row r="375" spans="1:15" ht="45">
      <c r="A375" s="211" t="s">
        <v>1407</v>
      </c>
      <c r="B375" s="267" t="s">
        <v>1408</v>
      </c>
      <c r="C375" s="1301" t="s">
        <v>1409</v>
      </c>
      <c r="D375" s="211" t="s">
        <v>44</v>
      </c>
      <c r="E375" s="229">
        <v>80.84</v>
      </c>
      <c r="F375" s="211">
        <v>44</v>
      </c>
      <c r="G375" s="1290">
        <f t="shared" si="44"/>
        <v>3556.96</v>
      </c>
      <c r="H375" s="1278">
        <v>44</v>
      </c>
      <c r="I375" s="817">
        <v>3556.96</v>
      </c>
      <c r="J375" s="1269">
        <f t="shared" si="43"/>
        <v>1</v>
      </c>
      <c r="K375" s="1278">
        <f>F375-H375</f>
        <v>0</v>
      </c>
      <c r="L375" s="817">
        <f t="shared" si="47"/>
        <v>0</v>
      </c>
      <c r="M375" s="1269" t="str">
        <f t="shared" si="48"/>
        <v/>
      </c>
      <c r="N375" s="1285">
        <f>F375-H375</f>
        <v>0</v>
      </c>
      <c r="O375" s="326"/>
    </row>
    <row r="376" spans="1:15">
      <c r="A376" s="211" t="s">
        <v>1410</v>
      </c>
      <c r="B376" s="267" t="s">
        <v>1411</v>
      </c>
      <c r="C376" s="1301" t="s">
        <v>1412</v>
      </c>
      <c r="D376" s="211" t="s">
        <v>28</v>
      </c>
      <c r="E376" s="229">
        <v>15.43</v>
      </c>
      <c r="F376" s="211">
        <v>14</v>
      </c>
      <c r="G376" s="1290">
        <f t="shared" si="44"/>
        <v>216.01999999999998</v>
      </c>
      <c r="H376" s="1278">
        <v>14</v>
      </c>
      <c r="I376" s="817">
        <v>216.01999999999998</v>
      </c>
      <c r="J376" s="1269">
        <f t="shared" si="43"/>
        <v>1</v>
      </c>
      <c r="K376" s="1278">
        <f>F376-H376</f>
        <v>0</v>
      </c>
      <c r="L376" s="817">
        <f t="shared" si="47"/>
        <v>0</v>
      </c>
      <c r="M376" s="1269" t="str">
        <f t="shared" si="48"/>
        <v/>
      </c>
      <c r="N376" s="1285">
        <f>F376-H376</f>
        <v>0</v>
      </c>
      <c r="O376" s="326"/>
    </row>
    <row r="377" spans="1:15" ht="60">
      <c r="A377" s="211" t="s">
        <v>1413</v>
      </c>
      <c r="B377" s="267" t="s">
        <v>1414</v>
      </c>
      <c r="C377" s="1301" t="s">
        <v>1415</v>
      </c>
      <c r="D377" s="211" t="s">
        <v>44</v>
      </c>
      <c r="E377" s="229">
        <v>199.1</v>
      </c>
      <c r="F377" s="211">
        <v>213</v>
      </c>
      <c r="G377" s="1290">
        <f t="shared" si="44"/>
        <v>42408.299999999996</v>
      </c>
      <c r="H377" s="1278">
        <v>213</v>
      </c>
      <c r="I377" s="817">
        <v>42408.299999999996</v>
      </c>
      <c r="J377" s="1269">
        <f t="shared" si="43"/>
        <v>1</v>
      </c>
      <c r="K377" s="1278">
        <f>F377-H377</f>
        <v>0</v>
      </c>
      <c r="L377" s="817">
        <f t="shared" si="47"/>
        <v>0</v>
      </c>
      <c r="M377" s="1269" t="str">
        <f t="shared" si="48"/>
        <v/>
      </c>
      <c r="N377" s="1285">
        <f>F377-H377</f>
        <v>0</v>
      </c>
      <c r="O377" s="326"/>
    </row>
    <row r="378" spans="1:15" ht="30">
      <c r="A378" s="211" t="s">
        <v>1416</v>
      </c>
      <c r="B378" s="267" t="s">
        <v>1417</v>
      </c>
      <c r="C378" s="1301" t="s">
        <v>1418</v>
      </c>
      <c r="D378" s="211" t="s">
        <v>28</v>
      </c>
      <c r="E378" s="229">
        <v>73.739999999999995</v>
      </c>
      <c r="F378" s="211">
        <v>32</v>
      </c>
      <c r="G378" s="1290">
        <f t="shared" si="44"/>
        <v>2359.6799999999998</v>
      </c>
      <c r="H378" s="1278">
        <v>32</v>
      </c>
      <c r="I378" s="817">
        <v>2359.6799999999998</v>
      </c>
      <c r="J378" s="1269">
        <f t="shared" si="43"/>
        <v>1</v>
      </c>
      <c r="K378" s="1278">
        <f>F378-H378</f>
        <v>0</v>
      </c>
      <c r="L378" s="817">
        <f t="shared" si="47"/>
        <v>0</v>
      </c>
      <c r="M378" s="1269" t="str">
        <f t="shared" si="48"/>
        <v/>
      </c>
      <c r="N378" s="1285">
        <f>F378-H378</f>
        <v>0</v>
      </c>
      <c r="O378" s="326"/>
    </row>
    <row r="379" spans="1:15" ht="30">
      <c r="A379" s="211" t="s">
        <v>1419</v>
      </c>
      <c r="B379" s="267" t="s">
        <v>1420</v>
      </c>
      <c r="C379" s="1301" t="s">
        <v>1421</v>
      </c>
      <c r="D379" s="211" t="s">
        <v>28</v>
      </c>
      <c r="E379" s="229">
        <v>80.34</v>
      </c>
      <c r="F379" s="211">
        <v>9</v>
      </c>
      <c r="G379" s="1290">
        <f t="shared" si="44"/>
        <v>723.06000000000006</v>
      </c>
      <c r="H379" s="1278">
        <v>9</v>
      </c>
      <c r="I379" s="817">
        <v>723.06000000000006</v>
      </c>
      <c r="J379" s="1269">
        <f t="shared" si="43"/>
        <v>1</v>
      </c>
      <c r="K379" s="1278">
        <f>F379-H379</f>
        <v>0</v>
      </c>
      <c r="L379" s="817">
        <f t="shared" si="47"/>
        <v>0</v>
      </c>
      <c r="M379" s="1269" t="str">
        <f t="shared" si="48"/>
        <v/>
      </c>
      <c r="N379" s="1285">
        <f>F379-H379</f>
        <v>0</v>
      </c>
      <c r="O379" s="326"/>
    </row>
    <row r="380" spans="1:15" ht="30">
      <c r="A380" s="211" t="s">
        <v>1422</v>
      </c>
      <c r="B380" s="267" t="s">
        <v>1423</v>
      </c>
      <c r="C380" s="1301" t="s">
        <v>1424</v>
      </c>
      <c r="D380" s="211" t="s">
        <v>28</v>
      </c>
      <c r="E380" s="229">
        <v>80.34</v>
      </c>
      <c r="F380" s="211">
        <v>16</v>
      </c>
      <c r="G380" s="1290">
        <f t="shared" si="44"/>
        <v>1285.44</v>
      </c>
      <c r="H380" s="1278">
        <v>16</v>
      </c>
      <c r="I380" s="817">
        <v>1285.44</v>
      </c>
      <c r="J380" s="1269">
        <f t="shared" si="43"/>
        <v>1</v>
      </c>
      <c r="K380" s="1278">
        <f>F380-H380</f>
        <v>0</v>
      </c>
      <c r="L380" s="817">
        <f t="shared" si="47"/>
        <v>0</v>
      </c>
      <c r="M380" s="1269" t="str">
        <f t="shared" si="48"/>
        <v/>
      </c>
      <c r="N380" s="1285">
        <f>F380-H380</f>
        <v>0</v>
      </c>
      <c r="O380" s="326"/>
    </row>
    <row r="381" spans="1:15" ht="30">
      <c r="A381" s="211" t="s">
        <v>1425</v>
      </c>
      <c r="B381" s="267" t="s">
        <v>1426</v>
      </c>
      <c r="C381" s="1301" t="s">
        <v>1427</v>
      </c>
      <c r="D381" s="211" t="s">
        <v>28</v>
      </c>
      <c r="E381" s="229">
        <v>21.84</v>
      </c>
      <c r="F381" s="211">
        <v>58</v>
      </c>
      <c r="G381" s="1290">
        <f t="shared" si="44"/>
        <v>1266.72</v>
      </c>
      <c r="H381" s="1278">
        <v>58</v>
      </c>
      <c r="I381" s="817">
        <v>1266.72</v>
      </c>
      <c r="J381" s="1269">
        <f t="shared" si="43"/>
        <v>1</v>
      </c>
      <c r="K381" s="1278">
        <f>F381-H381</f>
        <v>0</v>
      </c>
      <c r="L381" s="817">
        <f t="shared" si="47"/>
        <v>0</v>
      </c>
      <c r="M381" s="1269" t="str">
        <f t="shared" si="48"/>
        <v/>
      </c>
      <c r="N381" s="1285">
        <f>F381-H381</f>
        <v>0</v>
      </c>
      <c r="O381" s="326"/>
    </row>
    <row r="382" spans="1:15" ht="30">
      <c r="A382" s="211" t="s">
        <v>1428</v>
      </c>
      <c r="B382" s="267" t="s">
        <v>1429</v>
      </c>
      <c r="C382" s="1301" t="s">
        <v>1430</v>
      </c>
      <c r="D382" s="211" t="s">
        <v>28</v>
      </c>
      <c r="E382" s="229">
        <v>33.35</v>
      </c>
      <c r="F382" s="211">
        <v>21</v>
      </c>
      <c r="G382" s="1290">
        <f t="shared" si="44"/>
        <v>700.35</v>
      </c>
      <c r="H382" s="1278">
        <v>21</v>
      </c>
      <c r="I382" s="817">
        <v>700.35</v>
      </c>
      <c r="J382" s="1269">
        <f t="shared" si="43"/>
        <v>1</v>
      </c>
      <c r="K382" s="1278">
        <f>F382-H382</f>
        <v>0</v>
      </c>
      <c r="L382" s="817">
        <f t="shared" si="47"/>
        <v>0</v>
      </c>
      <c r="M382" s="1269" t="str">
        <f t="shared" si="48"/>
        <v/>
      </c>
      <c r="N382" s="1285">
        <f>F382-H382</f>
        <v>0</v>
      </c>
      <c r="O382" s="326"/>
    </row>
    <row r="383" spans="1:15" ht="75">
      <c r="A383" s="211" t="s">
        <v>1431</v>
      </c>
      <c r="B383" s="267" t="s">
        <v>1432</v>
      </c>
      <c r="C383" s="1301" t="s">
        <v>1433</v>
      </c>
      <c r="D383" s="211" t="s">
        <v>28</v>
      </c>
      <c r="E383" s="229">
        <v>27.53</v>
      </c>
      <c r="F383" s="211">
        <v>324</v>
      </c>
      <c r="G383" s="1290">
        <f t="shared" si="44"/>
        <v>8919.7200000000012</v>
      </c>
      <c r="H383" s="1278">
        <v>324</v>
      </c>
      <c r="I383" s="817">
        <v>8919.7200000000012</v>
      </c>
      <c r="J383" s="1269">
        <f t="shared" si="43"/>
        <v>1</v>
      </c>
      <c r="K383" s="1278">
        <f>F383-H383</f>
        <v>0</v>
      </c>
      <c r="L383" s="817">
        <f t="shared" si="47"/>
        <v>0</v>
      </c>
      <c r="M383" s="1269" t="str">
        <f t="shared" si="48"/>
        <v/>
      </c>
      <c r="N383" s="1285">
        <f>F383-H383</f>
        <v>0</v>
      </c>
      <c r="O383" s="326"/>
    </row>
    <row r="384" spans="1:15" s="231" customFormat="1">
      <c r="A384" s="251" t="s">
        <v>1434</v>
      </c>
      <c r="B384" s="1442" t="s">
        <v>1435</v>
      </c>
      <c r="C384" s="1442"/>
      <c r="D384" s="1442"/>
      <c r="E384" s="1442"/>
      <c r="F384" s="1442"/>
      <c r="G384" s="1296">
        <f>SUM(G385:G394)</f>
        <v>8235.06</v>
      </c>
      <c r="H384" s="1277">
        <v>0</v>
      </c>
      <c r="I384" s="255">
        <v>8235.06</v>
      </c>
      <c r="J384" s="1268">
        <f>I384/$G384</f>
        <v>1</v>
      </c>
      <c r="K384" s="1277">
        <f>F384-H384</f>
        <v>0</v>
      </c>
      <c r="L384" s="255">
        <f>SUM(L385:L394)</f>
        <v>0</v>
      </c>
      <c r="M384" s="1268">
        <f>L384/$G384</f>
        <v>0</v>
      </c>
      <c r="N384" s="1285">
        <f>F384-H384</f>
        <v>0</v>
      </c>
      <c r="O384" s="326"/>
    </row>
    <row r="385" spans="1:19" ht="30">
      <c r="A385" s="211" t="s">
        <v>1436</v>
      </c>
      <c r="B385" s="267" t="s">
        <v>1437</v>
      </c>
      <c r="C385" s="1301" t="s">
        <v>1438</v>
      </c>
      <c r="D385" s="211" t="s">
        <v>28</v>
      </c>
      <c r="E385" s="229">
        <v>10.52</v>
      </c>
      <c r="F385" s="211">
        <v>154</v>
      </c>
      <c r="G385" s="1290">
        <f t="shared" si="44"/>
        <v>1620.08</v>
      </c>
      <c r="H385" s="1278">
        <v>154</v>
      </c>
      <c r="I385" s="817">
        <v>1620.08</v>
      </c>
      <c r="J385" s="1269">
        <f>IF(H385=0,"",H385/$F385)</f>
        <v>1</v>
      </c>
      <c r="K385" s="1278">
        <v>0</v>
      </c>
      <c r="L385" s="817">
        <f t="shared" ref="L385:L394" si="49">K385*$E385</f>
        <v>0</v>
      </c>
      <c r="M385" s="1269" t="str">
        <f>IF(K385=0,"",K385/$F385)</f>
        <v/>
      </c>
      <c r="N385" s="1285">
        <f>F385-H385</f>
        <v>0</v>
      </c>
      <c r="O385" s="326"/>
    </row>
    <row r="386" spans="1:19" ht="30">
      <c r="A386" s="211" t="s">
        <v>1439</v>
      </c>
      <c r="B386" s="267" t="s">
        <v>1440</v>
      </c>
      <c r="C386" s="1301" t="s">
        <v>1441</v>
      </c>
      <c r="D386" s="211" t="s">
        <v>28</v>
      </c>
      <c r="E386" s="229">
        <v>15.49</v>
      </c>
      <c r="F386" s="211">
        <v>9</v>
      </c>
      <c r="G386" s="1290">
        <f t="shared" si="44"/>
        <v>139.41</v>
      </c>
      <c r="H386" s="1278">
        <v>9</v>
      </c>
      <c r="I386" s="817">
        <v>139.41</v>
      </c>
      <c r="J386" s="1269">
        <f t="shared" ref="J386:J449" si="50">IF(H386=0,"",H386/$F386)</f>
        <v>1</v>
      </c>
      <c r="K386" s="1278">
        <f>F386-H386</f>
        <v>0</v>
      </c>
      <c r="L386" s="817">
        <f t="shared" si="49"/>
        <v>0</v>
      </c>
      <c r="M386" s="1269" t="str">
        <f t="shared" ref="M386:M449" si="51">IF(K386=0,"",K386/$F386)</f>
        <v/>
      </c>
      <c r="N386" s="1285">
        <f>F386-H386</f>
        <v>0</v>
      </c>
      <c r="O386" s="326"/>
    </row>
    <row r="387" spans="1:19" ht="30">
      <c r="A387" s="211" t="s">
        <v>1442</v>
      </c>
      <c r="B387" s="267" t="s">
        <v>1443</v>
      </c>
      <c r="C387" s="1301" t="s">
        <v>1444</v>
      </c>
      <c r="D387" s="211" t="s">
        <v>28</v>
      </c>
      <c r="E387" s="229">
        <v>37.340000000000003</v>
      </c>
      <c r="F387" s="211">
        <v>1</v>
      </c>
      <c r="G387" s="1290">
        <f t="shared" si="44"/>
        <v>37.340000000000003</v>
      </c>
      <c r="H387" s="1278">
        <v>1</v>
      </c>
      <c r="I387" s="817">
        <v>37.340000000000003</v>
      </c>
      <c r="J387" s="1269">
        <f t="shared" si="50"/>
        <v>1</v>
      </c>
      <c r="K387" s="1278">
        <f>F387-H387</f>
        <v>0</v>
      </c>
      <c r="L387" s="817">
        <f t="shared" si="49"/>
        <v>0</v>
      </c>
      <c r="M387" s="1269" t="str">
        <f t="shared" si="51"/>
        <v/>
      </c>
      <c r="N387" s="1285">
        <f>F387-H387</f>
        <v>0</v>
      </c>
      <c r="O387" s="326">
        <f>N387*E387</f>
        <v>0</v>
      </c>
    </row>
    <row r="388" spans="1:19" ht="30">
      <c r="A388" s="211" t="s">
        <v>1445</v>
      </c>
      <c r="B388" s="267" t="s">
        <v>1446</v>
      </c>
      <c r="C388" s="1301" t="s">
        <v>1447</v>
      </c>
      <c r="D388" s="211" t="s">
        <v>28</v>
      </c>
      <c r="E388" s="229">
        <v>56.34</v>
      </c>
      <c r="F388" s="211">
        <v>2</v>
      </c>
      <c r="G388" s="1289">
        <f t="shared" si="44"/>
        <v>112.68</v>
      </c>
      <c r="H388" s="1278">
        <v>2</v>
      </c>
      <c r="I388" s="224">
        <v>112.68</v>
      </c>
      <c r="J388" s="1269">
        <f t="shared" si="50"/>
        <v>1</v>
      </c>
      <c r="K388" s="1278">
        <f>F388-H388</f>
        <v>0</v>
      </c>
      <c r="L388" s="224">
        <f t="shared" si="49"/>
        <v>0</v>
      </c>
      <c r="M388" s="1269" t="str">
        <f t="shared" si="51"/>
        <v/>
      </c>
      <c r="N388" s="1285">
        <f>F388-H388</f>
        <v>0</v>
      </c>
      <c r="O388" s="326">
        <f>N388*E388</f>
        <v>0</v>
      </c>
    </row>
    <row r="389" spans="1:19" ht="30">
      <c r="A389" s="211" t="s">
        <v>1448</v>
      </c>
      <c r="B389" s="267" t="s">
        <v>1449</v>
      </c>
      <c r="C389" s="1301" t="s">
        <v>1450</v>
      </c>
      <c r="D389" s="211" t="s">
        <v>28</v>
      </c>
      <c r="E389" s="229">
        <v>12.33</v>
      </c>
      <c r="F389" s="211">
        <v>156</v>
      </c>
      <c r="G389" s="1289">
        <f t="shared" si="44"/>
        <v>1923.48</v>
      </c>
      <c r="H389" s="1278">
        <v>156</v>
      </c>
      <c r="I389" s="224">
        <v>1923.48</v>
      </c>
      <c r="J389" s="1269">
        <f t="shared" si="50"/>
        <v>1</v>
      </c>
      <c r="K389" s="1278">
        <f>F389-H389</f>
        <v>0</v>
      </c>
      <c r="L389" s="224">
        <f t="shared" si="49"/>
        <v>0</v>
      </c>
      <c r="M389" s="1269" t="str">
        <f t="shared" si="51"/>
        <v/>
      </c>
      <c r="N389" s="1285">
        <f>F389-H389</f>
        <v>0</v>
      </c>
      <c r="O389" s="326">
        <f>N389*E389</f>
        <v>0</v>
      </c>
    </row>
    <row r="390" spans="1:19" ht="30">
      <c r="A390" s="211" t="s">
        <v>1451</v>
      </c>
      <c r="B390" s="267" t="s">
        <v>1452</v>
      </c>
      <c r="C390" s="1301" t="s">
        <v>1453</v>
      </c>
      <c r="D390" s="211" t="s">
        <v>28</v>
      </c>
      <c r="E390" s="229">
        <v>580.75</v>
      </c>
      <c r="F390" s="211">
        <v>1</v>
      </c>
      <c r="G390" s="1289">
        <f t="shared" si="44"/>
        <v>580.75</v>
      </c>
      <c r="H390" s="1278">
        <v>1</v>
      </c>
      <c r="I390" s="224">
        <v>580.75</v>
      </c>
      <c r="J390" s="1269">
        <f t="shared" si="50"/>
        <v>1</v>
      </c>
      <c r="K390" s="1278">
        <f>F390-H390</f>
        <v>0</v>
      </c>
      <c r="L390" s="224">
        <f t="shared" si="49"/>
        <v>0</v>
      </c>
      <c r="M390" s="1269" t="str">
        <f t="shared" si="51"/>
        <v/>
      </c>
      <c r="N390" s="1285">
        <f>F390-H390</f>
        <v>0</v>
      </c>
      <c r="O390" s="326">
        <f>N390*E390</f>
        <v>0</v>
      </c>
    </row>
    <row r="391" spans="1:19" ht="45">
      <c r="A391" s="211" t="s">
        <v>1454</v>
      </c>
      <c r="B391" s="267" t="s">
        <v>1455</v>
      </c>
      <c r="C391" s="1301" t="s">
        <v>1456</v>
      </c>
      <c r="D391" s="211" t="s">
        <v>28</v>
      </c>
      <c r="E391" s="229">
        <v>25.84</v>
      </c>
      <c r="F391" s="211">
        <v>1</v>
      </c>
      <c r="G391" s="1289">
        <f t="shared" si="44"/>
        <v>25.84</v>
      </c>
      <c r="H391" s="1278">
        <v>1</v>
      </c>
      <c r="I391" s="224">
        <v>25.84</v>
      </c>
      <c r="J391" s="1269">
        <f t="shared" si="50"/>
        <v>1</v>
      </c>
      <c r="K391" s="1278">
        <f>F391-H391</f>
        <v>0</v>
      </c>
      <c r="L391" s="224">
        <f t="shared" si="49"/>
        <v>0</v>
      </c>
      <c r="M391" s="1269" t="str">
        <f t="shared" si="51"/>
        <v/>
      </c>
      <c r="N391" s="1285">
        <f>F391-H391</f>
        <v>0</v>
      </c>
      <c r="O391" s="326">
        <f>N391*E391</f>
        <v>0</v>
      </c>
    </row>
    <row r="392" spans="1:19" ht="30">
      <c r="A392" s="211" t="s">
        <v>1457</v>
      </c>
      <c r="B392" s="267" t="s">
        <v>1458</v>
      </c>
      <c r="C392" s="1301" t="s">
        <v>1459</v>
      </c>
      <c r="D392" s="211" t="s">
        <v>28</v>
      </c>
      <c r="E392" s="229">
        <v>91.89</v>
      </c>
      <c r="F392" s="211">
        <v>36</v>
      </c>
      <c r="G392" s="1289">
        <f t="shared" ref="G392:G462" si="52">F392*$E392</f>
        <v>3308.04</v>
      </c>
      <c r="H392" s="1278">
        <v>36</v>
      </c>
      <c r="I392" s="224">
        <v>3308.04</v>
      </c>
      <c r="J392" s="1269">
        <f t="shared" si="50"/>
        <v>1</v>
      </c>
      <c r="K392" s="1278">
        <f>F392-H392</f>
        <v>0</v>
      </c>
      <c r="L392" s="224">
        <f t="shared" si="49"/>
        <v>0</v>
      </c>
      <c r="M392" s="1269" t="str">
        <f t="shared" si="51"/>
        <v/>
      </c>
      <c r="N392" s="1285">
        <f>F392-H392</f>
        <v>0</v>
      </c>
      <c r="O392" s="326">
        <f>N392*E392</f>
        <v>0</v>
      </c>
    </row>
    <row r="393" spans="1:19" ht="45">
      <c r="A393" s="211" t="s">
        <v>1460</v>
      </c>
      <c r="B393" s="267" t="s">
        <v>1461</v>
      </c>
      <c r="C393" s="1301" t="s">
        <v>1462</v>
      </c>
      <c r="D393" s="211" t="s">
        <v>28</v>
      </c>
      <c r="E393" s="229">
        <v>29.84</v>
      </c>
      <c r="F393" s="211">
        <v>6</v>
      </c>
      <c r="G393" s="1289">
        <f t="shared" si="52"/>
        <v>179.04</v>
      </c>
      <c r="H393" s="1278">
        <v>6</v>
      </c>
      <c r="I393" s="224">
        <v>179.04</v>
      </c>
      <c r="J393" s="1269">
        <f t="shared" si="50"/>
        <v>1</v>
      </c>
      <c r="K393" s="1278">
        <f>F393-H393</f>
        <v>0</v>
      </c>
      <c r="L393" s="224">
        <f t="shared" si="49"/>
        <v>0</v>
      </c>
      <c r="M393" s="1269" t="str">
        <f t="shared" si="51"/>
        <v/>
      </c>
      <c r="N393" s="1285">
        <f>F393-H393</f>
        <v>0</v>
      </c>
      <c r="O393" s="326">
        <f>N393*E393</f>
        <v>0</v>
      </c>
    </row>
    <row r="394" spans="1:19" ht="60">
      <c r="A394" s="211" t="s">
        <v>1463</v>
      </c>
      <c r="B394" s="267" t="s">
        <v>1464</v>
      </c>
      <c r="C394" s="1301" t="s">
        <v>1465</v>
      </c>
      <c r="D394" s="211" t="s">
        <v>28</v>
      </c>
      <c r="E394" s="229">
        <v>30.84</v>
      </c>
      <c r="F394" s="211">
        <v>10</v>
      </c>
      <c r="G394" s="1289">
        <f t="shared" si="52"/>
        <v>308.39999999999998</v>
      </c>
      <c r="H394" s="1278">
        <v>10</v>
      </c>
      <c r="I394" s="224">
        <v>308.39999999999998</v>
      </c>
      <c r="J394" s="1269">
        <f t="shared" si="50"/>
        <v>1</v>
      </c>
      <c r="K394" s="1278">
        <f>F394-H394</f>
        <v>0</v>
      </c>
      <c r="L394" s="224">
        <f t="shared" si="49"/>
        <v>0</v>
      </c>
      <c r="M394" s="1269" t="str">
        <f t="shared" si="51"/>
        <v/>
      </c>
      <c r="N394" s="1285">
        <f>F394-H394</f>
        <v>0</v>
      </c>
      <c r="O394" s="326">
        <f>N394*E394</f>
        <v>0</v>
      </c>
    </row>
    <row r="395" spans="1:19" s="231" customFormat="1">
      <c r="A395" s="251" t="s">
        <v>1466</v>
      </c>
      <c r="B395" s="1442" t="s">
        <v>1467</v>
      </c>
      <c r="C395" s="1442"/>
      <c r="D395" s="1442"/>
      <c r="E395" s="1442"/>
      <c r="F395" s="1442"/>
      <c r="G395" s="1296">
        <f>SUM(G396:G414)</f>
        <v>36330.57</v>
      </c>
      <c r="H395" s="1277">
        <v>0</v>
      </c>
      <c r="I395" s="255">
        <v>36330.57</v>
      </c>
      <c r="J395" s="1268">
        <f>I395/$G395</f>
        <v>1</v>
      </c>
      <c r="K395" s="1277">
        <f>F395-H395</f>
        <v>0</v>
      </c>
      <c r="L395" s="255">
        <f>SUM(L396:L414)</f>
        <v>0</v>
      </c>
      <c r="M395" s="1268">
        <f>L395/$G395</f>
        <v>0</v>
      </c>
      <c r="N395" s="1285">
        <f>F395-H395</f>
        <v>0</v>
      </c>
      <c r="O395" s="326">
        <f>N395*E395</f>
        <v>0</v>
      </c>
    </row>
    <row r="396" spans="1:19" ht="30">
      <c r="A396" s="211" t="s">
        <v>1468</v>
      </c>
      <c r="B396" s="267" t="s">
        <v>358</v>
      </c>
      <c r="C396" s="1301" t="s">
        <v>359</v>
      </c>
      <c r="D396" s="211" t="s">
        <v>28</v>
      </c>
      <c r="E396" s="229">
        <v>41.37</v>
      </c>
      <c r="F396" s="211">
        <v>16</v>
      </c>
      <c r="G396" s="1289">
        <f t="shared" si="52"/>
        <v>661.92</v>
      </c>
      <c r="H396" s="1278">
        <v>16</v>
      </c>
      <c r="I396" s="224">
        <v>661.92</v>
      </c>
      <c r="J396" s="1269">
        <f t="shared" si="50"/>
        <v>1</v>
      </c>
      <c r="K396" s="1278">
        <f>F396-H396</f>
        <v>0</v>
      </c>
      <c r="L396" s="224">
        <f t="shared" ref="L396:L414" si="53">K396*$E396</f>
        <v>0</v>
      </c>
      <c r="M396" s="1269" t="str">
        <f t="shared" si="51"/>
        <v/>
      </c>
      <c r="N396" s="1285">
        <f>F396-H396</f>
        <v>0</v>
      </c>
      <c r="O396" s="326">
        <f>N396*E396</f>
        <v>0</v>
      </c>
    </row>
    <row r="397" spans="1:19" ht="30">
      <c r="A397" s="211" t="s">
        <v>1469</v>
      </c>
      <c r="B397" s="267" t="s">
        <v>1470</v>
      </c>
      <c r="C397" s="1301" t="s">
        <v>1471</v>
      </c>
      <c r="D397" s="211" t="s">
        <v>28</v>
      </c>
      <c r="E397" s="229">
        <v>70.55</v>
      </c>
      <c r="F397" s="211">
        <v>18</v>
      </c>
      <c r="G397" s="1289">
        <f t="shared" si="52"/>
        <v>1269.8999999999999</v>
      </c>
      <c r="H397" s="1278">
        <v>18</v>
      </c>
      <c r="I397" s="224">
        <v>1269.8999999999999</v>
      </c>
      <c r="J397" s="1269">
        <f t="shared" si="50"/>
        <v>1</v>
      </c>
      <c r="K397" s="1278">
        <f>F397-H397</f>
        <v>0</v>
      </c>
      <c r="L397" s="224">
        <f t="shared" si="53"/>
        <v>0</v>
      </c>
      <c r="M397" s="1269" t="str">
        <f t="shared" si="51"/>
        <v/>
      </c>
      <c r="N397" s="1285">
        <f>F397-H397</f>
        <v>0</v>
      </c>
      <c r="O397" s="326">
        <f>N397*E397</f>
        <v>0</v>
      </c>
      <c r="P397" s="1416"/>
      <c r="Q397" s="1416"/>
      <c r="R397" s="1416"/>
      <c r="S397" s="1416"/>
    </row>
    <row r="398" spans="1:19" ht="30">
      <c r="A398" s="211" t="s">
        <v>1472</v>
      </c>
      <c r="B398" s="267" t="s">
        <v>1473</v>
      </c>
      <c r="C398" s="1301" t="s">
        <v>1474</v>
      </c>
      <c r="D398" s="211" t="s">
        <v>28</v>
      </c>
      <c r="E398" s="229">
        <v>50.37</v>
      </c>
      <c r="F398" s="211">
        <v>12</v>
      </c>
      <c r="G398" s="1289">
        <f t="shared" si="52"/>
        <v>604.43999999999994</v>
      </c>
      <c r="H398" s="1278">
        <v>12</v>
      </c>
      <c r="I398" s="224">
        <v>604.43999999999994</v>
      </c>
      <c r="J398" s="1269">
        <f t="shared" si="50"/>
        <v>1</v>
      </c>
      <c r="K398" s="1278">
        <f>F398-H398</f>
        <v>0</v>
      </c>
      <c r="L398" s="224">
        <f t="shared" si="53"/>
        <v>0</v>
      </c>
      <c r="M398" s="1269" t="str">
        <f t="shared" si="51"/>
        <v/>
      </c>
      <c r="N398" s="1285">
        <f>F398-H398</f>
        <v>0</v>
      </c>
      <c r="O398" s="326">
        <f>N398*E398</f>
        <v>0</v>
      </c>
      <c r="P398" s="1416"/>
      <c r="Q398" s="1416"/>
      <c r="R398" s="1416"/>
      <c r="S398" s="1416"/>
    </row>
    <row r="399" spans="1:19" ht="30">
      <c r="A399" s="211" t="s">
        <v>1475</v>
      </c>
      <c r="B399" s="267" t="s">
        <v>1476</v>
      </c>
      <c r="C399" s="1301" t="s">
        <v>1477</v>
      </c>
      <c r="D399" s="211" t="s">
        <v>28</v>
      </c>
      <c r="E399" s="229">
        <v>43.9</v>
      </c>
      <c r="F399" s="211">
        <v>4</v>
      </c>
      <c r="G399" s="1289">
        <f t="shared" si="52"/>
        <v>175.6</v>
      </c>
      <c r="H399" s="1278">
        <v>4</v>
      </c>
      <c r="I399" s="224">
        <v>175.6</v>
      </c>
      <c r="J399" s="1269">
        <f t="shared" si="50"/>
        <v>1</v>
      </c>
      <c r="K399" s="1278">
        <f>F399-H399</f>
        <v>0</v>
      </c>
      <c r="L399" s="224">
        <f t="shared" si="53"/>
        <v>0</v>
      </c>
      <c r="M399" s="1306" t="str">
        <f t="shared" si="51"/>
        <v/>
      </c>
      <c r="N399" s="1285">
        <f>F399-H399</f>
        <v>0</v>
      </c>
      <c r="O399" s="326">
        <f>N399*E399</f>
        <v>0</v>
      </c>
      <c r="P399" s="1416"/>
      <c r="Q399" s="1416"/>
      <c r="R399" s="1416"/>
      <c r="S399" s="1416"/>
    </row>
    <row r="400" spans="1:19" ht="30">
      <c r="A400" s="211" t="s">
        <v>1478</v>
      </c>
      <c r="B400" s="267" t="s">
        <v>1479</v>
      </c>
      <c r="C400" s="1301" t="s">
        <v>1480</v>
      </c>
      <c r="D400" s="211" t="s">
        <v>28</v>
      </c>
      <c r="E400" s="229">
        <v>55.4</v>
      </c>
      <c r="F400" s="211">
        <v>1</v>
      </c>
      <c r="G400" s="1289">
        <f t="shared" si="52"/>
        <v>55.4</v>
      </c>
      <c r="H400" s="1278">
        <v>1</v>
      </c>
      <c r="I400" s="224">
        <v>55.4</v>
      </c>
      <c r="J400" s="1269">
        <f t="shared" si="50"/>
        <v>1</v>
      </c>
      <c r="K400" s="1278">
        <f>F400-H400</f>
        <v>0</v>
      </c>
      <c r="L400" s="224">
        <f t="shared" si="53"/>
        <v>0</v>
      </c>
      <c r="M400" s="1269" t="str">
        <f t="shared" si="51"/>
        <v/>
      </c>
      <c r="N400" s="1285">
        <f>F400-H400</f>
        <v>0</v>
      </c>
      <c r="O400" s="326">
        <f>N400*E400</f>
        <v>0</v>
      </c>
      <c r="P400" s="1416"/>
      <c r="Q400" s="1416"/>
      <c r="R400" s="1416"/>
      <c r="S400" s="1416"/>
    </row>
    <row r="401" spans="1:19" ht="15.75">
      <c r="A401" s="211" t="s">
        <v>1481</v>
      </c>
      <c r="B401" s="267" t="s">
        <v>1482</v>
      </c>
      <c r="C401" s="1301" t="s">
        <v>1483</v>
      </c>
      <c r="D401" s="211" t="s">
        <v>28</v>
      </c>
      <c r="E401" s="229">
        <v>84.13</v>
      </c>
      <c r="F401" s="211">
        <v>2</v>
      </c>
      <c r="G401" s="1289">
        <f t="shared" si="52"/>
        <v>168.26</v>
      </c>
      <c r="H401" s="1278">
        <v>2</v>
      </c>
      <c r="I401" s="224">
        <v>168.26</v>
      </c>
      <c r="J401" s="1269">
        <f t="shared" si="50"/>
        <v>1</v>
      </c>
      <c r="K401" s="1278">
        <f>F401-H401</f>
        <v>0</v>
      </c>
      <c r="L401" s="224">
        <f t="shared" si="53"/>
        <v>0</v>
      </c>
      <c r="M401" s="1269" t="str">
        <f t="shared" si="51"/>
        <v/>
      </c>
      <c r="N401" s="1285">
        <f>F401-H401</f>
        <v>0</v>
      </c>
      <c r="O401" s="326">
        <f>N401*E401</f>
        <v>0</v>
      </c>
      <c r="P401" s="1417"/>
      <c r="Q401" s="1417"/>
      <c r="R401" s="1417"/>
      <c r="S401" s="1417"/>
    </row>
    <row r="402" spans="1:19" ht="30">
      <c r="A402" s="211" t="s">
        <v>1484</v>
      </c>
      <c r="B402" s="267" t="s">
        <v>1485</v>
      </c>
      <c r="C402" s="1301" t="s">
        <v>1486</v>
      </c>
      <c r="D402" s="211" t="s">
        <v>28</v>
      </c>
      <c r="E402" s="229">
        <v>95.48</v>
      </c>
      <c r="F402" s="211">
        <v>2</v>
      </c>
      <c r="G402" s="1289">
        <f t="shared" si="52"/>
        <v>190.96</v>
      </c>
      <c r="H402" s="1278">
        <v>2</v>
      </c>
      <c r="I402" s="224">
        <v>190.96</v>
      </c>
      <c r="J402" s="1269">
        <f t="shared" si="50"/>
        <v>1</v>
      </c>
      <c r="K402" s="1278">
        <f>F402-H402</f>
        <v>0</v>
      </c>
      <c r="L402" s="224">
        <f t="shared" si="53"/>
        <v>0</v>
      </c>
      <c r="M402" s="1269" t="str">
        <f t="shared" si="51"/>
        <v/>
      </c>
      <c r="N402" s="1285">
        <f>F402-H402</f>
        <v>0</v>
      </c>
      <c r="O402" s="326">
        <f>N402*E402</f>
        <v>0</v>
      </c>
      <c r="P402" s="3"/>
      <c r="Q402" s="1"/>
      <c r="R402" s="5"/>
      <c r="S402" s="1"/>
    </row>
    <row r="403" spans="1:19" ht="45">
      <c r="A403" s="211" t="s">
        <v>1487</v>
      </c>
      <c r="B403" s="267" t="s">
        <v>352</v>
      </c>
      <c r="C403" s="1301" t="s">
        <v>353</v>
      </c>
      <c r="D403" s="211" t="s">
        <v>28</v>
      </c>
      <c r="E403" s="229">
        <v>46.69</v>
      </c>
      <c r="F403" s="211">
        <v>64</v>
      </c>
      <c r="G403" s="1289">
        <f t="shared" si="52"/>
        <v>2988.16</v>
      </c>
      <c r="H403" s="1278">
        <v>64</v>
      </c>
      <c r="I403" s="224">
        <v>2988.16</v>
      </c>
      <c r="J403" s="1269">
        <f t="shared" si="50"/>
        <v>1</v>
      </c>
      <c r="K403" s="1278">
        <f>F403-H403</f>
        <v>0</v>
      </c>
      <c r="L403" s="224">
        <f t="shared" si="53"/>
        <v>0</v>
      </c>
      <c r="M403" s="1269" t="str">
        <f t="shared" si="51"/>
        <v/>
      </c>
      <c r="N403" s="1285">
        <f>F403-H403</f>
        <v>0</v>
      </c>
      <c r="O403" s="326">
        <f>N403*E403</f>
        <v>0</v>
      </c>
    </row>
    <row r="404" spans="1:19" ht="45">
      <c r="A404" s="211" t="s">
        <v>1488</v>
      </c>
      <c r="B404" s="267" t="s">
        <v>1489</v>
      </c>
      <c r="C404" s="1301" t="s">
        <v>1490</v>
      </c>
      <c r="D404" s="211" t="s">
        <v>28</v>
      </c>
      <c r="E404" s="229">
        <v>84.21</v>
      </c>
      <c r="F404" s="211">
        <v>21</v>
      </c>
      <c r="G404" s="1289">
        <f t="shared" si="52"/>
        <v>1768.4099999999999</v>
      </c>
      <c r="H404" s="1278">
        <v>21</v>
      </c>
      <c r="I404" s="224">
        <v>1768.4099999999999</v>
      </c>
      <c r="J404" s="1269">
        <f t="shared" si="50"/>
        <v>1</v>
      </c>
      <c r="K404" s="1278">
        <f>F404-H404</f>
        <v>0</v>
      </c>
      <c r="L404" s="224">
        <f t="shared" si="53"/>
        <v>0</v>
      </c>
      <c r="M404" s="1269" t="str">
        <f t="shared" si="51"/>
        <v/>
      </c>
      <c r="N404" s="1285">
        <f>F404-H404</f>
        <v>0</v>
      </c>
      <c r="O404" s="326">
        <f>N404*E404</f>
        <v>0</v>
      </c>
    </row>
    <row r="405" spans="1:19" ht="45">
      <c r="A405" s="211" t="s">
        <v>1491</v>
      </c>
      <c r="B405" s="267" t="s">
        <v>355</v>
      </c>
      <c r="C405" s="1301" t="s">
        <v>356</v>
      </c>
      <c r="D405" s="211" t="s">
        <v>28</v>
      </c>
      <c r="E405" s="229">
        <v>54.88</v>
      </c>
      <c r="F405" s="211">
        <v>20</v>
      </c>
      <c r="G405" s="1289">
        <f t="shared" si="52"/>
        <v>1097.6000000000001</v>
      </c>
      <c r="H405" s="1278">
        <v>20</v>
      </c>
      <c r="I405" s="224">
        <v>1097.6000000000001</v>
      </c>
      <c r="J405" s="1269">
        <f t="shared" si="50"/>
        <v>1</v>
      </c>
      <c r="K405" s="1278">
        <f>F405-H405</f>
        <v>0</v>
      </c>
      <c r="L405" s="224">
        <f t="shared" si="53"/>
        <v>0</v>
      </c>
      <c r="M405" s="1269" t="str">
        <f t="shared" si="51"/>
        <v/>
      </c>
      <c r="N405" s="1285">
        <f>F405-H405</f>
        <v>0</v>
      </c>
      <c r="O405" s="326">
        <f>N405*E405</f>
        <v>0</v>
      </c>
    </row>
    <row r="406" spans="1:19" ht="30">
      <c r="A406" s="211" t="s">
        <v>1492</v>
      </c>
      <c r="B406" s="267" t="s">
        <v>1493</v>
      </c>
      <c r="C406" s="1301" t="s">
        <v>1494</v>
      </c>
      <c r="D406" s="211" t="s">
        <v>28</v>
      </c>
      <c r="E406" s="229">
        <v>99.72</v>
      </c>
      <c r="F406" s="211">
        <v>1</v>
      </c>
      <c r="G406" s="1289">
        <f t="shared" si="52"/>
        <v>99.72</v>
      </c>
      <c r="H406" s="1278">
        <v>1</v>
      </c>
      <c r="I406" s="224">
        <v>99.72</v>
      </c>
      <c r="J406" s="1269">
        <f t="shared" si="50"/>
        <v>1</v>
      </c>
      <c r="K406" s="1278">
        <f>F406-H406</f>
        <v>0</v>
      </c>
      <c r="L406" s="224">
        <f t="shared" si="53"/>
        <v>0</v>
      </c>
      <c r="M406" s="1269" t="str">
        <f t="shared" si="51"/>
        <v/>
      </c>
      <c r="N406" s="1285">
        <f>F406-H406</f>
        <v>0</v>
      </c>
      <c r="O406" s="326">
        <f>N406*E406</f>
        <v>0</v>
      </c>
    </row>
    <row r="407" spans="1:19" ht="45">
      <c r="A407" s="211" t="s">
        <v>1495</v>
      </c>
      <c r="B407" s="267" t="s">
        <v>1496</v>
      </c>
      <c r="C407" s="1301" t="s">
        <v>1497</v>
      </c>
      <c r="D407" s="211" t="s">
        <v>28</v>
      </c>
      <c r="E407" s="229">
        <v>195.44</v>
      </c>
      <c r="F407" s="211">
        <v>4</v>
      </c>
      <c r="G407" s="1289">
        <f t="shared" si="52"/>
        <v>781.76</v>
      </c>
      <c r="H407" s="1278">
        <v>4</v>
      </c>
      <c r="I407" s="224">
        <v>781.76</v>
      </c>
      <c r="J407" s="1269">
        <f t="shared" si="50"/>
        <v>1</v>
      </c>
      <c r="K407" s="1278">
        <f>F407-H407</f>
        <v>0</v>
      </c>
      <c r="L407" s="224">
        <f t="shared" si="53"/>
        <v>0</v>
      </c>
      <c r="M407" s="1269" t="str">
        <f t="shared" si="51"/>
        <v/>
      </c>
      <c r="N407" s="1285">
        <f>F407-H407</f>
        <v>0</v>
      </c>
      <c r="O407" s="326">
        <f>N407*E407</f>
        <v>0</v>
      </c>
    </row>
    <row r="408" spans="1:19" ht="45">
      <c r="A408" s="211" t="s">
        <v>1498</v>
      </c>
      <c r="B408" s="267" t="s">
        <v>1499</v>
      </c>
      <c r="C408" s="1301" t="s">
        <v>1500</v>
      </c>
      <c r="D408" s="211" t="s">
        <v>28</v>
      </c>
      <c r="E408" s="229">
        <v>245.18</v>
      </c>
      <c r="F408" s="211">
        <v>16</v>
      </c>
      <c r="G408" s="1289">
        <f t="shared" si="52"/>
        <v>3922.88</v>
      </c>
      <c r="H408" s="1278">
        <v>16</v>
      </c>
      <c r="I408" s="224">
        <v>3922.88</v>
      </c>
      <c r="J408" s="1269">
        <f t="shared" si="50"/>
        <v>1</v>
      </c>
      <c r="K408" s="1278">
        <f>F408-H408</f>
        <v>0</v>
      </c>
      <c r="L408" s="224">
        <f t="shared" si="53"/>
        <v>0</v>
      </c>
      <c r="M408" s="1269" t="str">
        <f t="shared" si="51"/>
        <v/>
      </c>
      <c r="N408" s="1285">
        <f>F408-H408</f>
        <v>0</v>
      </c>
      <c r="O408" s="326">
        <f>N408*E408</f>
        <v>0</v>
      </c>
    </row>
    <row r="409" spans="1:19" ht="30">
      <c r="A409" s="211" t="s">
        <v>1501</v>
      </c>
      <c r="B409" s="267" t="s">
        <v>1502</v>
      </c>
      <c r="C409" s="1301" t="s">
        <v>1503</v>
      </c>
      <c r="D409" s="211" t="s">
        <v>28</v>
      </c>
      <c r="E409" s="229">
        <v>36.81</v>
      </c>
      <c r="F409" s="211">
        <v>1</v>
      </c>
      <c r="G409" s="1289">
        <f t="shared" si="52"/>
        <v>36.81</v>
      </c>
      <c r="H409" s="1278">
        <v>1</v>
      </c>
      <c r="I409" s="224">
        <v>36.81</v>
      </c>
      <c r="J409" s="1269">
        <f t="shared" si="50"/>
        <v>1</v>
      </c>
      <c r="K409" s="1278">
        <f>F409-H409</f>
        <v>0</v>
      </c>
      <c r="L409" s="224">
        <f t="shared" si="53"/>
        <v>0</v>
      </c>
      <c r="M409" s="1269" t="str">
        <f t="shared" si="51"/>
        <v/>
      </c>
      <c r="N409" s="1285">
        <f>F409-H409</f>
        <v>0</v>
      </c>
      <c r="O409" s="326">
        <f>N409*E409</f>
        <v>0</v>
      </c>
    </row>
    <row r="410" spans="1:19" ht="30">
      <c r="A410" s="211" t="s">
        <v>1504</v>
      </c>
      <c r="B410" s="267" t="s">
        <v>1505</v>
      </c>
      <c r="C410" s="1301" t="s">
        <v>1506</v>
      </c>
      <c r="D410" s="211" t="s">
        <v>28</v>
      </c>
      <c r="E410" s="229">
        <v>69.2</v>
      </c>
      <c r="F410" s="211">
        <v>1</v>
      </c>
      <c r="G410" s="1289">
        <f t="shared" si="52"/>
        <v>69.2</v>
      </c>
      <c r="H410" s="1278">
        <v>1</v>
      </c>
      <c r="I410" s="224">
        <v>69.2</v>
      </c>
      <c r="J410" s="1269">
        <f t="shared" si="50"/>
        <v>1</v>
      </c>
      <c r="K410" s="1278">
        <f>F410-H410</f>
        <v>0</v>
      </c>
      <c r="L410" s="224">
        <f t="shared" si="53"/>
        <v>0</v>
      </c>
      <c r="M410" s="1269" t="str">
        <f t="shared" si="51"/>
        <v/>
      </c>
      <c r="N410" s="1285">
        <f>F410-H410</f>
        <v>0</v>
      </c>
      <c r="O410" s="326">
        <f>N410*E410</f>
        <v>0</v>
      </c>
    </row>
    <row r="411" spans="1:19" ht="60">
      <c r="A411" s="211" t="s">
        <v>1507</v>
      </c>
      <c r="B411" s="267" t="s">
        <v>1508</v>
      </c>
      <c r="C411" s="1301" t="s">
        <v>1509</v>
      </c>
      <c r="D411" s="211" t="s">
        <v>28</v>
      </c>
      <c r="E411" s="229">
        <v>156.38</v>
      </c>
      <c r="F411" s="211">
        <v>53</v>
      </c>
      <c r="G411" s="1289">
        <f t="shared" si="52"/>
        <v>8288.14</v>
      </c>
      <c r="H411" s="1278">
        <v>53</v>
      </c>
      <c r="I411" s="224">
        <v>8288.14</v>
      </c>
      <c r="J411" s="1269">
        <f t="shared" si="50"/>
        <v>1</v>
      </c>
      <c r="K411" s="1278">
        <f>F411-H411</f>
        <v>0</v>
      </c>
      <c r="L411" s="224">
        <f t="shared" si="53"/>
        <v>0</v>
      </c>
      <c r="M411" s="1269" t="str">
        <f t="shared" si="51"/>
        <v/>
      </c>
      <c r="N411" s="1285">
        <f>F411-H411</f>
        <v>0</v>
      </c>
      <c r="O411" s="326">
        <f>N411*E411</f>
        <v>0</v>
      </c>
    </row>
    <row r="412" spans="1:19" ht="60">
      <c r="A412" s="211" t="s">
        <v>1510</v>
      </c>
      <c r="B412" s="267" t="s">
        <v>1511</v>
      </c>
      <c r="C412" s="1301" t="s">
        <v>1512</v>
      </c>
      <c r="D412" s="211" t="s">
        <v>28</v>
      </c>
      <c r="E412" s="229">
        <v>161.12</v>
      </c>
      <c r="F412" s="211">
        <v>2</v>
      </c>
      <c r="G412" s="1289">
        <f t="shared" si="52"/>
        <v>322.24</v>
      </c>
      <c r="H412" s="1278">
        <v>2</v>
      </c>
      <c r="I412" s="224">
        <v>322.24</v>
      </c>
      <c r="J412" s="1269">
        <f t="shared" si="50"/>
        <v>1</v>
      </c>
      <c r="K412" s="1278">
        <f>F412-H412</f>
        <v>0</v>
      </c>
      <c r="L412" s="224">
        <f t="shared" si="53"/>
        <v>0</v>
      </c>
      <c r="M412" s="1269" t="str">
        <f t="shared" si="51"/>
        <v/>
      </c>
      <c r="N412" s="1285">
        <f>F412-H412</f>
        <v>0</v>
      </c>
      <c r="O412" s="326">
        <f>N412*E412</f>
        <v>0</v>
      </c>
    </row>
    <row r="413" spans="1:19" ht="60">
      <c r="A413" s="211" t="s">
        <v>1513</v>
      </c>
      <c r="B413" s="267" t="s">
        <v>1514</v>
      </c>
      <c r="C413" s="1301" t="s">
        <v>1515</v>
      </c>
      <c r="D413" s="211" t="s">
        <v>28</v>
      </c>
      <c r="E413" s="229">
        <v>259.02999999999997</v>
      </c>
      <c r="F413" s="211">
        <v>53</v>
      </c>
      <c r="G413" s="1289">
        <f t="shared" si="52"/>
        <v>13728.589999999998</v>
      </c>
      <c r="H413" s="1278">
        <v>53</v>
      </c>
      <c r="I413" s="224">
        <v>13728.589999999998</v>
      </c>
      <c r="J413" s="1269">
        <f t="shared" si="50"/>
        <v>1</v>
      </c>
      <c r="K413" s="1278">
        <f>F413-H413</f>
        <v>0</v>
      </c>
      <c r="L413" s="224">
        <f t="shared" si="53"/>
        <v>0</v>
      </c>
      <c r="M413" s="1269" t="str">
        <f t="shared" si="51"/>
        <v/>
      </c>
      <c r="N413" s="1285">
        <f>F413-H413</f>
        <v>0</v>
      </c>
      <c r="O413" s="326">
        <f>N413*E413</f>
        <v>0</v>
      </c>
    </row>
    <row r="414" spans="1:19" ht="45">
      <c r="A414" s="211" t="s">
        <v>1516</v>
      </c>
      <c r="B414" s="267" t="s">
        <v>1517</v>
      </c>
      <c r="C414" s="1301" t="s">
        <v>1518</v>
      </c>
      <c r="D414" s="211" t="s">
        <v>28</v>
      </c>
      <c r="E414" s="229">
        <v>100.58</v>
      </c>
      <c r="F414" s="211">
        <v>1</v>
      </c>
      <c r="G414" s="1289">
        <f t="shared" si="52"/>
        <v>100.58</v>
      </c>
      <c r="H414" s="1278">
        <v>1</v>
      </c>
      <c r="I414" s="224">
        <v>100.58</v>
      </c>
      <c r="J414" s="1269">
        <f t="shared" si="50"/>
        <v>1</v>
      </c>
      <c r="K414" s="1278">
        <f>F414-H414</f>
        <v>0</v>
      </c>
      <c r="L414" s="224">
        <f t="shared" si="53"/>
        <v>0</v>
      </c>
      <c r="M414" s="1269" t="str">
        <f t="shared" si="51"/>
        <v/>
      </c>
      <c r="N414" s="1285">
        <f>F414-H414</f>
        <v>0</v>
      </c>
      <c r="O414" s="326">
        <f>N414*E414</f>
        <v>0</v>
      </c>
    </row>
    <row r="415" spans="1:19" s="231" customFormat="1">
      <c r="A415" s="251" t="s">
        <v>1519</v>
      </c>
      <c r="B415" s="1442" t="s">
        <v>1520</v>
      </c>
      <c r="C415" s="1442"/>
      <c r="D415" s="1442"/>
      <c r="E415" s="1442"/>
      <c r="F415" s="1442"/>
      <c r="G415" s="1296">
        <f>SUM(G416:G429)</f>
        <v>188794.42</v>
      </c>
      <c r="H415" s="1277">
        <v>0</v>
      </c>
      <c r="I415" s="255">
        <v>188794.41999999998</v>
      </c>
      <c r="J415" s="1268">
        <f>I415/$G415</f>
        <v>0.99999999999999989</v>
      </c>
      <c r="K415" s="1277">
        <f>F415-H415</f>
        <v>0</v>
      </c>
      <c r="L415" s="255">
        <f>SUM(L416:L429)</f>
        <v>0</v>
      </c>
      <c r="M415" s="1268">
        <f>L415/$G415</f>
        <v>0</v>
      </c>
      <c r="N415" s="1285">
        <f>F415-H415</f>
        <v>0</v>
      </c>
      <c r="O415" s="326">
        <f>N415*E415</f>
        <v>0</v>
      </c>
    </row>
    <row r="416" spans="1:19" ht="45">
      <c r="A416" s="211" t="s">
        <v>1521</v>
      </c>
      <c r="B416" s="267" t="s">
        <v>333</v>
      </c>
      <c r="C416" s="1301" t="s">
        <v>334</v>
      </c>
      <c r="D416" s="211" t="s">
        <v>44</v>
      </c>
      <c r="E416" s="229">
        <v>8.1199999999999992</v>
      </c>
      <c r="F416" s="214">
        <v>6679</v>
      </c>
      <c r="G416" s="1289">
        <f t="shared" si="52"/>
        <v>54233.479999999996</v>
      </c>
      <c r="H416" s="1278">
        <v>6678.9999999999991</v>
      </c>
      <c r="I416" s="224">
        <v>54233.479999999989</v>
      </c>
      <c r="J416" s="1269">
        <f t="shared" si="50"/>
        <v>0.99999999999999989</v>
      </c>
      <c r="K416" s="1278">
        <f>F416-H416</f>
        <v>0</v>
      </c>
      <c r="L416" s="224">
        <f t="shared" ref="L416:L429" si="54">K416*$E416</f>
        <v>0</v>
      </c>
      <c r="M416" s="1269" t="str">
        <f t="shared" si="51"/>
        <v/>
      </c>
      <c r="N416" s="1285">
        <f>F416-H416</f>
        <v>0</v>
      </c>
      <c r="O416" s="326">
        <f>N416*E416</f>
        <v>0</v>
      </c>
    </row>
    <row r="417" spans="1:15" ht="45">
      <c r="A417" s="211" t="s">
        <v>1522</v>
      </c>
      <c r="B417" s="267" t="s">
        <v>1303</v>
      </c>
      <c r="C417" s="1301" t="s">
        <v>1304</v>
      </c>
      <c r="D417" s="211" t="s">
        <v>44</v>
      </c>
      <c r="E417" s="229">
        <v>31.28</v>
      </c>
      <c r="F417" s="211">
        <v>102</v>
      </c>
      <c r="G417" s="1289">
        <f t="shared" si="52"/>
        <v>3190.56</v>
      </c>
      <c r="H417" s="1278">
        <v>102</v>
      </c>
      <c r="I417" s="224">
        <v>3190.56</v>
      </c>
      <c r="J417" s="1269">
        <f t="shared" si="50"/>
        <v>1</v>
      </c>
      <c r="K417" s="1278">
        <f>F417-H417</f>
        <v>0</v>
      </c>
      <c r="L417" s="224">
        <f t="shared" si="54"/>
        <v>0</v>
      </c>
      <c r="M417" s="1269" t="str">
        <f t="shared" si="51"/>
        <v/>
      </c>
      <c r="N417" s="1285">
        <f>F417-H417</f>
        <v>0</v>
      </c>
      <c r="O417" s="326">
        <f>N417*E417</f>
        <v>0</v>
      </c>
    </row>
    <row r="418" spans="1:15" ht="45">
      <c r="A418" s="211" t="s">
        <v>1523</v>
      </c>
      <c r="B418" s="267" t="s">
        <v>1524</v>
      </c>
      <c r="C418" s="1301" t="s">
        <v>1525</v>
      </c>
      <c r="D418" s="211" t="s">
        <v>44</v>
      </c>
      <c r="E418" s="229">
        <v>20.399999999999999</v>
      </c>
      <c r="F418" s="211">
        <v>201</v>
      </c>
      <c r="G418" s="1289">
        <f t="shared" si="52"/>
        <v>4100.3999999999996</v>
      </c>
      <c r="H418" s="1278">
        <v>201</v>
      </c>
      <c r="I418" s="224">
        <v>4100.3999999999996</v>
      </c>
      <c r="J418" s="1269">
        <f t="shared" si="50"/>
        <v>1</v>
      </c>
      <c r="K418" s="1278">
        <f>F418-H418</f>
        <v>0</v>
      </c>
      <c r="L418" s="224">
        <f t="shared" si="54"/>
        <v>0</v>
      </c>
      <c r="M418" s="1269" t="str">
        <f t="shared" si="51"/>
        <v/>
      </c>
      <c r="N418" s="1285">
        <f>F418-H418</f>
        <v>0</v>
      </c>
      <c r="O418" s="326">
        <f>N418*E418</f>
        <v>0</v>
      </c>
    </row>
    <row r="419" spans="1:15" ht="60">
      <c r="A419" s="211" t="s">
        <v>1526</v>
      </c>
      <c r="B419" s="267" t="s">
        <v>1527</v>
      </c>
      <c r="C419" s="1301" t="s">
        <v>1528</v>
      </c>
      <c r="D419" s="211" t="s">
        <v>44</v>
      </c>
      <c r="E419" s="229">
        <v>75.3</v>
      </c>
      <c r="F419" s="211">
        <v>24</v>
      </c>
      <c r="G419" s="1289">
        <f t="shared" si="52"/>
        <v>1807.1999999999998</v>
      </c>
      <c r="H419" s="1278">
        <v>24</v>
      </c>
      <c r="I419" s="224">
        <v>1807.1999999999998</v>
      </c>
      <c r="J419" s="1269">
        <f t="shared" si="50"/>
        <v>1</v>
      </c>
      <c r="K419" s="1278">
        <f>F419-H419</f>
        <v>0</v>
      </c>
      <c r="L419" s="224">
        <f t="shared" si="54"/>
        <v>0</v>
      </c>
      <c r="M419" s="1269" t="str">
        <f t="shared" si="51"/>
        <v/>
      </c>
      <c r="N419" s="1285">
        <f>F419-H419</f>
        <v>0</v>
      </c>
      <c r="O419" s="326">
        <f>N419*E419</f>
        <v>0</v>
      </c>
    </row>
    <row r="420" spans="1:15" ht="45">
      <c r="A420" s="211" t="s">
        <v>1529</v>
      </c>
      <c r="B420" s="267" t="s">
        <v>1530</v>
      </c>
      <c r="C420" s="1301" t="s">
        <v>1531</v>
      </c>
      <c r="D420" s="211" t="s">
        <v>44</v>
      </c>
      <c r="E420" s="229">
        <v>12.16</v>
      </c>
      <c r="F420" s="214">
        <v>3815</v>
      </c>
      <c r="G420" s="1289">
        <f t="shared" si="52"/>
        <v>46390.400000000001</v>
      </c>
      <c r="H420" s="1278">
        <v>3815</v>
      </c>
      <c r="I420" s="224">
        <v>46390.400000000001</v>
      </c>
      <c r="J420" s="1269">
        <f t="shared" si="50"/>
        <v>1</v>
      </c>
      <c r="K420" s="1278">
        <f>F420-H420</f>
        <v>0</v>
      </c>
      <c r="L420" s="224">
        <f t="shared" si="54"/>
        <v>0</v>
      </c>
      <c r="M420" s="1269" t="str">
        <f t="shared" si="51"/>
        <v/>
      </c>
      <c r="N420" s="1285">
        <f>F420-H420</f>
        <v>0</v>
      </c>
      <c r="O420" s="326">
        <f>N420*E420</f>
        <v>0</v>
      </c>
    </row>
    <row r="421" spans="1:15" ht="30">
      <c r="A421" s="211" t="s">
        <v>1532</v>
      </c>
      <c r="B421" s="267" t="s">
        <v>1533</v>
      </c>
      <c r="C421" s="1301" t="s">
        <v>1534</v>
      </c>
      <c r="D421" s="211" t="s">
        <v>44</v>
      </c>
      <c r="E421" s="229">
        <v>129.83000000000001</v>
      </c>
      <c r="F421" s="211">
        <v>96</v>
      </c>
      <c r="G421" s="1289">
        <f t="shared" si="52"/>
        <v>12463.68</v>
      </c>
      <c r="H421" s="1278">
        <v>96</v>
      </c>
      <c r="I421" s="224">
        <v>12463.68</v>
      </c>
      <c r="J421" s="1269">
        <f t="shared" si="50"/>
        <v>1</v>
      </c>
      <c r="K421" s="1278">
        <f>F421-H421</f>
        <v>0</v>
      </c>
      <c r="L421" s="224">
        <f t="shared" si="54"/>
        <v>0</v>
      </c>
      <c r="M421" s="1269" t="str">
        <f t="shared" si="51"/>
        <v/>
      </c>
      <c r="N421" s="1285">
        <f>F421-H421</f>
        <v>0</v>
      </c>
      <c r="O421" s="326">
        <f>N421*E421</f>
        <v>0</v>
      </c>
    </row>
    <row r="422" spans="1:15" ht="30">
      <c r="A422" s="211" t="s">
        <v>1535</v>
      </c>
      <c r="B422" s="267" t="s">
        <v>1536</v>
      </c>
      <c r="C422" s="1301" t="s">
        <v>1537</v>
      </c>
      <c r="D422" s="211" t="s">
        <v>44</v>
      </c>
      <c r="E422" s="229">
        <v>52.63</v>
      </c>
      <c r="F422" s="211">
        <v>292</v>
      </c>
      <c r="G422" s="1289">
        <f t="shared" si="52"/>
        <v>15367.960000000001</v>
      </c>
      <c r="H422" s="1278">
        <v>292</v>
      </c>
      <c r="I422" s="224">
        <v>15367.960000000001</v>
      </c>
      <c r="J422" s="1269">
        <f t="shared" si="50"/>
        <v>1</v>
      </c>
      <c r="K422" s="1278">
        <f>F422-H422</f>
        <v>0</v>
      </c>
      <c r="L422" s="224">
        <f t="shared" si="54"/>
        <v>0</v>
      </c>
      <c r="M422" s="1269" t="str">
        <f t="shared" si="51"/>
        <v/>
      </c>
      <c r="N422" s="1285">
        <f>F422-H422</f>
        <v>0</v>
      </c>
      <c r="O422" s="326">
        <f>N422*E422</f>
        <v>0</v>
      </c>
    </row>
    <row r="423" spans="1:15" ht="30">
      <c r="A423" s="211" t="s">
        <v>1538</v>
      </c>
      <c r="B423" s="267" t="s">
        <v>1539</v>
      </c>
      <c r="C423" s="1301" t="s">
        <v>1540</v>
      </c>
      <c r="D423" s="211" t="s">
        <v>44</v>
      </c>
      <c r="E423" s="229">
        <v>38.93</v>
      </c>
      <c r="F423" s="211">
        <v>116</v>
      </c>
      <c r="G423" s="1289">
        <f t="shared" si="52"/>
        <v>4515.88</v>
      </c>
      <c r="H423" s="1278">
        <v>116</v>
      </c>
      <c r="I423" s="224">
        <v>4515.88</v>
      </c>
      <c r="J423" s="1269">
        <f t="shared" si="50"/>
        <v>1</v>
      </c>
      <c r="K423" s="1278">
        <f>F423-H423</f>
        <v>0</v>
      </c>
      <c r="L423" s="224">
        <f t="shared" si="54"/>
        <v>0</v>
      </c>
      <c r="M423" s="1269" t="str">
        <f t="shared" si="51"/>
        <v/>
      </c>
      <c r="N423" s="1285">
        <f>F423-H423</f>
        <v>0</v>
      </c>
      <c r="O423" s="326">
        <f>N423*E423</f>
        <v>0</v>
      </c>
    </row>
    <row r="424" spans="1:15" ht="45">
      <c r="A424" s="211" t="s">
        <v>1541</v>
      </c>
      <c r="B424" s="267" t="s">
        <v>1542</v>
      </c>
      <c r="C424" s="1301" t="s">
        <v>1543</v>
      </c>
      <c r="D424" s="211" t="s">
        <v>28</v>
      </c>
      <c r="E424" s="229">
        <v>50.84</v>
      </c>
      <c r="F424" s="211">
        <v>138</v>
      </c>
      <c r="G424" s="1289">
        <f t="shared" si="52"/>
        <v>7015.92</v>
      </c>
      <c r="H424" s="1278">
        <v>138</v>
      </c>
      <c r="I424" s="224">
        <v>7015.92</v>
      </c>
      <c r="J424" s="1269">
        <f t="shared" si="50"/>
        <v>1</v>
      </c>
      <c r="K424" s="1278">
        <f>F424-H424</f>
        <v>0</v>
      </c>
      <c r="L424" s="224">
        <f t="shared" si="54"/>
        <v>0</v>
      </c>
      <c r="M424" s="1269" t="str">
        <f t="shared" si="51"/>
        <v/>
      </c>
      <c r="N424" s="1285">
        <f>F424-H424</f>
        <v>0</v>
      </c>
      <c r="O424" s="326">
        <f>N424*E424</f>
        <v>0</v>
      </c>
    </row>
    <row r="425" spans="1:15" ht="45">
      <c r="A425" s="211" t="s">
        <v>1544</v>
      </c>
      <c r="B425" s="267" t="s">
        <v>1545</v>
      </c>
      <c r="C425" s="1301" t="s">
        <v>1546</v>
      </c>
      <c r="D425" s="211" t="s">
        <v>28</v>
      </c>
      <c r="E425" s="229">
        <v>36.96</v>
      </c>
      <c r="F425" s="211">
        <v>20</v>
      </c>
      <c r="G425" s="1289">
        <f t="shared" si="52"/>
        <v>739.2</v>
      </c>
      <c r="H425" s="1278">
        <v>20</v>
      </c>
      <c r="I425" s="224">
        <v>739.2</v>
      </c>
      <c r="J425" s="1269">
        <f t="shared" si="50"/>
        <v>1</v>
      </c>
      <c r="K425" s="1278">
        <f>F425-H425</f>
        <v>0</v>
      </c>
      <c r="L425" s="224">
        <f t="shared" si="54"/>
        <v>0</v>
      </c>
      <c r="M425" s="1269" t="str">
        <f t="shared" si="51"/>
        <v/>
      </c>
      <c r="N425" s="1285">
        <f>F425-H425</f>
        <v>0</v>
      </c>
      <c r="O425" s="326">
        <f>N425*E425</f>
        <v>0</v>
      </c>
    </row>
    <row r="426" spans="1:15" ht="45">
      <c r="A426" s="211" t="s">
        <v>1547</v>
      </c>
      <c r="B426" s="267" t="s">
        <v>1548</v>
      </c>
      <c r="C426" s="1301" t="s">
        <v>1549</v>
      </c>
      <c r="D426" s="211" t="s">
        <v>44</v>
      </c>
      <c r="E426" s="229">
        <v>9.26</v>
      </c>
      <c r="F426" s="211">
        <v>240</v>
      </c>
      <c r="G426" s="1289">
        <f t="shared" si="52"/>
        <v>2222.4</v>
      </c>
      <c r="H426" s="1278">
        <v>240</v>
      </c>
      <c r="I426" s="224">
        <v>2222.4</v>
      </c>
      <c r="J426" s="1269">
        <f t="shared" si="50"/>
        <v>1</v>
      </c>
      <c r="K426" s="1278">
        <f>F426-H426</f>
        <v>0</v>
      </c>
      <c r="L426" s="224">
        <f t="shared" si="54"/>
        <v>0</v>
      </c>
      <c r="M426" s="1269" t="str">
        <f t="shared" si="51"/>
        <v/>
      </c>
      <c r="N426" s="1285">
        <f>F426-H426</f>
        <v>0</v>
      </c>
      <c r="O426" s="326">
        <f>N426*E426</f>
        <v>0</v>
      </c>
    </row>
    <row r="427" spans="1:15" ht="30">
      <c r="A427" s="211" t="s">
        <v>1550</v>
      </c>
      <c r="B427" s="267" t="s">
        <v>1551</v>
      </c>
      <c r="C427" s="1301" t="s">
        <v>1552</v>
      </c>
      <c r="D427" s="211" t="s">
        <v>44</v>
      </c>
      <c r="E427" s="229">
        <v>15.21</v>
      </c>
      <c r="F427" s="211">
        <v>322</v>
      </c>
      <c r="G427" s="1289">
        <f t="shared" si="52"/>
        <v>4897.62</v>
      </c>
      <c r="H427" s="1278">
        <v>322</v>
      </c>
      <c r="I427" s="224">
        <v>4897.62</v>
      </c>
      <c r="J427" s="1269">
        <f t="shared" si="50"/>
        <v>1</v>
      </c>
      <c r="K427" s="1278">
        <f>F427-H427</f>
        <v>0</v>
      </c>
      <c r="L427" s="224">
        <f t="shared" si="54"/>
        <v>0</v>
      </c>
      <c r="M427" s="1269" t="str">
        <f t="shared" si="51"/>
        <v/>
      </c>
      <c r="N427" s="1285">
        <f>F427-H427</f>
        <v>0</v>
      </c>
      <c r="O427" s="326">
        <f>N427*E427</f>
        <v>0</v>
      </c>
    </row>
    <row r="428" spans="1:15" ht="45">
      <c r="A428" s="211" t="s">
        <v>1553</v>
      </c>
      <c r="B428" s="267" t="s">
        <v>336</v>
      </c>
      <c r="C428" s="1301" t="s">
        <v>337</v>
      </c>
      <c r="D428" s="211" t="s">
        <v>44</v>
      </c>
      <c r="E428" s="229">
        <v>11.2</v>
      </c>
      <c r="F428" s="214">
        <v>2635</v>
      </c>
      <c r="G428" s="1289">
        <f t="shared" si="52"/>
        <v>29511.999999999996</v>
      </c>
      <c r="H428" s="1278">
        <v>2635.0000000000005</v>
      </c>
      <c r="I428" s="224">
        <v>29512.000000000004</v>
      </c>
      <c r="J428" s="1269">
        <f t="shared" si="50"/>
        <v>1.0000000000000002</v>
      </c>
      <c r="K428" s="1278">
        <f>F428-H428</f>
        <v>0</v>
      </c>
      <c r="L428" s="224">
        <f t="shared" si="54"/>
        <v>0</v>
      </c>
      <c r="M428" s="1269" t="str">
        <f t="shared" si="51"/>
        <v/>
      </c>
      <c r="N428" s="1285">
        <f>F428-H428</f>
        <v>0</v>
      </c>
      <c r="O428" s="326">
        <f>N428*E428</f>
        <v>0</v>
      </c>
    </row>
    <row r="429" spans="1:15" ht="45">
      <c r="A429" s="211" t="s">
        <v>1554</v>
      </c>
      <c r="B429" s="267" t="s">
        <v>339</v>
      </c>
      <c r="C429" s="1301" t="s">
        <v>340</v>
      </c>
      <c r="D429" s="211" t="s">
        <v>44</v>
      </c>
      <c r="E429" s="229">
        <v>14.52</v>
      </c>
      <c r="F429" s="211">
        <v>161</v>
      </c>
      <c r="G429" s="1289">
        <f t="shared" si="52"/>
        <v>2337.7199999999998</v>
      </c>
      <c r="H429" s="1278">
        <v>161</v>
      </c>
      <c r="I429" s="224">
        <v>2337.7199999999998</v>
      </c>
      <c r="J429" s="1269">
        <f t="shared" si="50"/>
        <v>1</v>
      </c>
      <c r="K429" s="1278">
        <f>F429-H429</f>
        <v>0</v>
      </c>
      <c r="L429" s="224">
        <f t="shared" si="54"/>
        <v>0</v>
      </c>
      <c r="M429" s="1269" t="str">
        <f t="shared" si="51"/>
        <v/>
      </c>
      <c r="N429" s="1285">
        <f>F429-H429</f>
        <v>0</v>
      </c>
      <c r="O429" s="326">
        <f>N429*E429</f>
        <v>0</v>
      </c>
    </row>
    <row r="430" spans="1:15" s="231" customFormat="1">
      <c r="A430" s="251" t="s">
        <v>1555</v>
      </c>
      <c r="B430" s="1442" t="s">
        <v>1556</v>
      </c>
      <c r="C430" s="1442"/>
      <c r="D430" s="1442"/>
      <c r="E430" s="1442"/>
      <c r="F430" s="1442"/>
      <c r="G430" s="1296">
        <f>SUM(G431:G442)</f>
        <v>11978.380000000001</v>
      </c>
      <c r="H430" s="1277">
        <v>0</v>
      </c>
      <c r="I430" s="255">
        <v>11978.380000000001</v>
      </c>
      <c r="J430" s="1268">
        <f>I430/$G430</f>
        <v>1</v>
      </c>
      <c r="K430" s="1277">
        <f>F430-H430</f>
        <v>0</v>
      </c>
      <c r="L430" s="255">
        <f>SUM(L431:L442)</f>
        <v>0</v>
      </c>
      <c r="M430" s="1268">
        <f>L430/$G430</f>
        <v>0</v>
      </c>
      <c r="N430" s="1285">
        <f>F430-H430</f>
        <v>0</v>
      </c>
      <c r="O430" s="326">
        <f>N430*E430</f>
        <v>0</v>
      </c>
    </row>
    <row r="431" spans="1:15" ht="30">
      <c r="A431" s="211" t="s">
        <v>1557</v>
      </c>
      <c r="B431" s="267" t="s">
        <v>1558</v>
      </c>
      <c r="C431" s="1301" t="s">
        <v>1559</v>
      </c>
      <c r="D431" s="211" t="s">
        <v>28</v>
      </c>
      <c r="E431" s="229">
        <v>175.67</v>
      </c>
      <c r="F431" s="211">
        <v>1</v>
      </c>
      <c r="G431" s="1289">
        <f t="shared" si="52"/>
        <v>175.67</v>
      </c>
      <c r="H431" s="1278">
        <v>1</v>
      </c>
      <c r="I431" s="224">
        <v>175.67</v>
      </c>
      <c r="J431" s="1269">
        <f t="shared" si="50"/>
        <v>1</v>
      </c>
      <c r="K431" s="1278">
        <f>F431-H431</f>
        <v>0</v>
      </c>
      <c r="L431" s="224">
        <f t="shared" ref="L431:L442" si="55">K431*$E431</f>
        <v>0</v>
      </c>
      <c r="M431" s="1269" t="str">
        <f t="shared" si="51"/>
        <v/>
      </c>
      <c r="N431" s="1285">
        <f>F431-H431</f>
        <v>0</v>
      </c>
      <c r="O431" s="326">
        <f>N431*E431</f>
        <v>0</v>
      </c>
    </row>
    <row r="432" spans="1:15" ht="45">
      <c r="A432" s="211" t="s">
        <v>1560</v>
      </c>
      <c r="B432" s="267" t="s">
        <v>321</v>
      </c>
      <c r="C432" s="1301" t="s">
        <v>322</v>
      </c>
      <c r="D432" s="211" t="s">
        <v>28</v>
      </c>
      <c r="E432" s="229">
        <v>25.9</v>
      </c>
      <c r="F432" s="211">
        <v>11</v>
      </c>
      <c r="G432" s="1289">
        <f t="shared" si="52"/>
        <v>284.89999999999998</v>
      </c>
      <c r="H432" s="1278">
        <v>11</v>
      </c>
      <c r="I432" s="224">
        <v>284.89999999999998</v>
      </c>
      <c r="J432" s="1269">
        <f t="shared" si="50"/>
        <v>1</v>
      </c>
      <c r="K432" s="1278">
        <f>F432-H432</f>
        <v>0</v>
      </c>
      <c r="L432" s="224">
        <f t="shared" si="55"/>
        <v>0</v>
      </c>
      <c r="M432" s="1269" t="str">
        <f t="shared" si="51"/>
        <v/>
      </c>
      <c r="N432" s="1285">
        <f>F432-H432</f>
        <v>0</v>
      </c>
      <c r="O432" s="326">
        <f>N432*E432</f>
        <v>0</v>
      </c>
    </row>
    <row r="433" spans="1:15" ht="45">
      <c r="A433" s="211" t="s">
        <v>1561</v>
      </c>
      <c r="B433" s="267" t="s">
        <v>327</v>
      </c>
      <c r="C433" s="1301" t="s">
        <v>328</v>
      </c>
      <c r="D433" s="211" t="s">
        <v>28</v>
      </c>
      <c r="E433" s="229">
        <v>25.9</v>
      </c>
      <c r="F433" s="211">
        <v>55</v>
      </c>
      <c r="G433" s="1289">
        <f t="shared" si="52"/>
        <v>1424.5</v>
      </c>
      <c r="H433" s="1278">
        <v>55</v>
      </c>
      <c r="I433" s="224">
        <v>1424.5</v>
      </c>
      <c r="J433" s="1269">
        <f t="shared" si="50"/>
        <v>1</v>
      </c>
      <c r="K433" s="1278">
        <f>F433-H433</f>
        <v>0</v>
      </c>
      <c r="L433" s="224">
        <f t="shared" si="55"/>
        <v>0</v>
      </c>
      <c r="M433" s="1269" t="str">
        <f t="shared" si="51"/>
        <v/>
      </c>
      <c r="N433" s="1285">
        <f>F433-H433</f>
        <v>0</v>
      </c>
      <c r="O433" s="326">
        <f>N433*E433</f>
        <v>0</v>
      </c>
    </row>
    <row r="434" spans="1:15" ht="45">
      <c r="A434" s="211" t="s">
        <v>1562</v>
      </c>
      <c r="B434" s="267" t="s">
        <v>1563</v>
      </c>
      <c r="C434" s="1301" t="s">
        <v>1564</v>
      </c>
      <c r="D434" s="211" t="s">
        <v>28</v>
      </c>
      <c r="E434" s="229">
        <v>25.9</v>
      </c>
      <c r="F434" s="211">
        <v>14</v>
      </c>
      <c r="G434" s="1289">
        <f t="shared" si="52"/>
        <v>362.59999999999997</v>
      </c>
      <c r="H434" s="1278">
        <v>14</v>
      </c>
      <c r="I434" s="224">
        <v>362.59999999999997</v>
      </c>
      <c r="J434" s="1269">
        <f t="shared" si="50"/>
        <v>1</v>
      </c>
      <c r="K434" s="1278">
        <f>F434-H434</f>
        <v>0</v>
      </c>
      <c r="L434" s="224">
        <f t="shared" si="55"/>
        <v>0</v>
      </c>
      <c r="M434" s="1269" t="str">
        <f t="shared" si="51"/>
        <v/>
      </c>
      <c r="N434" s="1285">
        <f>F434-H434</f>
        <v>0</v>
      </c>
      <c r="O434" s="326">
        <f>N434*E434</f>
        <v>0</v>
      </c>
    </row>
    <row r="435" spans="1:15" ht="45">
      <c r="A435" s="211" t="s">
        <v>1565</v>
      </c>
      <c r="B435" s="267" t="s">
        <v>1566</v>
      </c>
      <c r="C435" s="1301" t="s">
        <v>1567</v>
      </c>
      <c r="D435" s="211" t="s">
        <v>28</v>
      </c>
      <c r="E435" s="229">
        <v>29.12</v>
      </c>
      <c r="F435" s="211">
        <v>3</v>
      </c>
      <c r="G435" s="1289">
        <f t="shared" si="52"/>
        <v>87.36</v>
      </c>
      <c r="H435" s="1278">
        <v>3</v>
      </c>
      <c r="I435" s="224">
        <v>87.36</v>
      </c>
      <c r="J435" s="1269">
        <f t="shared" si="50"/>
        <v>1</v>
      </c>
      <c r="K435" s="1278">
        <f>F435-H435</f>
        <v>0</v>
      </c>
      <c r="L435" s="224">
        <f t="shared" si="55"/>
        <v>0</v>
      </c>
      <c r="M435" s="1269" t="str">
        <f t="shared" si="51"/>
        <v/>
      </c>
      <c r="N435" s="1285">
        <f>F435-H435</f>
        <v>0</v>
      </c>
      <c r="O435" s="326">
        <f>N435*E435</f>
        <v>0</v>
      </c>
    </row>
    <row r="436" spans="1:15" ht="45">
      <c r="A436" s="211" t="s">
        <v>1568</v>
      </c>
      <c r="B436" s="267" t="s">
        <v>330</v>
      </c>
      <c r="C436" s="1301" t="s">
        <v>331</v>
      </c>
      <c r="D436" s="211" t="s">
        <v>28</v>
      </c>
      <c r="E436" s="229">
        <v>70.989999999999995</v>
      </c>
      <c r="F436" s="211">
        <v>27</v>
      </c>
      <c r="G436" s="1289">
        <f t="shared" si="52"/>
        <v>1916.7299999999998</v>
      </c>
      <c r="H436" s="1278">
        <v>27</v>
      </c>
      <c r="I436" s="224">
        <v>1916.7299999999998</v>
      </c>
      <c r="J436" s="1269">
        <f t="shared" si="50"/>
        <v>1</v>
      </c>
      <c r="K436" s="1278">
        <f>F436-H436</f>
        <v>0</v>
      </c>
      <c r="L436" s="224">
        <f t="shared" si="55"/>
        <v>0</v>
      </c>
      <c r="M436" s="1269" t="str">
        <f t="shared" si="51"/>
        <v/>
      </c>
      <c r="N436" s="1285">
        <f>F436-H436</f>
        <v>0</v>
      </c>
      <c r="O436" s="326">
        <f>N436*E436</f>
        <v>0</v>
      </c>
    </row>
    <row r="437" spans="1:15" ht="45">
      <c r="A437" s="211" t="s">
        <v>1569</v>
      </c>
      <c r="B437" s="267" t="s">
        <v>1570</v>
      </c>
      <c r="C437" s="1301" t="s">
        <v>1571</v>
      </c>
      <c r="D437" s="211" t="s">
        <v>28</v>
      </c>
      <c r="E437" s="229">
        <v>70.989999999999995</v>
      </c>
      <c r="F437" s="211">
        <v>7</v>
      </c>
      <c r="G437" s="1289">
        <f t="shared" si="52"/>
        <v>496.92999999999995</v>
      </c>
      <c r="H437" s="1278">
        <v>7</v>
      </c>
      <c r="I437" s="224">
        <v>496.92999999999995</v>
      </c>
      <c r="J437" s="1269">
        <f t="shared" si="50"/>
        <v>1</v>
      </c>
      <c r="K437" s="1278">
        <f>F437-H437</f>
        <v>0</v>
      </c>
      <c r="L437" s="224">
        <f t="shared" si="55"/>
        <v>0</v>
      </c>
      <c r="M437" s="1269" t="str">
        <f t="shared" si="51"/>
        <v/>
      </c>
      <c r="N437" s="1285">
        <f>F437-H437</f>
        <v>0</v>
      </c>
      <c r="O437" s="326">
        <f>N437*E437</f>
        <v>0</v>
      </c>
    </row>
    <row r="438" spans="1:15" ht="45">
      <c r="A438" s="211" t="s">
        <v>1572</v>
      </c>
      <c r="B438" s="267" t="s">
        <v>1573</v>
      </c>
      <c r="C438" s="1301" t="s">
        <v>1574</v>
      </c>
      <c r="D438" s="211" t="s">
        <v>28</v>
      </c>
      <c r="E438" s="229">
        <v>180.01</v>
      </c>
      <c r="F438" s="211">
        <v>1</v>
      </c>
      <c r="G438" s="1289">
        <f t="shared" si="52"/>
        <v>180.01</v>
      </c>
      <c r="H438" s="1278">
        <v>1</v>
      </c>
      <c r="I438" s="224">
        <v>180.01</v>
      </c>
      <c r="J438" s="1269">
        <f t="shared" si="50"/>
        <v>1</v>
      </c>
      <c r="K438" s="1278">
        <f>F438-H438</f>
        <v>0</v>
      </c>
      <c r="L438" s="224">
        <f t="shared" si="55"/>
        <v>0</v>
      </c>
      <c r="M438" s="1269" t="str">
        <f t="shared" si="51"/>
        <v/>
      </c>
      <c r="N438" s="1285">
        <f>F438-H438</f>
        <v>0</v>
      </c>
      <c r="O438" s="326">
        <f>N438*E438</f>
        <v>0</v>
      </c>
    </row>
    <row r="439" spans="1:15" ht="45">
      <c r="A439" s="211" t="s">
        <v>1575</v>
      </c>
      <c r="B439" s="267" t="s">
        <v>1576</v>
      </c>
      <c r="C439" s="1301" t="s">
        <v>1577</v>
      </c>
      <c r="D439" s="211" t="s">
        <v>28</v>
      </c>
      <c r="E439" s="229">
        <v>210.23</v>
      </c>
      <c r="F439" s="211">
        <v>1</v>
      </c>
      <c r="G439" s="1289">
        <f t="shared" si="52"/>
        <v>210.23</v>
      </c>
      <c r="H439" s="1278">
        <v>1</v>
      </c>
      <c r="I439" s="224">
        <v>210.23</v>
      </c>
      <c r="J439" s="1269">
        <f t="shared" si="50"/>
        <v>1</v>
      </c>
      <c r="K439" s="1278">
        <f>F439-H439</f>
        <v>0</v>
      </c>
      <c r="L439" s="224">
        <f t="shared" si="55"/>
        <v>0</v>
      </c>
      <c r="M439" s="1269" t="str">
        <f t="shared" si="51"/>
        <v/>
      </c>
      <c r="N439" s="1285">
        <f>F439-H439</f>
        <v>0</v>
      </c>
      <c r="O439" s="326">
        <f>N439*E439</f>
        <v>0</v>
      </c>
    </row>
    <row r="440" spans="1:15" ht="60">
      <c r="A440" s="211" t="s">
        <v>1578</v>
      </c>
      <c r="B440" s="267" t="s">
        <v>1579</v>
      </c>
      <c r="C440" s="1301" t="s">
        <v>1580</v>
      </c>
      <c r="D440" s="211" t="s">
        <v>28</v>
      </c>
      <c r="E440" s="229">
        <v>508.77</v>
      </c>
      <c r="F440" s="211">
        <v>2</v>
      </c>
      <c r="G440" s="1289">
        <f t="shared" si="52"/>
        <v>1017.54</v>
      </c>
      <c r="H440" s="1278">
        <v>2</v>
      </c>
      <c r="I440" s="224">
        <v>1017.54</v>
      </c>
      <c r="J440" s="1269">
        <f t="shared" si="50"/>
        <v>1</v>
      </c>
      <c r="K440" s="1278">
        <f>F440-H440</f>
        <v>0</v>
      </c>
      <c r="L440" s="224">
        <f t="shared" si="55"/>
        <v>0</v>
      </c>
      <c r="M440" s="1269" t="str">
        <f t="shared" si="51"/>
        <v/>
      </c>
      <c r="N440" s="1285">
        <f>F440-H440</f>
        <v>0</v>
      </c>
      <c r="O440" s="326">
        <f>N440*E440</f>
        <v>0</v>
      </c>
    </row>
    <row r="441" spans="1:15" ht="75">
      <c r="A441" s="211" t="s">
        <v>1581</v>
      </c>
      <c r="B441" s="267" t="s">
        <v>1582</v>
      </c>
      <c r="C441" s="1301" t="s">
        <v>1583</v>
      </c>
      <c r="D441" s="211" t="s">
        <v>28</v>
      </c>
      <c r="E441" s="229">
        <v>1300.31</v>
      </c>
      <c r="F441" s="211">
        <v>1</v>
      </c>
      <c r="G441" s="1289">
        <f t="shared" si="52"/>
        <v>1300.31</v>
      </c>
      <c r="H441" s="1278">
        <v>1</v>
      </c>
      <c r="I441" s="224">
        <v>1300.31</v>
      </c>
      <c r="J441" s="1269">
        <f t="shared" si="50"/>
        <v>1</v>
      </c>
      <c r="K441" s="1278">
        <f>F441-H441</f>
        <v>0</v>
      </c>
      <c r="L441" s="224">
        <f t="shared" si="55"/>
        <v>0</v>
      </c>
      <c r="M441" s="1269" t="str">
        <f t="shared" si="51"/>
        <v/>
      </c>
      <c r="N441" s="1285">
        <f>F441-H441</f>
        <v>0</v>
      </c>
      <c r="O441" s="326">
        <f>N441*E441</f>
        <v>0</v>
      </c>
    </row>
    <row r="442" spans="1:15" ht="45">
      <c r="A442" s="211" t="s">
        <v>1584</v>
      </c>
      <c r="B442" s="267" t="s">
        <v>1585</v>
      </c>
      <c r="C442" s="1301" t="s">
        <v>1586</v>
      </c>
      <c r="D442" s="211" t="s">
        <v>28</v>
      </c>
      <c r="E442" s="229">
        <v>226.08</v>
      </c>
      <c r="F442" s="211">
        <v>20</v>
      </c>
      <c r="G442" s="1289">
        <f t="shared" si="52"/>
        <v>4521.6000000000004</v>
      </c>
      <c r="H442" s="1278">
        <v>20</v>
      </c>
      <c r="I442" s="224">
        <v>4521.6000000000004</v>
      </c>
      <c r="J442" s="1269">
        <f t="shared" si="50"/>
        <v>1</v>
      </c>
      <c r="K442" s="1278">
        <f>F442-H442</f>
        <v>0</v>
      </c>
      <c r="L442" s="224">
        <f t="shared" si="55"/>
        <v>0</v>
      </c>
      <c r="M442" s="1269" t="str">
        <f t="shared" si="51"/>
        <v/>
      </c>
      <c r="N442" s="1285">
        <f>F442-H442</f>
        <v>0</v>
      </c>
      <c r="O442" s="326">
        <f>N442*E442</f>
        <v>0</v>
      </c>
    </row>
    <row r="443" spans="1:15" s="231" customFormat="1">
      <c r="A443" s="251" t="s">
        <v>1587</v>
      </c>
      <c r="B443" s="1442" t="s">
        <v>1588</v>
      </c>
      <c r="C443" s="1442"/>
      <c r="D443" s="1442"/>
      <c r="E443" s="1442"/>
      <c r="F443" s="1442"/>
      <c r="G443" s="1296">
        <f>SUM(G444:G451)</f>
        <v>39617.339999999997</v>
      </c>
      <c r="H443" s="1277">
        <v>0</v>
      </c>
      <c r="I443" s="255">
        <v>39617.339999999997</v>
      </c>
      <c r="J443" s="1268">
        <f>I443/$G443</f>
        <v>1</v>
      </c>
      <c r="K443" s="1277">
        <f>F443-H443</f>
        <v>0</v>
      </c>
      <c r="L443" s="255">
        <f>SUM(L444:L451)</f>
        <v>0</v>
      </c>
      <c r="M443" s="1268">
        <f>L443/$G443</f>
        <v>0</v>
      </c>
      <c r="N443" s="1285">
        <f>F443-H443</f>
        <v>0</v>
      </c>
      <c r="O443" s="326">
        <f>N443*E443</f>
        <v>0</v>
      </c>
    </row>
    <row r="444" spans="1:15" ht="105">
      <c r="A444" s="211" t="s">
        <v>1589</v>
      </c>
      <c r="B444" s="267" t="s">
        <v>1590</v>
      </c>
      <c r="C444" s="1301" t="s">
        <v>1591</v>
      </c>
      <c r="D444" s="211" t="s">
        <v>28</v>
      </c>
      <c r="E444" s="229">
        <v>337.28</v>
      </c>
      <c r="F444" s="211">
        <v>3</v>
      </c>
      <c r="G444" s="1289">
        <f t="shared" si="52"/>
        <v>1011.8399999999999</v>
      </c>
      <c r="H444" s="1278">
        <v>3</v>
      </c>
      <c r="I444" s="224">
        <v>1011.8399999999999</v>
      </c>
      <c r="J444" s="1269">
        <f t="shared" si="50"/>
        <v>1</v>
      </c>
      <c r="K444" s="1278">
        <f>F444-H444</f>
        <v>0</v>
      </c>
      <c r="L444" s="224">
        <f t="shared" ref="L444:L451" si="56">K444*$E444</f>
        <v>0</v>
      </c>
      <c r="M444" s="1269" t="str">
        <f t="shared" si="51"/>
        <v/>
      </c>
      <c r="N444" s="1285">
        <f>F444-H444</f>
        <v>0</v>
      </c>
      <c r="O444" s="326">
        <f>N444*E444</f>
        <v>0</v>
      </c>
    </row>
    <row r="445" spans="1:15" ht="105">
      <c r="A445" s="211" t="s">
        <v>1592</v>
      </c>
      <c r="B445" s="267" t="s">
        <v>1593</v>
      </c>
      <c r="C445" s="1301" t="s">
        <v>1594</v>
      </c>
      <c r="D445" s="211" t="s">
        <v>28</v>
      </c>
      <c r="E445" s="229">
        <v>182.12</v>
      </c>
      <c r="F445" s="211">
        <v>55</v>
      </c>
      <c r="G445" s="1289">
        <f t="shared" si="52"/>
        <v>10016.6</v>
      </c>
      <c r="H445" s="1278">
        <v>55</v>
      </c>
      <c r="I445" s="224">
        <v>10016.6</v>
      </c>
      <c r="J445" s="1269">
        <f t="shared" si="50"/>
        <v>1</v>
      </c>
      <c r="K445" s="1278">
        <f>F445-H445</f>
        <v>0</v>
      </c>
      <c r="L445" s="224">
        <f t="shared" si="56"/>
        <v>0</v>
      </c>
      <c r="M445" s="1269" t="str">
        <f t="shared" si="51"/>
        <v/>
      </c>
      <c r="N445" s="1285">
        <f>F445-H445</f>
        <v>0</v>
      </c>
      <c r="O445" s="326">
        <f>N445*E445</f>
        <v>0</v>
      </c>
    </row>
    <row r="446" spans="1:15" ht="90">
      <c r="A446" s="211" t="s">
        <v>1595</v>
      </c>
      <c r="B446" s="267" t="s">
        <v>1596</v>
      </c>
      <c r="C446" s="1301" t="s">
        <v>1597</v>
      </c>
      <c r="D446" s="211" t="s">
        <v>28</v>
      </c>
      <c r="E446" s="229">
        <v>328.57</v>
      </c>
      <c r="F446" s="211">
        <v>50</v>
      </c>
      <c r="G446" s="1289">
        <f t="shared" si="52"/>
        <v>16428.5</v>
      </c>
      <c r="H446" s="1278">
        <v>50</v>
      </c>
      <c r="I446" s="224">
        <v>16428.5</v>
      </c>
      <c r="J446" s="1269">
        <f t="shared" si="50"/>
        <v>1</v>
      </c>
      <c r="K446" s="1278">
        <f>F446-H446</f>
        <v>0</v>
      </c>
      <c r="L446" s="224">
        <f t="shared" si="56"/>
        <v>0</v>
      </c>
      <c r="M446" s="1269" t="str">
        <f t="shared" si="51"/>
        <v/>
      </c>
      <c r="N446" s="1285">
        <f>F446-H446</f>
        <v>0</v>
      </c>
      <c r="O446" s="326">
        <f>N446*E446</f>
        <v>0</v>
      </c>
    </row>
    <row r="447" spans="1:15" ht="60">
      <c r="A447" s="211" t="s">
        <v>1598</v>
      </c>
      <c r="B447" s="267" t="s">
        <v>1599</v>
      </c>
      <c r="C447" s="1301" t="s">
        <v>1600</v>
      </c>
      <c r="D447" s="211" t="s">
        <v>28</v>
      </c>
      <c r="E447" s="229">
        <v>106.82</v>
      </c>
      <c r="F447" s="211">
        <v>8</v>
      </c>
      <c r="G447" s="1289">
        <f t="shared" si="52"/>
        <v>854.56</v>
      </c>
      <c r="H447" s="1278">
        <v>8</v>
      </c>
      <c r="I447" s="224">
        <v>854.56</v>
      </c>
      <c r="J447" s="1269">
        <f t="shared" si="50"/>
        <v>1</v>
      </c>
      <c r="K447" s="1278">
        <f>F447-H447</f>
        <v>0</v>
      </c>
      <c r="L447" s="224">
        <f t="shared" si="56"/>
        <v>0</v>
      </c>
      <c r="M447" s="1269" t="str">
        <f t="shared" si="51"/>
        <v/>
      </c>
      <c r="N447" s="1285">
        <f>F447-H447</f>
        <v>0</v>
      </c>
      <c r="O447" s="326">
        <f>N447*E447</f>
        <v>0</v>
      </c>
    </row>
    <row r="448" spans="1:15" ht="60">
      <c r="A448" s="211" t="s">
        <v>1601</v>
      </c>
      <c r="B448" s="267" t="s">
        <v>1602</v>
      </c>
      <c r="C448" s="1301" t="s">
        <v>1603</v>
      </c>
      <c r="D448" s="211" t="s">
        <v>28</v>
      </c>
      <c r="E448" s="229">
        <v>99.86</v>
      </c>
      <c r="F448" s="211">
        <v>4</v>
      </c>
      <c r="G448" s="1289">
        <f t="shared" si="52"/>
        <v>399.44</v>
      </c>
      <c r="H448" s="1278">
        <v>4</v>
      </c>
      <c r="I448" s="224">
        <v>399.44</v>
      </c>
      <c r="J448" s="1269">
        <f t="shared" si="50"/>
        <v>1</v>
      </c>
      <c r="K448" s="1278">
        <f>F448-H448</f>
        <v>0</v>
      </c>
      <c r="L448" s="224">
        <f t="shared" si="56"/>
        <v>0</v>
      </c>
      <c r="M448" s="1269" t="str">
        <f t="shared" si="51"/>
        <v/>
      </c>
      <c r="N448" s="1285">
        <f>F448-H448</f>
        <v>0</v>
      </c>
      <c r="O448" s="326">
        <f>N448*E448</f>
        <v>0</v>
      </c>
    </row>
    <row r="449" spans="1:19" ht="60">
      <c r="A449" s="211" t="s">
        <v>1604</v>
      </c>
      <c r="B449" s="267" t="s">
        <v>1605</v>
      </c>
      <c r="C449" s="1301" t="s">
        <v>1606</v>
      </c>
      <c r="D449" s="211" t="s">
        <v>28</v>
      </c>
      <c r="E449" s="229">
        <v>187.98</v>
      </c>
      <c r="F449" s="211">
        <v>31</v>
      </c>
      <c r="G449" s="1289">
        <f t="shared" si="52"/>
        <v>5827.38</v>
      </c>
      <c r="H449" s="1278">
        <v>31</v>
      </c>
      <c r="I449" s="224">
        <v>5827.38</v>
      </c>
      <c r="J449" s="1269">
        <f t="shared" si="50"/>
        <v>1</v>
      </c>
      <c r="K449" s="1278">
        <f>F449-H449</f>
        <v>0</v>
      </c>
      <c r="L449" s="224">
        <f t="shared" si="56"/>
        <v>0</v>
      </c>
      <c r="M449" s="1269" t="str">
        <f t="shared" si="51"/>
        <v/>
      </c>
      <c r="N449" s="1285">
        <f>F449-H449</f>
        <v>0</v>
      </c>
      <c r="O449" s="326">
        <f>N449*E449</f>
        <v>0</v>
      </c>
    </row>
    <row r="450" spans="1:19" ht="45">
      <c r="A450" s="211" t="s">
        <v>1607</v>
      </c>
      <c r="B450" s="267" t="s">
        <v>439</v>
      </c>
      <c r="C450" s="1301" t="s">
        <v>440</v>
      </c>
      <c r="D450" s="211" t="s">
        <v>28</v>
      </c>
      <c r="E450" s="229">
        <v>280.82</v>
      </c>
      <c r="F450" s="211">
        <v>11</v>
      </c>
      <c r="G450" s="1289">
        <f t="shared" si="52"/>
        <v>3089.02</v>
      </c>
      <c r="H450" s="1278">
        <v>11</v>
      </c>
      <c r="I450" s="224">
        <v>3089.02</v>
      </c>
      <c r="J450" s="1269">
        <f t="shared" ref="J450:J513" si="57">IF(H450=0,"",H450/$F450)</f>
        <v>1</v>
      </c>
      <c r="K450" s="1278">
        <f>F450-H450</f>
        <v>0</v>
      </c>
      <c r="L450" s="224">
        <f t="shared" si="56"/>
        <v>0</v>
      </c>
      <c r="M450" s="1269" t="str">
        <f t="shared" ref="M450:M513" si="58">IF(K450=0,"",K450/$F450)</f>
        <v/>
      </c>
      <c r="N450" s="1285">
        <f>F450-H450</f>
        <v>0</v>
      </c>
      <c r="O450" s="326">
        <f>N450*E450</f>
        <v>0</v>
      </c>
    </row>
    <row r="451" spans="1:19" ht="60">
      <c r="A451" s="211" t="s">
        <v>1608</v>
      </c>
      <c r="B451" s="267" t="s">
        <v>1609</v>
      </c>
      <c r="C451" s="1301" t="s">
        <v>1610</v>
      </c>
      <c r="D451" s="211" t="s">
        <v>28</v>
      </c>
      <c r="E451" s="229">
        <v>497.5</v>
      </c>
      <c r="F451" s="211">
        <v>4</v>
      </c>
      <c r="G451" s="1289">
        <f t="shared" si="52"/>
        <v>1990</v>
      </c>
      <c r="H451" s="1278">
        <v>4</v>
      </c>
      <c r="I451" s="224">
        <v>1990</v>
      </c>
      <c r="J451" s="1269">
        <f t="shared" si="57"/>
        <v>1</v>
      </c>
      <c r="K451" s="1278">
        <f>F451-H451</f>
        <v>0</v>
      </c>
      <c r="L451" s="224">
        <f t="shared" si="56"/>
        <v>0</v>
      </c>
      <c r="M451" s="1269" t="str">
        <f t="shared" si="58"/>
        <v/>
      </c>
      <c r="N451" s="1285">
        <f>F451-H451</f>
        <v>0</v>
      </c>
      <c r="O451" s="326">
        <f>N451*E451</f>
        <v>0</v>
      </c>
    </row>
    <row r="452" spans="1:19" s="231" customFormat="1">
      <c r="A452" s="251" t="s">
        <v>1611</v>
      </c>
      <c r="B452" s="1442" t="s">
        <v>1612</v>
      </c>
      <c r="C452" s="1442"/>
      <c r="D452" s="1442"/>
      <c r="E452" s="1442"/>
      <c r="F452" s="1442"/>
      <c r="G452" s="1296">
        <f>SUM(G453:G456)</f>
        <v>17192.440000000002</v>
      </c>
      <c r="H452" s="1277">
        <v>0</v>
      </c>
      <c r="I452" s="255">
        <v>17192.440000000002</v>
      </c>
      <c r="J452" s="1268">
        <f>I452/$G452</f>
        <v>1</v>
      </c>
      <c r="K452" s="1277">
        <f>F452-H452</f>
        <v>0</v>
      </c>
      <c r="L452" s="255">
        <f>SUM(L453:L456)</f>
        <v>0</v>
      </c>
      <c r="M452" s="1268">
        <f>L452/$G452</f>
        <v>0</v>
      </c>
      <c r="N452" s="1285">
        <f>F452-H452</f>
        <v>0</v>
      </c>
      <c r="O452" s="326">
        <f>N452*E452</f>
        <v>0</v>
      </c>
    </row>
    <row r="453" spans="1:19" ht="45">
      <c r="A453" s="211" t="s">
        <v>1613</v>
      </c>
      <c r="B453" s="267" t="s">
        <v>1614</v>
      </c>
      <c r="C453" s="1301" t="s">
        <v>1615</v>
      </c>
      <c r="D453" s="211" t="s">
        <v>28</v>
      </c>
      <c r="E453" s="229">
        <v>821.19</v>
      </c>
      <c r="F453" s="211">
        <v>1</v>
      </c>
      <c r="G453" s="1289">
        <f t="shared" si="52"/>
        <v>821.19</v>
      </c>
      <c r="H453" s="1278">
        <v>1</v>
      </c>
      <c r="I453" s="224">
        <v>821.19</v>
      </c>
      <c r="J453" s="1269">
        <f t="shared" si="57"/>
        <v>1</v>
      </c>
      <c r="K453" s="1278">
        <f>F453-H453</f>
        <v>0</v>
      </c>
      <c r="L453" s="224">
        <f>K453*$E453</f>
        <v>0</v>
      </c>
      <c r="M453" s="1269" t="str">
        <f t="shared" si="58"/>
        <v/>
      </c>
      <c r="N453" s="1285">
        <f>F453-H453</f>
        <v>0</v>
      </c>
      <c r="O453" s="326">
        <f>N453*E453</f>
        <v>0</v>
      </c>
    </row>
    <row r="454" spans="1:19" ht="90">
      <c r="A454" s="211" t="s">
        <v>1616</v>
      </c>
      <c r="B454" s="267" t="s">
        <v>1617</v>
      </c>
      <c r="C454" s="1301" t="s">
        <v>1618</v>
      </c>
      <c r="D454" s="211" t="s">
        <v>28</v>
      </c>
      <c r="E454" s="229">
        <v>1070.1400000000001</v>
      </c>
      <c r="F454" s="211">
        <v>3</v>
      </c>
      <c r="G454" s="1289">
        <f t="shared" si="52"/>
        <v>3210.42</v>
      </c>
      <c r="H454" s="1278">
        <v>3</v>
      </c>
      <c r="I454" s="224">
        <v>3210.42</v>
      </c>
      <c r="J454" s="1269">
        <f t="shared" si="57"/>
        <v>1</v>
      </c>
      <c r="K454" s="1278">
        <f>F454-H454</f>
        <v>0</v>
      </c>
      <c r="L454" s="224">
        <f>K454*$E454</f>
        <v>0</v>
      </c>
      <c r="M454" s="1269" t="str">
        <f t="shared" si="58"/>
        <v/>
      </c>
      <c r="N454" s="1285">
        <f>F454-H454</f>
        <v>0</v>
      </c>
      <c r="O454" s="326">
        <f>N454*E454</f>
        <v>0</v>
      </c>
    </row>
    <row r="455" spans="1:19" ht="45">
      <c r="A455" s="211" t="s">
        <v>1619</v>
      </c>
      <c r="B455" s="267" t="s">
        <v>1620</v>
      </c>
      <c r="C455" s="1301" t="s">
        <v>1621</v>
      </c>
      <c r="D455" s="211" t="s">
        <v>28</v>
      </c>
      <c r="E455" s="229">
        <v>2264.59</v>
      </c>
      <c r="F455" s="211">
        <v>1</v>
      </c>
      <c r="G455" s="1289">
        <f t="shared" si="52"/>
        <v>2264.59</v>
      </c>
      <c r="H455" s="1278">
        <v>1</v>
      </c>
      <c r="I455" s="224">
        <v>2264.59</v>
      </c>
      <c r="J455" s="1269">
        <f t="shared" si="57"/>
        <v>1</v>
      </c>
      <c r="K455" s="1278">
        <f>F455-H455</f>
        <v>0</v>
      </c>
      <c r="L455" s="224">
        <f>K455*$E455</f>
        <v>0</v>
      </c>
      <c r="M455" s="1269" t="str">
        <f t="shared" si="58"/>
        <v/>
      </c>
      <c r="N455" s="1285">
        <f>F455-H455</f>
        <v>0</v>
      </c>
      <c r="O455" s="326">
        <f>N455*E455</f>
        <v>0</v>
      </c>
    </row>
    <row r="456" spans="1:19" ht="105">
      <c r="A456" s="211" t="s">
        <v>1622</v>
      </c>
      <c r="B456" s="267" t="s">
        <v>1623</v>
      </c>
      <c r="C456" s="1301" t="s">
        <v>1624</v>
      </c>
      <c r="D456" s="211" t="s">
        <v>28</v>
      </c>
      <c r="E456" s="229">
        <v>10896.24</v>
      </c>
      <c r="F456" s="211">
        <v>1</v>
      </c>
      <c r="G456" s="1289">
        <f t="shared" si="52"/>
        <v>10896.24</v>
      </c>
      <c r="H456" s="1278">
        <v>1</v>
      </c>
      <c r="I456" s="224">
        <v>10896.24</v>
      </c>
      <c r="J456" s="1269">
        <f t="shared" si="57"/>
        <v>1</v>
      </c>
      <c r="K456" s="1278">
        <f>F456-H456</f>
        <v>0</v>
      </c>
      <c r="L456" s="224">
        <f>K456*$E456</f>
        <v>0</v>
      </c>
      <c r="M456" s="1269" t="str">
        <f t="shared" si="58"/>
        <v/>
      </c>
      <c r="N456" s="1285">
        <f>F456-H456</f>
        <v>0</v>
      </c>
      <c r="O456" s="326">
        <f>N456*E456</f>
        <v>0</v>
      </c>
    </row>
    <row r="457" spans="1:19" s="231" customFormat="1" ht="15.75">
      <c r="A457" s="251" t="s">
        <v>1625</v>
      </c>
      <c r="B457" s="1445" t="s">
        <v>677</v>
      </c>
      <c r="C457" s="1445"/>
      <c r="D457" s="1445"/>
      <c r="E457" s="1445"/>
      <c r="F457" s="1445"/>
      <c r="G457" s="1296">
        <f>SUM(G458:G462)</f>
        <v>10527.365</v>
      </c>
      <c r="H457" s="1277">
        <v>0</v>
      </c>
      <c r="I457" s="255">
        <v>10527.365</v>
      </c>
      <c r="J457" s="1268">
        <f>I457/$G457</f>
        <v>1</v>
      </c>
      <c r="K457" s="1277">
        <f>F457-H457</f>
        <v>0</v>
      </c>
      <c r="L457" s="255">
        <f>SUM(L458:L462)</f>
        <v>0</v>
      </c>
      <c r="M457" s="1268">
        <f>L457/$G457</f>
        <v>0</v>
      </c>
      <c r="N457" s="1285">
        <f>F457-H457</f>
        <v>0</v>
      </c>
      <c r="O457" s="326">
        <f>N457*E457</f>
        <v>0</v>
      </c>
      <c r="P457" s="1419"/>
      <c r="Q457" s="1419"/>
      <c r="R457" s="1419"/>
      <c r="S457" s="1419"/>
    </row>
    <row r="458" spans="1:19" ht="30">
      <c r="A458" s="211" t="s">
        <v>1626</v>
      </c>
      <c r="B458" s="267" t="s">
        <v>689</v>
      </c>
      <c r="C458" s="1301" t="s">
        <v>690</v>
      </c>
      <c r="D458" s="211" t="s">
        <v>51</v>
      </c>
      <c r="E458" s="229">
        <v>59.88</v>
      </c>
      <c r="F458" s="211">
        <v>33</v>
      </c>
      <c r="G458" s="1289">
        <f t="shared" si="52"/>
        <v>1976.0400000000002</v>
      </c>
      <c r="H458" s="1278">
        <v>33</v>
      </c>
      <c r="I458" s="224">
        <v>1976.0400000000002</v>
      </c>
      <c r="J458" s="1269">
        <f t="shared" si="57"/>
        <v>1</v>
      </c>
      <c r="K458" s="1278">
        <f>F458-H458</f>
        <v>0</v>
      </c>
      <c r="L458" s="224">
        <f>K458*$E458</f>
        <v>0</v>
      </c>
      <c r="M458" s="1269" t="str">
        <f t="shared" si="58"/>
        <v/>
      </c>
      <c r="N458" s="1285">
        <f>F458-H458</f>
        <v>0</v>
      </c>
      <c r="O458" s="326">
        <f>N458*E458</f>
        <v>0</v>
      </c>
      <c r="P458" s="1416"/>
      <c r="Q458" s="1416"/>
      <c r="R458" s="1416"/>
      <c r="S458" s="1416"/>
    </row>
    <row r="459" spans="1:19" ht="45">
      <c r="A459" s="211" t="s">
        <v>1627</v>
      </c>
      <c r="B459" s="267" t="s">
        <v>1628</v>
      </c>
      <c r="C459" s="1301" t="s">
        <v>1629</v>
      </c>
      <c r="D459" s="211" t="s">
        <v>51</v>
      </c>
      <c r="E459" s="229">
        <v>30.84</v>
      </c>
      <c r="F459" s="211">
        <v>23.5</v>
      </c>
      <c r="G459" s="1289">
        <f t="shared" si="52"/>
        <v>724.74</v>
      </c>
      <c r="H459" s="1278">
        <v>23.5</v>
      </c>
      <c r="I459" s="224">
        <v>724.74</v>
      </c>
      <c r="J459" s="1269">
        <f t="shared" si="57"/>
        <v>1</v>
      </c>
      <c r="K459" s="1278">
        <f>F459-H459</f>
        <v>0</v>
      </c>
      <c r="L459" s="224">
        <f>K459*$E459</f>
        <v>0</v>
      </c>
      <c r="M459" s="1269" t="str">
        <f t="shared" si="58"/>
        <v/>
      </c>
      <c r="N459" s="1285">
        <f>F459-H459</f>
        <v>0</v>
      </c>
      <c r="O459" s="326">
        <f>N459*E459</f>
        <v>0</v>
      </c>
      <c r="P459" s="1416"/>
      <c r="Q459" s="1416"/>
      <c r="R459" s="1416"/>
      <c r="S459" s="1416"/>
    </row>
    <row r="460" spans="1:19" ht="75">
      <c r="A460" s="211" t="s">
        <v>1630</v>
      </c>
      <c r="B460" s="267" t="s">
        <v>1631</v>
      </c>
      <c r="C460" s="1301" t="s">
        <v>1632</v>
      </c>
      <c r="D460" s="211" t="s">
        <v>44</v>
      </c>
      <c r="E460" s="229">
        <v>58.52</v>
      </c>
      <c r="F460" s="211">
        <v>99</v>
      </c>
      <c r="G460" s="1289">
        <f t="shared" si="52"/>
        <v>5793.4800000000005</v>
      </c>
      <c r="H460" s="1278">
        <v>99</v>
      </c>
      <c r="I460" s="224">
        <v>5793.4800000000005</v>
      </c>
      <c r="J460" s="1269">
        <f t="shared" si="57"/>
        <v>1</v>
      </c>
      <c r="K460" s="1278">
        <f>F460-H460</f>
        <v>0</v>
      </c>
      <c r="L460" s="224">
        <f>K460*$E460</f>
        <v>0</v>
      </c>
      <c r="M460" s="1269" t="str">
        <f t="shared" si="58"/>
        <v/>
      </c>
      <c r="N460" s="1285">
        <f>F460-H460</f>
        <v>0</v>
      </c>
      <c r="O460" s="326">
        <f>N460*E460</f>
        <v>0</v>
      </c>
      <c r="P460" s="1416"/>
      <c r="Q460" s="1416"/>
      <c r="R460" s="1416"/>
      <c r="S460" s="1416"/>
    </row>
    <row r="461" spans="1:19" ht="75">
      <c r="A461" s="211" t="s">
        <v>1633</v>
      </c>
      <c r="B461" s="267" t="s">
        <v>1634</v>
      </c>
      <c r="C461" s="1301" t="s">
        <v>1635</v>
      </c>
      <c r="D461" s="211" t="s">
        <v>44</v>
      </c>
      <c r="E461" s="229">
        <v>70.22</v>
      </c>
      <c r="F461" s="211">
        <v>24.75</v>
      </c>
      <c r="G461" s="1289">
        <f t="shared" si="52"/>
        <v>1737.9449999999999</v>
      </c>
      <c r="H461" s="1278">
        <v>24.75</v>
      </c>
      <c r="I461" s="224">
        <v>1737.9449999999999</v>
      </c>
      <c r="J461" s="1269">
        <f t="shared" si="57"/>
        <v>1</v>
      </c>
      <c r="K461" s="1278">
        <f>F461-H461</f>
        <v>0</v>
      </c>
      <c r="L461" s="224">
        <f>K461*$E461</f>
        <v>0</v>
      </c>
      <c r="M461" s="1269" t="str">
        <f t="shared" si="58"/>
        <v/>
      </c>
      <c r="N461" s="1285">
        <f>F461-H461</f>
        <v>0</v>
      </c>
      <c r="O461" s="326">
        <f>N461*E461</f>
        <v>0</v>
      </c>
      <c r="P461" s="1417"/>
      <c r="Q461" s="1417"/>
      <c r="R461" s="1417"/>
      <c r="S461" s="1417"/>
    </row>
    <row r="462" spans="1:19" ht="45">
      <c r="A462" s="211" t="s">
        <v>1636</v>
      </c>
      <c r="B462" s="267" t="s">
        <v>218</v>
      </c>
      <c r="C462" s="1301" t="s">
        <v>219</v>
      </c>
      <c r="D462" s="211" t="s">
        <v>44</v>
      </c>
      <c r="E462" s="229">
        <v>12.56</v>
      </c>
      <c r="F462" s="211">
        <v>23.5</v>
      </c>
      <c r="G462" s="1289">
        <f t="shared" si="52"/>
        <v>295.16000000000003</v>
      </c>
      <c r="H462" s="1278">
        <v>23.5</v>
      </c>
      <c r="I462" s="224">
        <v>295.16000000000003</v>
      </c>
      <c r="J462" s="1269">
        <f t="shared" si="57"/>
        <v>1</v>
      </c>
      <c r="K462" s="1278">
        <f>F462-H462</f>
        <v>0</v>
      </c>
      <c r="L462" s="224">
        <f>K462*$E462</f>
        <v>0</v>
      </c>
      <c r="M462" s="1269" t="str">
        <f t="shared" si="58"/>
        <v/>
      </c>
      <c r="N462" s="1285">
        <f>F462-H462</f>
        <v>0</v>
      </c>
      <c r="O462" s="326">
        <f>N462*E462</f>
        <v>0</v>
      </c>
      <c r="P462" s="3"/>
      <c r="Q462" s="1"/>
      <c r="R462" s="5"/>
      <c r="S462" s="1"/>
    </row>
    <row r="463" spans="1:19" s="230" customFormat="1" ht="15.75">
      <c r="A463" s="252" t="s">
        <v>1637</v>
      </c>
      <c r="B463" s="1446" t="s">
        <v>1638</v>
      </c>
      <c r="C463" s="1446"/>
      <c r="D463" s="1446"/>
      <c r="E463" s="1446"/>
      <c r="F463" s="1446"/>
      <c r="G463" s="1297">
        <f>G464+G471+G522</f>
        <v>169917.84999999995</v>
      </c>
      <c r="H463" s="1276">
        <v>0</v>
      </c>
      <c r="I463" s="256">
        <v>166906.00999999995</v>
      </c>
      <c r="J463" s="1267">
        <f>I463/$G463</f>
        <v>0.98227472864092857</v>
      </c>
      <c r="K463" s="1279">
        <f>F463-H463</f>
        <v>0</v>
      </c>
      <c r="L463" s="256">
        <f>L464+L471+L522</f>
        <v>3011.84</v>
      </c>
      <c r="M463" s="1267">
        <f>L463/$G463</f>
        <v>1.7725271359071464E-2</v>
      </c>
      <c r="N463" s="1285">
        <f>F463-H463</f>
        <v>0</v>
      </c>
      <c r="O463" s="326">
        <f>N463*E463</f>
        <v>0</v>
      </c>
      <c r="P463" s="1425">
        <f>I463</f>
        <v>166906.00999999995</v>
      </c>
    </row>
    <row r="464" spans="1:19" s="233" customFormat="1">
      <c r="A464" s="251" t="s">
        <v>1639</v>
      </c>
      <c r="B464" s="1445" t="s">
        <v>1640</v>
      </c>
      <c r="C464" s="1445"/>
      <c r="D464" s="1445"/>
      <c r="E464" s="1445"/>
      <c r="F464" s="1445"/>
      <c r="G464" s="1295">
        <f>G466+G467+G469+G470</f>
        <v>3193.4100000000003</v>
      </c>
      <c r="H464" s="1277">
        <v>0</v>
      </c>
      <c r="I464" s="232">
        <v>3193.4100000000003</v>
      </c>
      <c r="J464" s="1268">
        <f>I464/$G464</f>
        <v>1</v>
      </c>
      <c r="K464" s="1281">
        <f>F464-H464</f>
        <v>0</v>
      </c>
      <c r="L464" s="232">
        <f>L466+L467+L469+L470</f>
        <v>0</v>
      </c>
      <c r="M464" s="1268">
        <f>L464/$G464</f>
        <v>0</v>
      </c>
      <c r="N464" s="1285">
        <f>F464-H464</f>
        <v>0</v>
      </c>
      <c r="O464" s="326">
        <f>N464*E464</f>
        <v>0</v>
      </c>
    </row>
    <row r="465" spans="1:15">
      <c r="A465" s="1114" t="s">
        <v>4011</v>
      </c>
      <c r="B465" s="813" t="s">
        <v>1642</v>
      </c>
      <c r="C465" s="1305"/>
      <c r="D465" s="235"/>
      <c r="E465" s="235"/>
      <c r="F465" s="235"/>
      <c r="G465" s="1260"/>
      <c r="H465" s="1278">
        <v>0</v>
      </c>
      <c r="I465" s="235"/>
      <c r="J465" s="1269" t="str">
        <f t="shared" si="57"/>
        <v/>
      </c>
      <c r="K465" s="1278">
        <f>F465-H465</f>
        <v>0</v>
      </c>
      <c r="L465" s="235"/>
      <c r="M465" s="1269" t="str">
        <f t="shared" si="58"/>
        <v/>
      </c>
      <c r="N465" s="1285">
        <f>F465-H465</f>
        <v>0</v>
      </c>
      <c r="O465" s="326">
        <f>N465*E465</f>
        <v>0</v>
      </c>
    </row>
    <row r="466" spans="1:15" ht="60">
      <c r="A466" s="253" t="s">
        <v>4010</v>
      </c>
      <c r="B466" s="267" t="s">
        <v>1644</v>
      </c>
      <c r="C466" s="1301" t="s">
        <v>1645</v>
      </c>
      <c r="D466" s="211" t="s">
        <v>28</v>
      </c>
      <c r="E466" s="229">
        <v>724.59</v>
      </c>
      <c r="F466" s="211">
        <v>1</v>
      </c>
      <c r="G466" s="1290">
        <f>F466*$E466</f>
        <v>724.59</v>
      </c>
      <c r="H466" s="1278">
        <v>1</v>
      </c>
      <c r="I466" s="817">
        <v>724.59</v>
      </c>
      <c r="J466" s="1269">
        <f t="shared" si="57"/>
        <v>1</v>
      </c>
      <c r="K466" s="1278">
        <f>F466-H466</f>
        <v>0</v>
      </c>
      <c r="L466" s="817">
        <f>K466*$E466</f>
        <v>0</v>
      </c>
      <c r="M466" s="1269" t="str">
        <f t="shared" si="58"/>
        <v/>
      </c>
      <c r="N466" s="1285">
        <f>F466-H466</f>
        <v>0</v>
      </c>
      <c r="O466" s="326">
        <f>N466*E466</f>
        <v>0</v>
      </c>
    </row>
    <row r="467" spans="1:15" ht="75">
      <c r="A467" s="211" t="s">
        <v>1646</v>
      </c>
      <c r="B467" s="267" t="s">
        <v>436</v>
      </c>
      <c r="C467" s="1301" t="s">
        <v>437</v>
      </c>
      <c r="D467" s="211" t="s">
        <v>28</v>
      </c>
      <c r="E467" s="229">
        <v>304.89999999999998</v>
      </c>
      <c r="F467" s="211">
        <v>5</v>
      </c>
      <c r="G467" s="1290">
        <f>F467*$E467</f>
        <v>1524.5</v>
      </c>
      <c r="H467" s="1278">
        <v>5</v>
      </c>
      <c r="I467" s="817">
        <v>1524.5</v>
      </c>
      <c r="J467" s="1269">
        <f t="shared" si="57"/>
        <v>1</v>
      </c>
      <c r="K467" s="1278">
        <f>F467-H467</f>
        <v>0</v>
      </c>
      <c r="L467" s="817">
        <f>K467*$E467</f>
        <v>0</v>
      </c>
      <c r="M467" s="1269" t="str">
        <f t="shared" si="58"/>
        <v/>
      </c>
      <c r="N467" s="1285">
        <f>F467-H467</f>
        <v>0</v>
      </c>
      <c r="O467" s="326">
        <f>N467*E467</f>
        <v>0</v>
      </c>
    </row>
    <row r="468" spans="1:15">
      <c r="A468" s="249" t="s">
        <v>4023</v>
      </c>
      <c r="B468" s="814" t="s">
        <v>1648</v>
      </c>
      <c r="C468" s="1445" t="s">
        <v>4021</v>
      </c>
      <c r="D468" s="1445"/>
      <c r="E468" s="1445"/>
      <c r="F468" s="1445"/>
      <c r="G468" s="1445"/>
      <c r="H468" s="1277">
        <v>0</v>
      </c>
      <c r="I468" s="251"/>
      <c r="J468" s="1393" t="str">
        <f t="shared" si="57"/>
        <v/>
      </c>
      <c r="K468" s="1281">
        <f>F468-H468</f>
        <v>0</v>
      </c>
      <c r="L468" s="251"/>
      <c r="M468" s="1393" t="str">
        <f t="shared" si="58"/>
        <v/>
      </c>
      <c r="N468" s="1285">
        <f>F468-H468</f>
        <v>0</v>
      </c>
      <c r="O468" s="326">
        <f>N468*E468</f>
        <v>0</v>
      </c>
    </row>
    <row r="469" spans="1:15" ht="45">
      <c r="A469" s="253" t="s">
        <v>4022</v>
      </c>
      <c r="B469" s="267" t="s">
        <v>1650</v>
      </c>
      <c r="C469" s="1301" t="s">
        <v>1651</v>
      </c>
      <c r="D469" s="211" t="s">
        <v>28</v>
      </c>
      <c r="E469" s="229">
        <v>30.94</v>
      </c>
      <c r="F469" s="211">
        <v>22</v>
      </c>
      <c r="G469" s="1290">
        <f>F469*$E469</f>
        <v>680.68000000000006</v>
      </c>
      <c r="H469" s="1278">
        <v>22</v>
      </c>
      <c r="I469" s="817">
        <v>680.68000000000006</v>
      </c>
      <c r="J469" s="1269">
        <f t="shared" si="57"/>
        <v>1</v>
      </c>
      <c r="K469" s="1278">
        <f>F469-H469</f>
        <v>0</v>
      </c>
      <c r="L469" s="817">
        <f>K469*$E469</f>
        <v>0</v>
      </c>
      <c r="M469" s="1269" t="str">
        <f t="shared" si="58"/>
        <v/>
      </c>
      <c r="N469" s="1285">
        <f>F469-H469</f>
        <v>0</v>
      </c>
      <c r="O469" s="326">
        <f>N469*E469</f>
        <v>0</v>
      </c>
    </row>
    <row r="470" spans="1:15" ht="45">
      <c r="A470" s="211" t="s">
        <v>1652</v>
      </c>
      <c r="B470" s="267" t="s">
        <v>1653</v>
      </c>
      <c r="C470" s="1301" t="s">
        <v>1654</v>
      </c>
      <c r="D470" s="211" t="s">
        <v>28</v>
      </c>
      <c r="E470" s="229">
        <v>43.94</v>
      </c>
      <c r="F470" s="211">
        <v>6</v>
      </c>
      <c r="G470" s="1290">
        <f>F470*$E470</f>
        <v>263.64</v>
      </c>
      <c r="H470" s="1278">
        <v>6</v>
      </c>
      <c r="I470" s="817">
        <v>263.64</v>
      </c>
      <c r="J470" s="1269">
        <f t="shared" si="57"/>
        <v>1</v>
      </c>
      <c r="K470" s="1278">
        <f>F470-H470</f>
        <v>0</v>
      </c>
      <c r="L470" s="817">
        <f>K470*$E470</f>
        <v>0</v>
      </c>
      <c r="M470" s="1269" t="str">
        <f t="shared" si="58"/>
        <v/>
      </c>
      <c r="N470" s="1285">
        <f>F470-H470</f>
        <v>0</v>
      </c>
      <c r="O470" s="326">
        <f>N470*E470</f>
        <v>0</v>
      </c>
    </row>
    <row r="471" spans="1:15" s="233" customFormat="1">
      <c r="A471" s="251" t="s">
        <v>1655</v>
      </c>
      <c r="B471" s="1445" t="s">
        <v>1656</v>
      </c>
      <c r="C471" s="1445"/>
      <c r="D471" s="1445"/>
      <c r="E471" s="1445"/>
      <c r="F471" s="1445"/>
      <c r="G471" s="1295">
        <f>G473+G474+G475+G476+G477+G478+G480+G481+G482+G483+G484+G485+G486+G487+G488+G489+G490+G491+G492+G493+G494+G495+G496+G497+G498+G500+G501+G502+G504+G505+G506+G507+G509+G510+G511+G512+G513+G514+G515+G516+G517+G518+G519+G520+G521</f>
        <v>128094.82999999996</v>
      </c>
      <c r="H471" s="1277">
        <v>0</v>
      </c>
      <c r="I471" s="232">
        <v>128094.82999999996</v>
      </c>
      <c r="J471" s="1268">
        <f>I471/$G471</f>
        <v>1</v>
      </c>
      <c r="K471" s="1281">
        <f>F471-H471</f>
        <v>0</v>
      </c>
      <c r="L471" s="232">
        <f>L473+L474+L475+L476+L477+L478+L480+L481+L482+L483+L484+L485+L486+L487+L488+L489+L490+L491+L492+L493+L494+L495+L496+L497+L498+L500+L501+L502+L504+L505+L506+L507+L509+L510+L511+L512+L513+L514+L515+L516+L517+L518+L519+L520+L521</f>
        <v>0</v>
      </c>
      <c r="M471" s="1268">
        <f>L471/$G471</f>
        <v>0</v>
      </c>
      <c r="N471" s="1285">
        <f>F471-H471</f>
        <v>0</v>
      </c>
      <c r="O471" s="326">
        <f>N471*E471</f>
        <v>0</v>
      </c>
    </row>
    <row r="472" spans="1:15">
      <c r="A472" s="235" t="s">
        <v>1657</v>
      </c>
      <c r="B472" s="814" t="s">
        <v>1658</v>
      </c>
      <c r="C472" s="1305"/>
      <c r="D472" s="236"/>
      <c r="E472" s="236"/>
      <c r="F472" s="236"/>
      <c r="G472" s="1298"/>
      <c r="H472" s="1278">
        <v>0</v>
      </c>
      <c r="I472" s="236"/>
      <c r="J472" s="1269" t="str">
        <f t="shared" si="57"/>
        <v/>
      </c>
      <c r="K472" s="1278">
        <f>F472-H472</f>
        <v>0</v>
      </c>
      <c r="L472" s="236"/>
      <c r="M472" s="1269" t="str">
        <f t="shared" si="58"/>
        <v/>
      </c>
      <c r="N472" s="1285">
        <f>F472-H472</f>
        <v>0</v>
      </c>
      <c r="O472" s="326">
        <f>N472*E472</f>
        <v>0</v>
      </c>
    </row>
    <row r="473" spans="1:15" ht="30">
      <c r="A473" s="211" t="s">
        <v>1659</v>
      </c>
      <c r="B473" s="267" t="s">
        <v>1437</v>
      </c>
      <c r="C473" s="1301" t="s">
        <v>1438</v>
      </c>
      <c r="D473" s="211" t="s">
        <v>28</v>
      </c>
      <c r="E473" s="229">
        <v>10.52</v>
      </c>
      <c r="F473" s="211">
        <v>20</v>
      </c>
      <c r="G473" s="1289">
        <f t="shared" ref="G473:G521" si="59">F473*$E473</f>
        <v>210.39999999999998</v>
      </c>
      <c r="H473" s="1278">
        <v>20</v>
      </c>
      <c r="I473" s="224">
        <v>210.39999999999998</v>
      </c>
      <c r="J473" s="1269">
        <f t="shared" si="57"/>
        <v>1</v>
      </c>
      <c r="K473" s="1278">
        <f>F473-H473</f>
        <v>0</v>
      </c>
      <c r="L473" s="224">
        <f t="shared" ref="L473:L478" si="60">K473*$E473</f>
        <v>0</v>
      </c>
      <c r="M473" s="1269" t="str">
        <f t="shared" si="58"/>
        <v/>
      </c>
      <c r="N473" s="1285">
        <f>F473-H473</f>
        <v>0</v>
      </c>
      <c r="O473" s="326">
        <f>N473*E473</f>
        <v>0</v>
      </c>
    </row>
    <row r="474" spans="1:15" ht="30">
      <c r="A474" s="211" t="s">
        <v>1660</v>
      </c>
      <c r="B474" s="267" t="s">
        <v>1440</v>
      </c>
      <c r="C474" s="1301" t="s">
        <v>1441</v>
      </c>
      <c r="D474" s="211" t="s">
        <v>28</v>
      </c>
      <c r="E474" s="229">
        <v>15.49</v>
      </c>
      <c r="F474" s="211">
        <v>16</v>
      </c>
      <c r="G474" s="1289">
        <f t="shared" si="59"/>
        <v>247.84</v>
      </c>
      <c r="H474" s="1278">
        <v>16</v>
      </c>
      <c r="I474" s="224">
        <v>247.84</v>
      </c>
      <c r="J474" s="1269">
        <f t="shared" si="57"/>
        <v>1</v>
      </c>
      <c r="K474" s="1278">
        <f>F474-H474</f>
        <v>0</v>
      </c>
      <c r="L474" s="224">
        <f t="shared" si="60"/>
        <v>0</v>
      </c>
      <c r="M474" s="1269" t="str">
        <f t="shared" si="58"/>
        <v/>
      </c>
      <c r="N474" s="1285">
        <f>F474-H474</f>
        <v>0</v>
      </c>
      <c r="O474" s="326">
        <f>N474*E474</f>
        <v>0</v>
      </c>
    </row>
    <row r="475" spans="1:15" ht="45">
      <c r="A475" s="211" t="s">
        <v>1661</v>
      </c>
      <c r="B475" s="267" t="s">
        <v>1662</v>
      </c>
      <c r="C475" s="1301" t="s">
        <v>1663</v>
      </c>
      <c r="D475" s="211" t="s">
        <v>28</v>
      </c>
      <c r="E475" s="229">
        <v>173.6</v>
      </c>
      <c r="F475" s="211">
        <v>4</v>
      </c>
      <c r="G475" s="1289">
        <f t="shared" si="59"/>
        <v>694.4</v>
      </c>
      <c r="H475" s="1278">
        <v>4</v>
      </c>
      <c r="I475" s="224">
        <v>694.4</v>
      </c>
      <c r="J475" s="1269">
        <f t="shared" si="57"/>
        <v>1</v>
      </c>
      <c r="K475" s="1278">
        <f>F475-H475</f>
        <v>0</v>
      </c>
      <c r="L475" s="224">
        <f t="shared" si="60"/>
        <v>0</v>
      </c>
      <c r="M475" s="1269" t="str">
        <f t="shared" si="58"/>
        <v/>
      </c>
      <c r="N475" s="1285">
        <f>F475-H475</f>
        <v>0</v>
      </c>
      <c r="O475" s="326">
        <f>N475*E475</f>
        <v>0</v>
      </c>
    </row>
    <row r="476" spans="1:15" ht="30">
      <c r="A476" s="211" t="s">
        <v>1664</v>
      </c>
      <c r="B476" s="267" t="s">
        <v>1665</v>
      </c>
      <c r="C476" s="1301" t="s">
        <v>1666</v>
      </c>
      <c r="D476" s="211" t="s">
        <v>28</v>
      </c>
      <c r="E476" s="229">
        <v>891.03</v>
      </c>
      <c r="F476" s="211">
        <v>2</v>
      </c>
      <c r="G476" s="1289">
        <f t="shared" si="59"/>
        <v>1782.06</v>
      </c>
      <c r="H476" s="1278">
        <v>2</v>
      </c>
      <c r="I476" s="224">
        <v>1782.06</v>
      </c>
      <c r="J476" s="1269">
        <f t="shared" si="57"/>
        <v>1</v>
      </c>
      <c r="K476" s="1278">
        <f>F476-H476</f>
        <v>0</v>
      </c>
      <c r="L476" s="224">
        <f t="shared" si="60"/>
        <v>0</v>
      </c>
      <c r="M476" s="1269" t="str">
        <f t="shared" si="58"/>
        <v/>
      </c>
      <c r="N476" s="1285">
        <f>F476-H476</f>
        <v>0</v>
      </c>
      <c r="O476" s="326">
        <f>N476*E476</f>
        <v>0</v>
      </c>
    </row>
    <row r="477" spans="1:15" ht="30">
      <c r="A477" s="211" t="s">
        <v>1667</v>
      </c>
      <c r="B477" s="267" t="s">
        <v>1452</v>
      </c>
      <c r="C477" s="1301" t="s">
        <v>1453</v>
      </c>
      <c r="D477" s="211" t="s">
        <v>28</v>
      </c>
      <c r="E477" s="229">
        <v>580.75</v>
      </c>
      <c r="F477" s="211">
        <v>1</v>
      </c>
      <c r="G477" s="1289">
        <f t="shared" si="59"/>
        <v>580.75</v>
      </c>
      <c r="H477" s="1278">
        <v>1</v>
      </c>
      <c r="I477" s="224">
        <v>580.75</v>
      </c>
      <c r="J477" s="1269">
        <f t="shared" si="57"/>
        <v>1</v>
      </c>
      <c r="K477" s="1278">
        <f>F477-H477</f>
        <v>0</v>
      </c>
      <c r="L477" s="224">
        <f t="shared" si="60"/>
        <v>0</v>
      </c>
      <c r="M477" s="1269" t="str">
        <f t="shared" si="58"/>
        <v/>
      </c>
      <c r="N477" s="1285">
        <f>F477-H477</f>
        <v>0</v>
      </c>
      <c r="O477" s="326">
        <f>N477*E477</f>
        <v>0</v>
      </c>
    </row>
    <row r="478" spans="1:15" ht="60">
      <c r="A478" s="253" t="s">
        <v>3502</v>
      </c>
      <c r="B478" s="267" t="s">
        <v>1669</v>
      </c>
      <c r="C478" s="1301" t="s">
        <v>1670</v>
      </c>
      <c r="D478" s="211" t="s">
        <v>28</v>
      </c>
      <c r="E478" s="229">
        <v>1223.3499999999999</v>
      </c>
      <c r="F478" s="211">
        <v>1</v>
      </c>
      <c r="G478" s="1290">
        <f t="shared" si="59"/>
        <v>1223.3499999999999</v>
      </c>
      <c r="H478" s="1278">
        <v>1</v>
      </c>
      <c r="I478" s="817">
        <v>1223.3499999999999</v>
      </c>
      <c r="J478" s="1269">
        <f t="shared" si="57"/>
        <v>1</v>
      </c>
      <c r="K478" s="1278">
        <f>F478-H478</f>
        <v>0</v>
      </c>
      <c r="L478" s="817">
        <f t="shared" si="60"/>
        <v>0</v>
      </c>
      <c r="M478" s="1269" t="str">
        <f t="shared" si="58"/>
        <v/>
      </c>
      <c r="N478" s="1285">
        <f>F478-H478</f>
        <v>0</v>
      </c>
      <c r="O478" s="326">
        <f>N478*E478</f>
        <v>0</v>
      </c>
    </row>
    <row r="479" spans="1:15">
      <c r="A479" s="235" t="s">
        <v>1671</v>
      </c>
      <c r="B479" s="814" t="s">
        <v>1672</v>
      </c>
      <c r="C479" s="1305"/>
      <c r="D479" s="236"/>
      <c r="E479" s="236"/>
      <c r="F479" s="236"/>
      <c r="G479" s="1298"/>
      <c r="H479" s="1278">
        <v>0</v>
      </c>
      <c r="I479" s="236"/>
      <c r="J479" s="1269" t="str">
        <f t="shared" si="57"/>
        <v/>
      </c>
      <c r="K479" s="1278">
        <f>F479-H479</f>
        <v>0</v>
      </c>
      <c r="L479" s="236"/>
      <c r="M479" s="1269" t="str">
        <f t="shared" si="58"/>
        <v/>
      </c>
      <c r="N479" s="1285">
        <f>F479-H479</f>
        <v>0</v>
      </c>
      <c r="O479" s="326">
        <f>N479*E479</f>
        <v>0</v>
      </c>
    </row>
    <row r="480" spans="1:15" ht="30">
      <c r="A480" s="211" t="s">
        <v>1673</v>
      </c>
      <c r="B480" s="267" t="s">
        <v>312</v>
      </c>
      <c r="C480" s="1301" t="s">
        <v>313</v>
      </c>
      <c r="D480" s="211" t="s">
        <v>44</v>
      </c>
      <c r="E480" s="229">
        <v>19.72</v>
      </c>
      <c r="F480" s="211">
        <v>57</v>
      </c>
      <c r="G480" s="1290">
        <f t="shared" si="59"/>
        <v>1124.04</v>
      </c>
      <c r="H480" s="1278">
        <v>57</v>
      </c>
      <c r="I480" s="817">
        <v>1124.04</v>
      </c>
      <c r="J480" s="1269">
        <f t="shared" si="57"/>
        <v>1</v>
      </c>
      <c r="K480" s="1278">
        <f>F480-H480</f>
        <v>0</v>
      </c>
      <c r="L480" s="817">
        <f t="shared" ref="L480:L498" si="61">K480*$E480</f>
        <v>0</v>
      </c>
      <c r="M480" s="1269" t="str">
        <f t="shared" si="58"/>
        <v/>
      </c>
      <c r="N480" s="1285">
        <f>F480-H480</f>
        <v>0</v>
      </c>
      <c r="O480" s="326">
        <f>N480*E480</f>
        <v>0</v>
      </c>
    </row>
    <row r="481" spans="1:15" ht="30">
      <c r="A481" s="211" t="s">
        <v>1674</v>
      </c>
      <c r="B481" s="267" t="s">
        <v>315</v>
      </c>
      <c r="C481" s="1301" t="s">
        <v>316</v>
      </c>
      <c r="D481" s="211" t="s">
        <v>44</v>
      </c>
      <c r="E481" s="229">
        <v>29.61</v>
      </c>
      <c r="F481" s="211">
        <v>42</v>
      </c>
      <c r="G481" s="1290">
        <f t="shared" si="59"/>
        <v>1243.6199999999999</v>
      </c>
      <c r="H481" s="1278">
        <v>42</v>
      </c>
      <c r="I481" s="817">
        <v>1243.6199999999999</v>
      </c>
      <c r="J481" s="1269">
        <f t="shared" si="57"/>
        <v>1</v>
      </c>
      <c r="K481" s="1278">
        <f>F481-H481</f>
        <v>0</v>
      </c>
      <c r="L481" s="817">
        <f t="shared" si="61"/>
        <v>0</v>
      </c>
      <c r="M481" s="1269" t="str">
        <f t="shared" si="58"/>
        <v/>
      </c>
      <c r="N481" s="1285">
        <f>F481-H481</f>
        <v>0</v>
      </c>
      <c r="O481" s="326">
        <f>N481*E481</f>
        <v>0</v>
      </c>
    </row>
    <row r="482" spans="1:15" ht="30">
      <c r="A482" s="211" t="s">
        <v>1675</v>
      </c>
      <c r="B482" s="267" t="s">
        <v>1676</v>
      </c>
      <c r="C482" s="1301" t="s">
        <v>1677</v>
      </c>
      <c r="D482" s="211" t="s">
        <v>44</v>
      </c>
      <c r="E482" s="229">
        <v>43.65</v>
      </c>
      <c r="F482" s="211">
        <v>40</v>
      </c>
      <c r="G482" s="1290">
        <f t="shared" si="59"/>
        <v>1746</v>
      </c>
      <c r="H482" s="1278">
        <v>40</v>
      </c>
      <c r="I482" s="817">
        <v>1746</v>
      </c>
      <c r="J482" s="1269">
        <f t="shared" si="57"/>
        <v>1</v>
      </c>
      <c r="K482" s="1278">
        <f>F482-H482</f>
        <v>0</v>
      </c>
      <c r="L482" s="817">
        <f t="shared" si="61"/>
        <v>0</v>
      </c>
      <c r="M482" s="1269" t="str">
        <f t="shared" si="58"/>
        <v/>
      </c>
      <c r="N482" s="1285">
        <f>F482-H482</f>
        <v>0</v>
      </c>
      <c r="O482" s="326">
        <f>N482*E482</f>
        <v>0</v>
      </c>
    </row>
    <row r="483" spans="1:15" ht="30">
      <c r="A483" s="211" t="s">
        <v>1678</v>
      </c>
      <c r="B483" s="267" t="s">
        <v>1345</v>
      </c>
      <c r="C483" s="1301" t="s">
        <v>1346</v>
      </c>
      <c r="D483" s="211" t="s">
        <v>44</v>
      </c>
      <c r="E483" s="229">
        <v>54.81</v>
      </c>
      <c r="F483" s="211">
        <v>66</v>
      </c>
      <c r="G483" s="1290">
        <f t="shared" si="59"/>
        <v>3617.46</v>
      </c>
      <c r="H483" s="1278">
        <v>66</v>
      </c>
      <c r="I483" s="817">
        <v>3617.46</v>
      </c>
      <c r="J483" s="1269">
        <f t="shared" si="57"/>
        <v>1</v>
      </c>
      <c r="K483" s="1278">
        <f>F483-H483</f>
        <v>0</v>
      </c>
      <c r="L483" s="817">
        <f t="shared" si="61"/>
        <v>0</v>
      </c>
      <c r="M483" s="1269" t="str">
        <f t="shared" si="58"/>
        <v/>
      </c>
      <c r="N483" s="1285">
        <f>F483-H483</f>
        <v>0</v>
      </c>
      <c r="O483" s="326">
        <f>N483*E483</f>
        <v>0</v>
      </c>
    </row>
    <row r="484" spans="1:15" ht="45">
      <c r="A484" s="211" t="s">
        <v>1679</v>
      </c>
      <c r="B484" s="267" t="s">
        <v>1680</v>
      </c>
      <c r="C484" s="1301" t="s">
        <v>1681</v>
      </c>
      <c r="D484" s="211" t="s">
        <v>28</v>
      </c>
      <c r="E484" s="229">
        <v>58.38</v>
      </c>
      <c r="F484" s="211">
        <v>114</v>
      </c>
      <c r="G484" s="1290">
        <f t="shared" si="59"/>
        <v>6655.3200000000006</v>
      </c>
      <c r="H484" s="1278">
        <v>114</v>
      </c>
      <c r="I484" s="817">
        <v>6655.3200000000006</v>
      </c>
      <c r="J484" s="1269">
        <f t="shared" si="57"/>
        <v>1</v>
      </c>
      <c r="K484" s="1278">
        <f>F484-H484</f>
        <v>0</v>
      </c>
      <c r="L484" s="817">
        <f t="shared" si="61"/>
        <v>0</v>
      </c>
      <c r="M484" s="1269" t="str">
        <f t="shared" si="58"/>
        <v/>
      </c>
      <c r="N484" s="1285">
        <f>F484-H484</f>
        <v>0</v>
      </c>
      <c r="O484" s="326">
        <f>N484*E484</f>
        <v>0</v>
      </c>
    </row>
    <row r="485" spans="1:15" ht="30">
      <c r="A485" s="211" t="s">
        <v>1682</v>
      </c>
      <c r="B485" s="267" t="s">
        <v>1366</v>
      </c>
      <c r="C485" s="1301" t="s">
        <v>1367</v>
      </c>
      <c r="D485" s="211" t="s">
        <v>44</v>
      </c>
      <c r="E485" s="229">
        <v>10.050000000000001</v>
      </c>
      <c r="F485" s="211">
        <v>35</v>
      </c>
      <c r="G485" s="1290">
        <f t="shared" si="59"/>
        <v>351.75</v>
      </c>
      <c r="H485" s="1278">
        <v>35</v>
      </c>
      <c r="I485" s="817">
        <v>351.75</v>
      </c>
      <c r="J485" s="1269">
        <f t="shared" si="57"/>
        <v>1</v>
      </c>
      <c r="K485" s="1278">
        <f>F485-H485</f>
        <v>0</v>
      </c>
      <c r="L485" s="817">
        <f t="shared" si="61"/>
        <v>0</v>
      </c>
      <c r="M485" s="1269" t="str">
        <f t="shared" si="58"/>
        <v/>
      </c>
      <c r="N485" s="1285">
        <f>F485-H485</f>
        <v>0</v>
      </c>
      <c r="O485" s="326">
        <f>N485*E485</f>
        <v>0</v>
      </c>
    </row>
    <row r="486" spans="1:15" ht="30">
      <c r="A486" s="211" t="s">
        <v>1683</v>
      </c>
      <c r="B486" s="267" t="s">
        <v>1390</v>
      </c>
      <c r="C486" s="1301" t="s">
        <v>1391</v>
      </c>
      <c r="D486" s="211" t="s">
        <v>44</v>
      </c>
      <c r="E486" s="229">
        <v>98.52</v>
      </c>
      <c r="F486" s="211">
        <v>10</v>
      </c>
      <c r="G486" s="1289">
        <f t="shared" si="59"/>
        <v>985.19999999999993</v>
      </c>
      <c r="H486" s="1278">
        <v>10</v>
      </c>
      <c r="I486" s="224">
        <v>985.19999999999993</v>
      </c>
      <c r="J486" s="1269">
        <f t="shared" si="57"/>
        <v>1</v>
      </c>
      <c r="K486" s="1278">
        <f>F486-H486</f>
        <v>0</v>
      </c>
      <c r="L486" s="224">
        <f t="shared" si="61"/>
        <v>0</v>
      </c>
      <c r="M486" s="1269" t="str">
        <f t="shared" si="58"/>
        <v/>
      </c>
      <c r="N486" s="1285">
        <f>F486-H486</f>
        <v>0</v>
      </c>
      <c r="O486" s="326">
        <f>N486*E486</f>
        <v>0</v>
      </c>
    </row>
    <row r="487" spans="1:15" ht="45">
      <c r="A487" s="253" t="s">
        <v>3200</v>
      </c>
      <c r="B487" s="267" t="s">
        <v>1685</v>
      </c>
      <c r="C487" s="1301" t="s">
        <v>1686</v>
      </c>
      <c r="D487" s="211" t="s">
        <v>44</v>
      </c>
      <c r="E487" s="229">
        <v>111.81</v>
      </c>
      <c r="F487" s="211">
        <v>114</v>
      </c>
      <c r="G487" s="1290">
        <f t="shared" si="59"/>
        <v>12746.34</v>
      </c>
      <c r="H487" s="1278">
        <v>114</v>
      </c>
      <c r="I487" s="817">
        <v>12746.34</v>
      </c>
      <c r="J487" s="1269">
        <f t="shared" si="57"/>
        <v>1</v>
      </c>
      <c r="K487" s="1278">
        <f>F487-H487</f>
        <v>0</v>
      </c>
      <c r="L487" s="817">
        <f t="shared" si="61"/>
        <v>0</v>
      </c>
      <c r="M487" s="1269" t="str">
        <f t="shared" si="58"/>
        <v/>
      </c>
      <c r="N487" s="1285">
        <f>F487-H487</f>
        <v>0</v>
      </c>
      <c r="O487" s="326">
        <f>N487*E487</f>
        <v>0</v>
      </c>
    </row>
    <row r="488" spans="1:15" ht="30">
      <c r="A488" s="211" t="s">
        <v>1687</v>
      </c>
      <c r="B488" s="267" t="s">
        <v>1688</v>
      </c>
      <c r="C488" s="1301" t="s">
        <v>1689</v>
      </c>
      <c r="D488" s="211" t="s">
        <v>28</v>
      </c>
      <c r="E488" s="229">
        <v>81.760000000000005</v>
      </c>
      <c r="F488" s="211">
        <v>1</v>
      </c>
      <c r="G488" s="1290">
        <f t="shared" si="59"/>
        <v>81.760000000000005</v>
      </c>
      <c r="H488" s="1278">
        <v>1</v>
      </c>
      <c r="I488" s="817">
        <v>81.760000000000005</v>
      </c>
      <c r="J488" s="1269">
        <f t="shared" si="57"/>
        <v>1</v>
      </c>
      <c r="K488" s="1278">
        <f>F488-H488</f>
        <v>0</v>
      </c>
      <c r="L488" s="817">
        <f t="shared" si="61"/>
        <v>0</v>
      </c>
      <c r="M488" s="1269" t="str">
        <f t="shared" si="58"/>
        <v/>
      </c>
      <c r="N488" s="1285">
        <f>F488-H488</f>
        <v>0</v>
      </c>
      <c r="O488" s="326">
        <f>N488*E488</f>
        <v>0</v>
      </c>
    </row>
    <row r="489" spans="1:15" ht="45">
      <c r="A489" s="211" t="s">
        <v>1690</v>
      </c>
      <c r="B489" s="267" t="s">
        <v>1691</v>
      </c>
      <c r="C489" s="1301" t="s">
        <v>1692</v>
      </c>
      <c r="D489" s="211" t="s">
        <v>28</v>
      </c>
      <c r="E489" s="229">
        <v>84.44</v>
      </c>
      <c r="F489" s="211">
        <v>13</v>
      </c>
      <c r="G489" s="1290">
        <f t="shared" si="59"/>
        <v>1097.72</v>
      </c>
      <c r="H489" s="1278">
        <v>13</v>
      </c>
      <c r="I489" s="817">
        <v>1097.72</v>
      </c>
      <c r="J489" s="1269">
        <f t="shared" si="57"/>
        <v>1</v>
      </c>
      <c r="K489" s="1278">
        <f>F489-H489</f>
        <v>0</v>
      </c>
      <c r="L489" s="817">
        <f t="shared" si="61"/>
        <v>0</v>
      </c>
      <c r="M489" s="1269" t="str">
        <f t="shared" si="58"/>
        <v/>
      </c>
      <c r="N489" s="1285">
        <f>F489-H489</f>
        <v>0</v>
      </c>
      <c r="O489" s="326">
        <f>N489*E489</f>
        <v>0</v>
      </c>
    </row>
    <row r="490" spans="1:15" ht="30">
      <c r="A490" s="211" t="s">
        <v>1693</v>
      </c>
      <c r="B490" s="267" t="s">
        <v>1694</v>
      </c>
      <c r="C490" s="1301" t="s">
        <v>1695</v>
      </c>
      <c r="D490" s="211" t="s">
        <v>28</v>
      </c>
      <c r="E490" s="229">
        <v>86.27</v>
      </c>
      <c r="F490" s="211">
        <v>3</v>
      </c>
      <c r="G490" s="1290">
        <f t="shared" si="59"/>
        <v>258.81</v>
      </c>
      <c r="H490" s="1278">
        <v>3</v>
      </c>
      <c r="I490" s="817">
        <v>258.81</v>
      </c>
      <c r="J490" s="1269">
        <f t="shared" si="57"/>
        <v>1</v>
      </c>
      <c r="K490" s="1278">
        <f>F490-H490</f>
        <v>0</v>
      </c>
      <c r="L490" s="817">
        <f t="shared" si="61"/>
        <v>0</v>
      </c>
      <c r="M490" s="1269" t="str">
        <f t="shared" si="58"/>
        <v/>
      </c>
      <c r="N490" s="1285">
        <f>F490-H490</f>
        <v>0</v>
      </c>
      <c r="O490" s="326">
        <f>N490*E490</f>
        <v>0</v>
      </c>
    </row>
    <row r="491" spans="1:15" ht="105">
      <c r="A491" s="211" t="s">
        <v>1696</v>
      </c>
      <c r="B491" s="267" t="s">
        <v>1697</v>
      </c>
      <c r="C491" s="1301" t="s">
        <v>1698</v>
      </c>
      <c r="D491" s="211" t="s">
        <v>28</v>
      </c>
      <c r="E491" s="229">
        <v>56.99</v>
      </c>
      <c r="F491" s="211">
        <v>76</v>
      </c>
      <c r="G491" s="1290">
        <f t="shared" si="59"/>
        <v>4331.24</v>
      </c>
      <c r="H491" s="1278">
        <v>76</v>
      </c>
      <c r="I491" s="817">
        <v>4331.24</v>
      </c>
      <c r="J491" s="1269">
        <f t="shared" si="57"/>
        <v>1</v>
      </c>
      <c r="K491" s="1278">
        <f>F491-H491</f>
        <v>0</v>
      </c>
      <c r="L491" s="817">
        <f t="shared" si="61"/>
        <v>0</v>
      </c>
      <c r="M491" s="1269" t="str">
        <f t="shared" si="58"/>
        <v/>
      </c>
      <c r="N491" s="1285">
        <f>F491-H491</f>
        <v>0</v>
      </c>
      <c r="O491" s="326">
        <f>N491*E491</f>
        <v>0</v>
      </c>
    </row>
    <row r="492" spans="1:15" ht="45">
      <c r="A492" s="211" t="s">
        <v>1699</v>
      </c>
      <c r="B492" s="267" t="s">
        <v>1384</v>
      </c>
      <c r="C492" s="1301" t="s">
        <v>1385</v>
      </c>
      <c r="D492" s="211" t="s">
        <v>28</v>
      </c>
      <c r="E492" s="229">
        <v>12.87</v>
      </c>
      <c r="F492" s="211">
        <v>8</v>
      </c>
      <c r="G492" s="1290">
        <f t="shared" si="59"/>
        <v>102.96</v>
      </c>
      <c r="H492" s="1278">
        <v>8</v>
      </c>
      <c r="I492" s="817">
        <v>102.96</v>
      </c>
      <c r="J492" s="1269">
        <f t="shared" si="57"/>
        <v>1</v>
      </c>
      <c r="K492" s="1278">
        <f>F492-H492</f>
        <v>0</v>
      </c>
      <c r="L492" s="817">
        <f t="shared" si="61"/>
        <v>0</v>
      </c>
      <c r="M492" s="1269" t="str">
        <f t="shared" si="58"/>
        <v/>
      </c>
      <c r="N492" s="1285">
        <f>F492-H492</f>
        <v>0</v>
      </c>
      <c r="O492" s="326">
        <f>N492*E492</f>
        <v>0</v>
      </c>
    </row>
    <row r="493" spans="1:15" ht="45">
      <c r="A493" s="211" t="s">
        <v>1700</v>
      </c>
      <c r="B493" s="267" t="s">
        <v>1405</v>
      </c>
      <c r="C493" s="1301" t="s">
        <v>1406</v>
      </c>
      <c r="D493" s="211" t="s">
        <v>28</v>
      </c>
      <c r="E493" s="229">
        <v>15.61</v>
      </c>
      <c r="F493" s="211">
        <v>17</v>
      </c>
      <c r="G493" s="1290">
        <f t="shared" si="59"/>
        <v>265.37</v>
      </c>
      <c r="H493" s="1278">
        <v>17</v>
      </c>
      <c r="I493" s="817">
        <v>265.37</v>
      </c>
      <c r="J493" s="1269">
        <f t="shared" si="57"/>
        <v>1</v>
      </c>
      <c r="K493" s="1278">
        <f>F493-H493</f>
        <v>0</v>
      </c>
      <c r="L493" s="817">
        <f t="shared" si="61"/>
        <v>0</v>
      </c>
      <c r="M493" s="1269" t="str">
        <f t="shared" si="58"/>
        <v/>
      </c>
      <c r="N493" s="1285">
        <f>F493-H493</f>
        <v>0</v>
      </c>
      <c r="O493" s="326">
        <f>N493*E493</f>
        <v>0</v>
      </c>
    </row>
    <row r="494" spans="1:15" ht="45">
      <c r="A494" s="211" t="s">
        <v>1701</v>
      </c>
      <c r="B494" s="267" t="s">
        <v>1387</v>
      </c>
      <c r="C494" s="1301" t="s">
        <v>1388</v>
      </c>
      <c r="D494" s="211" t="s">
        <v>28</v>
      </c>
      <c r="E494" s="229">
        <v>24.37</v>
      </c>
      <c r="F494" s="211">
        <v>24</v>
      </c>
      <c r="G494" s="1290">
        <f t="shared" si="59"/>
        <v>584.88</v>
      </c>
      <c r="H494" s="1278">
        <v>24</v>
      </c>
      <c r="I494" s="817">
        <v>584.88</v>
      </c>
      <c r="J494" s="1269">
        <f t="shared" si="57"/>
        <v>1</v>
      </c>
      <c r="K494" s="1278">
        <f>F494-H494</f>
        <v>0</v>
      </c>
      <c r="L494" s="817">
        <f t="shared" si="61"/>
        <v>0</v>
      </c>
      <c r="M494" s="1269" t="str">
        <f t="shared" si="58"/>
        <v/>
      </c>
      <c r="N494" s="1285">
        <f>F494-H494</f>
        <v>0</v>
      </c>
      <c r="O494" s="326">
        <f>N494*E494</f>
        <v>0</v>
      </c>
    </row>
    <row r="495" spans="1:15">
      <c r="A495" s="211" t="s">
        <v>1702</v>
      </c>
      <c r="B495" s="267" t="s">
        <v>1354</v>
      </c>
      <c r="C495" s="1301" t="s">
        <v>1355</v>
      </c>
      <c r="D495" s="211" t="s">
        <v>28</v>
      </c>
      <c r="E495" s="229">
        <v>12.29</v>
      </c>
      <c r="F495" s="211">
        <v>22</v>
      </c>
      <c r="G495" s="1289">
        <f t="shared" si="59"/>
        <v>270.38</v>
      </c>
      <c r="H495" s="1278">
        <v>22</v>
      </c>
      <c r="I495" s="224">
        <v>270.38</v>
      </c>
      <c r="J495" s="1269">
        <f t="shared" si="57"/>
        <v>1</v>
      </c>
      <c r="K495" s="1278">
        <f>F495-H495</f>
        <v>0</v>
      </c>
      <c r="L495" s="224">
        <f t="shared" si="61"/>
        <v>0</v>
      </c>
      <c r="M495" s="1269" t="str">
        <f t="shared" si="58"/>
        <v/>
      </c>
      <c r="N495" s="1285">
        <f>F495-H495</f>
        <v>0</v>
      </c>
      <c r="O495" s="326">
        <f>N495*E495</f>
        <v>0</v>
      </c>
    </row>
    <row r="496" spans="1:15">
      <c r="A496" s="211" t="s">
        <v>1703</v>
      </c>
      <c r="B496" s="267" t="s">
        <v>1357</v>
      </c>
      <c r="C496" s="1301" t="s">
        <v>1358</v>
      </c>
      <c r="D496" s="211" t="s">
        <v>28</v>
      </c>
      <c r="E496" s="229">
        <v>12.78</v>
      </c>
      <c r="F496" s="211">
        <v>9</v>
      </c>
      <c r="G496" s="1289">
        <f t="shared" si="59"/>
        <v>115.02</v>
      </c>
      <c r="H496" s="1278">
        <v>9</v>
      </c>
      <c r="I496" s="224">
        <v>115.02</v>
      </c>
      <c r="J496" s="1269">
        <f t="shared" si="57"/>
        <v>1</v>
      </c>
      <c r="K496" s="1278">
        <f>F496-H496</f>
        <v>0</v>
      </c>
      <c r="L496" s="224">
        <f t="shared" si="61"/>
        <v>0</v>
      </c>
      <c r="M496" s="1269" t="str">
        <f t="shared" si="58"/>
        <v/>
      </c>
      <c r="N496" s="1285">
        <f>F496-H496</f>
        <v>0</v>
      </c>
      <c r="O496" s="326">
        <f>N496*E496</f>
        <v>0</v>
      </c>
    </row>
    <row r="497" spans="1:15">
      <c r="A497" s="211" t="s">
        <v>1704</v>
      </c>
      <c r="B497" s="267" t="s">
        <v>1411</v>
      </c>
      <c r="C497" s="1301" t="s">
        <v>1412</v>
      </c>
      <c r="D497" s="211" t="s">
        <v>28</v>
      </c>
      <c r="E497" s="229">
        <v>15.43</v>
      </c>
      <c r="F497" s="211">
        <v>6</v>
      </c>
      <c r="G497" s="1289">
        <f t="shared" si="59"/>
        <v>92.58</v>
      </c>
      <c r="H497" s="1278">
        <v>6</v>
      </c>
      <c r="I497" s="224">
        <v>92.58</v>
      </c>
      <c r="J497" s="1269">
        <f t="shared" si="57"/>
        <v>1</v>
      </c>
      <c r="K497" s="1278">
        <f>F497-H497</f>
        <v>0</v>
      </c>
      <c r="L497" s="224">
        <f t="shared" si="61"/>
        <v>0</v>
      </c>
      <c r="M497" s="1269" t="str">
        <f t="shared" si="58"/>
        <v/>
      </c>
      <c r="N497" s="1285">
        <f>F497-H497</f>
        <v>0</v>
      </c>
      <c r="O497" s="326">
        <f>N497*E497</f>
        <v>0</v>
      </c>
    </row>
    <row r="498" spans="1:15" ht="75">
      <c r="A498" s="211" t="s">
        <v>1705</v>
      </c>
      <c r="B498" s="267" t="s">
        <v>1432</v>
      </c>
      <c r="C498" s="1301" t="s">
        <v>1433</v>
      </c>
      <c r="D498" s="211" t="s">
        <v>28</v>
      </c>
      <c r="E498" s="229">
        <v>27.53</v>
      </c>
      <c r="F498" s="211">
        <v>76</v>
      </c>
      <c r="G498" s="1289">
        <f t="shared" si="59"/>
        <v>2092.2800000000002</v>
      </c>
      <c r="H498" s="1278">
        <v>76</v>
      </c>
      <c r="I498" s="224">
        <v>2092.2800000000002</v>
      </c>
      <c r="J498" s="1269">
        <f t="shared" si="57"/>
        <v>1</v>
      </c>
      <c r="K498" s="1278">
        <f>F498-H498</f>
        <v>0</v>
      </c>
      <c r="L498" s="224">
        <f t="shared" si="61"/>
        <v>0</v>
      </c>
      <c r="M498" s="1269" t="str">
        <f t="shared" si="58"/>
        <v/>
      </c>
      <c r="N498" s="1285">
        <f>F498-H498</f>
        <v>0</v>
      </c>
      <c r="O498" s="326">
        <f>N498*E498</f>
        <v>0</v>
      </c>
    </row>
    <row r="499" spans="1:15">
      <c r="A499" s="235" t="s">
        <v>1706</v>
      </c>
      <c r="B499" s="813" t="s">
        <v>1707</v>
      </c>
      <c r="C499" s="1305"/>
      <c r="D499" s="235"/>
      <c r="E499" s="235"/>
      <c r="F499" s="235"/>
      <c r="G499" s="1260"/>
      <c r="H499" s="1278">
        <v>0</v>
      </c>
      <c r="I499" s="235"/>
      <c r="J499" s="1269" t="str">
        <f t="shared" si="57"/>
        <v/>
      </c>
      <c r="K499" s="1278">
        <f>F499-H499</f>
        <v>0</v>
      </c>
      <c r="L499" s="235"/>
      <c r="M499" s="1269" t="str">
        <f t="shared" si="58"/>
        <v/>
      </c>
      <c r="N499" s="1285">
        <f>F499-H499</f>
        <v>0</v>
      </c>
      <c r="O499" s="326">
        <f>N499*E499</f>
        <v>0</v>
      </c>
    </row>
    <row r="500" spans="1:15" ht="30">
      <c r="A500" s="253" t="s">
        <v>3607</v>
      </c>
      <c r="B500" s="267" t="s">
        <v>1709</v>
      </c>
      <c r="C500" s="1301" t="s">
        <v>1710</v>
      </c>
      <c r="D500" s="211" t="s">
        <v>44</v>
      </c>
      <c r="E500" s="229">
        <v>25.79</v>
      </c>
      <c r="F500" s="211">
        <v>111</v>
      </c>
      <c r="G500" s="1290">
        <f t="shared" si="59"/>
        <v>2862.69</v>
      </c>
      <c r="H500" s="1278">
        <v>111</v>
      </c>
      <c r="I500" s="817">
        <v>2862.69</v>
      </c>
      <c r="J500" s="1269">
        <f t="shared" si="57"/>
        <v>1</v>
      </c>
      <c r="K500" s="1278">
        <f>F500-H500</f>
        <v>0</v>
      </c>
      <c r="L500" s="817">
        <f>K500*$E500</f>
        <v>0</v>
      </c>
      <c r="M500" s="1269" t="str">
        <f t="shared" si="58"/>
        <v/>
      </c>
      <c r="N500" s="1285">
        <f>F500-H500</f>
        <v>0</v>
      </c>
      <c r="O500" s="326">
        <f>N500*E500</f>
        <v>0</v>
      </c>
    </row>
    <row r="501" spans="1:15" ht="30">
      <c r="A501" s="211" t="s">
        <v>1711</v>
      </c>
      <c r="B501" s="267" t="s">
        <v>1712</v>
      </c>
      <c r="C501" s="1301" t="s">
        <v>1713</v>
      </c>
      <c r="D501" s="211" t="s">
        <v>44</v>
      </c>
      <c r="E501" s="229">
        <v>6.48</v>
      </c>
      <c r="F501" s="214">
        <v>4737</v>
      </c>
      <c r="G501" s="1289">
        <f t="shared" si="59"/>
        <v>30695.760000000002</v>
      </c>
      <c r="H501" s="1278">
        <v>4737</v>
      </c>
      <c r="I501" s="224">
        <v>30695.760000000002</v>
      </c>
      <c r="J501" s="1269">
        <f t="shared" si="57"/>
        <v>1</v>
      </c>
      <c r="K501" s="1278">
        <f>F501-H501</f>
        <v>0</v>
      </c>
      <c r="L501" s="224">
        <f>K501*$E501</f>
        <v>0</v>
      </c>
      <c r="M501" s="1269" t="str">
        <f t="shared" si="58"/>
        <v/>
      </c>
      <c r="N501" s="1285">
        <f>F501-H501</f>
        <v>0</v>
      </c>
      <c r="O501" s="326">
        <f>N501*E501</f>
        <v>0</v>
      </c>
    </row>
    <row r="502" spans="1:15" ht="30">
      <c r="A502" s="253" t="s">
        <v>4150</v>
      </c>
      <c r="B502" s="267" t="s">
        <v>1715</v>
      </c>
      <c r="C502" s="1301" t="s">
        <v>1716</v>
      </c>
      <c r="D502" s="211" t="s">
        <v>44</v>
      </c>
      <c r="E502" s="229">
        <v>54.13</v>
      </c>
      <c r="F502" s="211">
        <v>12</v>
      </c>
      <c r="G502" s="1290">
        <f t="shared" si="59"/>
        <v>649.56000000000006</v>
      </c>
      <c r="H502" s="1278">
        <v>12</v>
      </c>
      <c r="I502" s="817">
        <v>649.56000000000006</v>
      </c>
      <c r="J502" s="1269">
        <f t="shared" si="57"/>
        <v>1</v>
      </c>
      <c r="K502" s="1278">
        <f>F502-H502</f>
        <v>0</v>
      </c>
      <c r="L502" s="817">
        <f>K502*$E502</f>
        <v>0</v>
      </c>
      <c r="M502" s="1269" t="str">
        <f t="shared" si="58"/>
        <v/>
      </c>
      <c r="N502" s="1285">
        <f>F502-H502</f>
        <v>0</v>
      </c>
      <c r="O502" s="326">
        <f>N502*E502</f>
        <v>0</v>
      </c>
    </row>
    <row r="503" spans="1:15">
      <c r="A503" s="235" t="s">
        <v>1717</v>
      </c>
      <c r="B503" s="814" t="s">
        <v>1718</v>
      </c>
      <c r="C503" s="1305"/>
      <c r="D503" s="236"/>
      <c r="E503" s="236"/>
      <c r="F503" s="236"/>
      <c r="G503" s="1298"/>
      <c r="H503" s="1278">
        <v>0</v>
      </c>
      <c r="I503" s="236"/>
      <c r="J503" s="1269" t="str">
        <f t="shared" si="57"/>
        <v/>
      </c>
      <c r="K503" s="1278">
        <f>F503-H503</f>
        <v>0</v>
      </c>
      <c r="L503" s="236"/>
      <c r="M503" s="1269" t="str">
        <f t="shared" si="58"/>
        <v/>
      </c>
      <c r="N503" s="1285">
        <f>F503-H503</f>
        <v>0</v>
      </c>
      <c r="O503" s="326">
        <f>N503*E503</f>
        <v>0</v>
      </c>
    </row>
    <row r="504" spans="1:15" ht="30">
      <c r="A504" s="211" t="s">
        <v>1719</v>
      </c>
      <c r="B504" s="267" t="s">
        <v>1720</v>
      </c>
      <c r="C504" s="1301" t="s">
        <v>1721</v>
      </c>
      <c r="D504" s="211" t="s">
        <v>28</v>
      </c>
      <c r="E504" s="229">
        <v>35.58</v>
      </c>
      <c r="F504" s="211">
        <v>14</v>
      </c>
      <c r="G504" s="1290">
        <f t="shared" si="59"/>
        <v>498.12</v>
      </c>
      <c r="H504" s="1278">
        <v>14</v>
      </c>
      <c r="I504" s="817">
        <v>498.12</v>
      </c>
      <c r="J504" s="1269">
        <f t="shared" si="57"/>
        <v>1</v>
      </c>
      <c r="K504" s="1278">
        <f>F504-H504</f>
        <v>0</v>
      </c>
      <c r="L504" s="817">
        <f>K504*$E504</f>
        <v>0</v>
      </c>
      <c r="M504" s="1269" t="str">
        <f t="shared" si="58"/>
        <v/>
      </c>
      <c r="N504" s="1285">
        <f>F504-H504</f>
        <v>0</v>
      </c>
      <c r="O504" s="326">
        <f>N504*E504</f>
        <v>0</v>
      </c>
    </row>
    <row r="505" spans="1:15" ht="30">
      <c r="A505" s="211" t="s">
        <v>1722</v>
      </c>
      <c r="B505" s="267" t="s">
        <v>1723</v>
      </c>
      <c r="C505" s="1301" t="s">
        <v>1724</v>
      </c>
      <c r="D505" s="211" t="s">
        <v>28</v>
      </c>
      <c r="E505" s="229">
        <v>56.45</v>
      </c>
      <c r="F505" s="211">
        <v>34</v>
      </c>
      <c r="G505" s="1290">
        <f t="shared" si="59"/>
        <v>1919.3000000000002</v>
      </c>
      <c r="H505" s="1278">
        <v>34</v>
      </c>
      <c r="I505" s="817">
        <v>1919.3000000000002</v>
      </c>
      <c r="J505" s="1269">
        <f t="shared" si="57"/>
        <v>1</v>
      </c>
      <c r="K505" s="1278">
        <f>F505-H505</f>
        <v>0</v>
      </c>
      <c r="L505" s="817">
        <f>K505*$E505</f>
        <v>0</v>
      </c>
      <c r="M505" s="1269" t="str">
        <f t="shared" si="58"/>
        <v/>
      </c>
      <c r="N505" s="1285">
        <f>F505-H505</f>
        <v>0</v>
      </c>
      <c r="O505" s="326">
        <f>N505*E505</f>
        <v>0</v>
      </c>
    </row>
    <row r="506" spans="1:15" ht="45">
      <c r="A506" s="211" t="s">
        <v>1725</v>
      </c>
      <c r="B506" s="267" t="s">
        <v>1726</v>
      </c>
      <c r="C506" s="1301" t="s">
        <v>1727</v>
      </c>
      <c r="D506" s="211" t="s">
        <v>28</v>
      </c>
      <c r="E506" s="229">
        <v>135.47</v>
      </c>
      <c r="F506" s="211">
        <v>1</v>
      </c>
      <c r="G506" s="1289">
        <f t="shared" si="59"/>
        <v>135.47</v>
      </c>
      <c r="H506" s="1278">
        <v>1</v>
      </c>
      <c r="I506" s="224">
        <v>135.47</v>
      </c>
      <c r="J506" s="1269">
        <f t="shared" si="57"/>
        <v>1</v>
      </c>
      <c r="K506" s="1278">
        <f>F506-H506</f>
        <v>0</v>
      </c>
      <c r="L506" s="224">
        <f>K506*$E506</f>
        <v>0</v>
      </c>
      <c r="M506" s="1269" t="str">
        <f t="shared" si="58"/>
        <v/>
      </c>
      <c r="N506" s="1285">
        <f>F506-H506</f>
        <v>0</v>
      </c>
      <c r="O506" s="326">
        <f>N506*E506</f>
        <v>0</v>
      </c>
    </row>
    <row r="507" spans="1:15" ht="45">
      <c r="A507" s="211" t="s">
        <v>1728</v>
      </c>
      <c r="B507" s="267" t="s">
        <v>1729</v>
      </c>
      <c r="C507" s="1301" t="s">
        <v>1730</v>
      </c>
      <c r="D507" s="211" t="s">
        <v>28</v>
      </c>
      <c r="E507" s="229">
        <v>203.77</v>
      </c>
      <c r="F507" s="211">
        <v>52</v>
      </c>
      <c r="G507" s="1289">
        <f t="shared" si="59"/>
        <v>10596.04</v>
      </c>
      <c r="H507" s="1278">
        <v>52</v>
      </c>
      <c r="I507" s="224">
        <v>10596.04</v>
      </c>
      <c r="J507" s="1269">
        <f t="shared" si="57"/>
        <v>1</v>
      </c>
      <c r="K507" s="1278">
        <f>F507-H507</f>
        <v>0</v>
      </c>
      <c r="L507" s="224">
        <f>K507*$E507</f>
        <v>0</v>
      </c>
      <c r="M507" s="1269" t="str">
        <f t="shared" si="58"/>
        <v/>
      </c>
      <c r="N507" s="1285">
        <f>F507-H507</f>
        <v>0</v>
      </c>
      <c r="O507" s="326">
        <f>N507*E507</f>
        <v>0</v>
      </c>
    </row>
    <row r="508" spans="1:15">
      <c r="A508" s="235" t="s">
        <v>1731</v>
      </c>
      <c r="B508" s="814" t="s">
        <v>1732</v>
      </c>
      <c r="C508" s="1305"/>
      <c r="D508" s="236"/>
      <c r="E508" s="236"/>
      <c r="F508" s="236"/>
      <c r="G508" s="1298"/>
      <c r="H508" s="1278">
        <v>0</v>
      </c>
      <c r="I508" s="236"/>
      <c r="J508" s="1269" t="str">
        <f t="shared" si="57"/>
        <v/>
      </c>
      <c r="K508" s="1278">
        <f>F508-H508</f>
        <v>0</v>
      </c>
      <c r="L508" s="236"/>
      <c r="M508" s="1269" t="str">
        <f t="shared" si="58"/>
        <v/>
      </c>
      <c r="N508" s="1285">
        <f>F508-H508</f>
        <v>0</v>
      </c>
      <c r="O508" s="326">
        <f>N508*E508</f>
        <v>0</v>
      </c>
    </row>
    <row r="509" spans="1:15" ht="45">
      <c r="A509" s="253" t="s">
        <v>4104</v>
      </c>
      <c r="B509" s="267" t="s">
        <v>1734</v>
      </c>
      <c r="C509" s="1301" t="s">
        <v>1735</v>
      </c>
      <c r="D509" s="211" t="s">
        <v>28</v>
      </c>
      <c r="E509" s="229">
        <v>3162.79</v>
      </c>
      <c r="F509" s="211">
        <v>1</v>
      </c>
      <c r="G509" s="1290">
        <f t="shared" si="59"/>
        <v>3162.79</v>
      </c>
      <c r="H509" s="1278">
        <v>1</v>
      </c>
      <c r="I509" s="817">
        <v>3162.79</v>
      </c>
      <c r="J509" s="1269">
        <f t="shared" si="57"/>
        <v>1</v>
      </c>
      <c r="K509" s="1278">
        <f>F509-H509</f>
        <v>0</v>
      </c>
      <c r="L509" s="817">
        <f t="shared" ref="L509:L521" si="62">K509*$E509</f>
        <v>0</v>
      </c>
      <c r="M509" s="1269" t="str">
        <f t="shared" si="58"/>
        <v/>
      </c>
      <c r="N509" s="1285">
        <f>F509-H509</f>
        <v>0</v>
      </c>
      <c r="O509" s="326">
        <f>N509*E509</f>
        <v>0</v>
      </c>
    </row>
    <row r="510" spans="1:15">
      <c r="A510" s="211" t="s">
        <v>1736</v>
      </c>
      <c r="B510" s="267" t="s">
        <v>1737</v>
      </c>
      <c r="C510" s="1301" t="s">
        <v>1738</v>
      </c>
      <c r="D510" s="211" t="s">
        <v>28</v>
      </c>
      <c r="E510" s="229">
        <v>176.01</v>
      </c>
      <c r="F510" s="211">
        <v>2</v>
      </c>
      <c r="G510" s="1290">
        <f t="shared" si="59"/>
        <v>352.02</v>
      </c>
      <c r="H510" s="1278">
        <v>2</v>
      </c>
      <c r="I510" s="817">
        <v>352.02</v>
      </c>
      <c r="J510" s="1269">
        <f t="shared" si="57"/>
        <v>1</v>
      </c>
      <c r="K510" s="1278">
        <f>F510-H510</f>
        <v>0</v>
      </c>
      <c r="L510" s="817">
        <f t="shared" si="62"/>
        <v>0</v>
      </c>
      <c r="M510" s="1269" t="str">
        <f t="shared" si="58"/>
        <v/>
      </c>
      <c r="N510" s="1285">
        <f>F510-H510</f>
        <v>0</v>
      </c>
      <c r="O510" s="326">
        <f>N510*E510</f>
        <v>0</v>
      </c>
    </row>
    <row r="511" spans="1:15" ht="30">
      <c r="A511" s="211" t="s">
        <v>1739</v>
      </c>
      <c r="B511" s="267" t="s">
        <v>1740</v>
      </c>
      <c r="C511" s="1301" t="s">
        <v>1741</v>
      </c>
      <c r="D511" s="211" t="s">
        <v>28</v>
      </c>
      <c r="E511" s="229">
        <v>391.53</v>
      </c>
      <c r="F511" s="211">
        <v>5</v>
      </c>
      <c r="G511" s="1290">
        <f t="shared" si="59"/>
        <v>1957.6499999999999</v>
      </c>
      <c r="H511" s="1278">
        <v>5</v>
      </c>
      <c r="I511" s="817">
        <v>1957.6499999999999</v>
      </c>
      <c r="J511" s="1269">
        <f t="shared" si="57"/>
        <v>1</v>
      </c>
      <c r="K511" s="1278">
        <f>F511-H511</f>
        <v>0</v>
      </c>
      <c r="L511" s="817">
        <f t="shared" si="62"/>
        <v>0</v>
      </c>
      <c r="M511" s="1269" t="str">
        <f t="shared" si="58"/>
        <v/>
      </c>
      <c r="N511" s="1285">
        <f>F511-H511</f>
        <v>0</v>
      </c>
      <c r="O511" s="326">
        <f>N511*E511</f>
        <v>0</v>
      </c>
    </row>
    <row r="512" spans="1:15" ht="45">
      <c r="A512" s="211" t="s">
        <v>1742</v>
      </c>
      <c r="B512" s="267" t="s">
        <v>1743</v>
      </c>
      <c r="C512" s="1301" t="s">
        <v>1744</v>
      </c>
      <c r="D512" s="211" t="s">
        <v>28</v>
      </c>
      <c r="E512" s="229">
        <v>38.94</v>
      </c>
      <c r="F512" s="211">
        <v>17</v>
      </c>
      <c r="G512" s="1290">
        <f t="shared" si="59"/>
        <v>661.98</v>
      </c>
      <c r="H512" s="1278">
        <v>17</v>
      </c>
      <c r="I512" s="817">
        <v>661.98</v>
      </c>
      <c r="J512" s="1269">
        <f t="shared" si="57"/>
        <v>1</v>
      </c>
      <c r="K512" s="1278">
        <f>F512-H512</f>
        <v>0</v>
      </c>
      <c r="L512" s="817">
        <f t="shared" si="62"/>
        <v>0</v>
      </c>
      <c r="M512" s="1269" t="str">
        <f t="shared" si="58"/>
        <v/>
      </c>
      <c r="N512" s="1285">
        <f>F512-H512</f>
        <v>0</v>
      </c>
      <c r="O512" s="326">
        <f>N512*E512</f>
        <v>0</v>
      </c>
    </row>
    <row r="513" spans="1:19" ht="30">
      <c r="A513" s="211" t="s">
        <v>1745</v>
      </c>
      <c r="B513" s="267" t="s">
        <v>1746</v>
      </c>
      <c r="C513" s="1301" t="s">
        <v>1747</v>
      </c>
      <c r="D513" s="211" t="s">
        <v>28</v>
      </c>
      <c r="E513" s="229">
        <v>43.06</v>
      </c>
      <c r="F513" s="211">
        <v>190</v>
      </c>
      <c r="G513" s="1290">
        <f t="shared" si="59"/>
        <v>8181.4000000000005</v>
      </c>
      <c r="H513" s="1278">
        <v>190</v>
      </c>
      <c r="I513" s="817">
        <v>8181.4000000000005</v>
      </c>
      <c r="J513" s="1269">
        <f t="shared" si="57"/>
        <v>1</v>
      </c>
      <c r="K513" s="1278">
        <f>F513-H513</f>
        <v>0</v>
      </c>
      <c r="L513" s="817">
        <f t="shared" si="62"/>
        <v>0</v>
      </c>
      <c r="M513" s="1269" t="str">
        <f t="shared" si="58"/>
        <v/>
      </c>
      <c r="N513" s="1285">
        <f>F513-H513</f>
        <v>0</v>
      </c>
      <c r="O513" s="326">
        <f>N513*E513</f>
        <v>0</v>
      </c>
    </row>
    <row r="514" spans="1:19">
      <c r="A514" s="211" t="s">
        <v>1748</v>
      </c>
      <c r="B514" s="267" t="s">
        <v>1749</v>
      </c>
      <c r="C514" s="1301" t="s">
        <v>1750</v>
      </c>
      <c r="D514" s="211" t="s">
        <v>28</v>
      </c>
      <c r="E514" s="229">
        <v>198.78</v>
      </c>
      <c r="F514" s="211">
        <v>1</v>
      </c>
      <c r="G514" s="1290">
        <f t="shared" si="59"/>
        <v>198.78</v>
      </c>
      <c r="H514" s="1278">
        <v>1</v>
      </c>
      <c r="I514" s="817">
        <v>198.78</v>
      </c>
      <c r="J514" s="1269">
        <f t="shared" ref="J514:J577" si="63">IF(H514=0,"",H514/$F514)</f>
        <v>1</v>
      </c>
      <c r="K514" s="1278">
        <f>F514-H514</f>
        <v>0</v>
      </c>
      <c r="L514" s="817">
        <f t="shared" si="62"/>
        <v>0</v>
      </c>
      <c r="M514" s="1269" t="str">
        <f t="shared" ref="M514:M577" si="64">IF(K514=0,"",K514/$F514)</f>
        <v/>
      </c>
      <c r="N514" s="1285">
        <f>F514-H514</f>
        <v>0</v>
      </c>
      <c r="O514" s="326">
        <f>N514*E514</f>
        <v>0</v>
      </c>
    </row>
    <row r="515" spans="1:19">
      <c r="A515" s="211" t="s">
        <v>1751</v>
      </c>
      <c r="B515" s="267" t="s">
        <v>1752</v>
      </c>
      <c r="C515" s="1301" t="s">
        <v>1753</v>
      </c>
      <c r="D515" s="211" t="s">
        <v>28</v>
      </c>
      <c r="E515" s="229">
        <v>138.32</v>
      </c>
      <c r="F515" s="211">
        <v>2</v>
      </c>
      <c r="G515" s="1290">
        <f t="shared" si="59"/>
        <v>276.64</v>
      </c>
      <c r="H515" s="1278">
        <v>2</v>
      </c>
      <c r="I515" s="817">
        <v>276.64</v>
      </c>
      <c r="J515" s="1269">
        <f t="shared" si="63"/>
        <v>1</v>
      </c>
      <c r="K515" s="1278">
        <f>F515-H515</f>
        <v>0</v>
      </c>
      <c r="L515" s="817">
        <f t="shared" si="62"/>
        <v>0</v>
      </c>
      <c r="M515" s="1269" t="str">
        <f t="shared" si="64"/>
        <v/>
      </c>
      <c r="N515" s="1285">
        <f>F515-H515</f>
        <v>0</v>
      </c>
      <c r="O515" s="326">
        <f>N515*E515</f>
        <v>0</v>
      </c>
    </row>
    <row r="516" spans="1:19" ht="45">
      <c r="A516" s="211" t="s">
        <v>1754</v>
      </c>
      <c r="B516" s="267" t="s">
        <v>1755</v>
      </c>
      <c r="C516" s="1301" t="s">
        <v>1756</v>
      </c>
      <c r="D516" s="211" t="s">
        <v>28</v>
      </c>
      <c r="E516" s="229">
        <v>1627.77</v>
      </c>
      <c r="F516" s="211">
        <v>6</v>
      </c>
      <c r="G516" s="1290">
        <f t="shared" si="59"/>
        <v>9766.619999999999</v>
      </c>
      <c r="H516" s="1278">
        <v>6</v>
      </c>
      <c r="I516" s="817">
        <v>9766.619999999999</v>
      </c>
      <c r="J516" s="1269">
        <f t="shared" si="63"/>
        <v>1</v>
      </c>
      <c r="K516" s="1278">
        <f>F516-H516</f>
        <v>0</v>
      </c>
      <c r="L516" s="817">
        <f t="shared" si="62"/>
        <v>0</v>
      </c>
      <c r="M516" s="1269" t="str">
        <f t="shared" si="64"/>
        <v/>
      </c>
      <c r="N516" s="1285">
        <f>F516-H516</f>
        <v>0</v>
      </c>
      <c r="O516" s="326">
        <f>N516*E516</f>
        <v>0</v>
      </c>
      <c r="P516" s="1416"/>
      <c r="Q516" s="1416"/>
      <c r="R516" s="1416"/>
      <c r="S516" s="1416"/>
    </row>
    <row r="517" spans="1:19" ht="15.75">
      <c r="A517" s="211" t="s">
        <v>1757</v>
      </c>
      <c r="B517" s="267" t="s">
        <v>1758</v>
      </c>
      <c r="C517" s="1301" t="s">
        <v>1759</v>
      </c>
      <c r="D517" s="211" t="s">
        <v>28</v>
      </c>
      <c r="E517" s="229">
        <v>81.67</v>
      </c>
      <c r="F517" s="211">
        <v>82</v>
      </c>
      <c r="G517" s="1290">
        <f t="shared" si="59"/>
        <v>6696.9400000000005</v>
      </c>
      <c r="H517" s="1278">
        <v>82</v>
      </c>
      <c r="I517" s="817">
        <v>6696.9400000000005</v>
      </c>
      <c r="J517" s="1269">
        <f t="shared" si="63"/>
        <v>1</v>
      </c>
      <c r="K517" s="1278">
        <f>F517-H517</f>
        <v>0</v>
      </c>
      <c r="L517" s="817">
        <f t="shared" si="62"/>
        <v>0</v>
      </c>
      <c r="M517" s="1269" t="str">
        <f t="shared" si="64"/>
        <v/>
      </c>
      <c r="N517" s="1285">
        <f>F517-H517</f>
        <v>0</v>
      </c>
      <c r="O517" s="326">
        <f>N517*E517</f>
        <v>0</v>
      </c>
      <c r="P517" s="1416"/>
      <c r="Q517" s="1416"/>
      <c r="R517" s="1416"/>
      <c r="S517" s="1416"/>
    </row>
    <row r="518" spans="1:19" ht="15.75">
      <c r="A518" s="211" t="s">
        <v>1760</v>
      </c>
      <c r="B518" s="267" t="s">
        <v>1761</v>
      </c>
      <c r="C518" s="1301" t="s">
        <v>1762</v>
      </c>
      <c r="D518" s="211" t="s">
        <v>28</v>
      </c>
      <c r="E518" s="229">
        <v>941.21</v>
      </c>
      <c r="F518" s="211">
        <v>2</v>
      </c>
      <c r="G518" s="1290">
        <f t="shared" si="59"/>
        <v>1882.42</v>
      </c>
      <c r="H518" s="1278">
        <v>2</v>
      </c>
      <c r="I518" s="817">
        <v>1882.42</v>
      </c>
      <c r="J518" s="1269">
        <f t="shared" si="63"/>
        <v>1</v>
      </c>
      <c r="K518" s="1278">
        <f>F518-H518</f>
        <v>0</v>
      </c>
      <c r="L518" s="817">
        <f t="shared" si="62"/>
        <v>0</v>
      </c>
      <c r="M518" s="1269" t="str">
        <f t="shared" si="64"/>
        <v/>
      </c>
      <c r="N518" s="1285">
        <f>F518-H518</f>
        <v>0</v>
      </c>
      <c r="O518" s="326">
        <f>N518*E518</f>
        <v>0</v>
      </c>
      <c r="P518" s="1416"/>
      <c r="Q518" s="1416"/>
      <c r="R518" s="1416"/>
      <c r="S518" s="1416"/>
    </row>
    <row r="519" spans="1:19" ht="45">
      <c r="A519" s="211" t="s">
        <v>1763</v>
      </c>
      <c r="B519" s="267" t="s">
        <v>1764</v>
      </c>
      <c r="C519" s="1301" t="s">
        <v>1765</v>
      </c>
      <c r="D519" s="211" t="s">
        <v>28</v>
      </c>
      <c r="E519" s="229">
        <v>91.71</v>
      </c>
      <c r="F519" s="211">
        <v>8</v>
      </c>
      <c r="G519" s="1290">
        <f t="shared" si="59"/>
        <v>733.68</v>
      </c>
      <c r="H519" s="1278">
        <v>8</v>
      </c>
      <c r="I519" s="817">
        <v>733.68</v>
      </c>
      <c r="J519" s="1269">
        <f t="shared" si="63"/>
        <v>1</v>
      </c>
      <c r="K519" s="1278">
        <f>F519-H519</f>
        <v>0</v>
      </c>
      <c r="L519" s="817">
        <f t="shared" si="62"/>
        <v>0</v>
      </c>
      <c r="M519" s="1269" t="str">
        <f t="shared" si="64"/>
        <v/>
      </c>
      <c r="N519" s="1285">
        <f>F519-H519</f>
        <v>0</v>
      </c>
      <c r="O519" s="326">
        <f>N519*E519</f>
        <v>0</v>
      </c>
      <c r="P519" s="1416"/>
      <c r="Q519" s="1416"/>
      <c r="R519" s="1416"/>
      <c r="S519" s="1416"/>
    </row>
    <row r="520" spans="1:19" ht="15.75">
      <c r="A520" s="211" t="s">
        <v>1766</v>
      </c>
      <c r="B520" s="267" t="s">
        <v>1767</v>
      </c>
      <c r="C520" s="1301" t="s">
        <v>1768</v>
      </c>
      <c r="D520" s="211" t="s">
        <v>28</v>
      </c>
      <c r="E520" s="229">
        <v>13.3</v>
      </c>
      <c r="F520" s="211">
        <v>8</v>
      </c>
      <c r="G520" s="1290">
        <f t="shared" si="59"/>
        <v>106.4</v>
      </c>
      <c r="H520" s="1278">
        <v>8</v>
      </c>
      <c r="I520" s="817">
        <v>106.4</v>
      </c>
      <c r="J520" s="1269">
        <f t="shared" si="63"/>
        <v>1</v>
      </c>
      <c r="K520" s="1278">
        <f>F520-H520</f>
        <v>0</v>
      </c>
      <c r="L520" s="817">
        <f t="shared" si="62"/>
        <v>0</v>
      </c>
      <c r="M520" s="1269" t="str">
        <f t="shared" si="64"/>
        <v/>
      </c>
      <c r="N520" s="1285">
        <f>F520-H520</f>
        <v>0</v>
      </c>
      <c r="O520" s="326">
        <f>N520*E520</f>
        <v>0</v>
      </c>
      <c r="P520" s="1417"/>
      <c r="Q520" s="1417"/>
      <c r="R520" s="1417"/>
      <c r="S520" s="1417"/>
    </row>
    <row r="521" spans="1:19" ht="45">
      <c r="A521" s="253" t="s">
        <v>4149</v>
      </c>
      <c r="B521" s="267" t="s">
        <v>1770</v>
      </c>
      <c r="C521" s="1301" t="s">
        <v>1771</v>
      </c>
      <c r="D521" s="211" t="s">
        <v>28</v>
      </c>
      <c r="E521" s="229">
        <v>28.02</v>
      </c>
      <c r="F521" s="211">
        <v>152</v>
      </c>
      <c r="G521" s="1290">
        <f t="shared" si="59"/>
        <v>4259.04</v>
      </c>
      <c r="H521" s="1278">
        <v>152</v>
      </c>
      <c r="I521" s="817">
        <v>4259.04</v>
      </c>
      <c r="J521" s="1269">
        <f t="shared" si="63"/>
        <v>1</v>
      </c>
      <c r="K521" s="1278">
        <f>F521-H521</f>
        <v>0</v>
      </c>
      <c r="L521" s="817">
        <f t="shared" si="62"/>
        <v>0</v>
      </c>
      <c r="M521" s="1269" t="str">
        <f t="shared" si="64"/>
        <v/>
      </c>
      <c r="N521" s="1285">
        <f>F521-H521</f>
        <v>0</v>
      </c>
      <c r="O521" s="326">
        <f>N521*E521</f>
        <v>0</v>
      </c>
      <c r="P521" s="3"/>
      <c r="Q521" s="1"/>
      <c r="R521" s="5"/>
      <c r="S521" s="1"/>
    </row>
    <row r="522" spans="1:19" s="233" customFormat="1">
      <c r="A522" s="251" t="s">
        <v>1772</v>
      </c>
      <c r="B522" s="1442" t="s">
        <v>1773</v>
      </c>
      <c r="C522" s="1442"/>
      <c r="D522" s="1442"/>
      <c r="E522" s="1442"/>
      <c r="F522" s="1442"/>
      <c r="G522" s="1295">
        <f>G524+G525+G526+G527+G528+G530+G531+G532+G533+G534+G535+G536+G538+G539+G540+G541+G542+G544+G545+G547+G548+G549+G550+G551+G552+G553+G554+G555+G556+G557+G558</f>
        <v>38629.609999999993</v>
      </c>
      <c r="H522" s="1277">
        <v>0</v>
      </c>
      <c r="I522" s="232">
        <v>35617.76999999999</v>
      </c>
      <c r="J522" s="1268">
        <f>I522/$G522</f>
        <v>0.92203286546252983</v>
      </c>
      <c r="K522" s="1281">
        <f>F522-H522</f>
        <v>0</v>
      </c>
      <c r="L522" s="232">
        <f>L524+L525+L526+L527+L528+L530+L531+L532+L533+L534+L535+L536+L538+L539+L540+L541+L542+L544+L545+L547+L548+L549+L550+L551+L552+L553+L554+L555+L556+L557+L558</f>
        <v>3011.84</v>
      </c>
      <c r="M522" s="1268">
        <f>L522/$G522</f>
        <v>7.7967134537470104E-2</v>
      </c>
      <c r="N522" s="1285">
        <f>F522-H522</f>
        <v>0</v>
      </c>
      <c r="O522" s="326">
        <f>N522*E522</f>
        <v>0</v>
      </c>
    </row>
    <row r="523" spans="1:19">
      <c r="A523" s="235" t="s">
        <v>1774</v>
      </c>
      <c r="B523" s="814" t="s">
        <v>1775</v>
      </c>
      <c r="C523" s="1305"/>
      <c r="D523" s="236"/>
      <c r="E523" s="236"/>
      <c r="F523" s="236"/>
      <c r="G523" s="1298"/>
      <c r="H523" s="1278">
        <v>0</v>
      </c>
      <c r="I523" s="236"/>
      <c r="J523" s="1269" t="str">
        <f t="shared" si="63"/>
        <v/>
      </c>
      <c r="K523" s="1278">
        <f>F523-H523</f>
        <v>0</v>
      </c>
      <c r="L523" s="236"/>
      <c r="M523" s="1269" t="str">
        <f t="shared" si="64"/>
        <v/>
      </c>
      <c r="N523" s="1285">
        <f>F523-H523</f>
        <v>0</v>
      </c>
      <c r="O523" s="326">
        <f>N523*E523</f>
        <v>0</v>
      </c>
    </row>
    <row r="524" spans="1:19" ht="30">
      <c r="A524" s="211" t="s">
        <v>1776</v>
      </c>
      <c r="B524" s="267" t="s">
        <v>1437</v>
      </c>
      <c r="C524" s="1301" t="s">
        <v>1438</v>
      </c>
      <c r="D524" s="211" t="s">
        <v>28</v>
      </c>
      <c r="E524" s="229">
        <v>10.52</v>
      </c>
      <c r="F524" s="211">
        <v>27</v>
      </c>
      <c r="G524" s="1289">
        <f t="shared" ref="G524:G558" si="65">F524*$E524</f>
        <v>284.03999999999996</v>
      </c>
      <c r="H524" s="1278">
        <v>27</v>
      </c>
      <c r="I524" s="224">
        <v>284.03999999999996</v>
      </c>
      <c r="J524" s="1269">
        <f t="shared" si="63"/>
        <v>1</v>
      </c>
      <c r="K524" s="1278">
        <f>F524-H524</f>
        <v>0</v>
      </c>
      <c r="L524" s="224">
        <f>K524*$E524</f>
        <v>0</v>
      </c>
      <c r="M524" s="1269" t="str">
        <f t="shared" si="64"/>
        <v/>
      </c>
      <c r="N524" s="1285">
        <f>F524-H524</f>
        <v>0</v>
      </c>
      <c r="O524" s="326">
        <f>N524*E524</f>
        <v>0</v>
      </c>
    </row>
    <row r="525" spans="1:19" ht="30">
      <c r="A525" s="211" t="s">
        <v>1777</v>
      </c>
      <c r="B525" s="267" t="s">
        <v>1440</v>
      </c>
      <c r="C525" s="1301" t="s">
        <v>1441</v>
      </c>
      <c r="D525" s="211" t="s">
        <v>28</v>
      </c>
      <c r="E525" s="229">
        <v>15.49</v>
      </c>
      <c r="F525" s="211">
        <v>4</v>
      </c>
      <c r="G525" s="1289">
        <f t="shared" si="65"/>
        <v>61.96</v>
      </c>
      <c r="H525" s="1278">
        <v>4</v>
      </c>
      <c r="I525" s="224">
        <v>61.96</v>
      </c>
      <c r="J525" s="1269">
        <f t="shared" si="63"/>
        <v>1</v>
      </c>
      <c r="K525" s="1278">
        <f>F525-H525</f>
        <v>0</v>
      </c>
      <c r="L525" s="224">
        <f>K525*$E525</f>
        <v>0</v>
      </c>
      <c r="M525" s="1269" t="str">
        <f t="shared" si="64"/>
        <v/>
      </c>
      <c r="N525" s="1285">
        <f>F525-H525</f>
        <v>0</v>
      </c>
      <c r="O525" s="326">
        <f>N525*E525</f>
        <v>0</v>
      </c>
    </row>
    <row r="526" spans="1:19" ht="45">
      <c r="A526" s="211" t="s">
        <v>1778</v>
      </c>
      <c r="B526" s="267" t="s">
        <v>1455</v>
      </c>
      <c r="C526" s="1301" t="s">
        <v>1456</v>
      </c>
      <c r="D526" s="211" t="s">
        <v>28</v>
      </c>
      <c r="E526" s="229">
        <v>25.84</v>
      </c>
      <c r="F526" s="211">
        <v>1</v>
      </c>
      <c r="G526" s="1289">
        <f t="shared" si="65"/>
        <v>25.84</v>
      </c>
      <c r="H526" s="1278">
        <v>1</v>
      </c>
      <c r="I526" s="224">
        <v>25.84</v>
      </c>
      <c r="J526" s="1269">
        <f t="shared" si="63"/>
        <v>1</v>
      </c>
      <c r="K526" s="1278">
        <f>F526-H526</f>
        <v>0</v>
      </c>
      <c r="L526" s="224">
        <f>K526*$E526</f>
        <v>0</v>
      </c>
      <c r="M526" s="1269" t="str">
        <f t="shared" si="64"/>
        <v/>
      </c>
      <c r="N526" s="1285">
        <f>F526-H526</f>
        <v>0</v>
      </c>
      <c r="O526" s="326">
        <f>N526*E526</f>
        <v>0</v>
      </c>
    </row>
    <row r="527" spans="1:19" ht="45">
      <c r="A527" s="211" t="s">
        <v>1779</v>
      </c>
      <c r="B527" s="267" t="s">
        <v>1461</v>
      </c>
      <c r="C527" s="1301" t="s">
        <v>1462</v>
      </c>
      <c r="D527" s="211" t="s">
        <v>28</v>
      </c>
      <c r="E527" s="229">
        <v>29.84</v>
      </c>
      <c r="F527" s="211">
        <v>8</v>
      </c>
      <c r="G527" s="1289">
        <f t="shared" si="65"/>
        <v>238.72</v>
      </c>
      <c r="H527" s="1278">
        <v>8</v>
      </c>
      <c r="I527" s="224">
        <v>238.72</v>
      </c>
      <c r="J527" s="1269">
        <f t="shared" si="63"/>
        <v>1</v>
      </c>
      <c r="K527" s="1278">
        <f>F527-H527</f>
        <v>0</v>
      </c>
      <c r="L527" s="224">
        <f>K527*$E527</f>
        <v>0</v>
      </c>
      <c r="M527" s="1269" t="str">
        <f t="shared" si="64"/>
        <v/>
      </c>
      <c r="N527" s="1285">
        <f>F527-H527</f>
        <v>0</v>
      </c>
      <c r="O527" s="326">
        <f>N527*E527</f>
        <v>0</v>
      </c>
    </row>
    <row r="528" spans="1:19" ht="60">
      <c r="A528" s="211" t="s">
        <v>1780</v>
      </c>
      <c r="B528" s="267" t="s">
        <v>1464</v>
      </c>
      <c r="C528" s="1301" t="s">
        <v>1465</v>
      </c>
      <c r="D528" s="211" t="s">
        <v>28</v>
      </c>
      <c r="E528" s="229">
        <v>30.84</v>
      </c>
      <c r="F528" s="211">
        <v>12</v>
      </c>
      <c r="G528" s="1289">
        <f t="shared" si="65"/>
        <v>370.08</v>
      </c>
      <c r="H528" s="1278">
        <v>12</v>
      </c>
      <c r="I528" s="224">
        <v>370.08</v>
      </c>
      <c r="J528" s="1269">
        <f t="shared" si="63"/>
        <v>1</v>
      </c>
      <c r="K528" s="1278">
        <f>F528-H528</f>
        <v>0</v>
      </c>
      <c r="L528" s="224">
        <f>K528*$E528</f>
        <v>0</v>
      </c>
      <c r="M528" s="1269" t="str">
        <f t="shared" si="64"/>
        <v/>
      </c>
      <c r="N528" s="1285">
        <f>F528-H528</f>
        <v>0</v>
      </c>
      <c r="O528" s="326">
        <f>N528*E528</f>
        <v>0</v>
      </c>
    </row>
    <row r="529" spans="1:15">
      <c r="A529" s="235" t="s">
        <v>1781</v>
      </c>
      <c r="B529" s="814" t="s">
        <v>1782</v>
      </c>
      <c r="C529" s="1305"/>
      <c r="D529" s="236"/>
      <c r="E529" s="236"/>
      <c r="F529" s="236"/>
      <c r="G529" s="1298"/>
      <c r="H529" s="1278">
        <v>0</v>
      </c>
      <c r="I529" s="236"/>
      <c r="J529" s="1269" t="str">
        <f t="shared" si="63"/>
        <v/>
      </c>
      <c r="K529" s="1278">
        <f>F529-H529</f>
        <v>0</v>
      </c>
      <c r="L529" s="236"/>
      <c r="M529" s="1269" t="str">
        <f t="shared" si="64"/>
        <v/>
      </c>
      <c r="N529" s="1285">
        <f>F529-H529</f>
        <v>0</v>
      </c>
      <c r="O529" s="326">
        <f>N529*E529</f>
        <v>0</v>
      </c>
    </row>
    <row r="530" spans="1:15" ht="30">
      <c r="A530" s="211" t="s">
        <v>1783</v>
      </c>
      <c r="B530" s="267" t="s">
        <v>1366</v>
      </c>
      <c r="C530" s="1301" t="s">
        <v>1367</v>
      </c>
      <c r="D530" s="211" t="s">
        <v>44</v>
      </c>
      <c r="E530" s="229">
        <v>10.050000000000001</v>
      </c>
      <c r="F530" s="211">
        <v>52</v>
      </c>
      <c r="G530" s="1289">
        <f t="shared" si="65"/>
        <v>522.6</v>
      </c>
      <c r="H530" s="1278">
        <v>52</v>
      </c>
      <c r="I530" s="224">
        <v>522.6</v>
      </c>
      <c r="J530" s="1269">
        <f t="shared" si="63"/>
        <v>1</v>
      </c>
      <c r="K530" s="1278">
        <f>F530-H530</f>
        <v>0</v>
      </c>
      <c r="L530" s="224">
        <f t="shared" ref="L530:L536" si="66">K530*$E530</f>
        <v>0</v>
      </c>
      <c r="M530" s="1269" t="str">
        <f t="shared" si="64"/>
        <v/>
      </c>
      <c r="N530" s="1285">
        <f>F530-H530</f>
        <v>0</v>
      </c>
      <c r="O530" s="326">
        <f>N530*E530</f>
        <v>0</v>
      </c>
    </row>
    <row r="531" spans="1:15" ht="30">
      <c r="A531" s="211" t="s">
        <v>1784</v>
      </c>
      <c r="B531" s="267" t="s">
        <v>312</v>
      </c>
      <c r="C531" s="1301" t="s">
        <v>313</v>
      </c>
      <c r="D531" s="211" t="s">
        <v>44</v>
      </c>
      <c r="E531" s="229">
        <v>19.72</v>
      </c>
      <c r="F531" s="211">
        <v>16</v>
      </c>
      <c r="G531" s="1289">
        <f t="shared" si="65"/>
        <v>315.52</v>
      </c>
      <c r="H531" s="1278">
        <v>16</v>
      </c>
      <c r="I531" s="224">
        <v>315.52</v>
      </c>
      <c r="J531" s="1269">
        <f t="shared" si="63"/>
        <v>1</v>
      </c>
      <c r="K531" s="1278">
        <f>F531-H531</f>
        <v>0</v>
      </c>
      <c r="L531" s="224">
        <f t="shared" si="66"/>
        <v>0</v>
      </c>
      <c r="M531" s="1269" t="str">
        <f t="shared" si="64"/>
        <v/>
      </c>
      <c r="N531" s="1285">
        <f>F531-H531</f>
        <v>0</v>
      </c>
      <c r="O531" s="326">
        <f>N531*E531</f>
        <v>0</v>
      </c>
    </row>
    <row r="532" spans="1:15" ht="30">
      <c r="A532" s="211" t="s">
        <v>1785</v>
      </c>
      <c r="B532" s="267" t="s">
        <v>315</v>
      </c>
      <c r="C532" s="1301" t="s">
        <v>316</v>
      </c>
      <c r="D532" s="211" t="s">
        <v>44</v>
      </c>
      <c r="E532" s="229">
        <v>29.61</v>
      </c>
      <c r="F532" s="211">
        <v>2</v>
      </c>
      <c r="G532" s="1289">
        <f t="shared" si="65"/>
        <v>59.22</v>
      </c>
      <c r="H532" s="1278">
        <v>2</v>
      </c>
      <c r="I532" s="224">
        <v>59.22</v>
      </c>
      <c r="J532" s="1269">
        <f t="shared" si="63"/>
        <v>1</v>
      </c>
      <c r="K532" s="1278">
        <f>F532-H532</f>
        <v>0</v>
      </c>
      <c r="L532" s="224">
        <f t="shared" si="66"/>
        <v>0</v>
      </c>
      <c r="M532" s="1269" t="str">
        <f t="shared" si="64"/>
        <v/>
      </c>
      <c r="N532" s="1285">
        <f>F532-H532</f>
        <v>0</v>
      </c>
      <c r="O532" s="326">
        <f>N532*E532</f>
        <v>0</v>
      </c>
    </row>
    <row r="533" spans="1:15" ht="30">
      <c r="A533" s="211" t="s">
        <v>1786</v>
      </c>
      <c r="B533" s="267" t="s">
        <v>318</v>
      </c>
      <c r="C533" s="1301" t="s">
        <v>319</v>
      </c>
      <c r="D533" s="211" t="s">
        <v>44</v>
      </c>
      <c r="E533" s="229">
        <v>36.58</v>
      </c>
      <c r="F533" s="211">
        <v>40</v>
      </c>
      <c r="G533" s="1289">
        <f t="shared" si="65"/>
        <v>1463.1999999999998</v>
      </c>
      <c r="H533" s="1278">
        <v>40</v>
      </c>
      <c r="I533" s="224">
        <v>1463.1999999999998</v>
      </c>
      <c r="J533" s="1269">
        <f t="shared" si="63"/>
        <v>1</v>
      </c>
      <c r="K533" s="1278">
        <f>F533-H533</f>
        <v>0</v>
      </c>
      <c r="L533" s="224">
        <f t="shared" si="66"/>
        <v>0</v>
      </c>
      <c r="M533" s="1269" t="str">
        <f t="shared" si="64"/>
        <v/>
      </c>
      <c r="N533" s="1285">
        <f>F533-H533</f>
        <v>0</v>
      </c>
      <c r="O533" s="326">
        <f>N533*E533</f>
        <v>0</v>
      </c>
    </row>
    <row r="534" spans="1:15" ht="30">
      <c r="A534" s="211" t="s">
        <v>1787</v>
      </c>
      <c r="B534" s="267" t="s">
        <v>1372</v>
      </c>
      <c r="C534" s="1301" t="s">
        <v>1373</v>
      </c>
      <c r="D534" s="211" t="s">
        <v>44</v>
      </c>
      <c r="E534" s="229">
        <v>87.73</v>
      </c>
      <c r="F534" s="211">
        <v>62</v>
      </c>
      <c r="G534" s="1289">
        <f t="shared" si="65"/>
        <v>5439.26</v>
      </c>
      <c r="H534" s="1278">
        <v>62</v>
      </c>
      <c r="I534" s="224">
        <v>5439.26</v>
      </c>
      <c r="J534" s="1269">
        <f t="shared" si="63"/>
        <v>1</v>
      </c>
      <c r="K534" s="1278">
        <f>F534-H534</f>
        <v>0</v>
      </c>
      <c r="L534" s="224">
        <f t="shared" si="66"/>
        <v>0</v>
      </c>
      <c r="M534" s="1269" t="str">
        <f t="shared" si="64"/>
        <v/>
      </c>
      <c r="N534" s="1285">
        <f>F534-H534</f>
        <v>0</v>
      </c>
      <c r="O534" s="326">
        <f>N534*E534</f>
        <v>0</v>
      </c>
    </row>
    <row r="535" spans="1:15" ht="45">
      <c r="A535" s="211" t="s">
        <v>1788</v>
      </c>
      <c r="B535" s="267" t="s">
        <v>1393</v>
      </c>
      <c r="C535" s="1301" t="s">
        <v>1394</v>
      </c>
      <c r="D535" s="211" t="s">
        <v>28</v>
      </c>
      <c r="E535" s="229">
        <v>10.26</v>
      </c>
      <c r="F535" s="211">
        <v>45</v>
      </c>
      <c r="G535" s="1289">
        <f t="shared" si="65"/>
        <v>461.7</v>
      </c>
      <c r="H535" s="1278">
        <v>45</v>
      </c>
      <c r="I535" s="224">
        <v>461.7</v>
      </c>
      <c r="J535" s="1269">
        <f t="shared" si="63"/>
        <v>1</v>
      </c>
      <c r="K535" s="1278">
        <f>F535-H535</f>
        <v>0</v>
      </c>
      <c r="L535" s="224">
        <f t="shared" si="66"/>
        <v>0</v>
      </c>
      <c r="M535" s="1269" t="str">
        <f t="shared" si="64"/>
        <v/>
      </c>
      <c r="N535" s="1285">
        <f>F535-H535</f>
        <v>0</v>
      </c>
      <c r="O535" s="326">
        <f>N535*E535</f>
        <v>0</v>
      </c>
    </row>
    <row r="536" spans="1:15" ht="75">
      <c r="A536" s="211" t="s">
        <v>1789</v>
      </c>
      <c r="B536" s="267" t="s">
        <v>1432</v>
      </c>
      <c r="C536" s="1301" t="s">
        <v>1433</v>
      </c>
      <c r="D536" s="211" t="s">
        <v>28</v>
      </c>
      <c r="E536" s="229">
        <v>27.53</v>
      </c>
      <c r="F536" s="211">
        <v>64</v>
      </c>
      <c r="G536" s="1289">
        <f t="shared" si="65"/>
        <v>1761.92</v>
      </c>
      <c r="H536" s="1278">
        <v>64</v>
      </c>
      <c r="I536" s="224">
        <v>1761.92</v>
      </c>
      <c r="J536" s="1269">
        <f t="shared" si="63"/>
        <v>1</v>
      </c>
      <c r="K536" s="1278">
        <f>F536-H536</f>
        <v>0</v>
      </c>
      <c r="L536" s="224">
        <f t="shared" si="66"/>
        <v>0</v>
      </c>
      <c r="M536" s="1269" t="str">
        <f t="shared" si="64"/>
        <v/>
      </c>
      <c r="N536" s="1285">
        <f>F536-H536</f>
        <v>0</v>
      </c>
      <c r="O536" s="326">
        <f>N536*E536</f>
        <v>0</v>
      </c>
    </row>
    <row r="537" spans="1:15">
      <c r="A537" s="235" t="s">
        <v>1790</v>
      </c>
      <c r="B537" s="813" t="s">
        <v>1707</v>
      </c>
      <c r="C537" s="1305"/>
      <c r="D537" s="235"/>
      <c r="E537" s="235"/>
      <c r="F537" s="235"/>
      <c r="G537" s="1260"/>
      <c r="H537" s="1278">
        <v>0</v>
      </c>
      <c r="I537" s="235"/>
      <c r="J537" s="1269" t="str">
        <f t="shared" si="63"/>
        <v/>
      </c>
      <c r="K537" s="1278">
        <f>F537-H537</f>
        <v>0</v>
      </c>
      <c r="L537" s="235"/>
      <c r="M537" s="1269" t="str">
        <f t="shared" si="64"/>
        <v/>
      </c>
      <c r="N537" s="1285">
        <f>F537-H537</f>
        <v>0</v>
      </c>
      <c r="O537" s="326">
        <f>N537*E537</f>
        <v>0</v>
      </c>
    </row>
    <row r="538" spans="1:15" ht="30">
      <c r="A538" s="253" t="s">
        <v>3610</v>
      </c>
      <c r="B538" s="267" t="s">
        <v>1712</v>
      </c>
      <c r="C538" s="1301" t="s">
        <v>1713</v>
      </c>
      <c r="D538" s="211" t="s">
        <v>44</v>
      </c>
      <c r="E538" s="229">
        <v>6.48</v>
      </c>
      <c r="F538" s="214">
        <v>1427</v>
      </c>
      <c r="G538" s="1290">
        <f t="shared" si="65"/>
        <v>9246.9600000000009</v>
      </c>
      <c r="H538" s="1278">
        <v>1427</v>
      </c>
      <c r="I538" s="817">
        <v>9246.9600000000009</v>
      </c>
      <c r="J538" s="1269">
        <f t="shared" si="63"/>
        <v>1</v>
      </c>
      <c r="K538" s="1278">
        <f>F538-H538</f>
        <v>0</v>
      </c>
      <c r="L538" s="817">
        <f>K538*$E538</f>
        <v>0</v>
      </c>
      <c r="M538" s="1269" t="str">
        <f t="shared" si="64"/>
        <v/>
      </c>
      <c r="N538" s="1285">
        <f>F538-H538</f>
        <v>0</v>
      </c>
      <c r="O538" s="326">
        <f>N538*E538</f>
        <v>0</v>
      </c>
    </row>
    <row r="539" spans="1:15" ht="30">
      <c r="A539" s="211" t="s">
        <v>1792</v>
      </c>
      <c r="B539" s="267" t="s">
        <v>1793</v>
      </c>
      <c r="C539" s="1301" t="s">
        <v>1794</v>
      </c>
      <c r="D539" s="211" t="s">
        <v>44</v>
      </c>
      <c r="E539" s="229">
        <v>12.54</v>
      </c>
      <c r="F539" s="211">
        <v>427</v>
      </c>
      <c r="G539" s="1289">
        <f t="shared" si="65"/>
        <v>5354.58</v>
      </c>
      <c r="H539" s="1278">
        <v>427</v>
      </c>
      <c r="I539" s="224">
        <v>5354.58</v>
      </c>
      <c r="J539" s="1269">
        <f t="shared" si="63"/>
        <v>1</v>
      </c>
      <c r="K539" s="1278">
        <f>F539-H539</f>
        <v>0</v>
      </c>
      <c r="L539" s="224">
        <f>K539*$E539</f>
        <v>0</v>
      </c>
      <c r="M539" s="1269" t="str">
        <f t="shared" si="64"/>
        <v/>
      </c>
      <c r="N539" s="1285">
        <f>F539-H539</f>
        <v>0</v>
      </c>
      <c r="O539" s="326">
        <f>N539*E539</f>
        <v>0</v>
      </c>
    </row>
    <row r="540" spans="1:15" ht="30">
      <c r="A540" s="211" t="s">
        <v>1795</v>
      </c>
      <c r="B540" s="267" t="s">
        <v>1796</v>
      </c>
      <c r="C540" s="1301" t="s">
        <v>1797</v>
      </c>
      <c r="D540" s="211" t="s">
        <v>44</v>
      </c>
      <c r="E540" s="229">
        <v>7.71</v>
      </c>
      <c r="F540" s="211">
        <v>143</v>
      </c>
      <c r="G540" s="1289">
        <f t="shared" si="65"/>
        <v>1102.53</v>
      </c>
      <c r="H540" s="1278">
        <v>143</v>
      </c>
      <c r="I540" s="224">
        <v>1102.53</v>
      </c>
      <c r="J540" s="1269">
        <f t="shared" si="63"/>
        <v>1</v>
      </c>
      <c r="K540" s="1278">
        <f>F540-H540</f>
        <v>0</v>
      </c>
      <c r="L540" s="224">
        <f>K540*$E540</f>
        <v>0</v>
      </c>
      <c r="M540" s="1269" t="str">
        <f t="shared" si="64"/>
        <v/>
      </c>
      <c r="N540" s="1285">
        <f>F540-H540</f>
        <v>0</v>
      </c>
      <c r="O540" s="326">
        <f>N540*E540</f>
        <v>0</v>
      </c>
    </row>
    <row r="541" spans="1:15" ht="30">
      <c r="A541" s="253" t="s">
        <v>4151</v>
      </c>
      <c r="B541" s="267" t="s">
        <v>1799</v>
      </c>
      <c r="C541" s="1301" t="s">
        <v>1800</v>
      </c>
      <c r="D541" s="211" t="s">
        <v>44</v>
      </c>
      <c r="E541" s="229">
        <v>8.34</v>
      </c>
      <c r="F541" s="211">
        <v>45</v>
      </c>
      <c r="G541" s="1289">
        <f t="shared" si="65"/>
        <v>375.3</v>
      </c>
      <c r="H541" s="1278">
        <v>45</v>
      </c>
      <c r="I541" s="224">
        <v>375.3</v>
      </c>
      <c r="J541" s="1269">
        <f t="shared" si="63"/>
        <v>1</v>
      </c>
      <c r="K541" s="1278">
        <f>F541-H541</f>
        <v>0</v>
      </c>
      <c r="L541" s="224">
        <f>K541*$E541</f>
        <v>0</v>
      </c>
      <c r="M541" s="1269" t="str">
        <f t="shared" si="64"/>
        <v/>
      </c>
      <c r="N541" s="1285">
        <f>F541-H541</f>
        <v>0</v>
      </c>
      <c r="O541" s="326">
        <f>N541*E541</f>
        <v>0</v>
      </c>
    </row>
    <row r="542" spans="1:15" ht="45">
      <c r="A542" s="253" t="s">
        <v>4152</v>
      </c>
      <c r="B542" s="267" t="s">
        <v>1770</v>
      </c>
      <c r="C542" s="1301" t="s">
        <v>1771</v>
      </c>
      <c r="D542" s="211" t="s">
        <v>28</v>
      </c>
      <c r="E542" s="229">
        <v>28.02</v>
      </c>
      <c r="F542" s="211">
        <v>56</v>
      </c>
      <c r="G542" s="1290">
        <f t="shared" si="65"/>
        <v>1569.12</v>
      </c>
      <c r="H542" s="1278">
        <v>56</v>
      </c>
      <c r="I542" s="817">
        <v>1569.12</v>
      </c>
      <c r="J542" s="1269">
        <f t="shared" si="63"/>
        <v>1</v>
      </c>
      <c r="K542" s="1278">
        <f>F542-H542</f>
        <v>0</v>
      </c>
      <c r="L542" s="817">
        <f>K542*$E542</f>
        <v>0</v>
      </c>
      <c r="M542" s="1269" t="str">
        <f t="shared" si="64"/>
        <v/>
      </c>
      <c r="N542" s="1285">
        <f>F542-H542</f>
        <v>0</v>
      </c>
      <c r="O542" s="326">
        <f>N542*E542</f>
        <v>0</v>
      </c>
    </row>
    <row r="543" spans="1:15">
      <c r="A543" s="235" t="s">
        <v>1802</v>
      </c>
      <c r="B543" s="814" t="s">
        <v>1718</v>
      </c>
      <c r="C543" s="1305" t="s">
        <v>4117</v>
      </c>
      <c r="D543" s="236"/>
      <c r="E543" s="236"/>
      <c r="F543" s="236"/>
      <c r="G543" s="1298"/>
      <c r="H543" s="1278">
        <v>0</v>
      </c>
      <c r="I543" s="236"/>
      <c r="J543" s="1269" t="str">
        <f t="shared" si="63"/>
        <v/>
      </c>
      <c r="K543" s="1278">
        <f>F543-H543</f>
        <v>0</v>
      </c>
      <c r="L543" s="236"/>
      <c r="M543" s="1269" t="str">
        <f t="shared" si="64"/>
        <v/>
      </c>
      <c r="N543" s="1285">
        <f>F543-H543</f>
        <v>0</v>
      </c>
      <c r="O543" s="326">
        <f>N543*E543</f>
        <v>0</v>
      </c>
    </row>
    <row r="544" spans="1:15" ht="30">
      <c r="A544" s="211" t="s">
        <v>1803</v>
      </c>
      <c r="B544" s="267" t="s">
        <v>1720</v>
      </c>
      <c r="C544" s="1301" t="s">
        <v>1721</v>
      </c>
      <c r="D544" s="211" t="s">
        <v>28</v>
      </c>
      <c r="E544" s="229">
        <v>35.58</v>
      </c>
      <c r="F544" s="211">
        <v>18</v>
      </c>
      <c r="G544" s="1290">
        <f t="shared" si="65"/>
        <v>640.43999999999994</v>
      </c>
      <c r="H544" s="1278">
        <v>18</v>
      </c>
      <c r="I544" s="817">
        <v>640.43999999999994</v>
      </c>
      <c r="J544" s="1269">
        <f t="shared" si="63"/>
        <v>1</v>
      </c>
      <c r="K544" s="1278">
        <f>F544-H544</f>
        <v>0</v>
      </c>
      <c r="L544" s="817">
        <f>K544*$E544</f>
        <v>0</v>
      </c>
      <c r="M544" s="1269" t="str">
        <f t="shared" si="64"/>
        <v/>
      </c>
      <c r="N544" s="1285">
        <f>F544-H544</f>
        <v>0</v>
      </c>
      <c r="O544" s="326">
        <f>N544*E544</f>
        <v>0</v>
      </c>
    </row>
    <row r="545" spans="1:16" ht="30">
      <c r="A545" s="211" t="s">
        <v>1804</v>
      </c>
      <c r="B545" s="267" t="s">
        <v>1805</v>
      </c>
      <c r="C545" s="1301" t="s">
        <v>1806</v>
      </c>
      <c r="D545" s="211" t="s">
        <v>28</v>
      </c>
      <c r="E545" s="229">
        <v>48.26</v>
      </c>
      <c r="F545" s="211">
        <v>3</v>
      </c>
      <c r="G545" s="1290">
        <f t="shared" si="65"/>
        <v>144.78</v>
      </c>
      <c r="H545" s="1278">
        <v>3</v>
      </c>
      <c r="I545" s="817">
        <v>144.78</v>
      </c>
      <c r="J545" s="1269">
        <f t="shared" si="63"/>
        <v>1</v>
      </c>
      <c r="K545" s="1278">
        <f>F545-H545</f>
        <v>0</v>
      </c>
      <c r="L545" s="817">
        <f>K545*$E545</f>
        <v>0</v>
      </c>
      <c r="M545" s="1269" t="str">
        <f t="shared" si="64"/>
        <v/>
      </c>
      <c r="N545" s="1285">
        <f>F545-H545</f>
        <v>0</v>
      </c>
      <c r="O545" s="326">
        <f>N545*E545</f>
        <v>0</v>
      </c>
    </row>
    <row r="546" spans="1:16">
      <c r="A546" s="1114" t="s">
        <v>4118</v>
      </c>
      <c r="B546" s="814" t="s">
        <v>1732</v>
      </c>
      <c r="C546" s="1305" t="s">
        <v>4105</v>
      </c>
      <c r="D546" s="236"/>
      <c r="E546" s="236"/>
      <c r="F546" s="236"/>
      <c r="G546" s="1298"/>
      <c r="H546" s="1278">
        <v>0</v>
      </c>
      <c r="I546" s="236"/>
      <c r="J546" s="1269" t="str">
        <f t="shared" si="63"/>
        <v/>
      </c>
      <c r="K546" s="1278">
        <f>F546-H546</f>
        <v>0</v>
      </c>
      <c r="L546" s="236"/>
      <c r="M546" s="1269" t="str">
        <f t="shared" si="64"/>
        <v/>
      </c>
      <c r="N546" s="1285">
        <f>F546-H546</f>
        <v>0</v>
      </c>
      <c r="O546" s="326">
        <f>N546*E546</f>
        <v>0</v>
      </c>
    </row>
    <row r="547" spans="1:16" ht="30">
      <c r="A547" s="253" t="s">
        <v>4119</v>
      </c>
      <c r="B547" s="267" t="s">
        <v>1740</v>
      </c>
      <c r="C547" s="1301" t="s">
        <v>1741</v>
      </c>
      <c r="D547" s="211" t="s">
        <v>28</v>
      </c>
      <c r="E547" s="229">
        <v>391.53</v>
      </c>
      <c r="F547" s="211">
        <v>1</v>
      </c>
      <c r="G547" s="1290">
        <f t="shared" si="65"/>
        <v>391.53</v>
      </c>
      <c r="H547" s="1278">
        <v>1</v>
      </c>
      <c r="I547" s="817">
        <v>391.53</v>
      </c>
      <c r="J547" s="1269">
        <f t="shared" si="63"/>
        <v>1</v>
      </c>
      <c r="K547" s="1278">
        <f>F547-H547</f>
        <v>0</v>
      </c>
      <c r="L547" s="817">
        <f t="shared" ref="L547:L558" si="67">K547*$E547</f>
        <v>0</v>
      </c>
      <c r="M547" s="1269" t="str">
        <f t="shared" si="64"/>
        <v/>
      </c>
      <c r="N547" s="1285">
        <f>F547-H547</f>
        <v>0</v>
      </c>
      <c r="O547" s="326">
        <f>N547*E547</f>
        <v>0</v>
      </c>
    </row>
    <row r="548" spans="1:16" ht="45">
      <c r="A548" s="253" t="s">
        <v>4120</v>
      </c>
      <c r="B548" s="267" t="s">
        <v>1743</v>
      </c>
      <c r="C548" s="1301" t="s">
        <v>1744</v>
      </c>
      <c r="D548" s="211" t="s">
        <v>28</v>
      </c>
      <c r="E548" s="229">
        <v>38.94</v>
      </c>
      <c r="F548" s="211">
        <v>1</v>
      </c>
      <c r="G548" s="1290">
        <f t="shared" si="65"/>
        <v>38.94</v>
      </c>
      <c r="H548" s="1278">
        <v>1</v>
      </c>
      <c r="I548" s="817">
        <v>38.94</v>
      </c>
      <c r="J548" s="1269">
        <f t="shared" si="63"/>
        <v>1</v>
      </c>
      <c r="K548" s="1278">
        <f>F548-H548</f>
        <v>0</v>
      </c>
      <c r="L548" s="817">
        <f t="shared" si="67"/>
        <v>0</v>
      </c>
      <c r="M548" s="1269" t="str">
        <f t="shared" si="64"/>
        <v/>
      </c>
      <c r="N548" s="1285">
        <f>F548-H548</f>
        <v>0</v>
      </c>
      <c r="O548" s="326">
        <f>N548*E548</f>
        <v>0</v>
      </c>
    </row>
    <row r="549" spans="1:16" ht="30">
      <c r="A549" s="253" t="s">
        <v>4121</v>
      </c>
      <c r="B549" s="267" t="s">
        <v>1746</v>
      </c>
      <c r="C549" s="1301" t="s">
        <v>1747</v>
      </c>
      <c r="D549" s="211" t="s">
        <v>28</v>
      </c>
      <c r="E549" s="229">
        <v>43.06</v>
      </c>
      <c r="F549" s="211">
        <v>26</v>
      </c>
      <c r="G549" s="1290">
        <f t="shared" si="65"/>
        <v>1119.56</v>
      </c>
      <c r="H549" s="1278">
        <v>26</v>
      </c>
      <c r="I549" s="817">
        <v>1119.56</v>
      </c>
      <c r="J549" s="1269">
        <f t="shared" si="63"/>
        <v>1</v>
      </c>
      <c r="K549" s="1278">
        <f>F549-H549</f>
        <v>0</v>
      </c>
      <c r="L549" s="817">
        <f t="shared" si="67"/>
        <v>0</v>
      </c>
      <c r="M549" s="1269" t="str">
        <f t="shared" si="64"/>
        <v/>
      </c>
      <c r="N549" s="1285">
        <f>F549-H549</f>
        <v>0</v>
      </c>
      <c r="O549" s="326">
        <f>N549*E549</f>
        <v>0</v>
      </c>
    </row>
    <row r="550" spans="1:16">
      <c r="A550" s="253" t="s">
        <v>4122</v>
      </c>
      <c r="B550" s="267" t="s">
        <v>1737</v>
      </c>
      <c r="C550" s="1301" t="s">
        <v>1738</v>
      </c>
      <c r="D550" s="211" t="s">
        <v>28</v>
      </c>
      <c r="E550" s="229">
        <v>176.01</v>
      </c>
      <c r="F550" s="211">
        <v>2</v>
      </c>
      <c r="G550" s="1290">
        <f t="shared" si="65"/>
        <v>352.02</v>
      </c>
      <c r="H550" s="1278">
        <v>2</v>
      </c>
      <c r="I550" s="817">
        <v>352.02</v>
      </c>
      <c r="J550" s="1269">
        <f t="shared" si="63"/>
        <v>1</v>
      </c>
      <c r="K550" s="1278">
        <f>F550-H550</f>
        <v>0</v>
      </c>
      <c r="L550" s="817">
        <f t="shared" si="67"/>
        <v>0</v>
      </c>
      <c r="M550" s="1269" t="str">
        <f t="shared" si="64"/>
        <v/>
      </c>
      <c r="N550" s="1285">
        <f>F550-H550</f>
        <v>0</v>
      </c>
      <c r="O550" s="326">
        <f>N550*E550</f>
        <v>0</v>
      </c>
    </row>
    <row r="551" spans="1:16" ht="75">
      <c r="A551" s="253" t="s">
        <v>4123</v>
      </c>
      <c r="B551" s="267" t="s">
        <v>1813</v>
      </c>
      <c r="C551" s="1301" t="s">
        <v>1814</v>
      </c>
      <c r="D551" s="211" t="s">
        <v>28</v>
      </c>
      <c r="E551" s="229">
        <v>666.57</v>
      </c>
      <c r="F551" s="211">
        <v>1</v>
      </c>
      <c r="G551" s="1290">
        <f t="shared" si="65"/>
        <v>666.57</v>
      </c>
      <c r="H551" s="1278">
        <v>1</v>
      </c>
      <c r="I551" s="817">
        <v>666.57</v>
      </c>
      <c r="J551" s="1269">
        <f t="shared" si="63"/>
        <v>1</v>
      </c>
      <c r="K551" s="1278">
        <f>F551-H551</f>
        <v>0</v>
      </c>
      <c r="L551" s="817">
        <f t="shared" si="67"/>
        <v>0</v>
      </c>
      <c r="M551" s="1269" t="str">
        <f t="shared" si="64"/>
        <v/>
      </c>
      <c r="N551" s="1285">
        <f>F551-H551</f>
        <v>0</v>
      </c>
      <c r="O551" s="326">
        <f>N551*E551</f>
        <v>0</v>
      </c>
    </row>
    <row r="552" spans="1:16" ht="45">
      <c r="A552" s="253" t="s">
        <v>4124</v>
      </c>
      <c r="B552" s="267" t="s">
        <v>1816</v>
      </c>
      <c r="C552" s="1301" t="s">
        <v>1817</v>
      </c>
      <c r="D552" s="211" t="s">
        <v>28</v>
      </c>
      <c r="E552" s="229">
        <v>341.26</v>
      </c>
      <c r="F552" s="211">
        <v>10</v>
      </c>
      <c r="G552" s="1290">
        <f t="shared" si="65"/>
        <v>3412.6</v>
      </c>
      <c r="H552" s="1278">
        <v>10</v>
      </c>
      <c r="I552" s="817">
        <v>3412.6</v>
      </c>
      <c r="J552" s="1269">
        <f t="shared" si="63"/>
        <v>1</v>
      </c>
      <c r="K552" s="1278">
        <f>F552-H552</f>
        <v>0</v>
      </c>
      <c r="L552" s="817">
        <f t="shared" si="67"/>
        <v>0</v>
      </c>
      <c r="M552" s="1269" t="str">
        <f t="shared" si="64"/>
        <v/>
      </c>
      <c r="N552" s="1285">
        <f>F552-H552</f>
        <v>0</v>
      </c>
      <c r="O552" s="326">
        <f>N552*E552</f>
        <v>0</v>
      </c>
    </row>
    <row r="553" spans="1:16" ht="60">
      <c r="A553" s="211" t="s">
        <v>1818</v>
      </c>
      <c r="B553" s="267" t="s">
        <v>1819</v>
      </c>
      <c r="C553" s="1301" t="s">
        <v>1820</v>
      </c>
      <c r="D553" s="211" t="s">
        <v>28</v>
      </c>
      <c r="E553" s="229">
        <v>648.9</v>
      </c>
      <c r="F553" s="211">
        <v>1</v>
      </c>
      <c r="G553" s="1290">
        <f t="shared" si="65"/>
        <v>648.9</v>
      </c>
      <c r="H553" s="1278">
        <v>0</v>
      </c>
      <c r="I553" s="817">
        <v>0</v>
      </c>
      <c r="J553" s="1269" t="str">
        <f t="shared" si="63"/>
        <v/>
      </c>
      <c r="K553" s="1278">
        <f>F553-H553</f>
        <v>1</v>
      </c>
      <c r="L553" s="817">
        <f t="shared" si="67"/>
        <v>648.9</v>
      </c>
      <c r="M553" s="1269">
        <f t="shared" si="64"/>
        <v>1</v>
      </c>
      <c r="N553" s="1285">
        <f>F553-H553</f>
        <v>1</v>
      </c>
      <c r="O553" s="326"/>
    </row>
    <row r="554" spans="1:16" ht="45">
      <c r="A554" s="211" t="s">
        <v>1821</v>
      </c>
      <c r="B554" s="267" t="s">
        <v>1822</v>
      </c>
      <c r="C554" s="1301" t="s">
        <v>1823</v>
      </c>
      <c r="D554" s="211" t="s">
        <v>28</v>
      </c>
      <c r="E554" s="229">
        <v>171.11</v>
      </c>
      <c r="F554" s="211">
        <v>3</v>
      </c>
      <c r="G554" s="1290">
        <f t="shared" si="65"/>
        <v>513.33000000000004</v>
      </c>
      <c r="H554" s="1278">
        <v>0</v>
      </c>
      <c r="I554" s="817">
        <v>0</v>
      </c>
      <c r="J554" s="1269" t="str">
        <f t="shared" si="63"/>
        <v/>
      </c>
      <c r="K554" s="1278">
        <f>F554-H554</f>
        <v>3</v>
      </c>
      <c r="L554" s="817">
        <f t="shared" si="67"/>
        <v>513.33000000000004</v>
      </c>
      <c r="M554" s="1269">
        <f t="shared" si="64"/>
        <v>1</v>
      </c>
      <c r="N554" s="1285">
        <f>F554-H554</f>
        <v>3</v>
      </c>
      <c r="O554" s="326"/>
    </row>
    <row r="555" spans="1:16" ht="45">
      <c r="A555" s="211" t="s">
        <v>1824</v>
      </c>
      <c r="B555" s="267" t="s">
        <v>1825</v>
      </c>
      <c r="C555" s="1301" t="s">
        <v>1826</v>
      </c>
      <c r="D555" s="211" t="s">
        <v>28</v>
      </c>
      <c r="E555" s="229">
        <v>308.55</v>
      </c>
      <c r="F555" s="211">
        <v>2</v>
      </c>
      <c r="G555" s="1290">
        <f t="shared" si="65"/>
        <v>617.1</v>
      </c>
      <c r="H555" s="1278">
        <v>0</v>
      </c>
      <c r="I555" s="817">
        <v>0</v>
      </c>
      <c r="J555" s="1269" t="str">
        <f t="shared" si="63"/>
        <v/>
      </c>
      <c r="K555" s="1278">
        <f>F555-H555</f>
        <v>2</v>
      </c>
      <c r="L555" s="817">
        <f t="shared" si="67"/>
        <v>617.1</v>
      </c>
      <c r="M555" s="1269">
        <f t="shared" si="64"/>
        <v>1</v>
      </c>
      <c r="N555" s="1285">
        <f>F555-H555</f>
        <v>2</v>
      </c>
      <c r="O555" s="326"/>
    </row>
    <row r="556" spans="1:16" ht="45">
      <c r="A556" s="211" t="s">
        <v>1827</v>
      </c>
      <c r="B556" s="267" t="s">
        <v>1828</v>
      </c>
      <c r="C556" s="1301" t="s">
        <v>1829</v>
      </c>
      <c r="D556" s="211" t="s">
        <v>28</v>
      </c>
      <c r="E556" s="229">
        <v>145.9</v>
      </c>
      <c r="F556" s="211">
        <v>2</v>
      </c>
      <c r="G556" s="1290">
        <f t="shared" si="65"/>
        <v>291.8</v>
      </c>
      <c r="H556" s="1278">
        <v>0</v>
      </c>
      <c r="I556" s="817">
        <v>0</v>
      </c>
      <c r="J556" s="1269" t="str">
        <f t="shared" si="63"/>
        <v/>
      </c>
      <c r="K556" s="1278">
        <f>F556-H556</f>
        <v>2</v>
      </c>
      <c r="L556" s="817">
        <f t="shared" si="67"/>
        <v>291.8</v>
      </c>
      <c r="M556" s="1269">
        <f t="shared" si="64"/>
        <v>1</v>
      </c>
      <c r="N556" s="1285">
        <f>F556-H556</f>
        <v>2</v>
      </c>
      <c r="O556" s="326"/>
    </row>
    <row r="557" spans="1:16">
      <c r="A557" s="253" t="s">
        <v>4129</v>
      </c>
      <c r="B557" s="267" t="s">
        <v>1749</v>
      </c>
      <c r="C557" s="1301" t="s">
        <v>1750</v>
      </c>
      <c r="D557" s="211" t="s">
        <v>28</v>
      </c>
      <c r="E557" s="229">
        <v>198.78</v>
      </c>
      <c r="F557" s="211">
        <v>1</v>
      </c>
      <c r="G557" s="1290">
        <f t="shared" si="65"/>
        <v>198.78</v>
      </c>
      <c r="H557" s="1278">
        <v>1</v>
      </c>
      <c r="I557" s="817">
        <v>198.78</v>
      </c>
      <c r="J557" s="1269">
        <f t="shared" si="63"/>
        <v>1</v>
      </c>
      <c r="K557" s="1278">
        <f>F557-H557</f>
        <v>0</v>
      </c>
      <c r="L557" s="817">
        <f t="shared" si="67"/>
        <v>0</v>
      </c>
      <c r="M557" s="1269" t="str">
        <f t="shared" si="64"/>
        <v/>
      </c>
      <c r="N557" s="1285">
        <f>F557-H557</f>
        <v>0</v>
      </c>
      <c r="O557" s="326">
        <f>N557*E557</f>
        <v>0</v>
      </c>
    </row>
    <row r="558" spans="1:16" ht="60">
      <c r="A558" s="211" t="s">
        <v>1831</v>
      </c>
      <c r="B558" s="267" t="s">
        <v>1832</v>
      </c>
      <c r="C558" s="1301" t="s">
        <v>1833</v>
      </c>
      <c r="D558" s="211" t="s">
        <v>28</v>
      </c>
      <c r="E558" s="229">
        <v>313.57</v>
      </c>
      <c r="F558" s="211">
        <v>3</v>
      </c>
      <c r="G558" s="1290">
        <f t="shared" si="65"/>
        <v>940.71</v>
      </c>
      <c r="H558" s="1278">
        <v>0</v>
      </c>
      <c r="I558" s="817">
        <v>0</v>
      </c>
      <c r="J558" s="1269" t="str">
        <f t="shared" si="63"/>
        <v/>
      </c>
      <c r="K558" s="1278">
        <f>F558-H558</f>
        <v>3</v>
      </c>
      <c r="L558" s="817">
        <f t="shared" si="67"/>
        <v>940.71</v>
      </c>
      <c r="M558" s="1269">
        <f t="shared" si="64"/>
        <v>1</v>
      </c>
      <c r="N558" s="1285">
        <f>F558-H558</f>
        <v>3</v>
      </c>
      <c r="O558" s="326"/>
    </row>
    <row r="559" spans="1:16" s="230" customFormat="1" ht="15.75">
      <c r="A559" s="252" t="s">
        <v>1834</v>
      </c>
      <c r="B559" s="1453" t="s">
        <v>1835</v>
      </c>
      <c r="C559" s="1453"/>
      <c r="D559" s="1453"/>
      <c r="E559" s="1453"/>
      <c r="F559" s="1453"/>
      <c r="G559" s="1297">
        <f>G560+G568+G573+G578</f>
        <v>114097.99309999999</v>
      </c>
      <c r="H559" s="1276">
        <v>0</v>
      </c>
      <c r="I559" s="256">
        <v>114097.99309999999</v>
      </c>
      <c r="J559" s="1267">
        <f>I559/$G559</f>
        <v>1</v>
      </c>
      <c r="K559" s="1279">
        <f>F559-H559</f>
        <v>0</v>
      </c>
      <c r="L559" s="256">
        <f>L560+L568+L573+L578</f>
        <v>0</v>
      </c>
      <c r="M559" s="1267">
        <f>L559/$G559</f>
        <v>0</v>
      </c>
      <c r="N559" s="1285">
        <f>F559-H559</f>
        <v>0</v>
      </c>
      <c r="O559" s="326">
        <f>N559*E559</f>
        <v>0</v>
      </c>
      <c r="P559" s="1425">
        <f>I559</f>
        <v>114097.99309999999</v>
      </c>
    </row>
    <row r="560" spans="1:16" s="233" customFormat="1">
      <c r="A560" s="251" t="s">
        <v>1836</v>
      </c>
      <c r="B560" s="1442" t="s">
        <v>1837</v>
      </c>
      <c r="C560" s="1442"/>
      <c r="D560" s="1442"/>
      <c r="E560" s="1442"/>
      <c r="F560" s="1442"/>
      <c r="G560" s="1299">
        <f>SUM(G561:G567)</f>
        <v>55586.429999999993</v>
      </c>
      <c r="H560" s="1277">
        <v>0</v>
      </c>
      <c r="I560" s="257">
        <v>55586.429999999993</v>
      </c>
      <c r="J560" s="1268">
        <f>I560/$G560</f>
        <v>1</v>
      </c>
      <c r="K560" s="1281">
        <f>F560-H560</f>
        <v>0</v>
      </c>
      <c r="L560" s="257">
        <f>SUM(L561:L567)</f>
        <v>0</v>
      </c>
      <c r="M560" s="1268">
        <f>L560/$G560</f>
        <v>0</v>
      </c>
      <c r="N560" s="1285">
        <f>F560-H560</f>
        <v>0</v>
      </c>
      <c r="O560" s="326">
        <f>N560*E560</f>
        <v>0</v>
      </c>
    </row>
    <row r="561" spans="1:19" ht="75">
      <c r="A561" s="211" t="s">
        <v>1838</v>
      </c>
      <c r="B561" s="267" t="s">
        <v>1839</v>
      </c>
      <c r="C561" s="1301" t="s">
        <v>1840</v>
      </c>
      <c r="D561" s="211" t="s">
        <v>28</v>
      </c>
      <c r="E561" s="229">
        <v>1171.06</v>
      </c>
      <c r="F561" s="211">
        <v>12</v>
      </c>
      <c r="G561" s="1289">
        <f t="shared" ref="G561:G589" si="68">F561*$E561</f>
        <v>14052.72</v>
      </c>
      <c r="H561" s="1278">
        <v>12</v>
      </c>
      <c r="I561" s="224">
        <v>14052.72</v>
      </c>
      <c r="J561" s="1269">
        <f t="shared" si="63"/>
        <v>1</v>
      </c>
      <c r="K561" s="1278">
        <f>F561-H561</f>
        <v>0</v>
      </c>
      <c r="L561" s="224">
        <f t="shared" ref="L561:L567" si="69">K561*$E561</f>
        <v>0</v>
      </c>
      <c r="M561" s="1269" t="str">
        <f t="shared" si="64"/>
        <v/>
      </c>
      <c r="N561" s="1285">
        <f>F561-H561</f>
        <v>0</v>
      </c>
      <c r="O561" s="326">
        <f>N561*E561</f>
        <v>0</v>
      </c>
    </row>
    <row r="562" spans="1:19" ht="105">
      <c r="A562" s="211" t="s">
        <v>1841</v>
      </c>
      <c r="B562" s="267" t="s">
        <v>248</v>
      </c>
      <c r="C562" s="1301" t="s">
        <v>249</v>
      </c>
      <c r="D562" s="211" t="s">
        <v>28</v>
      </c>
      <c r="E562" s="229">
        <v>2597.0700000000002</v>
      </c>
      <c r="F562" s="211">
        <v>5</v>
      </c>
      <c r="G562" s="1289">
        <f t="shared" si="68"/>
        <v>12985.35</v>
      </c>
      <c r="H562" s="1278">
        <v>5</v>
      </c>
      <c r="I562" s="224">
        <v>12985.35</v>
      </c>
      <c r="J562" s="1269">
        <f t="shared" si="63"/>
        <v>1</v>
      </c>
      <c r="K562" s="1278">
        <f>F562-H562</f>
        <v>0</v>
      </c>
      <c r="L562" s="224">
        <f t="shared" si="69"/>
        <v>0</v>
      </c>
      <c r="M562" s="1269" t="str">
        <f t="shared" si="64"/>
        <v/>
      </c>
      <c r="N562" s="1285">
        <f>F562-H562</f>
        <v>0</v>
      </c>
      <c r="O562" s="326">
        <f>N562*E562</f>
        <v>0</v>
      </c>
    </row>
    <row r="563" spans="1:19" ht="105">
      <c r="A563" s="211" t="s">
        <v>1842</v>
      </c>
      <c r="B563" s="267" t="s">
        <v>1843</v>
      </c>
      <c r="C563" s="1301" t="s">
        <v>1844</v>
      </c>
      <c r="D563" s="211" t="s">
        <v>28</v>
      </c>
      <c r="E563" s="229">
        <v>1746.28</v>
      </c>
      <c r="F563" s="211">
        <v>1</v>
      </c>
      <c r="G563" s="1289">
        <f t="shared" si="68"/>
        <v>1746.28</v>
      </c>
      <c r="H563" s="1278">
        <v>1</v>
      </c>
      <c r="I563" s="224">
        <v>1746.28</v>
      </c>
      <c r="J563" s="1269">
        <f t="shared" si="63"/>
        <v>1</v>
      </c>
      <c r="K563" s="1278">
        <f>F563-H563</f>
        <v>0</v>
      </c>
      <c r="L563" s="224">
        <f t="shared" si="69"/>
        <v>0</v>
      </c>
      <c r="M563" s="1269" t="str">
        <f t="shared" si="64"/>
        <v/>
      </c>
      <c r="N563" s="1285">
        <f>F563-H563</f>
        <v>0</v>
      </c>
      <c r="O563" s="326">
        <f>N563*E563</f>
        <v>0</v>
      </c>
    </row>
    <row r="564" spans="1:19" ht="45">
      <c r="A564" s="211" t="s">
        <v>1845</v>
      </c>
      <c r="B564" s="267" t="s">
        <v>1846</v>
      </c>
      <c r="C564" s="1301" t="s">
        <v>1847</v>
      </c>
      <c r="D564" s="211" t="s">
        <v>28</v>
      </c>
      <c r="E564" s="229">
        <v>423.98</v>
      </c>
      <c r="F564" s="211">
        <v>1</v>
      </c>
      <c r="G564" s="1289">
        <f t="shared" si="68"/>
        <v>423.98</v>
      </c>
      <c r="H564" s="1278">
        <v>1</v>
      </c>
      <c r="I564" s="224">
        <v>423.98</v>
      </c>
      <c r="J564" s="1269">
        <f t="shared" si="63"/>
        <v>1</v>
      </c>
      <c r="K564" s="1278">
        <f>F564-H564</f>
        <v>0</v>
      </c>
      <c r="L564" s="224">
        <f t="shared" si="69"/>
        <v>0</v>
      </c>
      <c r="M564" s="1269" t="str">
        <f t="shared" si="64"/>
        <v/>
      </c>
      <c r="N564" s="1285">
        <f>F564-H564</f>
        <v>0</v>
      </c>
      <c r="O564" s="326">
        <f>N564*E564</f>
        <v>0</v>
      </c>
    </row>
    <row r="565" spans="1:19" ht="45">
      <c r="A565" s="211" t="s">
        <v>1848</v>
      </c>
      <c r="B565" s="267" t="s">
        <v>1849</v>
      </c>
      <c r="C565" s="1301" t="s">
        <v>1850</v>
      </c>
      <c r="D565" s="211" t="s">
        <v>28</v>
      </c>
      <c r="E565" s="229">
        <v>1436.83</v>
      </c>
      <c r="F565" s="211">
        <v>9</v>
      </c>
      <c r="G565" s="1289">
        <f t="shared" si="68"/>
        <v>12931.47</v>
      </c>
      <c r="H565" s="1278">
        <v>9</v>
      </c>
      <c r="I565" s="224">
        <v>12931.47</v>
      </c>
      <c r="J565" s="1269">
        <f t="shared" si="63"/>
        <v>1</v>
      </c>
      <c r="K565" s="1278">
        <f>F565-H565</f>
        <v>0</v>
      </c>
      <c r="L565" s="224">
        <f t="shared" si="69"/>
        <v>0</v>
      </c>
      <c r="M565" s="1269" t="str">
        <f t="shared" si="64"/>
        <v/>
      </c>
      <c r="N565" s="1285">
        <f>F565-H565</f>
        <v>0</v>
      </c>
      <c r="O565" s="326">
        <f>N565*E565</f>
        <v>0</v>
      </c>
    </row>
    <row r="566" spans="1:19" ht="75">
      <c r="A566" s="253" t="s">
        <v>4007</v>
      </c>
      <c r="B566" s="267" t="s">
        <v>1852</v>
      </c>
      <c r="C566" s="1301" t="s">
        <v>1853</v>
      </c>
      <c r="D566" s="211" t="s">
        <v>28</v>
      </c>
      <c r="E566" s="229">
        <v>1011.03</v>
      </c>
      <c r="F566" s="211">
        <v>5</v>
      </c>
      <c r="G566" s="1290">
        <f t="shared" si="68"/>
        <v>5055.1499999999996</v>
      </c>
      <c r="H566" s="1278">
        <v>5</v>
      </c>
      <c r="I566" s="817">
        <v>5055.1499999999996</v>
      </c>
      <c r="J566" s="1269">
        <f t="shared" si="63"/>
        <v>1</v>
      </c>
      <c r="K566" s="1278">
        <f>F566-H566</f>
        <v>0</v>
      </c>
      <c r="L566" s="817">
        <f t="shared" si="69"/>
        <v>0</v>
      </c>
      <c r="M566" s="1269" t="str">
        <f t="shared" si="64"/>
        <v/>
      </c>
      <c r="N566" s="1285">
        <f>F566-H566</f>
        <v>0</v>
      </c>
      <c r="O566" s="326">
        <f>N566*E566</f>
        <v>0</v>
      </c>
    </row>
    <row r="567" spans="1:19" ht="30">
      <c r="A567" s="253" t="s">
        <v>3153</v>
      </c>
      <c r="B567" s="267" t="s">
        <v>1855</v>
      </c>
      <c r="C567" s="1301" t="s">
        <v>1856</v>
      </c>
      <c r="D567" s="211" t="s">
        <v>28</v>
      </c>
      <c r="E567" s="229">
        <v>2097.87</v>
      </c>
      <c r="F567" s="211">
        <v>4</v>
      </c>
      <c r="G567" s="1290">
        <f t="shared" si="68"/>
        <v>8391.48</v>
      </c>
      <c r="H567" s="1278">
        <v>4</v>
      </c>
      <c r="I567" s="817">
        <v>8391.48</v>
      </c>
      <c r="J567" s="1269">
        <f t="shared" si="63"/>
        <v>1</v>
      </c>
      <c r="K567" s="1278">
        <f>F567-H567</f>
        <v>0</v>
      </c>
      <c r="L567" s="817">
        <f t="shared" si="69"/>
        <v>0</v>
      </c>
      <c r="M567" s="1269" t="str">
        <f t="shared" si="64"/>
        <v/>
      </c>
      <c r="N567" s="1285">
        <f>F567-H567</f>
        <v>0</v>
      </c>
      <c r="O567" s="326">
        <f>N567*E567</f>
        <v>0</v>
      </c>
    </row>
    <row r="568" spans="1:19" s="233" customFormat="1">
      <c r="A568" s="251" t="s">
        <v>1857</v>
      </c>
      <c r="B568" s="1442" t="s">
        <v>1858</v>
      </c>
      <c r="C568" s="1442"/>
      <c r="D568" s="1442"/>
      <c r="E568" s="1442"/>
      <c r="F568" s="1442"/>
      <c r="G568" s="1299">
        <f>SUM(G569:G572)</f>
        <v>20936.4431</v>
      </c>
      <c r="H568" s="1277">
        <v>0</v>
      </c>
      <c r="I568" s="257">
        <v>20936.443099999997</v>
      </c>
      <c r="J568" s="1268">
        <f>I568/$G568</f>
        <v>0.99999999999999978</v>
      </c>
      <c r="K568" s="1281">
        <f>F568-H568</f>
        <v>0</v>
      </c>
      <c r="L568" s="257">
        <f>SUM(L569:L572)</f>
        <v>0</v>
      </c>
      <c r="M568" s="1268">
        <f>L568/$G568</f>
        <v>0</v>
      </c>
      <c r="N568" s="1285">
        <f>F568-H568</f>
        <v>0</v>
      </c>
      <c r="O568" s="326">
        <f>N568*E568</f>
        <v>0</v>
      </c>
    </row>
    <row r="569" spans="1:19" ht="30">
      <c r="A569" s="211" t="s">
        <v>1859</v>
      </c>
      <c r="B569" s="267" t="s">
        <v>1860</v>
      </c>
      <c r="C569" s="1301" t="s">
        <v>1861</v>
      </c>
      <c r="D569" s="211" t="s">
        <v>12</v>
      </c>
      <c r="E569" s="229">
        <v>680.05</v>
      </c>
      <c r="F569" s="211">
        <f>6.82+16.26</f>
        <v>23.080000000000002</v>
      </c>
      <c r="G569" s="1289">
        <f t="shared" si="68"/>
        <v>15695.554</v>
      </c>
      <c r="H569" s="1278">
        <v>23.08</v>
      </c>
      <c r="I569" s="224">
        <v>15695.553999999998</v>
      </c>
      <c r="J569" s="1269">
        <f t="shared" si="63"/>
        <v>0.99999999999999989</v>
      </c>
      <c r="K569" s="1278">
        <f>F569-H569</f>
        <v>0</v>
      </c>
      <c r="L569" s="224">
        <f>K569*$E569</f>
        <v>0</v>
      </c>
      <c r="M569" s="1269" t="str">
        <f t="shared" si="64"/>
        <v/>
      </c>
      <c r="N569" s="1285">
        <f>F569-H569</f>
        <v>0</v>
      </c>
      <c r="O569" s="326">
        <f>N569*E569</f>
        <v>0</v>
      </c>
    </row>
    <row r="570" spans="1:19" ht="90">
      <c r="A570" s="211" t="s">
        <v>1862</v>
      </c>
      <c r="B570" s="267" t="s">
        <v>1863</v>
      </c>
      <c r="C570" s="1301" t="s">
        <v>1864</v>
      </c>
      <c r="D570" s="211" t="s">
        <v>44</v>
      </c>
      <c r="E570" s="229">
        <v>82.7</v>
      </c>
      <c r="F570" s="211">
        <f>23.31+7.94</f>
        <v>31.25</v>
      </c>
      <c r="G570" s="1289">
        <f t="shared" si="68"/>
        <v>2584.375</v>
      </c>
      <c r="H570" s="1278">
        <v>31.25</v>
      </c>
      <c r="I570" s="224">
        <v>2584.375</v>
      </c>
      <c r="J570" s="1269">
        <f t="shared" si="63"/>
        <v>1</v>
      </c>
      <c r="K570" s="1278">
        <f>F570-H570</f>
        <v>0</v>
      </c>
      <c r="L570" s="224">
        <f>K570*$E570</f>
        <v>0</v>
      </c>
      <c r="M570" s="1269" t="str">
        <f t="shared" si="64"/>
        <v/>
      </c>
      <c r="N570" s="1285">
        <f>F570-H570</f>
        <v>0</v>
      </c>
      <c r="O570" s="326">
        <f>N570*E570</f>
        <v>0</v>
      </c>
    </row>
    <row r="571" spans="1:19" ht="90">
      <c r="A571" s="211" t="s">
        <v>1865</v>
      </c>
      <c r="B571" s="267" t="s">
        <v>1866</v>
      </c>
      <c r="C571" s="1301" t="s">
        <v>1867</v>
      </c>
      <c r="D571" s="211" t="s">
        <v>44</v>
      </c>
      <c r="E571" s="229">
        <v>63.91</v>
      </c>
      <c r="F571" s="211">
        <f>18.42+14.09</f>
        <v>32.510000000000005</v>
      </c>
      <c r="G571" s="1289">
        <f t="shared" si="68"/>
        <v>2077.7141000000001</v>
      </c>
      <c r="H571" s="1278">
        <v>32.510000000000005</v>
      </c>
      <c r="I571" s="224">
        <v>2077.7141000000001</v>
      </c>
      <c r="J571" s="1269">
        <f t="shared" si="63"/>
        <v>1</v>
      </c>
      <c r="K571" s="1278">
        <f>F571-H571</f>
        <v>0</v>
      </c>
      <c r="L571" s="224">
        <f>K571*$E571</f>
        <v>0</v>
      </c>
      <c r="M571" s="1269" t="str">
        <f t="shared" si="64"/>
        <v/>
      </c>
      <c r="N571" s="1285">
        <f>F571-H571</f>
        <v>0</v>
      </c>
      <c r="O571" s="326">
        <f>N571*E571</f>
        <v>0</v>
      </c>
    </row>
    <row r="572" spans="1:19" ht="90">
      <c r="A572" s="211" t="s">
        <v>1868</v>
      </c>
      <c r="B572" s="267" t="s">
        <v>1869</v>
      </c>
      <c r="C572" s="1301" t="s">
        <v>1870</v>
      </c>
      <c r="D572" s="211" t="s">
        <v>28</v>
      </c>
      <c r="E572" s="229">
        <v>72.349999999999994</v>
      </c>
      <c r="F572" s="211">
        <v>8</v>
      </c>
      <c r="G572" s="1289">
        <f t="shared" si="68"/>
        <v>578.79999999999995</v>
      </c>
      <c r="H572" s="1278">
        <v>8</v>
      </c>
      <c r="I572" s="224">
        <v>578.79999999999995</v>
      </c>
      <c r="J572" s="1269">
        <f t="shared" si="63"/>
        <v>1</v>
      </c>
      <c r="K572" s="1278">
        <f>F572-H572</f>
        <v>0</v>
      </c>
      <c r="L572" s="224">
        <f>K572*$E572</f>
        <v>0</v>
      </c>
      <c r="M572" s="1269" t="str">
        <f t="shared" si="64"/>
        <v/>
      </c>
      <c r="N572" s="1285">
        <f>F572-H572</f>
        <v>0</v>
      </c>
      <c r="O572" s="326">
        <f>N572*E572</f>
        <v>0</v>
      </c>
    </row>
    <row r="573" spans="1:19" s="233" customFormat="1">
      <c r="A573" s="251" t="s">
        <v>1871</v>
      </c>
      <c r="B573" s="1442" t="s">
        <v>1872</v>
      </c>
      <c r="C573" s="1442"/>
      <c r="D573" s="1442"/>
      <c r="E573" s="1442"/>
      <c r="F573" s="1442"/>
      <c r="G573" s="1299">
        <f>SUM(G574:G577)</f>
        <v>10696.56</v>
      </c>
      <c r="H573" s="1277">
        <v>0</v>
      </c>
      <c r="I573" s="257">
        <v>10696.56</v>
      </c>
      <c r="J573" s="1268">
        <f>I573/$G573</f>
        <v>1</v>
      </c>
      <c r="K573" s="1281">
        <f>F573-H573</f>
        <v>0</v>
      </c>
      <c r="L573" s="257">
        <f>SUM(L574:L577)</f>
        <v>0</v>
      </c>
      <c r="M573" s="1268">
        <f>L573/$G573</f>
        <v>0</v>
      </c>
      <c r="N573" s="1285">
        <f>F573-H573</f>
        <v>0</v>
      </c>
      <c r="O573" s="326">
        <f>N573*E573</f>
        <v>0</v>
      </c>
    </row>
    <row r="574" spans="1:19" ht="75">
      <c r="A574" s="253" t="s">
        <v>4008</v>
      </c>
      <c r="B574" s="267" t="s">
        <v>1874</v>
      </c>
      <c r="C574" s="1301" t="s">
        <v>1875</v>
      </c>
      <c r="D574" s="211" t="s">
        <v>28</v>
      </c>
      <c r="E574" s="229">
        <v>395.02</v>
      </c>
      <c r="F574" s="211">
        <v>2</v>
      </c>
      <c r="G574" s="1290">
        <f t="shared" si="68"/>
        <v>790.04</v>
      </c>
      <c r="H574" s="1278">
        <v>2</v>
      </c>
      <c r="I574" s="817">
        <v>790.04</v>
      </c>
      <c r="J574" s="1269">
        <f t="shared" si="63"/>
        <v>1</v>
      </c>
      <c r="K574" s="1278">
        <f>F574-H574</f>
        <v>0</v>
      </c>
      <c r="L574" s="817">
        <f>K574*$E574</f>
        <v>0</v>
      </c>
      <c r="M574" s="1269" t="str">
        <f t="shared" si="64"/>
        <v/>
      </c>
      <c r="N574" s="1285">
        <f>F574-H574</f>
        <v>0</v>
      </c>
      <c r="O574" s="326">
        <f>N574*E574</f>
        <v>0</v>
      </c>
    </row>
    <row r="575" spans="1:19" ht="60">
      <c r="A575" s="253" t="s">
        <v>4009</v>
      </c>
      <c r="B575" s="267" t="s">
        <v>1877</v>
      </c>
      <c r="C575" s="1301" t="s">
        <v>1878</v>
      </c>
      <c r="D575" s="211" t="s">
        <v>28</v>
      </c>
      <c r="E575" s="229">
        <v>389.84</v>
      </c>
      <c r="F575" s="211">
        <v>5</v>
      </c>
      <c r="G575" s="1290">
        <f t="shared" si="68"/>
        <v>1949.1999999999998</v>
      </c>
      <c r="H575" s="1278">
        <v>5</v>
      </c>
      <c r="I575" s="817">
        <v>1949.1999999999998</v>
      </c>
      <c r="J575" s="1269">
        <f t="shared" si="63"/>
        <v>1</v>
      </c>
      <c r="K575" s="1278">
        <f>F575-H575</f>
        <v>0</v>
      </c>
      <c r="L575" s="817">
        <f>K575*$E575</f>
        <v>0</v>
      </c>
      <c r="M575" s="1269" t="str">
        <f t="shared" si="64"/>
        <v/>
      </c>
      <c r="N575" s="1285">
        <f>F575-H575</f>
        <v>0</v>
      </c>
      <c r="O575" s="326">
        <f>N575*E575</f>
        <v>0</v>
      </c>
      <c r="P575" s="1416"/>
      <c r="Q575" s="1416"/>
      <c r="R575" s="1416"/>
      <c r="S575" s="1416"/>
    </row>
    <row r="576" spans="1:19" ht="60">
      <c r="A576" s="253" t="s">
        <v>4026</v>
      </c>
      <c r="B576" s="267" t="s">
        <v>1880</v>
      </c>
      <c r="C576" s="1301" t="s">
        <v>1881</v>
      </c>
      <c r="D576" s="211" t="s">
        <v>28</v>
      </c>
      <c r="E576" s="229">
        <v>641.98</v>
      </c>
      <c r="F576" s="211">
        <v>12</v>
      </c>
      <c r="G576" s="1290">
        <f t="shared" si="68"/>
        <v>7703.76</v>
      </c>
      <c r="H576" s="1278">
        <v>12</v>
      </c>
      <c r="I576" s="817">
        <v>7703.76</v>
      </c>
      <c r="J576" s="1269">
        <f t="shared" si="63"/>
        <v>1</v>
      </c>
      <c r="K576" s="1278">
        <f>F576-H576</f>
        <v>0</v>
      </c>
      <c r="L576" s="817">
        <f>K576*$E576</f>
        <v>0</v>
      </c>
      <c r="M576" s="1269" t="str">
        <f t="shared" si="64"/>
        <v/>
      </c>
      <c r="N576" s="1285">
        <f>F576-H576</f>
        <v>0</v>
      </c>
      <c r="O576" s="326">
        <f>N576*E576</f>
        <v>0</v>
      </c>
      <c r="P576" s="1416"/>
      <c r="Q576" s="1416"/>
      <c r="R576" s="1416"/>
      <c r="S576" s="1416"/>
    </row>
    <row r="577" spans="1:19" ht="45">
      <c r="A577" s="211" t="s">
        <v>1882</v>
      </c>
      <c r="B577" s="267" t="s">
        <v>1883</v>
      </c>
      <c r="C577" s="1301" t="s">
        <v>1884</v>
      </c>
      <c r="D577" s="211" t="s">
        <v>28</v>
      </c>
      <c r="E577" s="229">
        <v>126.78</v>
      </c>
      <c r="F577" s="211">
        <v>2</v>
      </c>
      <c r="G577" s="1290">
        <f t="shared" si="68"/>
        <v>253.56</v>
      </c>
      <c r="H577" s="1278">
        <v>2</v>
      </c>
      <c r="I577" s="817">
        <v>253.56</v>
      </c>
      <c r="J577" s="1269">
        <f t="shared" si="63"/>
        <v>1</v>
      </c>
      <c r="K577" s="1278">
        <f>F577-H577</f>
        <v>0</v>
      </c>
      <c r="L577" s="817">
        <f>K577*$E577</f>
        <v>0</v>
      </c>
      <c r="M577" s="1269" t="str">
        <f t="shared" si="64"/>
        <v/>
      </c>
      <c r="N577" s="1285">
        <f>F577-H577</f>
        <v>0</v>
      </c>
      <c r="O577" s="326">
        <f>N577*E577</f>
        <v>0</v>
      </c>
      <c r="P577" s="1416"/>
      <c r="Q577" s="1416"/>
      <c r="R577" s="1416"/>
      <c r="S577" s="1416"/>
    </row>
    <row r="578" spans="1:19" s="233" customFormat="1" ht="15.75">
      <c r="A578" s="251" t="s">
        <v>1885</v>
      </c>
      <c r="B578" s="1445" t="s">
        <v>1886</v>
      </c>
      <c r="C578" s="1445"/>
      <c r="D578" s="1445"/>
      <c r="E578" s="1445"/>
      <c r="F578" s="1445"/>
      <c r="G578" s="1299">
        <f>SUM(G579:G589)</f>
        <v>26878.559999999994</v>
      </c>
      <c r="H578" s="1277">
        <v>0</v>
      </c>
      <c r="I578" s="257">
        <v>26878.559999999994</v>
      </c>
      <c r="J578" s="1268">
        <f>I578/$G578</f>
        <v>1</v>
      </c>
      <c r="K578" s="1281">
        <f>F578-H578</f>
        <v>0</v>
      </c>
      <c r="L578" s="257">
        <f>SUM(L579:L589)</f>
        <v>0</v>
      </c>
      <c r="M578" s="1268">
        <f>L578/$G578</f>
        <v>0</v>
      </c>
      <c r="N578" s="1285">
        <f>F578-H578</f>
        <v>0</v>
      </c>
      <c r="O578" s="326">
        <f>N578*E578</f>
        <v>0</v>
      </c>
      <c r="P578" s="1418"/>
      <c r="Q578" s="1418"/>
      <c r="R578" s="1418"/>
      <c r="S578" s="1418"/>
    </row>
    <row r="579" spans="1:19" ht="60">
      <c r="A579" s="211" t="s">
        <v>1887</v>
      </c>
      <c r="B579" s="267" t="s">
        <v>269</v>
      </c>
      <c r="C579" s="1301" t="s">
        <v>270</v>
      </c>
      <c r="D579" s="211" t="s">
        <v>28</v>
      </c>
      <c r="E579" s="229">
        <v>360.86</v>
      </c>
      <c r="F579" s="211">
        <v>17</v>
      </c>
      <c r="G579" s="1289">
        <f t="shared" si="68"/>
        <v>6134.62</v>
      </c>
      <c r="H579" s="1278">
        <v>17</v>
      </c>
      <c r="I579" s="224">
        <v>6134.62</v>
      </c>
      <c r="J579" s="1269">
        <f t="shared" ref="J579:J642" si="70">IF(H579=0,"",H579/$F579)</f>
        <v>1</v>
      </c>
      <c r="K579" s="1278">
        <f>F579-H579</f>
        <v>0</v>
      </c>
      <c r="L579" s="224">
        <f t="shared" ref="L579:L589" si="71">K579*$E579</f>
        <v>0</v>
      </c>
      <c r="M579" s="1269" t="str">
        <f t="shared" ref="M579:M642" si="72">IF(K579=0,"",K579/$F579)</f>
        <v/>
      </c>
      <c r="N579" s="1285">
        <f>F579-H579</f>
        <v>0</v>
      </c>
      <c r="O579" s="326">
        <f>N579*E579</f>
        <v>0</v>
      </c>
      <c r="P579" s="1417"/>
      <c r="Q579" s="1417"/>
      <c r="R579" s="1417"/>
      <c r="S579" s="1417"/>
    </row>
    <row r="580" spans="1:19" ht="45">
      <c r="A580" s="211" t="s">
        <v>1888</v>
      </c>
      <c r="B580" s="267" t="s">
        <v>1889</v>
      </c>
      <c r="C580" s="1301" t="s">
        <v>1890</v>
      </c>
      <c r="D580" s="211" t="s">
        <v>28</v>
      </c>
      <c r="E580" s="229">
        <v>139.91999999999999</v>
      </c>
      <c r="F580" s="211">
        <v>3</v>
      </c>
      <c r="G580" s="1289">
        <f t="shared" si="68"/>
        <v>419.76</v>
      </c>
      <c r="H580" s="1278">
        <v>3</v>
      </c>
      <c r="I580" s="224">
        <v>419.76</v>
      </c>
      <c r="J580" s="1269">
        <f t="shared" si="70"/>
        <v>1</v>
      </c>
      <c r="K580" s="1278">
        <f>F580-H580</f>
        <v>0</v>
      </c>
      <c r="L580" s="224">
        <f t="shared" si="71"/>
        <v>0</v>
      </c>
      <c r="M580" s="1269" t="str">
        <f t="shared" si="72"/>
        <v/>
      </c>
      <c r="N580" s="1285">
        <f>F580-H580</f>
        <v>0</v>
      </c>
      <c r="O580" s="326">
        <f>N580*E580</f>
        <v>0</v>
      </c>
      <c r="P580" s="3"/>
      <c r="Q580" s="1"/>
      <c r="R580" s="5"/>
      <c r="S580" s="1"/>
    </row>
    <row r="581" spans="1:19" ht="45">
      <c r="A581" s="211" t="s">
        <v>1891</v>
      </c>
      <c r="B581" s="267" t="s">
        <v>1892</v>
      </c>
      <c r="C581" s="1301" t="s">
        <v>1893</v>
      </c>
      <c r="D581" s="211" t="s">
        <v>28</v>
      </c>
      <c r="E581" s="229">
        <v>135.16</v>
      </c>
      <c r="F581" s="211">
        <v>17</v>
      </c>
      <c r="G581" s="1290">
        <f t="shared" si="68"/>
        <v>2297.7199999999998</v>
      </c>
      <c r="H581" s="1278">
        <v>17</v>
      </c>
      <c r="I581" s="817">
        <v>2297.7199999999998</v>
      </c>
      <c r="J581" s="1269">
        <f t="shared" si="70"/>
        <v>1</v>
      </c>
      <c r="K581" s="1278">
        <f>F581-H581</f>
        <v>0</v>
      </c>
      <c r="L581" s="817">
        <f t="shared" si="71"/>
        <v>0</v>
      </c>
      <c r="M581" s="1269" t="str">
        <f t="shared" si="72"/>
        <v/>
      </c>
      <c r="N581" s="1285">
        <f>F581-H581</f>
        <v>0</v>
      </c>
      <c r="O581" s="326">
        <f>N581*E581</f>
        <v>0</v>
      </c>
    </row>
    <row r="582" spans="1:19" ht="75">
      <c r="A582" s="211" t="s">
        <v>1894</v>
      </c>
      <c r="B582" s="267" t="s">
        <v>1895</v>
      </c>
      <c r="C582" s="1301" t="s">
        <v>1896</v>
      </c>
      <c r="D582" s="211" t="s">
        <v>28</v>
      </c>
      <c r="E582" s="229">
        <v>123.87</v>
      </c>
      <c r="F582" s="211">
        <v>18</v>
      </c>
      <c r="G582" s="1290">
        <f t="shared" si="68"/>
        <v>2229.66</v>
      </c>
      <c r="H582" s="1278">
        <v>18</v>
      </c>
      <c r="I582" s="817">
        <v>2229.66</v>
      </c>
      <c r="J582" s="1269">
        <f t="shared" si="70"/>
        <v>1</v>
      </c>
      <c r="K582" s="1278">
        <f>F582-H582</f>
        <v>0</v>
      </c>
      <c r="L582" s="817">
        <f t="shared" si="71"/>
        <v>0</v>
      </c>
      <c r="M582" s="1269" t="str">
        <f t="shared" si="72"/>
        <v/>
      </c>
      <c r="N582" s="1285">
        <f>F582-H582</f>
        <v>0</v>
      </c>
      <c r="O582" s="326">
        <f>N582*E582</f>
        <v>0</v>
      </c>
    </row>
    <row r="583" spans="1:19" ht="45">
      <c r="A583" s="211" t="s">
        <v>1897</v>
      </c>
      <c r="B583" s="267" t="s">
        <v>1898</v>
      </c>
      <c r="C583" s="1301" t="s">
        <v>1899</v>
      </c>
      <c r="D583" s="211" t="s">
        <v>28</v>
      </c>
      <c r="E583" s="229">
        <v>98.58</v>
      </c>
      <c r="F583" s="211">
        <v>18</v>
      </c>
      <c r="G583" s="1290">
        <f t="shared" si="68"/>
        <v>1774.44</v>
      </c>
      <c r="H583" s="1278">
        <v>18</v>
      </c>
      <c r="I583" s="817">
        <v>1774.44</v>
      </c>
      <c r="J583" s="1269">
        <f t="shared" si="70"/>
        <v>1</v>
      </c>
      <c r="K583" s="1278">
        <f>F583-H583</f>
        <v>0</v>
      </c>
      <c r="L583" s="817">
        <f t="shared" si="71"/>
        <v>0</v>
      </c>
      <c r="M583" s="1269" t="str">
        <f t="shared" si="72"/>
        <v/>
      </c>
      <c r="N583" s="1285">
        <f>F583-H583</f>
        <v>0</v>
      </c>
      <c r="O583" s="326">
        <f>N583*E583</f>
        <v>0</v>
      </c>
    </row>
    <row r="584" spans="1:19" ht="75">
      <c r="A584" s="211" t="s">
        <v>1900</v>
      </c>
      <c r="B584" s="267" t="s">
        <v>1901</v>
      </c>
      <c r="C584" s="1301" t="s">
        <v>1902</v>
      </c>
      <c r="D584" s="211" t="s">
        <v>28</v>
      </c>
      <c r="E584" s="229">
        <v>593.99</v>
      </c>
      <c r="F584" s="211">
        <v>2</v>
      </c>
      <c r="G584" s="1290">
        <f t="shared" si="68"/>
        <v>1187.98</v>
      </c>
      <c r="H584" s="1278">
        <v>2</v>
      </c>
      <c r="I584" s="817">
        <v>1187.98</v>
      </c>
      <c r="J584" s="1269">
        <f t="shared" si="70"/>
        <v>1</v>
      </c>
      <c r="K584" s="1278">
        <f>F584-H584</f>
        <v>0</v>
      </c>
      <c r="L584" s="817">
        <f t="shared" si="71"/>
        <v>0</v>
      </c>
      <c r="M584" s="1269" t="str">
        <f t="shared" si="72"/>
        <v/>
      </c>
      <c r="N584" s="1285">
        <f>F584-H584</f>
        <v>0</v>
      </c>
      <c r="O584" s="326">
        <f>N584*E584</f>
        <v>0</v>
      </c>
    </row>
    <row r="585" spans="1:19" ht="75">
      <c r="A585" s="211" t="s">
        <v>1903</v>
      </c>
      <c r="B585" s="267" t="s">
        <v>1904</v>
      </c>
      <c r="C585" s="1301" t="s">
        <v>1905</v>
      </c>
      <c r="D585" s="211" t="s">
        <v>28</v>
      </c>
      <c r="E585" s="229">
        <v>2000.12</v>
      </c>
      <c r="F585" s="211">
        <v>2</v>
      </c>
      <c r="G585" s="1290">
        <f t="shared" si="68"/>
        <v>4000.24</v>
      </c>
      <c r="H585" s="1278">
        <v>2</v>
      </c>
      <c r="I585" s="817">
        <v>4000.24</v>
      </c>
      <c r="J585" s="1269">
        <f t="shared" si="70"/>
        <v>1</v>
      </c>
      <c r="K585" s="1278">
        <f>F585-H585</f>
        <v>0</v>
      </c>
      <c r="L585" s="817">
        <f t="shared" si="71"/>
        <v>0</v>
      </c>
      <c r="M585" s="1269" t="str">
        <f t="shared" si="72"/>
        <v/>
      </c>
      <c r="N585" s="1285">
        <f>F585-H585</f>
        <v>0</v>
      </c>
      <c r="O585" s="326">
        <f>N585*E585</f>
        <v>0</v>
      </c>
    </row>
    <row r="586" spans="1:19" ht="45">
      <c r="A586" s="253" t="s">
        <v>4046</v>
      </c>
      <c r="B586" s="267" t="s">
        <v>1907</v>
      </c>
      <c r="C586" s="1301" t="s">
        <v>1908</v>
      </c>
      <c r="D586" s="211" t="s">
        <v>28</v>
      </c>
      <c r="E586" s="229">
        <v>219.67</v>
      </c>
      <c r="F586" s="211">
        <v>7</v>
      </c>
      <c r="G586" s="1290">
        <f t="shared" si="68"/>
        <v>1537.6899999999998</v>
      </c>
      <c r="H586" s="1278">
        <v>7</v>
      </c>
      <c r="I586" s="817">
        <v>1537.6899999999998</v>
      </c>
      <c r="J586" s="1269">
        <f t="shared" si="70"/>
        <v>1</v>
      </c>
      <c r="K586" s="1278">
        <f>F586-H586</f>
        <v>0</v>
      </c>
      <c r="L586" s="817">
        <f t="shared" si="71"/>
        <v>0</v>
      </c>
      <c r="M586" s="1269" t="str">
        <f t="shared" si="72"/>
        <v/>
      </c>
      <c r="N586" s="1285">
        <f>F586-H586</f>
        <v>0</v>
      </c>
      <c r="O586" s="326">
        <f>N586*E586</f>
        <v>0</v>
      </c>
    </row>
    <row r="587" spans="1:19" ht="60">
      <c r="A587" s="211" t="s">
        <v>1909</v>
      </c>
      <c r="B587" s="267" t="s">
        <v>1910</v>
      </c>
      <c r="C587" s="1301" t="s">
        <v>1911</v>
      </c>
      <c r="D587" s="211" t="s">
        <v>28</v>
      </c>
      <c r="E587" s="229">
        <v>480.2</v>
      </c>
      <c r="F587" s="211">
        <v>10</v>
      </c>
      <c r="G587" s="1290">
        <f t="shared" si="68"/>
        <v>4802</v>
      </c>
      <c r="H587" s="1278">
        <v>10</v>
      </c>
      <c r="I587" s="817">
        <v>4802</v>
      </c>
      <c r="J587" s="1269">
        <f t="shared" si="70"/>
        <v>1</v>
      </c>
      <c r="K587" s="1278">
        <f>F587-H587</f>
        <v>0</v>
      </c>
      <c r="L587" s="817">
        <f t="shared" si="71"/>
        <v>0</v>
      </c>
      <c r="M587" s="1269" t="str">
        <f t="shared" si="72"/>
        <v/>
      </c>
      <c r="N587" s="1285">
        <f>F587-H587</f>
        <v>0</v>
      </c>
      <c r="O587" s="326">
        <f>N587*E587</f>
        <v>0</v>
      </c>
    </row>
    <row r="588" spans="1:19" ht="45">
      <c r="A588" s="211" t="s">
        <v>1912</v>
      </c>
      <c r="B588" s="267" t="s">
        <v>263</v>
      </c>
      <c r="C588" s="1301" t="s">
        <v>264</v>
      </c>
      <c r="D588" s="211" t="s">
        <v>28</v>
      </c>
      <c r="E588" s="229">
        <v>178.57</v>
      </c>
      <c r="F588" s="211">
        <v>5</v>
      </c>
      <c r="G588" s="1290">
        <f t="shared" si="68"/>
        <v>892.84999999999991</v>
      </c>
      <c r="H588" s="1278">
        <v>5</v>
      </c>
      <c r="I588" s="817">
        <v>892.84999999999991</v>
      </c>
      <c r="J588" s="1269">
        <f t="shared" si="70"/>
        <v>1</v>
      </c>
      <c r="K588" s="1278">
        <f>F588-H588</f>
        <v>0</v>
      </c>
      <c r="L588" s="817">
        <f t="shared" si="71"/>
        <v>0</v>
      </c>
      <c r="M588" s="1269" t="str">
        <f t="shared" si="72"/>
        <v/>
      </c>
      <c r="N588" s="1285">
        <f>F588-H588</f>
        <v>0</v>
      </c>
      <c r="O588" s="326">
        <f>N588*E588</f>
        <v>0</v>
      </c>
    </row>
    <row r="589" spans="1:19" ht="30">
      <c r="A589" s="253" t="s">
        <v>4153</v>
      </c>
      <c r="B589" s="267" t="s">
        <v>1914</v>
      </c>
      <c r="C589" s="1301" t="s">
        <v>1915</v>
      </c>
      <c r="D589" s="211" t="s">
        <v>28</v>
      </c>
      <c r="E589" s="229">
        <v>320.32</v>
      </c>
      <c r="F589" s="211">
        <v>5</v>
      </c>
      <c r="G589" s="1290">
        <f t="shared" si="68"/>
        <v>1601.6</v>
      </c>
      <c r="H589" s="1278">
        <v>5</v>
      </c>
      <c r="I589" s="817">
        <v>1601.6</v>
      </c>
      <c r="J589" s="1269">
        <f t="shared" si="70"/>
        <v>1</v>
      </c>
      <c r="K589" s="1278">
        <f>F589-H589</f>
        <v>0</v>
      </c>
      <c r="L589" s="817">
        <f t="shared" si="71"/>
        <v>0</v>
      </c>
      <c r="M589" s="1269" t="str">
        <f t="shared" si="72"/>
        <v/>
      </c>
      <c r="N589" s="1285">
        <f>F589-H589</f>
        <v>0</v>
      </c>
      <c r="O589" s="326">
        <f>N589*E589</f>
        <v>0</v>
      </c>
    </row>
    <row r="590" spans="1:19" s="230" customFormat="1" ht="15.75">
      <c r="A590" s="252" t="s">
        <v>1916</v>
      </c>
      <c r="B590" s="1453" t="s">
        <v>1917</v>
      </c>
      <c r="C590" s="1453"/>
      <c r="D590" s="1453"/>
      <c r="E590" s="1453"/>
      <c r="F590" s="1453"/>
      <c r="G590" s="1297">
        <f>G591+G595+G601+G607+G613+G625</f>
        <v>284066.40600000002</v>
      </c>
      <c r="H590" s="1276">
        <v>0</v>
      </c>
      <c r="I590" s="256">
        <v>284066.40600000002</v>
      </c>
      <c r="J590" s="1267">
        <f>I590/$G590</f>
        <v>1</v>
      </c>
      <c r="K590" s="1279">
        <f>F590-H590</f>
        <v>0</v>
      </c>
      <c r="L590" s="256">
        <f>L591+L595+L601+L607+L613+L625</f>
        <v>0</v>
      </c>
      <c r="M590" s="1267">
        <f>L590/$G590</f>
        <v>0</v>
      </c>
      <c r="N590" s="1285">
        <f>F590-H590</f>
        <v>0</v>
      </c>
      <c r="O590" s="326">
        <f>N590*E590</f>
        <v>0</v>
      </c>
      <c r="P590" s="1425">
        <f>I590</f>
        <v>284066.40600000002</v>
      </c>
    </row>
    <row r="591" spans="1:19" s="231" customFormat="1">
      <c r="A591" s="251" t="s">
        <v>1918</v>
      </c>
      <c r="B591" s="1442" t="s">
        <v>1919</v>
      </c>
      <c r="C591" s="1442"/>
      <c r="D591" s="1442"/>
      <c r="E591" s="1442"/>
      <c r="F591" s="1442"/>
      <c r="G591" s="1296">
        <f>G592+G593+G594</f>
        <v>74329.060000000012</v>
      </c>
      <c r="H591" s="1277">
        <v>0</v>
      </c>
      <c r="I591" s="255">
        <v>74329.060000000012</v>
      </c>
      <c r="J591" s="1268">
        <f>I591/$G591</f>
        <v>1</v>
      </c>
      <c r="K591" s="1277">
        <f>F591-H591</f>
        <v>0</v>
      </c>
      <c r="L591" s="255">
        <f>L592+L593+L594</f>
        <v>0</v>
      </c>
      <c r="M591" s="1268">
        <f>L591/$G591</f>
        <v>0</v>
      </c>
      <c r="N591" s="1285">
        <f>F591-H591</f>
        <v>0</v>
      </c>
      <c r="O591" s="326">
        <f>N591*E591</f>
        <v>0</v>
      </c>
    </row>
    <row r="592" spans="1:19" ht="90">
      <c r="A592" s="211" t="s">
        <v>1920</v>
      </c>
      <c r="B592" s="267" t="s">
        <v>1921</v>
      </c>
      <c r="C592" s="1301" t="s">
        <v>1922</v>
      </c>
      <c r="D592" s="211" t="s">
        <v>44</v>
      </c>
      <c r="E592" s="229">
        <v>125.6</v>
      </c>
      <c r="F592" s="211">
        <f>510+10.2</f>
        <v>520.20000000000005</v>
      </c>
      <c r="G592" s="1289">
        <f t="shared" ref="G592:G600" si="73">F592*$E592</f>
        <v>65337.120000000003</v>
      </c>
      <c r="H592" s="1278">
        <v>520.20000000000005</v>
      </c>
      <c r="I592" s="224">
        <v>65337.120000000003</v>
      </c>
      <c r="J592" s="1269">
        <f t="shared" si="70"/>
        <v>1</v>
      </c>
      <c r="K592" s="1278">
        <f>F592-H592</f>
        <v>0</v>
      </c>
      <c r="L592" s="224">
        <f>K592*$E592</f>
        <v>0</v>
      </c>
      <c r="M592" s="1269" t="str">
        <f t="shared" si="72"/>
        <v/>
      </c>
      <c r="N592" s="1285">
        <f>F592-H592</f>
        <v>0</v>
      </c>
      <c r="O592" s="326">
        <f>N592*E592</f>
        <v>0</v>
      </c>
    </row>
    <row r="593" spans="1:15" ht="90">
      <c r="A593" s="211" t="s">
        <v>1923</v>
      </c>
      <c r="B593" s="267" t="s">
        <v>1924</v>
      </c>
      <c r="C593" s="1301" t="s">
        <v>1925</v>
      </c>
      <c r="D593" s="211" t="s">
        <v>44</v>
      </c>
      <c r="E593" s="229">
        <v>142.80000000000001</v>
      </c>
      <c r="F593" s="211">
        <v>19</v>
      </c>
      <c r="G593" s="1289">
        <f t="shared" si="73"/>
        <v>2713.2000000000003</v>
      </c>
      <c r="H593" s="1278">
        <v>19</v>
      </c>
      <c r="I593" s="224">
        <v>2713.2000000000003</v>
      </c>
      <c r="J593" s="1269">
        <f t="shared" si="70"/>
        <v>1</v>
      </c>
      <c r="K593" s="1278">
        <f>F593-H593</f>
        <v>0</v>
      </c>
      <c r="L593" s="224">
        <f>K593*$E593</f>
        <v>0</v>
      </c>
      <c r="M593" s="1269" t="str">
        <f t="shared" si="72"/>
        <v/>
      </c>
      <c r="N593" s="1285">
        <f>F593-H593</f>
        <v>0</v>
      </c>
      <c r="O593" s="326">
        <f>N593*E593</f>
        <v>0</v>
      </c>
    </row>
    <row r="594" spans="1:15" ht="90">
      <c r="A594" s="211" t="s">
        <v>1926</v>
      </c>
      <c r="B594" s="267" t="s">
        <v>1927</v>
      </c>
      <c r="C594" s="1301" t="s">
        <v>1928</v>
      </c>
      <c r="D594" s="211" t="s">
        <v>44</v>
      </c>
      <c r="E594" s="229">
        <v>153.13999999999999</v>
      </c>
      <c r="F594" s="211">
        <v>41</v>
      </c>
      <c r="G594" s="1289">
        <f t="shared" si="73"/>
        <v>6278.74</v>
      </c>
      <c r="H594" s="1278">
        <v>41</v>
      </c>
      <c r="I594" s="224">
        <v>6278.74</v>
      </c>
      <c r="J594" s="1269">
        <f t="shared" si="70"/>
        <v>1</v>
      </c>
      <c r="K594" s="1278">
        <f>F594-H594</f>
        <v>0</v>
      </c>
      <c r="L594" s="224">
        <f>K594*$E594</f>
        <v>0</v>
      </c>
      <c r="M594" s="1269" t="str">
        <f t="shared" si="72"/>
        <v/>
      </c>
      <c r="N594" s="1285">
        <f>F594-H594</f>
        <v>0</v>
      </c>
      <c r="O594" s="326">
        <f>N594*E594</f>
        <v>0</v>
      </c>
    </row>
    <row r="595" spans="1:15" s="231" customFormat="1">
      <c r="A595" s="251" t="s">
        <v>1929</v>
      </c>
      <c r="B595" s="1442" t="s">
        <v>1930</v>
      </c>
      <c r="C595" s="1442"/>
      <c r="D595" s="1442"/>
      <c r="E595" s="1442"/>
      <c r="F595" s="1442"/>
      <c r="G595" s="1296">
        <f>SUM(G596:G600)</f>
        <v>82865.659999999989</v>
      </c>
      <c r="H595" s="1277">
        <v>0</v>
      </c>
      <c r="I595" s="255">
        <v>82865.659999999989</v>
      </c>
      <c r="J595" s="1268">
        <f>I595/$G595</f>
        <v>1</v>
      </c>
      <c r="K595" s="1277">
        <f>F595-H595</f>
        <v>0</v>
      </c>
      <c r="L595" s="255">
        <f>SUM(L596:L600)</f>
        <v>0</v>
      </c>
      <c r="M595" s="1268">
        <f>L595/$G595</f>
        <v>0</v>
      </c>
      <c r="N595" s="1285">
        <f>F595-H595</f>
        <v>0</v>
      </c>
      <c r="O595" s="326">
        <f>N595*E595</f>
        <v>0</v>
      </c>
    </row>
    <row r="596" spans="1:15" ht="90">
      <c r="A596" s="211" t="s">
        <v>1931</v>
      </c>
      <c r="B596" s="267" t="s">
        <v>1932</v>
      </c>
      <c r="C596" s="1301" t="s">
        <v>1933</v>
      </c>
      <c r="D596" s="211" t="s">
        <v>28</v>
      </c>
      <c r="E596" s="229">
        <v>2067.4899999999998</v>
      </c>
      <c r="F596" s="211">
        <f>17+1</f>
        <v>18</v>
      </c>
      <c r="G596" s="1290">
        <f t="shared" si="73"/>
        <v>37214.819999999992</v>
      </c>
      <c r="H596" s="1278">
        <v>18</v>
      </c>
      <c r="I596" s="817">
        <v>37214.819999999992</v>
      </c>
      <c r="J596" s="1269">
        <f t="shared" si="70"/>
        <v>1</v>
      </c>
      <c r="K596" s="1278">
        <f>F596-H596</f>
        <v>0</v>
      </c>
      <c r="L596" s="817">
        <f>K596*$E596</f>
        <v>0</v>
      </c>
      <c r="M596" s="1269" t="str">
        <f t="shared" si="72"/>
        <v/>
      </c>
      <c r="N596" s="1285">
        <f>F596-H596</f>
        <v>0</v>
      </c>
      <c r="O596" s="326">
        <f>N596*E596</f>
        <v>0</v>
      </c>
    </row>
    <row r="597" spans="1:15" ht="90">
      <c r="A597" s="211" t="s">
        <v>1934</v>
      </c>
      <c r="B597" s="267" t="s">
        <v>1935</v>
      </c>
      <c r="C597" s="1301" t="s">
        <v>1936</v>
      </c>
      <c r="D597" s="211" t="s">
        <v>28</v>
      </c>
      <c r="E597" s="229">
        <v>2314.9899999999998</v>
      </c>
      <c r="F597" s="211">
        <v>12</v>
      </c>
      <c r="G597" s="1290">
        <f t="shared" si="73"/>
        <v>27779.879999999997</v>
      </c>
      <c r="H597" s="1278">
        <v>12</v>
      </c>
      <c r="I597" s="817">
        <v>27779.879999999997</v>
      </c>
      <c r="J597" s="1269">
        <f t="shared" si="70"/>
        <v>1</v>
      </c>
      <c r="K597" s="1278">
        <f>F597-H597</f>
        <v>0</v>
      </c>
      <c r="L597" s="817">
        <f>K597*$E597</f>
        <v>0</v>
      </c>
      <c r="M597" s="1269" t="str">
        <f t="shared" si="72"/>
        <v/>
      </c>
      <c r="N597" s="1285">
        <f>F597-H597</f>
        <v>0</v>
      </c>
      <c r="O597" s="326">
        <f>N597*E597</f>
        <v>0</v>
      </c>
    </row>
    <row r="598" spans="1:15" ht="90">
      <c r="A598" s="211" t="s">
        <v>1937</v>
      </c>
      <c r="B598" s="267" t="s">
        <v>1938</v>
      </c>
      <c r="C598" s="1301" t="s">
        <v>1939</v>
      </c>
      <c r="D598" s="211" t="s">
        <v>28</v>
      </c>
      <c r="E598" s="229">
        <v>3436.7</v>
      </c>
      <c r="F598" s="211">
        <v>1</v>
      </c>
      <c r="G598" s="1290">
        <f t="shared" si="73"/>
        <v>3436.7</v>
      </c>
      <c r="H598" s="1278">
        <v>1</v>
      </c>
      <c r="I598" s="817">
        <v>3436.7</v>
      </c>
      <c r="J598" s="1269">
        <f t="shared" si="70"/>
        <v>1</v>
      </c>
      <c r="K598" s="1278">
        <f>F598-H598</f>
        <v>0</v>
      </c>
      <c r="L598" s="817">
        <f>K598*$E598</f>
        <v>0</v>
      </c>
      <c r="M598" s="1269" t="str">
        <f t="shared" si="72"/>
        <v/>
      </c>
      <c r="N598" s="1285">
        <f>F598-H598</f>
        <v>0</v>
      </c>
      <c r="O598" s="326">
        <f>N598*E598</f>
        <v>0</v>
      </c>
    </row>
    <row r="599" spans="1:15" ht="90">
      <c r="A599" s="211" t="s">
        <v>1940</v>
      </c>
      <c r="B599" s="267" t="s">
        <v>1941</v>
      </c>
      <c r="C599" s="1301" t="s">
        <v>1942</v>
      </c>
      <c r="D599" s="211" t="s">
        <v>28</v>
      </c>
      <c r="E599" s="229">
        <v>3501.82</v>
      </c>
      <c r="F599" s="211">
        <v>2</v>
      </c>
      <c r="G599" s="1290">
        <f t="shared" si="73"/>
        <v>7003.64</v>
      </c>
      <c r="H599" s="1278">
        <v>2</v>
      </c>
      <c r="I599" s="817">
        <v>7003.64</v>
      </c>
      <c r="J599" s="1269">
        <f t="shared" si="70"/>
        <v>1</v>
      </c>
      <c r="K599" s="1278">
        <f>F599-H599</f>
        <v>0</v>
      </c>
      <c r="L599" s="817">
        <f>K599*$E599</f>
        <v>0</v>
      </c>
      <c r="M599" s="1269" t="str">
        <f t="shared" si="72"/>
        <v/>
      </c>
      <c r="N599" s="1285">
        <f>F599-H599</f>
        <v>0</v>
      </c>
      <c r="O599" s="326">
        <f>N599*E599</f>
        <v>0</v>
      </c>
    </row>
    <row r="600" spans="1:15" ht="90">
      <c r="A600" s="211" t="s">
        <v>1943</v>
      </c>
      <c r="B600" s="267" t="s">
        <v>1944</v>
      </c>
      <c r="C600" s="1301" t="s">
        <v>1945</v>
      </c>
      <c r="D600" s="211" t="s">
        <v>28</v>
      </c>
      <c r="E600" s="229">
        <v>7430.62</v>
      </c>
      <c r="F600" s="211">
        <v>1</v>
      </c>
      <c r="G600" s="1290">
        <f t="shared" si="73"/>
        <v>7430.62</v>
      </c>
      <c r="H600" s="1278">
        <v>1</v>
      </c>
      <c r="I600" s="817">
        <v>7430.62</v>
      </c>
      <c r="J600" s="1269">
        <f t="shared" si="70"/>
        <v>1</v>
      </c>
      <c r="K600" s="1278">
        <f>F600-H600</f>
        <v>0</v>
      </c>
      <c r="L600" s="817">
        <f>K600*$E600</f>
        <v>0</v>
      </c>
      <c r="M600" s="1269" t="str">
        <f t="shared" si="72"/>
        <v/>
      </c>
      <c r="N600" s="1285">
        <f>F600-H600</f>
        <v>0</v>
      </c>
      <c r="O600" s="326">
        <f>N600*E600</f>
        <v>0</v>
      </c>
    </row>
    <row r="601" spans="1:15" s="231" customFormat="1">
      <c r="A601" s="251" t="s">
        <v>1946</v>
      </c>
      <c r="B601" s="1445" t="s">
        <v>1947</v>
      </c>
      <c r="C601" s="1445"/>
      <c r="D601" s="1445"/>
      <c r="E601" s="1445"/>
      <c r="F601" s="1445"/>
      <c r="G601" s="1296">
        <f>SUM(G602:G606)</f>
        <v>3828.7400000000002</v>
      </c>
      <c r="H601" s="1277">
        <v>0</v>
      </c>
      <c r="I601" s="255">
        <v>3828.7400000000002</v>
      </c>
      <c r="J601" s="1268">
        <f>I601/$G601</f>
        <v>1</v>
      </c>
      <c r="K601" s="1277">
        <f>F601-H601</f>
        <v>0</v>
      </c>
      <c r="L601" s="255">
        <f>SUM(L602:L606)</f>
        <v>0</v>
      </c>
      <c r="M601" s="1268">
        <f>L601/$G601</f>
        <v>0</v>
      </c>
      <c r="N601" s="1285">
        <f>F601-H601</f>
        <v>0</v>
      </c>
      <c r="O601" s="326">
        <f>N601*E601</f>
        <v>0</v>
      </c>
    </row>
    <row r="602" spans="1:15" ht="45">
      <c r="A602" s="253" t="s">
        <v>4049</v>
      </c>
      <c r="B602" s="267" t="s">
        <v>1949</v>
      </c>
      <c r="C602" s="1301" t="s">
        <v>1950</v>
      </c>
      <c r="D602" s="211" t="s">
        <v>28</v>
      </c>
      <c r="E602" s="229">
        <v>112.61</v>
      </c>
      <c r="F602" s="211">
        <v>18</v>
      </c>
      <c r="G602" s="1290">
        <f>F602*E602</f>
        <v>2026.98</v>
      </c>
      <c r="H602" s="1278">
        <v>18</v>
      </c>
      <c r="I602" s="817">
        <v>2026.98</v>
      </c>
      <c r="J602" s="1269">
        <f t="shared" si="70"/>
        <v>1</v>
      </c>
      <c r="K602" s="1278">
        <f>F602-H602</f>
        <v>0</v>
      </c>
      <c r="L602" s="817">
        <f>K602*$E602</f>
        <v>0</v>
      </c>
      <c r="M602" s="1269" t="str">
        <f t="shared" si="72"/>
        <v/>
      </c>
      <c r="N602" s="1285">
        <f>F602-H602</f>
        <v>0</v>
      </c>
      <c r="O602" s="326">
        <f>N602*E602</f>
        <v>0</v>
      </c>
    </row>
    <row r="603" spans="1:15" ht="45">
      <c r="A603" s="211" t="s">
        <v>1951</v>
      </c>
      <c r="B603" s="267" t="s">
        <v>1952</v>
      </c>
      <c r="C603" s="1301" t="s">
        <v>1953</v>
      </c>
      <c r="D603" s="211" t="s">
        <v>28</v>
      </c>
      <c r="E603" s="229">
        <v>112.61</v>
      </c>
      <c r="F603" s="211">
        <v>12</v>
      </c>
      <c r="G603" s="1290">
        <f>F603*E603</f>
        <v>1351.32</v>
      </c>
      <c r="H603" s="1278">
        <v>12</v>
      </c>
      <c r="I603" s="817">
        <v>1351.32</v>
      </c>
      <c r="J603" s="1269">
        <f t="shared" si="70"/>
        <v>1</v>
      </c>
      <c r="K603" s="1278">
        <f>F603-H603</f>
        <v>0</v>
      </c>
      <c r="L603" s="817">
        <f>K603*$E603</f>
        <v>0</v>
      </c>
      <c r="M603" s="1269" t="str">
        <f t="shared" si="72"/>
        <v/>
      </c>
      <c r="N603" s="1285">
        <f>F603-H603</f>
        <v>0</v>
      </c>
      <c r="O603" s="326">
        <f>N603*E603</f>
        <v>0</v>
      </c>
    </row>
    <row r="604" spans="1:15" ht="45">
      <c r="A604" s="211" t="s">
        <v>1954</v>
      </c>
      <c r="B604" s="267" t="s">
        <v>1955</v>
      </c>
      <c r="C604" s="1301" t="s">
        <v>1956</v>
      </c>
      <c r="D604" s="211" t="s">
        <v>28</v>
      </c>
      <c r="E604" s="229">
        <v>112.61</v>
      </c>
      <c r="F604" s="211">
        <v>1</v>
      </c>
      <c r="G604" s="1290">
        <f>F604*E604</f>
        <v>112.61</v>
      </c>
      <c r="H604" s="1278">
        <v>1</v>
      </c>
      <c r="I604" s="817">
        <v>112.61</v>
      </c>
      <c r="J604" s="1269">
        <f t="shared" si="70"/>
        <v>1</v>
      </c>
      <c r="K604" s="1278">
        <f>F604-H604</f>
        <v>0</v>
      </c>
      <c r="L604" s="817">
        <f>K604*$E604</f>
        <v>0</v>
      </c>
      <c r="M604" s="1269" t="str">
        <f t="shared" si="72"/>
        <v/>
      </c>
      <c r="N604" s="1285">
        <f>F604-H604</f>
        <v>0</v>
      </c>
      <c r="O604" s="326">
        <f>N604*E604</f>
        <v>0</v>
      </c>
    </row>
    <row r="605" spans="1:15" ht="45">
      <c r="A605" s="211" t="s">
        <v>1957</v>
      </c>
      <c r="B605" s="267" t="s">
        <v>1958</v>
      </c>
      <c r="C605" s="1301" t="s">
        <v>1959</v>
      </c>
      <c r="D605" s="211" t="s">
        <v>28</v>
      </c>
      <c r="E605" s="229">
        <v>112.61</v>
      </c>
      <c r="F605" s="211">
        <v>2</v>
      </c>
      <c r="G605" s="1290">
        <f>F605*E605</f>
        <v>225.22</v>
      </c>
      <c r="H605" s="1278">
        <v>2</v>
      </c>
      <c r="I605" s="817">
        <v>225.22</v>
      </c>
      <c r="J605" s="1269">
        <f t="shared" si="70"/>
        <v>1</v>
      </c>
      <c r="K605" s="1278">
        <f>F605-H605</f>
        <v>0</v>
      </c>
      <c r="L605" s="817">
        <f>K605*$E605</f>
        <v>0</v>
      </c>
      <c r="M605" s="1269" t="str">
        <f t="shared" si="72"/>
        <v/>
      </c>
      <c r="N605" s="1285">
        <f>F605-H605</f>
        <v>0</v>
      </c>
      <c r="O605" s="326">
        <f>N605*E605</f>
        <v>0</v>
      </c>
    </row>
    <row r="606" spans="1:15" ht="45">
      <c r="A606" s="211" t="s">
        <v>1960</v>
      </c>
      <c r="B606" s="267" t="s">
        <v>1961</v>
      </c>
      <c r="C606" s="1301" t="s">
        <v>1959</v>
      </c>
      <c r="D606" s="211" t="s">
        <v>28</v>
      </c>
      <c r="E606" s="229">
        <v>112.61</v>
      </c>
      <c r="F606" s="211">
        <v>1</v>
      </c>
      <c r="G606" s="1290">
        <f>F606*E606</f>
        <v>112.61</v>
      </c>
      <c r="H606" s="1278">
        <v>1</v>
      </c>
      <c r="I606" s="817">
        <v>112.61</v>
      </c>
      <c r="J606" s="1269">
        <f t="shared" si="70"/>
        <v>1</v>
      </c>
      <c r="K606" s="1278">
        <f>F606-H606</f>
        <v>0</v>
      </c>
      <c r="L606" s="817">
        <f>K606*$E606</f>
        <v>0</v>
      </c>
      <c r="M606" s="1269" t="str">
        <f t="shared" si="72"/>
        <v/>
      </c>
      <c r="N606" s="1285">
        <f>F606-H606</f>
        <v>0</v>
      </c>
      <c r="O606" s="326">
        <f>N606*E606</f>
        <v>0</v>
      </c>
    </row>
    <row r="607" spans="1:15" s="231" customFormat="1">
      <c r="A607" s="251" t="s">
        <v>1963</v>
      </c>
      <c r="B607" s="1445" t="s">
        <v>1964</v>
      </c>
      <c r="C607" s="1445"/>
      <c r="D607" s="1445"/>
      <c r="E607" s="1445"/>
      <c r="F607" s="1445"/>
      <c r="G607" s="1296">
        <f>SUM(G608:G612)</f>
        <v>17034.339999999997</v>
      </c>
      <c r="H607" s="1277">
        <v>0</v>
      </c>
      <c r="I607" s="255">
        <v>17034.339999999997</v>
      </c>
      <c r="J607" s="1268">
        <f>I607/$G607</f>
        <v>1</v>
      </c>
      <c r="K607" s="1277">
        <f>F607-H607</f>
        <v>0</v>
      </c>
      <c r="L607" s="255">
        <f>SUM(L608:L612)</f>
        <v>0</v>
      </c>
      <c r="M607" s="1268">
        <f>L607/$G607</f>
        <v>0</v>
      </c>
      <c r="N607" s="1285">
        <f>F607-H607</f>
        <v>0</v>
      </c>
      <c r="O607" s="326">
        <f>N607*E607</f>
        <v>0</v>
      </c>
    </row>
    <row r="608" spans="1:15" ht="60">
      <c r="A608" s="211" t="s">
        <v>1965</v>
      </c>
      <c r="B608" s="267" t="s">
        <v>1966</v>
      </c>
      <c r="C608" s="1301" t="s">
        <v>1967</v>
      </c>
      <c r="D608" s="211" t="s">
        <v>28</v>
      </c>
      <c r="E608" s="229">
        <v>501.01</v>
      </c>
      <c r="F608" s="211">
        <f>17+1</f>
        <v>18</v>
      </c>
      <c r="G608" s="1290">
        <f t="shared" ref="G608:G627" si="74">F608*$E608</f>
        <v>9018.18</v>
      </c>
      <c r="H608" s="1278">
        <v>18</v>
      </c>
      <c r="I608" s="817">
        <v>9018.18</v>
      </c>
      <c r="J608" s="1269">
        <f t="shared" si="70"/>
        <v>1</v>
      </c>
      <c r="K608" s="1278">
        <f>F608-H608</f>
        <v>0</v>
      </c>
      <c r="L608" s="817">
        <f>K608*$E608</f>
        <v>0</v>
      </c>
      <c r="M608" s="1269" t="str">
        <f t="shared" si="72"/>
        <v/>
      </c>
      <c r="N608" s="1285">
        <f>F608-H608</f>
        <v>0</v>
      </c>
      <c r="O608" s="326">
        <f>N608*E608</f>
        <v>0</v>
      </c>
    </row>
    <row r="609" spans="1:15" ht="60">
      <c r="A609" s="211" t="s">
        <v>1968</v>
      </c>
      <c r="B609" s="267" t="s">
        <v>1969</v>
      </c>
      <c r="C609" s="1301" t="s">
        <v>1970</v>
      </c>
      <c r="D609" s="211" t="s">
        <v>28</v>
      </c>
      <c r="E609" s="229">
        <v>501.01</v>
      </c>
      <c r="F609" s="211">
        <v>12</v>
      </c>
      <c r="G609" s="1290">
        <f t="shared" si="74"/>
        <v>6012.12</v>
      </c>
      <c r="H609" s="1278">
        <v>12</v>
      </c>
      <c r="I609" s="817">
        <v>6012.12</v>
      </c>
      <c r="J609" s="1269">
        <f t="shared" si="70"/>
        <v>1</v>
      </c>
      <c r="K609" s="1278">
        <f>F609-H609</f>
        <v>0</v>
      </c>
      <c r="L609" s="817">
        <f>K609*$E609</f>
        <v>0</v>
      </c>
      <c r="M609" s="1269" t="str">
        <f t="shared" si="72"/>
        <v/>
      </c>
      <c r="N609" s="1285">
        <f>F609-H609</f>
        <v>0</v>
      </c>
      <c r="O609" s="326">
        <f>N609*E609</f>
        <v>0</v>
      </c>
    </row>
    <row r="610" spans="1:15" ht="60">
      <c r="A610" s="211" t="s">
        <v>1971</v>
      </c>
      <c r="B610" s="267" t="s">
        <v>1972</v>
      </c>
      <c r="C610" s="1301" t="s">
        <v>1973</v>
      </c>
      <c r="D610" s="211" t="s">
        <v>28</v>
      </c>
      <c r="E610" s="229">
        <v>501.01</v>
      </c>
      <c r="F610" s="211">
        <v>1</v>
      </c>
      <c r="G610" s="1290">
        <f t="shared" si="74"/>
        <v>501.01</v>
      </c>
      <c r="H610" s="1278">
        <v>1</v>
      </c>
      <c r="I610" s="817">
        <v>501.01</v>
      </c>
      <c r="J610" s="1269">
        <f t="shared" si="70"/>
        <v>1</v>
      </c>
      <c r="K610" s="1278">
        <f>F610-H610</f>
        <v>0</v>
      </c>
      <c r="L610" s="817">
        <f>K610*$E610</f>
        <v>0</v>
      </c>
      <c r="M610" s="1269" t="str">
        <f t="shared" si="72"/>
        <v/>
      </c>
      <c r="N610" s="1285">
        <f>F610-H610</f>
        <v>0</v>
      </c>
      <c r="O610" s="326">
        <f>N610*E610</f>
        <v>0</v>
      </c>
    </row>
    <row r="611" spans="1:15" ht="60">
      <c r="A611" s="211" t="s">
        <v>1974</v>
      </c>
      <c r="B611" s="267" t="s">
        <v>1975</v>
      </c>
      <c r="C611" s="1301" t="s">
        <v>1976</v>
      </c>
      <c r="D611" s="211" t="s">
        <v>28</v>
      </c>
      <c r="E611" s="229">
        <v>501.01</v>
      </c>
      <c r="F611" s="211">
        <v>2</v>
      </c>
      <c r="G611" s="1290">
        <f t="shared" si="74"/>
        <v>1002.02</v>
      </c>
      <c r="H611" s="1278">
        <v>2</v>
      </c>
      <c r="I611" s="817">
        <v>1002.02</v>
      </c>
      <c r="J611" s="1269">
        <f t="shared" si="70"/>
        <v>1</v>
      </c>
      <c r="K611" s="1278">
        <f>F611-H611</f>
        <v>0</v>
      </c>
      <c r="L611" s="817">
        <f>K611*$E611</f>
        <v>0</v>
      </c>
      <c r="M611" s="1269" t="str">
        <f t="shared" si="72"/>
        <v/>
      </c>
      <c r="N611" s="1285">
        <f>F611-H611</f>
        <v>0</v>
      </c>
      <c r="O611" s="326">
        <f>N611*E611</f>
        <v>0</v>
      </c>
    </row>
    <row r="612" spans="1:15" ht="60">
      <c r="A612" s="211" t="s">
        <v>1977</v>
      </c>
      <c r="B612" s="267" t="s">
        <v>1978</v>
      </c>
      <c r="C612" s="1301" t="s">
        <v>1979</v>
      </c>
      <c r="D612" s="211" t="s">
        <v>28</v>
      </c>
      <c r="E612" s="229">
        <v>501.01</v>
      </c>
      <c r="F612" s="211">
        <v>1</v>
      </c>
      <c r="G612" s="1290">
        <f t="shared" si="74"/>
        <v>501.01</v>
      </c>
      <c r="H612" s="1278">
        <v>1</v>
      </c>
      <c r="I612" s="817">
        <v>501.01</v>
      </c>
      <c r="J612" s="1269">
        <f t="shared" si="70"/>
        <v>1</v>
      </c>
      <c r="K612" s="1278">
        <f>F612-H612</f>
        <v>0</v>
      </c>
      <c r="L612" s="817">
        <f>K612*$E612</f>
        <v>0</v>
      </c>
      <c r="M612" s="1269" t="str">
        <f t="shared" si="72"/>
        <v/>
      </c>
      <c r="N612" s="1285">
        <f>F612-H612</f>
        <v>0</v>
      </c>
      <c r="O612" s="326">
        <f>N612*E612</f>
        <v>0</v>
      </c>
    </row>
    <row r="613" spans="1:15" s="231" customFormat="1">
      <c r="A613" s="251" t="s">
        <v>1980</v>
      </c>
      <c r="B613" s="1445" t="s">
        <v>1981</v>
      </c>
      <c r="C613" s="1445"/>
      <c r="D613" s="1445"/>
      <c r="E613" s="1445"/>
      <c r="F613" s="1445"/>
      <c r="G613" s="1296">
        <f>SUM(G614:G624)</f>
        <v>98188.47</v>
      </c>
      <c r="H613" s="1277">
        <v>0</v>
      </c>
      <c r="I613" s="255">
        <v>98188.47</v>
      </c>
      <c r="J613" s="1268">
        <f>I613/$G613</f>
        <v>1</v>
      </c>
      <c r="K613" s="1277">
        <f>F613-H613</f>
        <v>0</v>
      </c>
      <c r="L613" s="255">
        <f>SUM(L614:L624)</f>
        <v>0</v>
      </c>
      <c r="M613" s="1268">
        <f>L613/$G613</f>
        <v>0</v>
      </c>
      <c r="N613" s="1285">
        <f>F613-H613</f>
        <v>0</v>
      </c>
      <c r="O613" s="326">
        <f>N613*E613</f>
        <v>0</v>
      </c>
    </row>
    <row r="614" spans="1:15" ht="60">
      <c r="A614" s="253" t="s">
        <v>4065</v>
      </c>
      <c r="B614" s="267" t="s">
        <v>1983</v>
      </c>
      <c r="C614" s="1301" t="s">
        <v>1984</v>
      </c>
      <c r="D614" s="211" t="s">
        <v>28</v>
      </c>
      <c r="E614" s="229">
        <v>335.88</v>
      </c>
      <c r="F614" s="211">
        <v>10</v>
      </c>
      <c r="G614" s="1290">
        <f t="shared" si="74"/>
        <v>3358.8</v>
      </c>
      <c r="H614" s="1278">
        <v>10</v>
      </c>
      <c r="I614" s="817">
        <v>3358.8</v>
      </c>
      <c r="J614" s="1269">
        <f t="shared" si="70"/>
        <v>1</v>
      </c>
      <c r="K614" s="1278">
        <f>F614-H614</f>
        <v>0</v>
      </c>
      <c r="L614" s="817">
        <f t="shared" ref="L614:L624" si="75">K614*$E614</f>
        <v>0</v>
      </c>
      <c r="M614" s="1269" t="str">
        <f t="shared" si="72"/>
        <v/>
      </c>
      <c r="N614" s="1285">
        <f>F614-H614</f>
        <v>0</v>
      </c>
      <c r="O614" s="326">
        <f>N614*E614</f>
        <v>0</v>
      </c>
    </row>
    <row r="615" spans="1:15" ht="75">
      <c r="A615" s="211" t="s">
        <v>1985</v>
      </c>
      <c r="B615" s="267" t="s">
        <v>1986</v>
      </c>
      <c r="C615" s="1301" t="s">
        <v>1987</v>
      </c>
      <c r="D615" s="211" t="s">
        <v>28</v>
      </c>
      <c r="E615" s="229">
        <v>4533.62</v>
      </c>
      <c r="F615" s="211">
        <v>2</v>
      </c>
      <c r="G615" s="1289">
        <f t="shared" si="74"/>
        <v>9067.24</v>
      </c>
      <c r="H615" s="1278">
        <v>2</v>
      </c>
      <c r="I615" s="224">
        <v>9067.24</v>
      </c>
      <c r="J615" s="1269">
        <f t="shared" si="70"/>
        <v>1</v>
      </c>
      <c r="K615" s="1278">
        <f>F615-H615</f>
        <v>0</v>
      </c>
      <c r="L615" s="224">
        <f t="shared" si="75"/>
        <v>0</v>
      </c>
      <c r="M615" s="1269" t="str">
        <f t="shared" si="72"/>
        <v/>
      </c>
      <c r="N615" s="1285">
        <f>F615-H615</f>
        <v>0</v>
      </c>
      <c r="O615" s="326">
        <f>N615*E615</f>
        <v>0</v>
      </c>
    </row>
    <row r="616" spans="1:15" ht="60">
      <c r="A616" s="211" t="s">
        <v>1988</v>
      </c>
      <c r="B616" s="267" t="s">
        <v>1989</v>
      </c>
      <c r="C616" s="1301" t="s">
        <v>1990</v>
      </c>
      <c r="D616" s="211" t="s">
        <v>28</v>
      </c>
      <c r="E616" s="229">
        <v>1861.63</v>
      </c>
      <c r="F616" s="211">
        <v>2</v>
      </c>
      <c r="G616" s="1289">
        <f t="shared" si="74"/>
        <v>3723.26</v>
      </c>
      <c r="H616" s="1278">
        <v>2</v>
      </c>
      <c r="I616" s="224">
        <v>3723.26</v>
      </c>
      <c r="J616" s="1269">
        <f t="shared" si="70"/>
        <v>1</v>
      </c>
      <c r="K616" s="1278">
        <f>F616-H616</f>
        <v>0</v>
      </c>
      <c r="L616" s="224">
        <f t="shared" si="75"/>
        <v>0</v>
      </c>
      <c r="M616" s="1269" t="str">
        <f t="shared" si="72"/>
        <v/>
      </c>
      <c r="N616" s="1285">
        <f>F616-H616</f>
        <v>0</v>
      </c>
      <c r="O616" s="326">
        <f>N616*E616</f>
        <v>0</v>
      </c>
    </row>
    <row r="617" spans="1:15" ht="45">
      <c r="A617" s="211" t="s">
        <v>1991</v>
      </c>
      <c r="B617" s="267" t="s">
        <v>1992</v>
      </c>
      <c r="C617" s="1301" t="s">
        <v>1993</v>
      </c>
      <c r="D617" s="211" t="s">
        <v>44</v>
      </c>
      <c r="E617" s="229">
        <v>89.49</v>
      </c>
      <c r="F617" s="211">
        <v>51</v>
      </c>
      <c r="G617" s="1289">
        <f t="shared" si="74"/>
        <v>4563.99</v>
      </c>
      <c r="H617" s="1278">
        <v>51</v>
      </c>
      <c r="I617" s="224">
        <v>4563.99</v>
      </c>
      <c r="J617" s="1269">
        <f t="shared" si="70"/>
        <v>1</v>
      </c>
      <c r="K617" s="1278">
        <f>F617-H617</f>
        <v>0</v>
      </c>
      <c r="L617" s="224">
        <f t="shared" si="75"/>
        <v>0</v>
      </c>
      <c r="M617" s="1269" t="str">
        <f t="shared" si="72"/>
        <v/>
      </c>
      <c r="N617" s="1285">
        <f>F617-H617</f>
        <v>0</v>
      </c>
      <c r="O617" s="326">
        <f>N617*E617</f>
        <v>0</v>
      </c>
    </row>
    <row r="618" spans="1:15" ht="30">
      <c r="A618" s="211" t="s">
        <v>1994</v>
      </c>
      <c r="B618" s="267" t="s">
        <v>1995</v>
      </c>
      <c r="C618" s="1301" t="s">
        <v>1996</v>
      </c>
      <c r="D618" s="211" t="s">
        <v>44</v>
      </c>
      <c r="E618" s="229">
        <v>130.12</v>
      </c>
      <c r="F618" s="211">
        <v>16</v>
      </c>
      <c r="G618" s="1289">
        <f t="shared" si="74"/>
        <v>2081.92</v>
      </c>
      <c r="H618" s="1278">
        <v>16</v>
      </c>
      <c r="I618" s="224">
        <v>2081.92</v>
      </c>
      <c r="J618" s="1269">
        <f t="shared" si="70"/>
        <v>1</v>
      </c>
      <c r="K618" s="1278">
        <f>F618-H618</f>
        <v>0</v>
      </c>
      <c r="L618" s="224">
        <f t="shared" si="75"/>
        <v>0</v>
      </c>
      <c r="M618" s="1269" t="str">
        <f t="shared" si="72"/>
        <v/>
      </c>
      <c r="N618" s="1285">
        <f>F618-H618</f>
        <v>0</v>
      </c>
      <c r="O618" s="326">
        <f>N618*E618</f>
        <v>0</v>
      </c>
    </row>
    <row r="619" spans="1:15" ht="60">
      <c r="A619" s="211" t="s">
        <v>1997</v>
      </c>
      <c r="B619" s="267" t="s">
        <v>819</v>
      </c>
      <c r="C619" s="1301" t="s">
        <v>1998</v>
      </c>
      <c r="D619" s="211" t="s">
        <v>44</v>
      </c>
      <c r="E619" s="229">
        <v>112.17</v>
      </c>
      <c r="F619" s="211">
        <v>40</v>
      </c>
      <c r="G619" s="1289">
        <f t="shared" si="74"/>
        <v>4486.8</v>
      </c>
      <c r="H619" s="1278">
        <v>40</v>
      </c>
      <c r="I619" s="224">
        <v>4486.8</v>
      </c>
      <c r="J619" s="1269">
        <f t="shared" si="70"/>
        <v>1</v>
      </c>
      <c r="K619" s="1278">
        <f>F619-H619</f>
        <v>0</v>
      </c>
      <c r="L619" s="224">
        <f t="shared" si="75"/>
        <v>0</v>
      </c>
      <c r="M619" s="1269" t="str">
        <f t="shared" si="72"/>
        <v/>
      </c>
      <c r="N619" s="1285">
        <f>F619-H619</f>
        <v>0</v>
      </c>
      <c r="O619" s="326">
        <f>N619*E619</f>
        <v>0</v>
      </c>
    </row>
    <row r="620" spans="1:15" ht="45">
      <c r="A620" s="211" t="s">
        <v>1999</v>
      </c>
      <c r="B620" s="267" t="s">
        <v>2000</v>
      </c>
      <c r="C620" s="1301" t="s">
        <v>2001</v>
      </c>
      <c r="D620" s="211" t="s">
        <v>28</v>
      </c>
      <c r="E620" s="229">
        <v>221.32</v>
      </c>
      <c r="F620" s="211">
        <v>2</v>
      </c>
      <c r="G620" s="1289">
        <f t="shared" si="74"/>
        <v>442.64</v>
      </c>
      <c r="H620" s="1278">
        <v>2</v>
      </c>
      <c r="I620" s="224">
        <v>442.64</v>
      </c>
      <c r="J620" s="1269">
        <f t="shared" si="70"/>
        <v>1</v>
      </c>
      <c r="K620" s="1278">
        <f>F620-H620</f>
        <v>0</v>
      </c>
      <c r="L620" s="224">
        <f t="shared" si="75"/>
        <v>0</v>
      </c>
      <c r="M620" s="1269" t="str">
        <f t="shared" si="72"/>
        <v/>
      </c>
      <c r="N620" s="1285">
        <f>F620-H620</f>
        <v>0</v>
      </c>
      <c r="O620" s="326">
        <f>N620*E620</f>
        <v>0</v>
      </c>
    </row>
    <row r="621" spans="1:15" ht="60">
      <c r="A621" s="211" t="s">
        <v>2002</v>
      </c>
      <c r="B621" s="267" t="s">
        <v>2003</v>
      </c>
      <c r="C621" s="1301" t="s">
        <v>2004</v>
      </c>
      <c r="D621" s="211" t="s">
        <v>28</v>
      </c>
      <c r="E621" s="229">
        <v>85.78</v>
      </c>
      <c r="F621" s="211">
        <v>34</v>
      </c>
      <c r="G621" s="1289">
        <f t="shared" si="74"/>
        <v>2916.52</v>
      </c>
      <c r="H621" s="1278">
        <v>34</v>
      </c>
      <c r="I621" s="224">
        <v>2916.52</v>
      </c>
      <c r="J621" s="1269">
        <f t="shared" si="70"/>
        <v>1</v>
      </c>
      <c r="K621" s="1278">
        <f>F621-H621</f>
        <v>0</v>
      </c>
      <c r="L621" s="224">
        <f t="shared" si="75"/>
        <v>0</v>
      </c>
      <c r="M621" s="1269" t="str">
        <f t="shared" si="72"/>
        <v/>
      </c>
      <c r="N621" s="1285">
        <f>F621-H621</f>
        <v>0</v>
      </c>
      <c r="O621" s="326">
        <f>N621*E621</f>
        <v>0</v>
      </c>
    </row>
    <row r="622" spans="1:15" ht="30">
      <c r="A622" s="211" t="s">
        <v>2005</v>
      </c>
      <c r="B622" s="267" t="s">
        <v>2006</v>
      </c>
      <c r="C622" s="1301" t="s">
        <v>2007</v>
      </c>
      <c r="D622" s="211" t="s">
        <v>44</v>
      </c>
      <c r="E622" s="229">
        <v>66.19</v>
      </c>
      <c r="F622" s="211">
        <v>5</v>
      </c>
      <c r="G622" s="1289">
        <f t="shared" si="74"/>
        <v>330.95</v>
      </c>
      <c r="H622" s="1278">
        <v>5</v>
      </c>
      <c r="I622" s="224">
        <v>330.95</v>
      </c>
      <c r="J622" s="1269">
        <f t="shared" si="70"/>
        <v>1</v>
      </c>
      <c r="K622" s="1278">
        <f>F622-H622</f>
        <v>0</v>
      </c>
      <c r="L622" s="224">
        <f t="shared" si="75"/>
        <v>0</v>
      </c>
      <c r="M622" s="1269" t="str">
        <f t="shared" si="72"/>
        <v/>
      </c>
      <c r="N622" s="1285">
        <f>F622-H622</f>
        <v>0</v>
      </c>
      <c r="O622" s="326">
        <f>N622*E622</f>
        <v>0</v>
      </c>
    </row>
    <row r="623" spans="1:15" ht="90">
      <c r="A623" s="211" t="s">
        <v>2008</v>
      </c>
      <c r="B623" s="267" t="s">
        <v>2009</v>
      </c>
      <c r="C623" s="1301" t="s">
        <v>2010</v>
      </c>
      <c r="D623" s="211" t="s">
        <v>92</v>
      </c>
      <c r="E623" s="229">
        <v>165.74</v>
      </c>
      <c r="F623" s="211">
        <v>170</v>
      </c>
      <c r="G623" s="1289">
        <f t="shared" si="74"/>
        <v>28175.800000000003</v>
      </c>
      <c r="H623" s="1278">
        <v>170</v>
      </c>
      <c r="I623" s="224">
        <v>28175.800000000003</v>
      </c>
      <c r="J623" s="1269">
        <f t="shared" si="70"/>
        <v>1</v>
      </c>
      <c r="K623" s="1278">
        <f>F623-H623</f>
        <v>0</v>
      </c>
      <c r="L623" s="224">
        <f t="shared" si="75"/>
        <v>0</v>
      </c>
      <c r="M623" s="1269" t="str">
        <f t="shared" si="72"/>
        <v/>
      </c>
      <c r="N623" s="1285">
        <f>F623-H623</f>
        <v>0</v>
      </c>
      <c r="O623" s="326">
        <f>N623*E623</f>
        <v>0</v>
      </c>
    </row>
    <row r="624" spans="1:15" ht="90">
      <c r="A624" s="211" t="s">
        <v>2011</v>
      </c>
      <c r="B624" s="267" t="s">
        <v>2009</v>
      </c>
      <c r="C624" s="1301" t="s">
        <v>2012</v>
      </c>
      <c r="D624" s="211" t="s">
        <v>92</v>
      </c>
      <c r="E624" s="229">
        <v>166.13</v>
      </c>
      <c r="F624" s="211">
        <v>235</v>
      </c>
      <c r="G624" s="1289">
        <f t="shared" si="74"/>
        <v>39040.549999999996</v>
      </c>
      <c r="H624" s="1278">
        <v>235</v>
      </c>
      <c r="I624" s="224">
        <v>39040.549999999996</v>
      </c>
      <c r="J624" s="1269">
        <f t="shared" si="70"/>
        <v>1</v>
      </c>
      <c r="K624" s="1278">
        <f>F624-H624</f>
        <v>0</v>
      </c>
      <c r="L624" s="224">
        <f t="shared" si="75"/>
        <v>0</v>
      </c>
      <c r="M624" s="1269" t="str">
        <f t="shared" si="72"/>
        <v/>
      </c>
      <c r="N624" s="1285">
        <f>F624-H624</f>
        <v>0</v>
      </c>
      <c r="O624" s="326">
        <f>N624*E624</f>
        <v>0</v>
      </c>
    </row>
    <row r="625" spans="1:16" s="231" customFormat="1">
      <c r="A625" s="251" t="s">
        <v>2013</v>
      </c>
      <c r="B625" s="1442" t="s">
        <v>739</v>
      </c>
      <c r="C625" s="1442"/>
      <c r="D625" s="1442"/>
      <c r="E625" s="1442"/>
      <c r="F625" s="1442"/>
      <c r="G625" s="1296">
        <f>G626+G627</f>
        <v>7820.1360000000004</v>
      </c>
      <c r="H625" s="1277">
        <v>0</v>
      </c>
      <c r="I625" s="255">
        <v>7820.1360000000004</v>
      </c>
      <c r="J625" s="1268">
        <f>I625/$G625</f>
        <v>1</v>
      </c>
      <c r="K625" s="1277">
        <f>F625-H625</f>
        <v>0</v>
      </c>
      <c r="L625" s="255">
        <f>L626+L627</f>
        <v>0</v>
      </c>
      <c r="M625" s="1268">
        <f>L625/$G625</f>
        <v>0</v>
      </c>
      <c r="N625" s="1285">
        <f>F625-H625</f>
        <v>0</v>
      </c>
      <c r="O625" s="326">
        <f>N625*E625</f>
        <v>0</v>
      </c>
    </row>
    <row r="626" spans="1:16" ht="45">
      <c r="A626" s="211" t="s">
        <v>2014</v>
      </c>
      <c r="B626" s="267" t="s">
        <v>2015</v>
      </c>
      <c r="C626" s="1301" t="s">
        <v>2016</v>
      </c>
      <c r="D626" s="211" t="s">
        <v>28</v>
      </c>
      <c r="E626" s="229">
        <v>37.14</v>
      </c>
      <c r="F626" s="211">
        <f>33+1</f>
        <v>34</v>
      </c>
      <c r="G626" s="1289">
        <f t="shared" si="74"/>
        <v>1262.76</v>
      </c>
      <c r="H626" s="1278">
        <v>34</v>
      </c>
      <c r="I626" s="224">
        <v>1262.76</v>
      </c>
      <c r="J626" s="1269">
        <f t="shared" si="70"/>
        <v>1</v>
      </c>
      <c r="K626" s="1278">
        <f>F626-H626</f>
        <v>0</v>
      </c>
      <c r="L626" s="224">
        <f>K626*$E626</f>
        <v>0</v>
      </c>
      <c r="M626" s="1269" t="str">
        <f t="shared" si="72"/>
        <v/>
      </c>
      <c r="N626" s="1285">
        <f>F626-H626</f>
        <v>0</v>
      </c>
      <c r="O626" s="326">
        <f>N626*E626</f>
        <v>0</v>
      </c>
    </row>
    <row r="627" spans="1:16" ht="75">
      <c r="A627" s="253" t="s">
        <v>3208</v>
      </c>
      <c r="B627" s="267" t="s">
        <v>2018</v>
      </c>
      <c r="C627" s="1301" t="s">
        <v>2019</v>
      </c>
      <c r="D627" s="211" t="s">
        <v>12</v>
      </c>
      <c r="E627" s="229">
        <v>241.08</v>
      </c>
      <c r="F627" s="211">
        <f>26.4+0.8</f>
        <v>27.2</v>
      </c>
      <c r="G627" s="1289">
        <f t="shared" si="74"/>
        <v>6557.3760000000002</v>
      </c>
      <c r="H627" s="1278">
        <v>27.2</v>
      </c>
      <c r="I627" s="224">
        <v>6557.3760000000002</v>
      </c>
      <c r="J627" s="1269">
        <f t="shared" si="70"/>
        <v>1</v>
      </c>
      <c r="K627" s="1278">
        <f>F627-H627</f>
        <v>0</v>
      </c>
      <c r="L627" s="224">
        <f>K627*$E627</f>
        <v>0</v>
      </c>
      <c r="M627" s="1269" t="str">
        <f t="shared" si="72"/>
        <v/>
      </c>
      <c r="N627" s="1285">
        <f>F627-H627</f>
        <v>0</v>
      </c>
      <c r="O627" s="326">
        <f>N627*E627</f>
        <v>0</v>
      </c>
    </row>
    <row r="628" spans="1:16" s="230" customFormat="1" ht="15.75">
      <c r="A628" s="252" t="s">
        <v>2020</v>
      </c>
      <c r="B628" s="1453" t="s">
        <v>2021</v>
      </c>
      <c r="C628" s="1453"/>
      <c r="D628" s="1453"/>
      <c r="E628" s="1453"/>
      <c r="F628" s="1453"/>
      <c r="G628" s="1297">
        <f>G629+G635+G637+G639+G641</f>
        <v>119889.15150000002</v>
      </c>
      <c r="H628" s="1276">
        <v>0</v>
      </c>
      <c r="I628" s="256">
        <v>119889.15150000002</v>
      </c>
      <c r="J628" s="1267">
        <f>I628/$G628</f>
        <v>1</v>
      </c>
      <c r="K628" s="1279">
        <f>F628-H628</f>
        <v>0</v>
      </c>
      <c r="L628" s="256">
        <f>L629+L635+L637+L639+L641</f>
        <v>0</v>
      </c>
      <c r="M628" s="1267">
        <f>L628/$G628</f>
        <v>0</v>
      </c>
      <c r="N628" s="1285">
        <f>F628-H628</f>
        <v>0</v>
      </c>
      <c r="O628" s="326">
        <f>N628*E628</f>
        <v>0</v>
      </c>
      <c r="P628" s="1425">
        <f>I628</f>
        <v>119889.15150000002</v>
      </c>
    </row>
    <row r="629" spans="1:16" s="231" customFormat="1">
      <c r="A629" s="251" t="s">
        <v>2022</v>
      </c>
      <c r="B629" s="1442" t="s">
        <v>2023</v>
      </c>
      <c r="C629" s="1442"/>
      <c r="D629" s="1442"/>
      <c r="E629" s="1442"/>
      <c r="F629" s="1442"/>
      <c r="G629" s="1296">
        <f>G630+G631+G632+G633+G634</f>
        <v>111708.54900000001</v>
      </c>
      <c r="H629" s="1277">
        <v>0</v>
      </c>
      <c r="I629" s="255">
        <v>111708.54900000001</v>
      </c>
      <c r="J629" s="1268">
        <f>I629/$G629</f>
        <v>1</v>
      </c>
      <c r="K629" s="1277">
        <f>F629-H629</f>
        <v>0</v>
      </c>
      <c r="L629" s="255">
        <f>L630+L631+L632+L633+L634</f>
        <v>0</v>
      </c>
      <c r="M629" s="1268">
        <f>L629/$G629</f>
        <v>0</v>
      </c>
      <c r="N629" s="1285">
        <f>F629-H629</f>
        <v>0</v>
      </c>
      <c r="O629" s="326">
        <f>N629*E629</f>
        <v>0</v>
      </c>
    </row>
    <row r="630" spans="1:16" ht="60">
      <c r="A630" s="253" t="s">
        <v>3353</v>
      </c>
      <c r="B630" s="267" t="s">
        <v>421</v>
      </c>
      <c r="C630" s="1301" t="s">
        <v>422</v>
      </c>
      <c r="D630" s="211" t="s">
        <v>12</v>
      </c>
      <c r="E630" s="229">
        <v>13.96</v>
      </c>
      <c r="F630" s="213">
        <f>2278.39+335.59</f>
        <v>2613.98</v>
      </c>
      <c r="G630" s="1290">
        <f t="shared" ref="G630:G643" si="76">F630*$E630</f>
        <v>36491.160800000005</v>
      </c>
      <c r="H630" s="1278">
        <v>2613.9800000000005</v>
      </c>
      <c r="I630" s="1278">
        <v>36491.160799999998</v>
      </c>
      <c r="J630" s="1269">
        <f t="shared" si="70"/>
        <v>1.0000000000000002</v>
      </c>
      <c r="K630" s="1278">
        <f>F630-H630</f>
        <v>0</v>
      </c>
      <c r="L630" s="817">
        <f>K630*$E630</f>
        <v>0</v>
      </c>
      <c r="M630" s="1269" t="str">
        <f t="shared" si="72"/>
        <v/>
      </c>
      <c r="N630" s="1285">
        <f>F630-H630</f>
        <v>0</v>
      </c>
      <c r="O630" s="326">
        <f>N630*E630</f>
        <v>0</v>
      </c>
    </row>
    <row r="631" spans="1:16" ht="60">
      <c r="A631" s="211" t="s">
        <v>2025</v>
      </c>
      <c r="B631" s="267" t="s">
        <v>424</v>
      </c>
      <c r="C631" s="1301" t="s">
        <v>425</v>
      </c>
      <c r="D631" s="211" t="s">
        <v>12</v>
      </c>
      <c r="E631" s="229">
        <v>25.3</v>
      </c>
      <c r="F631" s="211">
        <v>59.71</v>
      </c>
      <c r="G631" s="1289">
        <f t="shared" si="76"/>
        <v>1510.663</v>
      </c>
      <c r="H631" s="1278">
        <v>59.71</v>
      </c>
      <c r="I631" s="224">
        <v>1510.663</v>
      </c>
      <c r="J631" s="1269">
        <f t="shared" si="70"/>
        <v>1</v>
      </c>
      <c r="K631" s="1278">
        <f>F631-H631</f>
        <v>0</v>
      </c>
      <c r="L631" s="224">
        <f>K631*$E631</f>
        <v>0</v>
      </c>
      <c r="M631" s="1269" t="str">
        <f t="shared" si="72"/>
        <v/>
      </c>
      <c r="N631" s="1285">
        <f>F631-H631</f>
        <v>0</v>
      </c>
      <c r="O631" s="326">
        <f>N631*E631</f>
        <v>0</v>
      </c>
    </row>
    <row r="632" spans="1:16" ht="60">
      <c r="A632" s="253" t="s">
        <v>3996</v>
      </c>
      <c r="B632" s="267" t="s">
        <v>430</v>
      </c>
      <c r="C632" s="1301" t="s">
        <v>431</v>
      </c>
      <c r="D632" s="211" t="s">
        <v>12</v>
      </c>
      <c r="E632" s="229">
        <v>25.76</v>
      </c>
      <c r="F632" s="213">
        <f>2218.68+353.04</f>
        <v>2571.7199999999998</v>
      </c>
      <c r="G632" s="1290">
        <f t="shared" si="76"/>
        <v>66247.507199999993</v>
      </c>
      <c r="H632" s="1278">
        <v>2571.7200000000003</v>
      </c>
      <c r="I632" s="817">
        <v>66247.507200000007</v>
      </c>
      <c r="J632" s="1269">
        <f t="shared" si="70"/>
        <v>1.0000000000000002</v>
      </c>
      <c r="K632" s="1278">
        <f>F632-H632</f>
        <v>0</v>
      </c>
      <c r="L632" s="817">
        <f>K632*$E632</f>
        <v>0</v>
      </c>
      <c r="M632" s="1269" t="str">
        <f t="shared" si="72"/>
        <v/>
      </c>
      <c r="N632" s="1285">
        <f>F632-H632</f>
        <v>0</v>
      </c>
      <c r="O632" s="326">
        <f>N632*E632</f>
        <v>0</v>
      </c>
    </row>
    <row r="633" spans="1:16" ht="75">
      <c r="A633" s="253" t="s">
        <v>4154</v>
      </c>
      <c r="B633" s="267" t="s">
        <v>2028</v>
      </c>
      <c r="C633" s="1301" t="s">
        <v>2029</v>
      </c>
      <c r="D633" s="211" t="s">
        <v>12</v>
      </c>
      <c r="E633" s="229">
        <v>60.04</v>
      </c>
      <c r="F633" s="211">
        <v>111.94</v>
      </c>
      <c r="G633" s="1290">
        <f t="shared" si="76"/>
        <v>6720.8775999999998</v>
      </c>
      <c r="H633" s="1278">
        <v>111.94</v>
      </c>
      <c r="I633" s="817">
        <v>6720.8775999999998</v>
      </c>
      <c r="J633" s="1269">
        <f t="shared" si="70"/>
        <v>1</v>
      </c>
      <c r="K633" s="1278">
        <f>F633-H633</f>
        <v>0</v>
      </c>
      <c r="L633" s="817">
        <f>K633*$E633</f>
        <v>0</v>
      </c>
      <c r="M633" s="1269" t="str">
        <f t="shared" si="72"/>
        <v/>
      </c>
      <c r="N633" s="1285">
        <f>F633-H633</f>
        <v>0</v>
      </c>
      <c r="O633" s="326">
        <f>N633*E633</f>
        <v>0</v>
      </c>
    </row>
    <row r="634" spans="1:16" ht="30">
      <c r="A634" s="253" t="s">
        <v>4155</v>
      </c>
      <c r="B634" s="267" t="s">
        <v>2031</v>
      </c>
      <c r="C634" s="1301" t="s">
        <v>2032</v>
      </c>
      <c r="D634" s="211" t="s">
        <v>12</v>
      </c>
      <c r="E634" s="229">
        <v>31.58</v>
      </c>
      <c r="F634" s="211">
        <v>23.38</v>
      </c>
      <c r="G634" s="1290">
        <f t="shared" si="76"/>
        <v>738.34039999999993</v>
      </c>
      <c r="H634" s="1278">
        <v>23.38</v>
      </c>
      <c r="I634" s="817">
        <v>738.34039999999993</v>
      </c>
      <c r="J634" s="1269">
        <f t="shared" si="70"/>
        <v>1</v>
      </c>
      <c r="K634" s="1278">
        <f>F634-H634</f>
        <v>0</v>
      </c>
      <c r="L634" s="817">
        <f>K634*$E634</f>
        <v>0</v>
      </c>
      <c r="M634" s="1269" t="str">
        <f t="shared" si="72"/>
        <v/>
      </c>
      <c r="N634" s="1285">
        <f>F634-H634</f>
        <v>0</v>
      </c>
      <c r="O634" s="326">
        <f>N634*E634</f>
        <v>0</v>
      </c>
    </row>
    <row r="635" spans="1:16" s="231" customFormat="1">
      <c r="A635" s="251" t="s">
        <v>2033</v>
      </c>
      <c r="B635" s="1445" t="s">
        <v>2034</v>
      </c>
      <c r="C635" s="1445"/>
      <c r="D635" s="1445"/>
      <c r="E635" s="1445"/>
      <c r="F635" s="1445"/>
      <c r="G635" s="1296">
        <f>G636</f>
        <v>258.03800000000001</v>
      </c>
      <c r="H635" s="1277">
        <v>0</v>
      </c>
      <c r="I635" s="255">
        <v>258.03800000000001</v>
      </c>
      <c r="J635" s="1268">
        <f>I635/$G635</f>
        <v>1</v>
      </c>
      <c r="K635" s="1277">
        <f>F635-H635</f>
        <v>0</v>
      </c>
      <c r="L635" s="255">
        <f>L636</f>
        <v>0</v>
      </c>
      <c r="M635" s="1268">
        <f>L635/$G635</f>
        <v>0</v>
      </c>
      <c r="N635" s="1285">
        <f>F635-H635</f>
        <v>0</v>
      </c>
      <c r="O635" s="326">
        <f>N635*E635</f>
        <v>0</v>
      </c>
    </row>
    <row r="636" spans="1:16" ht="60">
      <c r="A636" s="253" t="s">
        <v>4066</v>
      </c>
      <c r="B636" s="267" t="s">
        <v>2036</v>
      </c>
      <c r="C636" s="1301" t="s">
        <v>2037</v>
      </c>
      <c r="D636" s="211" t="s">
        <v>12</v>
      </c>
      <c r="E636" s="223">
        <v>31.7</v>
      </c>
      <c r="F636" s="211">
        <v>8.14</v>
      </c>
      <c r="G636" s="1290">
        <f t="shared" si="76"/>
        <v>258.03800000000001</v>
      </c>
      <c r="H636" s="1278">
        <v>8.14</v>
      </c>
      <c r="I636" s="817">
        <v>258.03800000000001</v>
      </c>
      <c r="J636" s="1269">
        <f t="shared" si="70"/>
        <v>1</v>
      </c>
      <c r="K636" s="1278">
        <f>F636-H636</f>
        <v>0</v>
      </c>
      <c r="L636" s="817">
        <f>K636*$E636</f>
        <v>0</v>
      </c>
      <c r="M636" s="1269" t="str">
        <f t="shared" si="72"/>
        <v/>
      </c>
      <c r="N636" s="1285">
        <f>F636-H636</f>
        <v>0</v>
      </c>
      <c r="O636" s="326">
        <f>N636*E636</f>
        <v>0</v>
      </c>
    </row>
    <row r="637" spans="1:16" s="231" customFormat="1">
      <c r="A637" s="251" t="s">
        <v>2038</v>
      </c>
      <c r="B637" s="1442" t="s">
        <v>2039</v>
      </c>
      <c r="C637" s="1442"/>
      <c r="D637" s="1442"/>
      <c r="E637" s="1442"/>
      <c r="F637" s="1442"/>
      <c r="G637" s="1296">
        <f>G638</f>
        <v>4388.16</v>
      </c>
      <c r="H637" s="1277">
        <v>0</v>
      </c>
      <c r="I637" s="255">
        <v>4388.16</v>
      </c>
      <c r="J637" s="1268">
        <f>I637/$G637</f>
        <v>1</v>
      </c>
      <c r="K637" s="1277">
        <f>F637-H637</f>
        <v>0</v>
      </c>
      <c r="L637" s="255">
        <f>L638</f>
        <v>0</v>
      </c>
      <c r="M637" s="1268">
        <f>L637/$G637</f>
        <v>0</v>
      </c>
      <c r="N637" s="1285">
        <f>F637-H637</f>
        <v>0</v>
      </c>
      <c r="O637" s="326">
        <f>N637*E637</f>
        <v>0</v>
      </c>
    </row>
    <row r="638" spans="1:16" ht="60">
      <c r="A638" s="253" t="s">
        <v>3997</v>
      </c>
      <c r="B638" s="267" t="s">
        <v>2041</v>
      </c>
      <c r="C638" s="1301" t="s">
        <v>2042</v>
      </c>
      <c r="D638" s="211" t="s">
        <v>12</v>
      </c>
      <c r="E638" s="223">
        <v>26.12</v>
      </c>
      <c r="F638" s="211">
        <v>168</v>
      </c>
      <c r="G638" s="1290">
        <f t="shared" si="76"/>
        <v>4388.16</v>
      </c>
      <c r="H638" s="1278">
        <v>168</v>
      </c>
      <c r="I638" s="817">
        <v>4388.16</v>
      </c>
      <c r="J638" s="1269">
        <f t="shared" si="70"/>
        <v>1</v>
      </c>
      <c r="K638" s="1278">
        <f>F638-H638</f>
        <v>0</v>
      </c>
      <c r="L638" s="817">
        <f>K638*$E638</f>
        <v>0</v>
      </c>
      <c r="M638" s="1269" t="str">
        <f t="shared" si="72"/>
        <v/>
      </c>
      <c r="N638" s="1285">
        <f>F638-H638</f>
        <v>0</v>
      </c>
      <c r="O638" s="326">
        <f>N638*E638</f>
        <v>0</v>
      </c>
    </row>
    <row r="639" spans="1:16" s="231" customFormat="1">
      <c r="A639" s="251" t="s">
        <v>2043</v>
      </c>
      <c r="B639" s="1442" t="s">
        <v>2044</v>
      </c>
      <c r="C639" s="1442"/>
      <c r="D639" s="1442"/>
      <c r="E639" s="1442"/>
      <c r="F639" s="1442"/>
      <c r="G639" s="1296">
        <f>G640</f>
        <v>777.68080000000009</v>
      </c>
      <c r="H639" s="1277">
        <v>0</v>
      </c>
      <c r="I639" s="255">
        <v>777.68080000000009</v>
      </c>
      <c r="J639" s="1268">
        <f>I639/$G639</f>
        <v>1</v>
      </c>
      <c r="K639" s="1277">
        <f>F639-H639</f>
        <v>0</v>
      </c>
      <c r="L639" s="255">
        <f>L640</f>
        <v>0</v>
      </c>
      <c r="M639" s="1268">
        <f>L639/$G639</f>
        <v>0</v>
      </c>
      <c r="N639" s="1285">
        <f>F639-H639</f>
        <v>0</v>
      </c>
      <c r="O639" s="326">
        <f>N639*E639</f>
        <v>0</v>
      </c>
    </row>
    <row r="640" spans="1:16" ht="75">
      <c r="A640" s="211" t="s">
        <v>2045</v>
      </c>
      <c r="B640" s="267" t="s">
        <v>433</v>
      </c>
      <c r="C640" s="1301" t="s">
        <v>434</v>
      </c>
      <c r="D640" s="211" t="s">
        <v>12</v>
      </c>
      <c r="E640" s="223">
        <v>24.44</v>
      </c>
      <c r="F640" s="211">
        <v>31.82</v>
      </c>
      <c r="G640" s="1289">
        <f t="shared" si="76"/>
        <v>777.68080000000009</v>
      </c>
      <c r="H640" s="1278">
        <v>31.82</v>
      </c>
      <c r="I640" s="224">
        <v>777.68080000000009</v>
      </c>
      <c r="J640" s="1269">
        <f t="shared" si="70"/>
        <v>1</v>
      </c>
      <c r="K640" s="1278">
        <f>F640-H640</f>
        <v>0</v>
      </c>
      <c r="L640" s="224">
        <f>K640*$E640</f>
        <v>0</v>
      </c>
      <c r="M640" s="1269" t="str">
        <f t="shared" si="72"/>
        <v/>
      </c>
      <c r="N640" s="1285">
        <f>F640-H640</f>
        <v>0</v>
      </c>
      <c r="O640" s="326">
        <f>N640*E640</f>
        <v>0</v>
      </c>
    </row>
    <row r="641" spans="1:16" s="231" customFormat="1">
      <c r="A641" s="251" t="s">
        <v>2046</v>
      </c>
      <c r="B641" s="1442" t="s">
        <v>2047</v>
      </c>
      <c r="C641" s="1442"/>
      <c r="D641" s="1442"/>
      <c r="E641" s="1442"/>
      <c r="F641" s="1442"/>
      <c r="G641" s="1296">
        <f>G642+G643</f>
        <v>2756.7236999999996</v>
      </c>
      <c r="H641" s="1277">
        <v>0</v>
      </c>
      <c r="I641" s="255">
        <v>2756.7236999999996</v>
      </c>
      <c r="J641" s="1268">
        <f>I641/$G641</f>
        <v>1</v>
      </c>
      <c r="K641" s="1277">
        <f>F641-H641</f>
        <v>0</v>
      </c>
      <c r="L641" s="255">
        <f>L642+L643</f>
        <v>0</v>
      </c>
      <c r="M641" s="1268">
        <f>L641/$G641</f>
        <v>0</v>
      </c>
      <c r="N641" s="1285">
        <f>F641-H641</f>
        <v>0</v>
      </c>
      <c r="O641" s="326">
        <f>N641*E641</f>
        <v>0</v>
      </c>
    </row>
    <row r="642" spans="1:16" ht="75">
      <c r="A642" s="211" t="s">
        <v>2048</v>
      </c>
      <c r="B642" s="267" t="s">
        <v>2049</v>
      </c>
      <c r="C642" s="1301" t="s">
        <v>2139</v>
      </c>
      <c r="D642" s="211" t="s">
        <v>12</v>
      </c>
      <c r="E642" s="229">
        <v>54.24</v>
      </c>
      <c r="F642" s="211">
        <v>6.94</v>
      </c>
      <c r="G642" s="1290">
        <f t="shared" si="76"/>
        <v>376.42560000000003</v>
      </c>
      <c r="H642" s="1278">
        <v>6.94</v>
      </c>
      <c r="I642" s="817">
        <v>376.42560000000003</v>
      </c>
      <c r="J642" s="1269">
        <f t="shared" si="70"/>
        <v>1</v>
      </c>
      <c r="K642" s="1278">
        <f>F642-H642</f>
        <v>0</v>
      </c>
      <c r="L642" s="817">
        <f>K642*$E642</f>
        <v>0</v>
      </c>
      <c r="M642" s="1269" t="str">
        <f t="shared" si="72"/>
        <v/>
      </c>
      <c r="N642" s="1285">
        <f>F642-H642</f>
        <v>0</v>
      </c>
      <c r="O642" s="326">
        <f>N642*E642</f>
        <v>0</v>
      </c>
    </row>
    <row r="643" spans="1:16" ht="90">
      <c r="A643" s="211" t="s">
        <v>2050</v>
      </c>
      <c r="B643" s="267" t="s">
        <v>2051</v>
      </c>
      <c r="C643" s="1301" t="s">
        <v>2138</v>
      </c>
      <c r="D643" s="211" t="s">
        <v>12</v>
      </c>
      <c r="E643" s="229">
        <v>17.309999999999999</v>
      </c>
      <c r="F643" s="211">
        <v>137.51</v>
      </c>
      <c r="G643" s="1290">
        <f t="shared" si="76"/>
        <v>2380.2980999999995</v>
      </c>
      <c r="H643" s="1278">
        <v>137.51</v>
      </c>
      <c r="I643" s="817">
        <v>2380.2980999999995</v>
      </c>
      <c r="J643" s="1269">
        <f t="shared" ref="J643:J664" si="77">IF(H643=0,"",H643/$F643)</f>
        <v>1</v>
      </c>
      <c r="K643" s="1278">
        <f>F643-H643</f>
        <v>0</v>
      </c>
      <c r="L643" s="817">
        <f>K643*$E643</f>
        <v>0</v>
      </c>
      <c r="M643" s="1269" t="str">
        <f t="shared" ref="M643:M664" si="78">IF(K643=0,"",K643/$F643)</f>
        <v/>
      </c>
      <c r="N643" s="1285">
        <f>F643-H643</f>
        <v>0</v>
      </c>
      <c r="O643" s="326">
        <f>N643*E643</f>
        <v>0</v>
      </c>
    </row>
    <row r="644" spans="1:16" s="230" customFormat="1" ht="15.75">
      <c r="A644" s="252" t="s">
        <v>2052</v>
      </c>
      <c r="B644" s="1453" t="s">
        <v>2053</v>
      </c>
      <c r="C644" s="1453"/>
      <c r="D644" s="1453"/>
      <c r="E644" s="1453"/>
      <c r="F644" s="1453"/>
      <c r="G644" s="1297">
        <f>G645+G647+G653+G657+G659</f>
        <v>282831.51420000003</v>
      </c>
      <c r="H644" s="1276">
        <v>0</v>
      </c>
      <c r="I644" s="256">
        <v>279267.43419999996</v>
      </c>
      <c r="J644" s="1267">
        <f>I644/$G644</f>
        <v>0.98739857540245746</v>
      </c>
      <c r="K644" s="1279">
        <f>F644-H644</f>
        <v>0</v>
      </c>
      <c r="L644" s="256">
        <f>L645+L647+L653+L657+L659</f>
        <v>3564.0800000000004</v>
      </c>
      <c r="M644" s="1267">
        <f>L644/$G644</f>
        <v>1.260142459754225E-2</v>
      </c>
      <c r="N644" s="1285">
        <f>F644-H644</f>
        <v>0</v>
      </c>
      <c r="O644" s="326">
        <f>N644*E644</f>
        <v>0</v>
      </c>
      <c r="P644" s="1425">
        <f>I644</f>
        <v>279267.43419999996</v>
      </c>
    </row>
    <row r="645" spans="1:16" s="231" customFormat="1">
      <c r="A645" s="251" t="s">
        <v>2054</v>
      </c>
      <c r="B645" s="1442" t="s">
        <v>2055</v>
      </c>
      <c r="C645" s="1442"/>
      <c r="D645" s="1442"/>
      <c r="E645" s="1442"/>
      <c r="F645" s="1442"/>
      <c r="G645" s="1296">
        <f>G646</f>
        <v>82516.679999999993</v>
      </c>
      <c r="H645" s="1277">
        <v>0</v>
      </c>
      <c r="I645" s="255">
        <v>82516.679999999993</v>
      </c>
      <c r="J645" s="1268">
        <f>I645/$G645</f>
        <v>1</v>
      </c>
      <c r="K645" s="1277">
        <f>F645-H645</f>
        <v>0</v>
      </c>
      <c r="L645" s="255">
        <f>L646</f>
        <v>0</v>
      </c>
      <c r="M645" s="1268">
        <f>L645/$G645</f>
        <v>0</v>
      </c>
      <c r="N645" s="1285">
        <f>F645-H645</f>
        <v>0</v>
      </c>
      <c r="O645" s="326">
        <f>N645*E645</f>
        <v>0</v>
      </c>
    </row>
    <row r="646" spans="1:16" ht="75">
      <c r="A646" s="253" t="s">
        <v>3155</v>
      </c>
      <c r="B646" s="267" t="s">
        <v>2057</v>
      </c>
      <c r="C646" s="1301" t="s">
        <v>2058</v>
      </c>
      <c r="D646" s="211" t="s">
        <v>28</v>
      </c>
      <c r="E646" s="229">
        <v>82516.679999999993</v>
      </c>
      <c r="F646" s="211">
        <v>1</v>
      </c>
      <c r="G646" s="1290">
        <f>F646*$E646</f>
        <v>82516.679999999993</v>
      </c>
      <c r="H646" s="1278">
        <v>1</v>
      </c>
      <c r="I646" s="817">
        <v>82516.679999999993</v>
      </c>
      <c r="J646" s="1269">
        <f t="shared" si="77"/>
        <v>1</v>
      </c>
      <c r="K646" s="1278">
        <f>F646-H646</f>
        <v>0</v>
      </c>
      <c r="L646" s="817">
        <f>K646*$E646</f>
        <v>0</v>
      </c>
      <c r="M646" s="1269" t="str">
        <f t="shared" si="78"/>
        <v/>
      </c>
      <c r="N646" s="1285">
        <f>F646-H646</f>
        <v>0</v>
      </c>
      <c r="O646" s="326">
        <f>N646*E646</f>
        <v>0</v>
      </c>
    </row>
    <row r="647" spans="1:16" s="231" customFormat="1">
      <c r="A647" s="1436" t="s">
        <v>2059</v>
      </c>
      <c r="B647" s="1455" t="s">
        <v>2060</v>
      </c>
      <c r="C647" s="1455"/>
      <c r="D647" s="1455"/>
      <c r="E647" s="1455"/>
      <c r="F647" s="1455"/>
      <c r="G647" s="1437">
        <f>G648+G649+G650+G651+G652</f>
        <v>34158.658200000005</v>
      </c>
      <c r="H647" s="1277">
        <v>0</v>
      </c>
      <c r="I647" s="1438">
        <v>34158.658200000005</v>
      </c>
      <c r="J647" s="1439">
        <f>I647/$G647</f>
        <v>1</v>
      </c>
      <c r="K647" s="1440">
        <f>F647-H647</f>
        <v>0</v>
      </c>
      <c r="L647" s="1438">
        <f>L648+L649+L650+L651+L652</f>
        <v>0</v>
      </c>
      <c r="M647" s="1439">
        <f>L647/$G647</f>
        <v>0</v>
      </c>
      <c r="N647" s="1285">
        <f>F647-H647</f>
        <v>0</v>
      </c>
      <c r="O647" s="326">
        <f>N647*E647</f>
        <v>0</v>
      </c>
    </row>
    <row r="648" spans="1:16" ht="60">
      <c r="A648" s="211" t="s">
        <v>2061</v>
      </c>
      <c r="B648" s="267" t="s">
        <v>2062</v>
      </c>
      <c r="C648" s="1301" t="s">
        <v>2063</v>
      </c>
      <c r="D648" s="211" t="s">
        <v>44</v>
      </c>
      <c r="E648" s="229">
        <v>1396.05</v>
      </c>
      <c r="F648" s="211">
        <v>7.7</v>
      </c>
      <c r="G648" s="1289">
        <f t="shared" ref="G648:G660" si="79">F648*$E648</f>
        <v>10749.584999999999</v>
      </c>
      <c r="H648" s="1278">
        <v>7.7</v>
      </c>
      <c r="I648" s="224">
        <v>10749.584999999999</v>
      </c>
      <c r="J648" s="1269">
        <f t="shared" si="77"/>
        <v>1</v>
      </c>
      <c r="K648" s="1278">
        <f>F648-H648</f>
        <v>0</v>
      </c>
      <c r="L648" s="224">
        <f>K648*$E648</f>
        <v>0</v>
      </c>
      <c r="M648" s="1269" t="str">
        <f t="shared" si="78"/>
        <v/>
      </c>
      <c r="N648" s="1285">
        <f>F648-H648</f>
        <v>0</v>
      </c>
      <c r="O648" s="326">
        <f>N648*E648</f>
        <v>0</v>
      </c>
    </row>
    <row r="649" spans="1:16" ht="60">
      <c r="A649" s="211" t="s">
        <v>2064</v>
      </c>
      <c r="B649" s="267" t="s">
        <v>2065</v>
      </c>
      <c r="C649" s="1301" t="s">
        <v>2066</v>
      </c>
      <c r="D649" s="211" t="s">
        <v>28</v>
      </c>
      <c r="E649" s="229">
        <v>938.64</v>
      </c>
      <c r="F649" s="211">
        <v>1</v>
      </c>
      <c r="G649" s="1290">
        <f t="shared" si="79"/>
        <v>938.64</v>
      </c>
      <c r="H649" s="1278">
        <v>1</v>
      </c>
      <c r="I649" s="817">
        <v>938.64</v>
      </c>
      <c r="J649" s="1269">
        <f t="shared" si="77"/>
        <v>1</v>
      </c>
      <c r="K649" s="1278">
        <f>F649-H649</f>
        <v>0</v>
      </c>
      <c r="L649" s="817">
        <f>K649*$E649</f>
        <v>0</v>
      </c>
      <c r="M649" s="1269" t="str">
        <f t="shared" si="78"/>
        <v/>
      </c>
      <c r="N649" s="1285">
        <f>F649-H649</f>
        <v>0</v>
      </c>
      <c r="O649" s="326">
        <f>N649*E649</f>
        <v>0</v>
      </c>
    </row>
    <row r="650" spans="1:16" ht="60">
      <c r="A650" s="211" t="s">
        <v>2067</v>
      </c>
      <c r="B650" s="267" t="s">
        <v>819</v>
      </c>
      <c r="C650" s="1301" t="s">
        <v>2068</v>
      </c>
      <c r="D650" s="211" t="s">
        <v>28</v>
      </c>
      <c r="E650" s="229">
        <v>844.23</v>
      </c>
      <c r="F650" s="211">
        <f>2+1</f>
        <v>3</v>
      </c>
      <c r="G650" s="1290">
        <f t="shared" si="79"/>
        <v>2532.69</v>
      </c>
      <c r="H650" s="1278">
        <v>3</v>
      </c>
      <c r="I650" s="817">
        <v>2532.69</v>
      </c>
      <c r="J650" s="1269">
        <f t="shared" si="77"/>
        <v>1</v>
      </c>
      <c r="K650" s="1278">
        <f>F650-H650</f>
        <v>0</v>
      </c>
      <c r="L650" s="817">
        <f>K650*$E650</f>
        <v>0</v>
      </c>
      <c r="M650" s="1269" t="str">
        <f t="shared" si="78"/>
        <v/>
      </c>
      <c r="N650" s="1285">
        <f>F650-H650</f>
        <v>0</v>
      </c>
      <c r="O650" s="326">
        <f>N650*E650</f>
        <v>0</v>
      </c>
    </row>
    <row r="651" spans="1:16" ht="60">
      <c r="A651" s="211" t="s">
        <v>2069</v>
      </c>
      <c r="B651" s="267" t="s">
        <v>2070</v>
      </c>
      <c r="C651" s="1301" t="s">
        <v>2071</v>
      </c>
      <c r="D651" s="211" t="s">
        <v>12</v>
      </c>
      <c r="E651" s="229">
        <v>2060.71</v>
      </c>
      <c r="F651" s="211">
        <v>8.2200000000000006</v>
      </c>
      <c r="G651" s="1290">
        <f t="shared" si="79"/>
        <v>16939.036200000002</v>
      </c>
      <c r="H651" s="1278">
        <v>8.2200000000000006</v>
      </c>
      <c r="I651" s="817">
        <v>16939.036200000002</v>
      </c>
      <c r="J651" s="1269">
        <f t="shared" si="77"/>
        <v>1</v>
      </c>
      <c r="K651" s="1278">
        <f>F651-H651</f>
        <v>0</v>
      </c>
      <c r="L651" s="817">
        <f>K651*$E651</f>
        <v>0</v>
      </c>
      <c r="M651" s="1269" t="str">
        <f t="shared" si="78"/>
        <v/>
      </c>
      <c r="N651" s="1285">
        <f>F651-H651</f>
        <v>0</v>
      </c>
      <c r="O651" s="326">
        <f>N651*E651</f>
        <v>0</v>
      </c>
    </row>
    <row r="652" spans="1:16" ht="30">
      <c r="A652" s="211" t="s">
        <v>2072</v>
      </c>
      <c r="B652" s="267" t="s">
        <v>819</v>
      </c>
      <c r="C652" s="1301" t="s">
        <v>2073</v>
      </c>
      <c r="D652" s="211" t="s">
        <v>44</v>
      </c>
      <c r="E652" s="229">
        <v>361.29</v>
      </c>
      <c r="F652" s="211">
        <v>8.3000000000000007</v>
      </c>
      <c r="G652" s="1289">
        <f t="shared" si="79"/>
        <v>2998.7070000000003</v>
      </c>
      <c r="H652" s="1278">
        <v>8.3000000000000007</v>
      </c>
      <c r="I652" s="224">
        <v>2998.7070000000003</v>
      </c>
      <c r="J652" s="1269">
        <f t="shared" si="77"/>
        <v>1</v>
      </c>
      <c r="K652" s="1278">
        <f>F652-H652</f>
        <v>0</v>
      </c>
      <c r="L652" s="224">
        <f>K652*$E652</f>
        <v>0</v>
      </c>
      <c r="M652" s="1269" t="str">
        <f t="shared" si="78"/>
        <v/>
      </c>
      <c r="N652" s="1285">
        <f>F652-H652</f>
        <v>0</v>
      </c>
      <c r="O652" s="326">
        <f>N652*E652</f>
        <v>0</v>
      </c>
    </row>
    <row r="653" spans="1:16" s="231" customFormat="1">
      <c r="A653" s="251" t="s">
        <v>2074</v>
      </c>
      <c r="B653" s="1445" t="s">
        <v>2075</v>
      </c>
      <c r="C653" s="1445"/>
      <c r="D653" s="1445"/>
      <c r="E653" s="1445"/>
      <c r="F653" s="1445"/>
      <c r="G653" s="1296">
        <f>G654+G655+G656</f>
        <v>18044.080000000002</v>
      </c>
      <c r="H653" s="1277">
        <v>0</v>
      </c>
      <c r="I653" s="255">
        <v>14480</v>
      </c>
      <c r="J653" s="1268">
        <f>I653/$G653</f>
        <v>0.80247926189642249</v>
      </c>
      <c r="K653" s="1277">
        <f>F653-H653</f>
        <v>0</v>
      </c>
      <c r="L653" s="255">
        <f>L654+L655+L656</f>
        <v>3564.0800000000004</v>
      </c>
      <c r="M653" s="1268">
        <f>L653/$G653</f>
        <v>0.19752073810357745</v>
      </c>
      <c r="N653" s="1285">
        <f>F653-H653</f>
        <v>0</v>
      </c>
      <c r="O653" s="326">
        <f>N653*E653</f>
        <v>0</v>
      </c>
    </row>
    <row r="654" spans="1:16" ht="45">
      <c r="A654" s="253" t="s">
        <v>4068</v>
      </c>
      <c r="B654" s="267" t="s">
        <v>2077</v>
      </c>
      <c r="C654" s="1301" t="s">
        <v>2078</v>
      </c>
      <c r="D654" s="211" t="s">
        <v>28</v>
      </c>
      <c r="E654" s="229">
        <v>874.23</v>
      </c>
      <c r="F654" s="211">
        <v>11</v>
      </c>
      <c r="G654" s="1290">
        <f t="shared" si="79"/>
        <v>9616.5300000000007</v>
      </c>
      <c r="H654" s="1278">
        <v>11</v>
      </c>
      <c r="I654" s="817">
        <v>9616.5300000000007</v>
      </c>
      <c r="J654" s="1269">
        <f t="shared" si="77"/>
        <v>1</v>
      </c>
      <c r="K654" s="1278">
        <f>F654-H654</f>
        <v>0</v>
      </c>
      <c r="L654" s="817">
        <f>K654*$E654</f>
        <v>0</v>
      </c>
      <c r="M654" s="1269" t="str">
        <f t="shared" si="78"/>
        <v/>
      </c>
      <c r="N654" s="1285">
        <f>F654-H654</f>
        <v>0</v>
      </c>
      <c r="O654" s="326">
        <f>N654*E654</f>
        <v>0</v>
      </c>
    </row>
    <row r="655" spans="1:16">
      <c r="A655" s="253" t="s">
        <v>4137</v>
      </c>
      <c r="B655" s="267" t="s">
        <v>2080</v>
      </c>
      <c r="C655" s="1301" t="s">
        <v>2081</v>
      </c>
      <c r="D655" s="211" t="s">
        <v>28</v>
      </c>
      <c r="E655" s="229">
        <v>137.08000000000001</v>
      </c>
      <c r="F655" s="211">
        <v>26</v>
      </c>
      <c r="G655" s="1290">
        <f t="shared" si="79"/>
        <v>3564.0800000000004</v>
      </c>
      <c r="H655" s="1278">
        <v>0</v>
      </c>
      <c r="I655" s="817">
        <v>0</v>
      </c>
      <c r="J655" s="1269" t="str">
        <f t="shared" si="77"/>
        <v/>
      </c>
      <c r="K655" s="1278">
        <f>F655-H655</f>
        <v>26</v>
      </c>
      <c r="L655" s="817">
        <f>K655*$E655</f>
        <v>3564.0800000000004</v>
      </c>
      <c r="M655" s="1269">
        <f t="shared" si="78"/>
        <v>1</v>
      </c>
      <c r="N655" s="1285">
        <f>F655-H655</f>
        <v>26</v>
      </c>
      <c r="O655" s="326"/>
    </row>
    <row r="656" spans="1:16" ht="45">
      <c r="A656" s="211" t="s">
        <v>2082</v>
      </c>
      <c r="B656" s="267" t="s">
        <v>2083</v>
      </c>
      <c r="C656" s="1301" t="s">
        <v>2084</v>
      </c>
      <c r="D656" s="211" t="s">
        <v>28</v>
      </c>
      <c r="E656" s="229">
        <v>4863.47</v>
      </c>
      <c r="F656" s="211">
        <v>1</v>
      </c>
      <c r="G656" s="1289">
        <f t="shared" si="79"/>
        <v>4863.47</v>
      </c>
      <c r="H656" s="1278">
        <v>1</v>
      </c>
      <c r="I656" s="224">
        <v>4863.47</v>
      </c>
      <c r="J656" s="1269">
        <f t="shared" si="77"/>
        <v>1</v>
      </c>
      <c r="K656" s="1278">
        <f>F656-H656</f>
        <v>0</v>
      </c>
      <c r="L656" s="224">
        <f>K656*$E656</f>
        <v>0</v>
      </c>
      <c r="M656" s="1269" t="str">
        <f t="shared" si="78"/>
        <v/>
      </c>
      <c r="N656" s="1285">
        <f>F656-H656</f>
        <v>0</v>
      </c>
      <c r="O656" s="326">
        <f>N656*E656</f>
        <v>0</v>
      </c>
    </row>
    <row r="657" spans="1:16" s="231" customFormat="1">
      <c r="A657" s="251" t="s">
        <v>2085</v>
      </c>
      <c r="B657" s="1445" t="s">
        <v>2086</v>
      </c>
      <c r="C657" s="1445"/>
      <c r="D657" s="1445"/>
      <c r="E657" s="1445"/>
      <c r="F657" s="1445"/>
      <c r="G657" s="1296">
        <f>G658</f>
        <v>147483.93600000002</v>
      </c>
      <c r="H657" s="1277">
        <v>0</v>
      </c>
      <c r="I657" s="255">
        <v>147483.93600000002</v>
      </c>
      <c r="J657" s="1268">
        <f>I657/$G657</f>
        <v>1</v>
      </c>
      <c r="K657" s="1277">
        <f>F657-H657</f>
        <v>0</v>
      </c>
      <c r="L657" s="255">
        <f>L658</f>
        <v>0</v>
      </c>
      <c r="M657" s="1268">
        <f>L657/$G657</f>
        <v>0</v>
      </c>
      <c r="N657" s="1285">
        <f>F657-H657</f>
        <v>0</v>
      </c>
      <c r="O657" s="326">
        <f>N657*E657</f>
        <v>0</v>
      </c>
    </row>
    <row r="658" spans="1:16" ht="120">
      <c r="A658" s="253" t="s">
        <v>3684</v>
      </c>
      <c r="B658" s="267" t="s">
        <v>2088</v>
      </c>
      <c r="C658" s="1301" t="s">
        <v>2140</v>
      </c>
      <c r="D658" s="211" t="s">
        <v>12</v>
      </c>
      <c r="E658" s="223">
        <v>647.20000000000005</v>
      </c>
      <c r="F658" s="211">
        <v>227.88</v>
      </c>
      <c r="G658" s="1290">
        <f t="shared" si="79"/>
        <v>147483.93600000002</v>
      </c>
      <c r="H658" s="1278">
        <v>227.88000000000002</v>
      </c>
      <c r="I658" s="817">
        <v>147483.93600000002</v>
      </c>
      <c r="J658" s="1269">
        <f t="shared" si="77"/>
        <v>1.0000000000000002</v>
      </c>
      <c r="K658" s="1278">
        <f>F658-H658</f>
        <v>0</v>
      </c>
      <c r="L658" s="817">
        <f>K658*$E658</f>
        <v>0</v>
      </c>
      <c r="M658" s="1269" t="str">
        <f t="shared" si="78"/>
        <v/>
      </c>
      <c r="N658" s="1285">
        <f>F658-H658</f>
        <v>0</v>
      </c>
      <c r="O658" s="326">
        <f>N658*E658</f>
        <v>0</v>
      </c>
    </row>
    <row r="659" spans="1:16" s="231" customFormat="1">
      <c r="A659" s="251" t="s">
        <v>2089</v>
      </c>
      <c r="B659" s="1445" t="s">
        <v>2090</v>
      </c>
      <c r="C659" s="1445"/>
      <c r="D659" s="1445"/>
      <c r="E659" s="1445"/>
      <c r="F659" s="1445"/>
      <c r="G659" s="1296">
        <f>G660</f>
        <v>628.16</v>
      </c>
      <c r="H659" s="1277">
        <v>0</v>
      </c>
      <c r="I659" s="255">
        <v>628.16</v>
      </c>
      <c r="J659" s="1268">
        <f>I659/$G659</f>
        <v>1</v>
      </c>
      <c r="K659" s="1277">
        <f>F659-H659</f>
        <v>0</v>
      </c>
      <c r="L659" s="255">
        <f>L660</f>
        <v>0</v>
      </c>
      <c r="M659" s="1268">
        <f>L659/$G659</f>
        <v>0</v>
      </c>
      <c r="N659" s="1285">
        <f>F659-H659</f>
        <v>0</v>
      </c>
      <c r="O659" s="326">
        <f>N659*E659</f>
        <v>0</v>
      </c>
    </row>
    <row r="660" spans="1:16" ht="45">
      <c r="A660" s="211" t="s">
        <v>2091</v>
      </c>
      <c r="B660" s="267" t="s">
        <v>2092</v>
      </c>
      <c r="C660" s="1301" t="s">
        <v>2093</v>
      </c>
      <c r="D660" s="211" t="s">
        <v>12</v>
      </c>
      <c r="E660" s="223">
        <v>32</v>
      </c>
      <c r="F660" s="211">
        <v>19.63</v>
      </c>
      <c r="G660" s="1290">
        <f t="shared" si="79"/>
        <v>628.16</v>
      </c>
      <c r="H660" s="1278">
        <v>19.63</v>
      </c>
      <c r="I660" s="817">
        <v>628.16</v>
      </c>
      <c r="J660" s="1269">
        <f t="shared" si="77"/>
        <v>1</v>
      </c>
      <c r="K660" s="1278">
        <f>F660-H660</f>
        <v>0</v>
      </c>
      <c r="L660" s="817">
        <f>K660*$E660</f>
        <v>0</v>
      </c>
      <c r="M660" s="1269" t="str">
        <f t="shared" si="78"/>
        <v/>
      </c>
      <c r="N660" s="1285">
        <f>F660-H660</f>
        <v>0</v>
      </c>
      <c r="O660" s="326">
        <f>N660*E660</f>
        <v>0</v>
      </c>
    </row>
    <row r="661" spans="1:16" s="230" customFormat="1" ht="15.75">
      <c r="A661" s="252" t="s">
        <v>2094</v>
      </c>
      <c r="B661" s="1453" t="s">
        <v>2095</v>
      </c>
      <c r="C661" s="1453"/>
      <c r="D661" s="1453"/>
      <c r="E661" s="1453"/>
      <c r="F661" s="1453"/>
      <c r="G661" s="1297">
        <f>G662</f>
        <v>8931.3477000000003</v>
      </c>
      <c r="H661" s="1276">
        <v>0</v>
      </c>
      <c r="I661" s="256">
        <v>8810.6314934000002</v>
      </c>
      <c r="J661" s="1267">
        <f>I661/$G661</f>
        <v>0.98648398756214584</v>
      </c>
      <c r="K661" s="1279">
        <f>F661-H661</f>
        <v>0</v>
      </c>
      <c r="L661" s="256">
        <f>L662</f>
        <v>120.71620659999998</v>
      </c>
      <c r="M661" s="1267">
        <f>L661/$G661</f>
        <v>1.3516012437854141E-2</v>
      </c>
      <c r="N661" s="1285">
        <f>F661-H661</f>
        <v>0</v>
      </c>
      <c r="O661" s="326">
        <f>N661*E661</f>
        <v>0</v>
      </c>
      <c r="P661" s="1425">
        <f>I661</f>
        <v>8810.6314934000002</v>
      </c>
    </row>
    <row r="662" spans="1:16" s="231" customFormat="1">
      <c r="A662" s="251" t="s">
        <v>2096</v>
      </c>
      <c r="B662" s="1442" t="s">
        <v>2097</v>
      </c>
      <c r="C662" s="1442"/>
      <c r="D662" s="1442"/>
      <c r="E662" s="1442"/>
      <c r="F662" s="1442"/>
      <c r="G662" s="1296">
        <f>G663+G664</f>
        <v>8931.3477000000003</v>
      </c>
      <c r="H662" s="1277">
        <v>0</v>
      </c>
      <c r="I662" s="255">
        <v>8810.6314934000002</v>
      </c>
      <c r="J662" s="1268">
        <f>I662/$G662</f>
        <v>0.98648398756214584</v>
      </c>
      <c r="K662" s="1277">
        <f>F662-H662</f>
        <v>0</v>
      </c>
      <c r="L662" s="255">
        <f>L663+L664</f>
        <v>120.71620659999998</v>
      </c>
      <c r="M662" s="1268">
        <f>L662/$G662</f>
        <v>1.3516012437854141E-2</v>
      </c>
      <c r="N662" s="1285">
        <f>F662-H662</f>
        <v>0</v>
      </c>
      <c r="O662" s="326">
        <f>N662*E662</f>
        <v>0</v>
      </c>
    </row>
    <row r="663" spans="1:16">
      <c r="A663" s="211" t="s">
        <v>2098</v>
      </c>
      <c r="B663" s="267" t="s">
        <v>457</v>
      </c>
      <c r="C663" s="1301" t="s">
        <v>458</v>
      </c>
      <c r="D663" s="211" t="s">
        <v>12</v>
      </c>
      <c r="E663" s="223">
        <v>12.13</v>
      </c>
      <c r="F663" s="211">
        <v>708.62</v>
      </c>
      <c r="G663" s="1290">
        <f>F663*$E663</f>
        <v>8595.5606000000007</v>
      </c>
      <c r="H663" s="1278">
        <v>708.62</v>
      </c>
      <c r="I663" s="817">
        <v>8595.5606000000007</v>
      </c>
      <c r="J663" s="1269">
        <f t="shared" si="77"/>
        <v>1</v>
      </c>
      <c r="K663" s="1278">
        <f>F663-H663</f>
        <v>0</v>
      </c>
      <c r="L663" s="817">
        <f>K663*$E663</f>
        <v>0</v>
      </c>
      <c r="M663" s="1269" t="str">
        <f t="shared" si="78"/>
        <v/>
      </c>
      <c r="N663" s="1285">
        <f>F663-H663</f>
        <v>0</v>
      </c>
      <c r="O663" s="326">
        <f>N663*E663</f>
        <v>0</v>
      </c>
    </row>
    <row r="664" spans="1:16" ht="30">
      <c r="A664" s="211" t="s">
        <v>2099</v>
      </c>
      <c r="B664" s="267" t="s">
        <v>2100</v>
      </c>
      <c r="C664" s="1301" t="s">
        <v>2101</v>
      </c>
      <c r="D664" s="211" t="s">
        <v>12</v>
      </c>
      <c r="E664" s="223">
        <v>1.21</v>
      </c>
      <c r="F664" s="211">
        <v>277.51</v>
      </c>
      <c r="G664" s="1290">
        <f>F664*$E664</f>
        <v>335.78709999999995</v>
      </c>
      <c r="H664" s="1278">
        <v>177.74454</v>
      </c>
      <c r="I664" s="817">
        <v>215.07089339999999</v>
      </c>
      <c r="J664" s="1269">
        <f t="shared" si="77"/>
        <v>0.64049778386364453</v>
      </c>
      <c r="K664" s="1278">
        <f>F664-H664</f>
        <v>99.76545999999999</v>
      </c>
      <c r="L664" s="817">
        <f>K664*$E664</f>
        <v>120.71620659999998</v>
      </c>
      <c r="M664" s="1269">
        <f t="shared" si="78"/>
        <v>0.35950221613635541</v>
      </c>
      <c r="N664" s="1285">
        <f>F664-H664</f>
        <v>99.76545999999999</v>
      </c>
      <c r="O664" s="326">
        <f>N664*E664</f>
        <v>120.71620659999998</v>
      </c>
    </row>
    <row r="665" spans="1:16" ht="15.75">
      <c r="A665" s="247" t="s">
        <v>3694</v>
      </c>
      <c r="B665" s="1453" t="s">
        <v>3695</v>
      </c>
      <c r="C665" s="1453"/>
      <c r="D665" s="1453"/>
      <c r="E665" s="1453"/>
      <c r="F665" s="1453"/>
      <c r="G665" s="1297">
        <f>G666</f>
        <v>42739.080600000001</v>
      </c>
      <c r="H665" s="1276">
        <v>0</v>
      </c>
      <c r="I665" s="256">
        <v>42739.080600000001</v>
      </c>
      <c r="J665" s="1267">
        <f>I665/$G665</f>
        <v>1</v>
      </c>
      <c r="K665" s="1279">
        <f>F665-H665</f>
        <v>0</v>
      </c>
      <c r="L665" s="256">
        <f>L666</f>
        <v>0</v>
      </c>
      <c r="M665" s="1267">
        <f>L665/$G665</f>
        <v>0</v>
      </c>
      <c r="N665" s="1285">
        <f>F665-H665</f>
        <v>0</v>
      </c>
      <c r="O665" s="326">
        <f>N665*E665</f>
        <v>0</v>
      </c>
    </row>
    <row r="666" spans="1:16">
      <c r="A666" s="249" t="s">
        <v>3696</v>
      </c>
      <c r="B666" s="1442"/>
      <c r="C666" s="1442"/>
      <c r="D666" s="1442"/>
      <c r="E666" s="1442"/>
      <c r="F666" s="1442"/>
      <c r="G666" s="1296">
        <f>SUM(G667:G678)</f>
        <v>42739.080600000001</v>
      </c>
      <c r="H666" s="1277">
        <v>0</v>
      </c>
      <c r="I666" s="255">
        <v>42739.080600000001</v>
      </c>
      <c r="J666" s="1268">
        <f>I666/$G666</f>
        <v>1</v>
      </c>
      <c r="K666" s="1277">
        <f>F666-H666</f>
        <v>0</v>
      </c>
      <c r="L666" s="255">
        <f>SUM(L667:L678)</f>
        <v>0</v>
      </c>
      <c r="M666" s="1268">
        <f>L666/$G666</f>
        <v>0</v>
      </c>
      <c r="N666" s="1285">
        <f>F666-H666</f>
        <v>0</v>
      </c>
      <c r="O666" s="326">
        <f>N666*E666</f>
        <v>0</v>
      </c>
      <c r="P666" s="1425">
        <f>I666</f>
        <v>42739.080600000001</v>
      </c>
    </row>
    <row r="667" spans="1:16" ht="30">
      <c r="A667" s="211">
        <v>220101</v>
      </c>
      <c r="B667" s="267" t="s">
        <v>3697</v>
      </c>
      <c r="C667" s="883" t="s">
        <v>3698</v>
      </c>
      <c r="D667" s="259" t="s">
        <v>12</v>
      </c>
      <c r="E667" s="223">
        <f>ROUNDDOWN((202.37* (1.2993))*0.96,2)</f>
        <v>252.42</v>
      </c>
      <c r="F667" s="553">
        <v>14</v>
      </c>
      <c r="G667" s="1290">
        <f>E667*F667</f>
        <v>3533.8799999999997</v>
      </c>
      <c r="H667" s="1278">
        <v>14</v>
      </c>
      <c r="I667" s="817">
        <v>3533.8799999999997</v>
      </c>
      <c r="J667" s="1269">
        <f t="shared" ref="J667:J678" si="80">IF(H667=0,"",H667/$F667)</f>
        <v>1</v>
      </c>
      <c r="K667" s="1278">
        <f>F667-H667</f>
        <v>0</v>
      </c>
      <c r="L667" s="817">
        <f>K667*E667</f>
        <v>0</v>
      </c>
      <c r="M667" s="1269" t="str">
        <f t="shared" ref="M667:M678" si="81">IF(K667=0,"",K667/$F667)</f>
        <v/>
      </c>
      <c r="N667" s="1285">
        <f>F667-H667</f>
        <v>0</v>
      </c>
      <c r="O667" s="326">
        <f>N667*E667</f>
        <v>0</v>
      </c>
    </row>
    <row r="668" spans="1:16">
      <c r="A668" s="211">
        <f>A667+1</f>
        <v>220102</v>
      </c>
      <c r="B668" s="267" t="s">
        <v>3699</v>
      </c>
      <c r="C668" s="883" t="s">
        <v>3700</v>
      </c>
      <c r="D668" s="1037" t="s">
        <v>44</v>
      </c>
      <c r="E668" s="223">
        <f>ROUNDDOWN((1.87* (1.2993))*0.96,2)</f>
        <v>2.33</v>
      </c>
      <c r="F668" s="553">
        <v>449.84</v>
      </c>
      <c r="G668" s="1289">
        <f t="shared" ref="G668:G678" si="82">E668*F668</f>
        <v>1048.1271999999999</v>
      </c>
      <c r="H668" s="1278">
        <v>449.84</v>
      </c>
      <c r="I668" s="224">
        <v>1048.1271999999999</v>
      </c>
      <c r="J668" s="1269">
        <f t="shared" si="80"/>
        <v>1</v>
      </c>
      <c r="K668" s="1278">
        <f>F668-H668</f>
        <v>0</v>
      </c>
      <c r="L668" s="224">
        <f>K668*E668</f>
        <v>0</v>
      </c>
      <c r="M668" s="1269" t="str">
        <f t="shared" si="81"/>
        <v/>
      </c>
      <c r="N668" s="1285">
        <f>F668-H668</f>
        <v>0</v>
      </c>
      <c r="O668" s="326">
        <f>N668*E668</f>
        <v>0</v>
      </c>
    </row>
    <row r="669" spans="1:16" ht="90">
      <c r="A669" s="211">
        <f t="shared" ref="A669:A678" si="83">A668+1</f>
        <v>220103</v>
      </c>
      <c r="B669" s="267" t="s">
        <v>3701</v>
      </c>
      <c r="C669" s="883" t="s">
        <v>3702</v>
      </c>
      <c r="D669" s="1037" t="s">
        <v>44</v>
      </c>
      <c r="E669" s="223">
        <f>ROUNDDOWN((41.16* (1.2993))*0.96,2)</f>
        <v>51.34</v>
      </c>
      <c r="F669" s="553">
        <v>280.35000000000002</v>
      </c>
      <c r="G669" s="1289">
        <f t="shared" si="82"/>
        <v>14393.169000000002</v>
      </c>
      <c r="H669" s="1278">
        <v>280.35000000000002</v>
      </c>
      <c r="I669" s="224">
        <v>14393.169000000002</v>
      </c>
      <c r="J669" s="1269">
        <f t="shared" si="80"/>
        <v>1</v>
      </c>
      <c r="K669" s="1278">
        <f>F669-H669</f>
        <v>0</v>
      </c>
      <c r="L669" s="224">
        <f>K669*E669</f>
        <v>0</v>
      </c>
      <c r="M669" s="1269" t="str">
        <f t="shared" si="81"/>
        <v/>
      </c>
      <c r="N669" s="1285">
        <f>F669-H669</f>
        <v>0</v>
      </c>
      <c r="O669" s="326">
        <f>N669*E669</f>
        <v>0</v>
      </c>
    </row>
    <row r="670" spans="1:16" ht="45">
      <c r="A670" s="211">
        <f t="shared" si="83"/>
        <v>220104</v>
      </c>
      <c r="B670" s="267" t="s">
        <v>3703</v>
      </c>
      <c r="C670" s="883" t="s">
        <v>3704</v>
      </c>
      <c r="D670" s="259" t="s">
        <v>12</v>
      </c>
      <c r="E670" s="223">
        <f>ROUNDDOWN((4.76* (1.2993))*0.96,2)</f>
        <v>5.93</v>
      </c>
      <c r="F670" s="553">
        <v>283.38</v>
      </c>
      <c r="G670" s="1289">
        <f t="shared" si="82"/>
        <v>1680.4433999999999</v>
      </c>
      <c r="H670" s="1278">
        <v>283.38</v>
      </c>
      <c r="I670" s="224">
        <v>1680.4433999999999</v>
      </c>
      <c r="J670" s="1269">
        <f t="shared" si="80"/>
        <v>1</v>
      </c>
      <c r="K670" s="1278">
        <f>F670-H670</f>
        <v>0</v>
      </c>
      <c r="L670" s="224">
        <f>K670*E670</f>
        <v>0</v>
      </c>
      <c r="M670" s="1269" t="str">
        <f t="shared" si="81"/>
        <v/>
      </c>
      <c r="N670" s="1285">
        <f>F670-H670</f>
        <v>0</v>
      </c>
      <c r="O670" s="326">
        <f>N670*E670</f>
        <v>0</v>
      </c>
    </row>
    <row r="671" spans="1:16" ht="60">
      <c r="A671" s="211">
        <f t="shared" si="83"/>
        <v>220105</v>
      </c>
      <c r="B671" s="267" t="s">
        <v>3705</v>
      </c>
      <c r="C671" s="883" t="s">
        <v>3706</v>
      </c>
      <c r="D671" s="1037" t="s">
        <v>44</v>
      </c>
      <c r="E671" s="223">
        <f>ROUNDDOWN((36.41* (1.2993))*0.96,2)</f>
        <v>45.41</v>
      </c>
      <c r="F671" s="553">
        <f>40+16</f>
        <v>56</v>
      </c>
      <c r="G671" s="1289">
        <f t="shared" si="82"/>
        <v>2542.96</v>
      </c>
      <c r="H671" s="1278">
        <v>56</v>
      </c>
      <c r="I671" s="224">
        <v>2542.96</v>
      </c>
      <c r="J671" s="1269">
        <f t="shared" si="80"/>
        <v>1</v>
      </c>
      <c r="K671" s="1278">
        <f>F671-H671</f>
        <v>0</v>
      </c>
      <c r="L671" s="224">
        <f>K671*E671</f>
        <v>0</v>
      </c>
      <c r="M671" s="1269" t="str">
        <f t="shared" si="81"/>
        <v/>
      </c>
      <c r="N671" s="1285">
        <f>F671-H671</f>
        <v>0</v>
      </c>
      <c r="O671" s="326">
        <f>N671*E671</f>
        <v>0</v>
      </c>
    </row>
    <row r="672" spans="1:16" ht="75">
      <c r="A672" s="211">
        <f t="shared" si="83"/>
        <v>220106</v>
      </c>
      <c r="B672" s="267" t="s">
        <v>3707</v>
      </c>
      <c r="C672" s="883" t="s">
        <v>155</v>
      </c>
      <c r="D672" s="1037" t="s">
        <v>2222</v>
      </c>
      <c r="E672" s="223">
        <f>ROUNDDOWN((574.43* (1.2993))*0.96,2)</f>
        <v>716.5</v>
      </c>
      <c r="F672" s="553">
        <f>(2*2*0.8)+(1.2*0.8)+(0.8*1.2)</f>
        <v>5.12</v>
      </c>
      <c r="G672" s="1289">
        <f t="shared" si="82"/>
        <v>3668.48</v>
      </c>
      <c r="H672" s="1278">
        <v>5.12</v>
      </c>
      <c r="I672" s="224">
        <v>3668.48</v>
      </c>
      <c r="J672" s="1269">
        <f t="shared" si="80"/>
        <v>1</v>
      </c>
      <c r="K672" s="1278">
        <f>F672-H672</f>
        <v>0</v>
      </c>
      <c r="L672" s="224">
        <f>K672*E672</f>
        <v>0</v>
      </c>
      <c r="M672" s="1269" t="str">
        <f t="shared" si="81"/>
        <v/>
      </c>
      <c r="N672" s="1285">
        <f>F672-H672</f>
        <v>0</v>
      </c>
      <c r="O672" s="326">
        <f>N672*E672</f>
        <v>0</v>
      </c>
    </row>
    <row r="673" spans="1:18" ht="30">
      <c r="A673" s="211">
        <f t="shared" si="83"/>
        <v>220107</v>
      </c>
      <c r="B673" s="267" t="s">
        <v>3705</v>
      </c>
      <c r="C673" s="883" t="s">
        <v>3708</v>
      </c>
      <c r="D673" s="1037" t="s">
        <v>2222</v>
      </c>
      <c r="E673" s="223">
        <f>ROUNDDOWN((45.57* (1.2993))*0.96,2)</f>
        <v>56.84</v>
      </c>
      <c r="F673" s="553">
        <f>3</f>
        <v>3</v>
      </c>
      <c r="G673" s="1290">
        <f t="shared" si="82"/>
        <v>170.52</v>
      </c>
      <c r="H673" s="1278">
        <v>3</v>
      </c>
      <c r="I673" s="817">
        <v>170.52</v>
      </c>
      <c r="J673" s="1269">
        <f t="shared" si="80"/>
        <v>1</v>
      </c>
      <c r="K673" s="1278">
        <f>F673-H673</f>
        <v>0</v>
      </c>
      <c r="L673" s="817">
        <f>K673*E673</f>
        <v>0</v>
      </c>
      <c r="M673" s="1269" t="str">
        <f t="shared" si="81"/>
        <v/>
      </c>
      <c r="N673" s="1285">
        <f>F673-H673</f>
        <v>0</v>
      </c>
      <c r="O673" s="326">
        <f>N673*E673</f>
        <v>0</v>
      </c>
    </row>
    <row r="674" spans="1:18" ht="60">
      <c r="A674" s="211">
        <f t="shared" si="83"/>
        <v>220108</v>
      </c>
      <c r="B674" s="267" t="s">
        <v>3709</v>
      </c>
      <c r="C674" s="883" t="s">
        <v>3710</v>
      </c>
      <c r="D674" s="1037" t="s">
        <v>2222</v>
      </c>
      <c r="E674" s="223">
        <f>ROUNDDOWN((513.46* (1.2993))*0.96,2)</f>
        <v>640.45000000000005</v>
      </c>
      <c r="F674" s="553">
        <f>(2.57*2.5)+2.59*2.5+(2.62*2.7)+(0.3*2.7)</f>
        <v>20.783999999999999</v>
      </c>
      <c r="G674" s="1290">
        <f t="shared" si="82"/>
        <v>13311.112800000001</v>
      </c>
      <c r="H674" s="1278">
        <v>20.783999999999999</v>
      </c>
      <c r="I674" s="817">
        <v>13311.112800000001</v>
      </c>
      <c r="J674" s="1269">
        <f t="shared" si="80"/>
        <v>1</v>
      </c>
      <c r="K674" s="1278">
        <f>F674-H674</f>
        <v>0</v>
      </c>
      <c r="L674" s="817">
        <f>K674*E674</f>
        <v>0</v>
      </c>
      <c r="M674" s="1269" t="str">
        <f t="shared" si="81"/>
        <v/>
      </c>
      <c r="N674" s="1285">
        <f>F674-H674</f>
        <v>0</v>
      </c>
      <c r="O674" s="326">
        <f>N674*E674</f>
        <v>0</v>
      </c>
    </row>
    <row r="675" spans="1:18" ht="90">
      <c r="A675" s="211">
        <f t="shared" si="83"/>
        <v>220109</v>
      </c>
      <c r="B675" s="267" t="s">
        <v>3711</v>
      </c>
      <c r="C675" s="883" t="s">
        <v>3712</v>
      </c>
      <c r="D675" s="1037" t="s">
        <v>44</v>
      </c>
      <c r="E675" s="223">
        <f>ROUNDDOWN((63.33* (1.2993))*0.96,2)</f>
        <v>78.989999999999995</v>
      </c>
      <c r="F675" s="553">
        <v>9</v>
      </c>
      <c r="G675" s="1290">
        <f t="shared" si="82"/>
        <v>710.91</v>
      </c>
      <c r="H675" s="1278">
        <v>9</v>
      </c>
      <c r="I675" s="817">
        <v>710.91</v>
      </c>
      <c r="J675" s="1269">
        <f t="shared" si="80"/>
        <v>1</v>
      </c>
      <c r="K675" s="1278">
        <f>F675-H675</f>
        <v>0</v>
      </c>
      <c r="L675" s="817">
        <f>K675*E675</f>
        <v>0</v>
      </c>
      <c r="M675" s="1269" t="str">
        <f t="shared" si="81"/>
        <v/>
      </c>
      <c r="N675" s="1285">
        <f>F675-H675</f>
        <v>0</v>
      </c>
      <c r="O675" s="326">
        <f>N675*E675</f>
        <v>0</v>
      </c>
    </row>
    <row r="676" spans="1:18" ht="60">
      <c r="A676" s="211">
        <f t="shared" si="83"/>
        <v>220110</v>
      </c>
      <c r="B676" s="267" t="s">
        <v>3713</v>
      </c>
      <c r="C676" s="883" t="s">
        <v>3714</v>
      </c>
      <c r="D676" s="1037" t="s">
        <v>2719</v>
      </c>
      <c r="E676" s="223">
        <f>ROUNDDOWN((50.68* (1.2993))*0.96,2)</f>
        <v>63.21</v>
      </c>
      <c r="F676" s="553">
        <v>2.5</v>
      </c>
      <c r="G676" s="1289">
        <f t="shared" si="82"/>
        <v>158.02500000000001</v>
      </c>
      <c r="H676" s="1278">
        <v>2.5</v>
      </c>
      <c r="I676" s="224">
        <v>158.02500000000001</v>
      </c>
      <c r="J676" s="1269">
        <f t="shared" si="80"/>
        <v>1</v>
      </c>
      <c r="K676" s="1278">
        <f>F676-H676</f>
        <v>0</v>
      </c>
      <c r="L676" s="224">
        <f>K676*E676</f>
        <v>0</v>
      </c>
      <c r="M676" s="1269" t="str">
        <f t="shared" si="81"/>
        <v/>
      </c>
      <c r="N676" s="1285">
        <f>F676-H676</f>
        <v>0</v>
      </c>
      <c r="O676" s="326">
        <f>N676*E676</f>
        <v>0</v>
      </c>
    </row>
    <row r="677" spans="1:18" ht="75">
      <c r="A677" s="211">
        <f t="shared" si="83"/>
        <v>220111</v>
      </c>
      <c r="B677" s="267" t="s">
        <v>3715</v>
      </c>
      <c r="C677" s="883" t="s">
        <v>3716</v>
      </c>
      <c r="D677" s="1037" t="s">
        <v>2177</v>
      </c>
      <c r="E677" s="223">
        <f>ROUNDDOWN((51.65* (1.2993))*0.96,2)</f>
        <v>64.42</v>
      </c>
      <c r="F677" s="553">
        <v>2</v>
      </c>
      <c r="G677" s="1289">
        <f t="shared" si="82"/>
        <v>128.84</v>
      </c>
      <c r="H677" s="1278">
        <v>2</v>
      </c>
      <c r="I677" s="224">
        <v>128.84</v>
      </c>
      <c r="J677" s="1269">
        <f t="shared" si="80"/>
        <v>1</v>
      </c>
      <c r="K677" s="1278">
        <f>F677-H677</f>
        <v>0</v>
      </c>
      <c r="L677" s="224">
        <f>K677*E677</f>
        <v>0</v>
      </c>
      <c r="M677" s="1269" t="str">
        <f t="shared" si="81"/>
        <v/>
      </c>
      <c r="N677" s="1285">
        <f>F677-H677</f>
        <v>0</v>
      </c>
      <c r="O677" s="326">
        <f>N677*E677</f>
        <v>0</v>
      </c>
    </row>
    <row r="678" spans="1:18">
      <c r="A678" s="211">
        <f t="shared" si="83"/>
        <v>220112</v>
      </c>
      <c r="B678" s="267" t="s">
        <v>3705</v>
      </c>
      <c r="C678" s="883" t="s">
        <v>3717</v>
      </c>
      <c r="D678" s="259" t="s">
        <v>12</v>
      </c>
      <c r="E678" s="223">
        <f>ROUNDDOWN((220.65* (1.2993))*0.96,2)</f>
        <v>275.22000000000003</v>
      </c>
      <c r="F678" s="553">
        <v>5.0599999999999996</v>
      </c>
      <c r="G678" s="1289">
        <f t="shared" si="82"/>
        <v>1392.6132</v>
      </c>
      <c r="H678" s="1278">
        <v>5.0599999999999996</v>
      </c>
      <c r="I678" s="224">
        <v>1392.6132</v>
      </c>
      <c r="J678" s="1269">
        <f t="shared" si="80"/>
        <v>1</v>
      </c>
      <c r="K678" s="1278">
        <f>F678-H678</f>
        <v>0</v>
      </c>
      <c r="L678" s="224">
        <f>K678*E678</f>
        <v>0</v>
      </c>
      <c r="M678" s="1269" t="str">
        <f t="shared" si="81"/>
        <v/>
      </c>
      <c r="N678" s="1285">
        <f>F678-H678</f>
        <v>0</v>
      </c>
      <c r="O678" s="326">
        <f>N678*E678</f>
        <v>0</v>
      </c>
    </row>
    <row r="679" spans="1:18" s="240" customFormat="1">
      <c r="A679" s="1490"/>
      <c r="B679" s="1490"/>
      <c r="C679" s="1490"/>
      <c r="D679" s="1490"/>
      <c r="E679" s="1490"/>
      <c r="F679" s="1472">
        <f>SUM(G9:G678)/3</f>
        <v>4943081.436200005</v>
      </c>
      <c r="G679" s="1472"/>
      <c r="H679" s="1443" t="s">
        <v>504</v>
      </c>
      <c r="I679" s="1444"/>
      <c r="J679" s="1272" t="s">
        <v>499</v>
      </c>
      <c r="K679" s="1449" t="s">
        <v>503</v>
      </c>
      <c r="L679" s="1450"/>
      <c r="M679" s="1272" t="s">
        <v>499</v>
      </c>
      <c r="O679" s="1422"/>
    </row>
    <row r="680" spans="1:18" ht="15.75">
      <c r="A680" s="1490"/>
      <c r="B680" s="1490"/>
      <c r="C680" s="1490"/>
      <c r="D680" s="1490"/>
      <c r="E680" s="1490"/>
      <c r="F680" s="1472"/>
      <c r="G680" s="1472"/>
      <c r="H680" s="1451">
        <f>SUM(I9:I678)/3</f>
        <v>4862416.8891574703</v>
      </c>
      <c r="I680" s="1452"/>
      <c r="J680" s="1283">
        <f>H680/F679</f>
        <v>0.98368132346519754</v>
      </c>
      <c r="K680" s="1447">
        <f>SUM(L9:L678)/3</f>
        <v>81145.513454437969</v>
      </c>
      <c r="L680" s="1448"/>
      <c r="M680" s="1273">
        <f>K680/$F$679</f>
        <v>1.6415977463001014E-2</v>
      </c>
    </row>
    <row r="681" spans="1:18">
      <c r="I681" s="238"/>
      <c r="L681" s="238">
        <f>50029.5/3</f>
        <v>16676.5</v>
      </c>
      <c r="P681" s="238"/>
      <c r="Q681" s="238"/>
      <c r="R681" s="238"/>
    </row>
  </sheetData>
  <mergeCells count="139">
    <mergeCell ref="A4:G4"/>
    <mergeCell ref="A5:G5"/>
    <mergeCell ref="A6:G6"/>
    <mergeCell ref="A2:J2"/>
    <mergeCell ref="C1:H1"/>
    <mergeCell ref="I1:J1"/>
    <mergeCell ref="B452:F452"/>
    <mergeCell ref="B464:F464"/>
    <mergeCell ref="C468:G468"/>
    <mergeCell ref="B590:F590"/>
    <mergeCell ref="B559:F559"/>
    <mergeCell ref="B463:F463"/>
    <mergeCell ref="B644:F644"/>
    <mergeCell ref="B628:F628"/>
    <mergeCell ref="A679:E680"/>
    <mergeCell ref="B522:F522"/>
    <mergeCell ref="B601:F601"/>
    <mergeCell ref="B607:F607"/>
    <mergeCell ref="B665:F665"/>
    <mergeCell ref="B666:F666"/>
    <mergeCell ref="B568:F568"/>
    <mergeCell ref="B573:F573"/>
    <mergeCell ref="B578:F578"/>
    <mergeCell ref="H679:I679"/>
    <mergeCell ref="F679:G680"/>
    <mergeCell ref="B662:F662"/>
    <mergeCell ref="B657:F657"/>
    <mergeCell ref="B659:F659"/>
    <mergeCell ref="B645:F645"/>
    <mergeCell ref="B131:F131"/>
    <mergeCell ref="B199:F199"/>
    <mergeCell ref="B202:F202"/>
    <mergeCell ref="B145:F145"/>
    <mergeCell ref="B152:F152"/>
    <mergeCell ref="B191:F191"/>
    <mergeCell ref="B154:F154"/>
    <mergeCell ref="B179:F179"/>
    <mergeCell ref="B184:F184"/>
    <mergeCell ref="B189:F189"/>
    <mergeCell ref="B187:F187"/>
    <mergeCell ref="B192:F192"/>
    <mergeCell ref="B155:F155"/>
    <mergeCell ref="B157:F157"/>
    <mergeCell ref="B201:F201"/>
    <mergeCell ref="B194:F194"/>
    <mergeCell ref="B196:F196"/>
    <mergeCell ref="A7:G7"/>
    <mergeCell ref="B9:F9"/>
    <mergeCell ref="B10:F10"/>
    <mergeCell ref="B43:F43"/>
    <mergeCell ref="B45:F45"/>
    <mergeCell ref="B48:F48"/>
    <mergeCell ref="B110:F110"/>
    <mergeCell ref="B113:F113"/>
    <mergeCell ref="B70:F70"/>
    <mergeCell ref="B74:F74"/>
    <mergeCell ref="B85:F85"/>
    <mergeCell ref="B51:F51"/>
    <mergeCell ref="B52:F52"/>
    <mergeCell ref="B57:F57"/>
    <mergeCell ref="B106:F106"/>
    <mergeCell ref="K7:M7"/>
    <mergeCell ref="H7:J7"/>
    <mergeCell ref="A3:M3"/>
    <mergeCell ref="B135:F135"/>
    <mergeCell ref="B134:F134"/>
    <mergeCell ref="B80:F80"/>
    <mergeCell ref="B83:F83"/>
    <mergeCell ref="B101:F101"/>
    <mergeCell ref="B103:F103"/>
    <mergeCell ref="H5:M5"/>
    <mergeCell ref="H4:M4"/>
    <mergeCell ref="H6:M6"/>
    <mergeCell ref="B86:F86"/>
    <mergeCell ref="B94:F94"/>
    <mergeCell ref="B258:F258"/>
    <mergeCell ref="B125:F125"/>
    <mergeCell ref="B127:F127"/>
    <mergeCell ref="B265:F265"/>
    <mergeCell ref="B233:F233"/>
    <mergeCell ref="B241:F241"/>
    <mergeCell ref="B246:F246"/>
    <mergeCell ref="B249:F249"/>
    <mergeCell ref="B77:F77"/>
    <mergeCell ref="B118:F118"/>
    <mergeCell ref="B119:F119"/>
    <mergeCell ref="B123:F123"/>
    <mergeCell ref="B121:F121"/>
    <mergeCell ref="B261:F261"/>
    <mergeCell ref="B226:F226"/>
    <mergeCell ref="B228:F228"/>
    <mergeCell ref="B222:F222"/>
    <mergeCell ref="B204:F204"/>
    <mergeCell ref="B207:F207"/>
    <mergeCell ref="B210:F210"/>
    <mergeCell ref="B213:F213"/>
    <mergeCell ref="B218:F218"/>
    <mergeCell ref="B217:F217"/>
    <mergeCell ref="B209:F209"/>
    <mergeCell ref="K680:L680"/>
    <mergeCell ref="K679:L679"/>
    <mergeCell ref="H680:I680"/>
    <mergeCell ref="B471:F471"/>
    <mergeCell ref="B560:F560"/>
    <mergeCell ref="B314:F314"/>
    <mergeCell ref="B319:F319"/>
    <mergeCell ref="B327:F327"/>
    <mergeCell ref="B613:F613"/>
    <mergeCell ref="B625:F625"/>
    <mergeCell ref="B629:F629"/>
    <mergeCell ref="B635:F635"/>
    <mergeCell ref="B637:F637"/>
    <mergeCell ref="B639:F639"/>
    <mergeCell ref="B641:F641"/>
    <mergeCell ref="B661:F661"/>
    <mergeCell ref="B647:F647"/>
    <mergeCell ref="B653:F653"/>
    <mergeCell ref="B351:F351"/>
    <mergeCell ref="B159:F159"/>
    <mergeCell ref="B164:F164"/>
    <mergeCell ref="B175:F175"/>
    <mergeCell ref="B395:F395"/>
    <mergeCell ref="B430:F430"/>
    <mergeCell ref="B591:F591"/>
    <mergeCell ref="B595:F595"/>
    <mergeCell ref="B443:F443"/>
    <mergeCell ref="B457:F457"/>
    <mergeCell ref="B326:F326"/>
    <mergeCell ref="B225:F225"/>
    <mergeCell ref="B253:F253"/>
    <mergeCell ref="B259:F259"/>
    <mergeCell ref="B384:F384"/>
    <mergeCell ref="B274:F274"/>
    <mergeCell ref="B415:F415"/>
    <mergeCell ref="B279:F279"/>
    <mergeCell ref="B284:F284"/>
    <mergeCell ref="B296:F296"/>
    <mergeCell ref="B304:F304"/>
    <mergeCell ref="B311:F311"/>
  </mergeCells>
  <printOptions horizontalCentered="1" verticalCentered="1"/>
  <pageMargins left="0.11811023622047245" right="0.70866141732283472" top="0.74803149606299213" bottom="0.74803149606299213" header="0.31496062992125984" footer="0.31496062992125984"/>
  <pageSetup paperSize="9" scale="65" orientation="portrait" horizontalDpi="300" verticalDpi="300" r:id="rId1"/>
  <rowBreaks count="3" manualBreakCount="3">
    <brk id="230" max="16383" man="1"/>
    <brk id="289" max="16383" man="1"/>
    <brk id="64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8748"/>
  <sheetViews>
    <sheetView topLeftCell="A8602" zoomScale="90" zoomScaleNormal="90" zoomScaleSheetLayoutView="70" zoomScalePageLayoutView="56" workbookViewId="0">
      <selection activeCell="U8629" sqref="U8629"/>
    </sheetView>
  </sheetViews>
  <sheetFormatPr defaultColWidth="9.140625" defaultRowHeight="15"/>
  <cols>
    <col min="1" max="1" width="16.28515625" customWidth="1"/>
    <col min="2" max="2" width="36.42578125" customWidth="1"/>
    <col min="3" max="3" width="9.28515625" style="468" customWidth="1"/>
    <col min="4" max="4" width="11" style="468" customWidth="1"/>
    <col min="5" max="5" width="10.5703125" style="1336" customWidth="1"/>
    <col min="6" max="6" width="9.5703125" style="468" customWidth="1"/>
    <col min="7" max="7" width="9.7109375" style="468" customWidth="1"/>
    <col min="8" max="8" width="12.28515625" style="563" bestFit="1" customWidth="1"/>
    <col min="9" max="9" width="8.7109375" customWidth="1"/>
    <col min="10" max="10" width="3.5703125" customWidth="1"/>
    <col min="11" max="11" width="8" bestFit="1" customWidth="1"/>
    <col min="12" max="12" width="9.7109375" bestFit="1" customWidth="1"/>
    <col min="13" max="13" width="7.7109375" bestFit="1" customWidth="1"/>
    <col min="14" max="14" width="11.7109375" bestFit="1" customWidth="1"/>
    <col min="16" max="17" width="9.140625" customWidth="1"/>
  </cols>
  <sheetData>
    <row r="1" spans="1:14">
      <c r="A1" s="1844" t="s">
        <v>2155</v>
      </c>
      <c r="B1" s="1845"/>
      <c r="C1" s="1845"/>
      <c r="D1" s="1845"/>
      <c r="E1" s="1845"/>
      <c r="F1" s="1845"/>
      <c r="G1" s="1845"/>
      <c r="H1" s="1845"/>
      <c r="I1" s="1845"/>
      <c r="J1" s="1845"/>
      <c r="K1" s="1845"/>
      <c r="L1" s="1845"/>
      <c r="M1" s="1845"/>
      <c r="N1" s="1846"/>
    </row>
    <row r="2" spans="1:14" ht="39.950000000000003" customHeight="1" thickBot="1">
      <c r="A2" s="1847"/>
      <c r="B2" s="1848"/>
      <c r="C2" s="1848"/>
      <c r="D2" s="1848"/>
      <c r="E2" s="1848"/>
      <c r="F2" s="1848"/>
      <c r="G2" s="1848"/>
      <c r="H2" s="1848"/>
      <c r="I2" s="1848"/>
      <c r="J2" s="1848"/>
      <c r="K2" s="1848"/>
      <c r="L2" s="1848"/>
      <c r="M2" s="1848"/>
      <c r="N2" s="1849"/>
    </row>
    <row r="3" spans="1:14" ht="24" customHeight="1" thickBot="1">
      <c r="A3" s="1850" t="s">
        <v>2156</v>
      </c>
      <c r="B3" s="1851"/>
      <c r="C3" s="1851"/>
      <c r="D3" s="1851"/>
      <c r="E3" s="1851"/>
      <c r="F3" s="1851"/>
      <c r="G3" s="1851"/>
      <c r="H3" s="1851"/>
      <c r="I3" s="1851"/>
      <c r="J3" s="1851"/>
      <c r="K3" s="1851"/>
      <c r="L3" s="1851"/>
      <c r="M3" s="1851"/>
      <c r="N3" s="1852"/>
    </row>
    <row r="4" spans="1:14" ht="4.5" customHeight="1" thickBot="1">
      <c r="A4" s="1853"/>
      <c r="B4" s="1853"/>
      <c r="C4" s="1853"/>
      <c r="D4" s="1853"/>
      <c r="E4" s="1853"/>
      <c r="F4" s="1853"/>
      <c r="G4" s="1853"/>
      <c r="H4" s="1853"/>
      <c r="I4" s="1853"/>
      <c r="J4" s="1853"/>
      <c r="K4" s="1853"/>
      <c r="L4" s="1853"/>
      <c r="M4" s="1853"/>
      <c r="N4" s="1853"/>
    </row>
    <row r="5" spans="1:14" ht="12.95" customHeight="1">
      <c r="A5" s="1854" t="s">
        <v>3216</v>
      </c>
      <c r="B5" s="1855"/>
      <c r="C5" s="1855"/>
      <c r="D5" s="1855"/>
      <c r="E5" s="1855"/>
      <c r="F5" s="1855"/>
      <c r="G5" s="1855"/>
      <c r="H5" s="1855"/>
      <c r="I5" s="1855"/>
      <c r="J5" s="1855"/>
      <c r="K5" s="1855"/>
      <c r="L5" s="1855"/>
      <c r="M5" s="1855"/>
      <c r="N5" s="1856"/>
    </row>
    <row r="6" spans="1:14" ht="15" customHeight="1">
      <c r="A6" s="1078" t="s">
        <v>2157</v>
      </c>
      <c r="B6" s="327" t="s">
        <v>2158</v>
      </c>
      <c r="C6" s="328" t="s">
        <v>2159</v>
      </c>
      <c r="D6" s="329" t="s">
        <v>2160</v>
      </c>
      <c r="E6" s="1310" t="s">
        <v>2161</v>
      </c>
      <c r="F6" s="328" t="s">
        <v>2162</v>
      </c>
      <c r="G6" s="328" t="s">
        <v>2163</v>
      </c>
      <c r="H6" s="1857" t="s">
        <v>2164</v>
      </c>
      <c r="I6" s="1857"/>
      <c r="J6" s="328" t="s">
        <v>2165</v>
      </c>
      <c r="K6" s="328" t="s">
        <v>2166</v>
      </c>
      <c r="L6" s="330" t="s">
        <v>2167</v>
      </c>
      <c r="M6" s="328" t="s">
        <v>2168</v>
      </c>
      <c r="N6" s="331" t="s">
        <v>2169</v>
      </c>
    </row>
    <row r="7" spans="1:14" ht="28.5" customHeight="1">
      <c r="A7" s="1078" t="s">
        <v>2170</v>
      </c>
      <c r="B7" s="332">
        <v>4627849.63</v>
      </c>
      <c r="C7" s="333">
        <v>44593</v>
      </c>
      <c r="D7" s="329" t="s">
        <v>2171</v>
      </c>
      <c r="E7" s="1310" t="s">
        <v>2172</v>
      </c>
      <c r="F7" s="758" t="s">
        <v>3619</v>
      </c>
      <c r="G7" s="334" t="s">
        <v>3618</v>
      </c>
      <c r="H7" s="1858" t="s">
        <v>2173</v>
      </c>
      <c r="I7" s="1858"/>
      <c r="J7" s="333" t="s">
        <v>2174</v>
      </c>
      <c r="K7" s="328" t="s">
        <v>2175</v>
      </c>
      <c r="L7" s="335">
        <v>45103</v>
      </c>
      <c r="M7" s="330">
        <f>L7+N7</f>
        <v>45523</v>
      </c>
      <c r="N7" s="336">
        <f>14*30</f>
        <v>420</v>
      </c>
    </row>
    <row r="8" spans="1:14" ht="18" customHeight="1" thickBot="1">
      <c r="A8" s="1079" t="s">
        <v>2176</v>
      </c>
      <c r="B8" s="1837" t="s">
        <v>3</v>
      </c>
      <c r="C8" s="1838"/>
      <c r="D8" s="1838"/>
      <c r="E8" s="1838"/>
      <c r="F8" s="1838"/>
      <c r="G8" s="1838"/>
      <c r="H8" s="1838"/>
      <c r="I8" s="1838"/>
      <c r="J8" s="1839"/>
      <c r="K8" s="337" t="s">
        <v>2177</v>
      </c>
      <c r="L8" s="1837" t="s">
        <v>2178</v>
      </c>
      <c r="M8" s="1839"/>
      <c r="N8" s="338" t="s">
        <v>2179</v>
      </c>
    </row>
    <row r="9" spans="1:14" ht="4.5" customHeight="1" thickBot="1">
      <c r="A9" s="1840"/>
      <c r="B9" s="1840"/>
      <c r="C9" s="1840"/>
      <c r="D9" s="1840"/>
      <c r="E9" s="1840"/>
      <c r="F9" s="1840"/>
      <c r="G9" s="1840"/>
      <c r="H9" s="1840"/>
      <c r="I9" s="1840"/>
      <c r="J9" s="1840"/>
      <c r="K9" s="1840"/>
      <c r="L9" s="1840"/>
      <c r="M9" s="1840"/>
      <c r="N9" s="1840"/>
    </row>
    <row r="10" spans="1:14" ht="14.25" customHeight="1">
      <c r="A10" s="1841" t="s">
        <v>2180</v>
      </c>
      <c r="B10" s="1842"/>
      <c r="C10" s="1842"/>
      <c r="D10" s="1842"/>
      <c r="E10" s="1842"/>
      <c r="F10" s="1842"/>
      <c r="G10" s="1842"/>
      <c r="H10" s="1842"/>
      <c r="I10" s="1842"/>
      <c r="J10" s="1842"/>
      <c r="K10" s="1842"/>
      <c r="L10" s="1842"/>
      <c r="M10" s="1842"/>
      <c r="N10" s="1843"/>
    </row>
    <row r="11" spans="1:14" ht="15" customHeight="1">
      <c r="A11" s="759"/>
      <c r="B11" s="760"/>
      <c r="C11" s="759"/>
      <c r="D11" s="759"/>
      <c r="E11" s="1311"/>
      <c r="F11" s="759"/>
      <c r="G11" s="759"/>
      <c r="H11" s="278"/>
      <c r="I11" s="759"/>
      <c r="J11" s="759"/>
      <c r="K11" s="759"/>
      <c r="L11" s="759"/>
      <c r="M11" s="759"/>
      <c r="N11" s="759"/>
    </row>
    <row r="12" spans="1:14" s="339" customFormat="1" ht="12">
      <c r="A12" s="1080" t="s">
        <v>2181</v>
      </c>
      <c r="B12" s="1821" t="s">
        <v>60</v>
      </c>
      <c r="C12" s="1821"/>
      <c r="D12" s="1821"/>
      <c r="E12" s="1821"/>
      <c r="F12" s="1821"/>
      <c r="G12" s="1821"/>
      <c r="H12" s="1821"/>
      <c r="I12" s="1821"/>
      <c r="J12" s="1821"/>
      <c r="K12" s="761" t="s">
        <v>2182</v>
      </c>
      <c r="L12" s="1822">
        <f>95.05+21.39</f>
        <v>116.44</v>
      </c>
      <c r="M12" s="1822"/>
      <c r="N12" s="762">
        <v>0</v>
      </c>
    </row>
    <row r="13" spans="1:14" s="339" customFormat="1" ht="12.6" customHeight="1">
      <c r="A13" s="1797"/>
      <c r="B13" s="1797"/>
      <c r="C13" s="1797"/>
      <c r="D13" s="281" t="s">
        <v>2183</v>
      </c>
      <c r="E13" s="631" t="s">
        <v>2184</v>
      </c>
      <c r="F13" s="281" t="s">
        <v>2185</v>
      </c>
      <c r="G13" s="281" t="s">
        <v>2186</v>
      </c>
      <c r="H13" s="1823" t="s">
        <v>476</v>
      </c>
      <c r="I13" s="1509"/>
      <c r="J13" s="1509"/>
      <c r="K13" s="1509"/>
      <c r="L13" s="1509"/>
      <c r="M13" s="1509"/>
      <c r="N13" s="1509"/>
    </row>
    <row r="14" spans="1:14" s="339" customFormat="1" ht="12" customHeight="1">
      <c r="A14" s="1797"/>
      <c r="B14" s="1797"/>
      <c r="C14" s="1797"/>
      <c r="D14" s="375" t="s">
        <v>2187</v>
      </c>
      <c r="E14" s="1312" t="s">
        <v>2188</v>
      </c>
      <c r="F14" s="375" t="s">
        <v>2189</v>
      </c>
      <c r="G14" s="375" t="s">
        <v>2190</v>
      </c>
      <c r="H14" s="1823"/>
      <c r="I14" s="1509"/>
      <c r="J14" s="1509"/>
      <c r="K14" s="1509"/>
      <c r="L14" s="1509"/>
      <c r="M14" s="1509"/>
      <c r="N14" s="1509"/>
    </row>
    <row r="15" spans="1:14" s="339" customFormat="1" ht="12.6" customHeight="1">
      <c r="A15" s="1824" t="s">
        <v>2191</v>
      </c>
      <c r="B15" s="1825" t="s">
        <v>2192</v>
      </c>
      <c r="C15" s="1825"/>
      <c r="D15" s="200"/>
      <c r="E15" s="376"/>
      <c r="F15" s="376"/>
      <c r="G15" s="763"/>
      <c r="H15" s="764"/>
      <c r="I15" s="1509"/>
      <c r="J15" s="1509"/>
      <c r="K15" s="1509"/>
      <c r="L15" s="1509"/>
      <c r="M15" s="1509"/>
      <c r="N15" s="1509"/>
    </row>
    <row r="16" spans="1:14" s="339" customFormat="1" ht="12.6" customHeight="1">
      <c r="A16" s="1824"/>
      <c r="B16" s="1826" t="s">
        <v>2193</v>
      </c>
      <c r="C16" s="1826"/>
      <c r="D16" s="200">
        <v>15.49</v>
      </c>
      <c r="E16" s="376">
        <v>2.7</v>
      </c>
      <c r="F16" s="376">
        <v>0.15</v>
      </c>
      <c r="G16" s="765">
        <v>1</v>
      </c>
      <c r="H16" s="475">
        <f t="shared" ref="H16:H23" si="0">D16*E16*G16*F16</f>
        <v>6.2734499999999995</v>
      </c>
      <c r="I16" s="1509"/>
      <c r="J16" s="1509"/>
      <c r="K16" s="1509"/>
      <c r="L16" s="1509"/>
      <c r="M16" s="1509"/>
      <c r="N16" s="1509"/>
    </row>
    <row r="17" spans="1:14" s="339" customFormat="1" ht="12.6" customHeight="1">
      <c r="A17" s="1824"/>
      <c r="B17" s="1826" t="s">
        <v>2194</v>
      </c>
      <c r="C17" s="1826"/>
      <c r="D17" s="200">
        <v>16.89</v>
      </c>
      <c r="E17" s="376">
        <v>2.7</v>
      </c>
      <c r="F17" s="376">
        <v>0.15</v>
      </c>
      <c r="G17" s="765">
        <v>1</v>
      </c>
      <c r="H17" s="475">
        <f t="shared" si="0"/>
        <v>6.8404499999999997</v>
      </c>
      <c r="I17" s="1509"/>
      <c r="J17" s="1509"/>
      <c r="K17" s="1509"/>
      <c r="L17" s="1509"/>
      <c r="M17" s="1509"/>
      <c r="N17" s="1509"/>
    </row>
    <row r="18" spans="1:14" s="339" customFormat="1" ht="12.6" customHeight="1">
      <c r="A18" s="1824"/>
      <c r="B18" s="1826" t="s">
        <v>2195</v>
      </c>
      <c r="C18" s="1826"/>
      <c r="D18" s="200">
        <v>1.5</v>
      </c>
      <c r="E18" s="376">
        <v>2.7</v>
      </c>
      <c r="F18" s="376">
        <v>0.15</v>
      </c>
      <c r="G18" s="765">
        <v>1</v>
      </c>
      <c r="H18" s="475">
        <f t="shared" si="0"/>
        <v>0.60750000000000004</v>
      </c>
      <c r="I18" s="1509"/>
      <c r="J18" s="1509"/>
      <c r="K18" s="1509"/>
      <c r="L18" s="1509"/>
      <c r="M18" s="1509"/>
      <c r="N18" s="1509"/>
    </row>
    <row r="19" spans="1:14" s="339" customFormat="1" ht="12.6" customHeight="1">
      <c r="A19" s="1824"/>
      <c r="B19" s="1826" t="s">
        <v>2196</v>
      </c>
      <c r="C19" s="1826"/>
      <c r="D19" s="200">
        <v>12.74</v>
      </c>
      <c r="E19" s="376">
        <v>2.7</v>
      </c>
      <c r="F19" s="376">
        <v>0.15</v>
      </c>
      <c r="G19" s="765">
        <v>1</v>
      </c>
      <c r="H19" s="475">
        <f t="shared" si="0"/>
        <v>5.1597</v>
      </c>
      <c r="I19" s="1509"/>
      <c r="J19" s="1509"/>
      <c r="K19" s="1509"/>
      <c r="L19" s="1509"/>
      <c r="M19" s="1509"/>
      <c r="N19" s="1509"/>
    </row>
    <row r="20" spans="1:14" s="339" customFormat="1" ht="12.6" customHeight="1">
      <c r="A20" s="1824"/>
      <c r="B20" s="1826" t="s">
        <v>2197</v>
      </c>
      <c r="C20" s="1826"/>
      <c r="D20" s="200">
        <v>1.5</v>
      </c>
      <c r="E20" s="376">
        <v>2.7</v>
      </c>
      <c r="F20" s="376">
        <v>0.25</v>
      </c>
      <c r="G20" s="765">
        <v>1</v>
      </c>
      <c r="H20" s="475">
        <f t="shared" si="0"/>
        <v>1.0125000000000002</v>
      </c>
      <c r="I20" s="1509"/>
      <c r="J20" s="1509"/>
      <c r="K20" s="1509"/>
      <c r="L20" s="1509"/>
      <c r="M20" s="1509"/>
      <c r="N20" s="1509"/>
    </row>
    <row r="21" spans="1:14" s="339" customFormat="1" ht="12.6" customHeight="1">
      <c r="A21" s="1824"/>
      <c r="B21" s="1826"/>
      <c r="C21" s="1826"/>
      <c r="D21" s="200">
        <v>1.3</v>
      </c>
      <c r="E21" s="376">
        <v>2.7</v>
      </c>
      <c r="F21" s="376">
        <v>0.15</v>
      </c>
      <c r="G21" s="765">
        <v>1</v>
      </c>
      <c r="H21" s="475">
        <f t="shared" si="0"/>
        <v>0.52649999999999997</v>
      </c>
      <c r="I21" s="1509"/>
      <c r="J21" s="1509"/>
      <c r="K21" s="1509"/>
      <c r="L21" s="1509"/>
      <c r="M21" s="1509"/>
      <c r="N21" s="1509"/>
    </row>
    <row r="22" spans="1:14" s="339" customFormat="1" ht="12.6" customHeight="1">
      <c r="A22" s="1824"/>
      <c r="B22" s="1826" t="s">
        <v>2198</v>
      </c>
      <c r="C22" s="1826"/>
      <c r="D22" s="200">
        <v>4.7699999999999996</v>
      </c>
      <c r="E22" s="376">
        <v>2.7</v>
      </c>
      <c r="F22" s="376">
        <v>0.15</v>
      </c>
      <c r="G22" s="765">
        <v>1</v>
      </c>
      <c r="H22" s="764">
        <f t="shared" si="0"/>
        <v>1.9318499999999998</v>
      </c>
      <c r="I22" s="1509"/>
      <c r="J22" s="1509"/>
      <c r="K22" s="1509"/>
      <c r="L22" s="1509"/>
      <c r="M22" s="1509"/>
      <c r="N22" s="1509"/>
    </row>
    <row r="23" spans="1:14" s="339" customFormat="1" ht="12.6" customHeight="1">
      <c r="A23" s="1824"/>
      <c r="B23" s="1826" t="s">
        <v>2199</v>
      </c>
      <c r="C23" s="1826"/>
      <c r="D23" s="200">
        <v>7.4</v>
      </c>
      <c r="E23" s="376">
        <v>1.1000000000000001</v>
      </c>
      <c r="F23" s="376">
        <v>0.15</v>
      </c>
      <c r="G23" s="765">
        <v>1</v>
      </c>
      <c r="H23" s="764">
        <f t="shared" si="0"/>
        <v>1.2210000000000001</v>
      </c>
      <c r="I23" s="1509"/>
      <c r="J23" s="1509"/>
      <c r="K23" s="1509"/>
      <c r="L23" s="1509"/>
      <c r="M23" s="1509"/>
      <c r="N23" s="1509"/>
    </row>
    <row r="24" spans="1:14" s="339" customFormat="1" ht="12.6" customHeight="1">
      <c r="A24" s="1824"/>
      <c r="B24" s="1825" t="s">
        <v>2200</v>
      </c>
      <c r="C24" s="1825"/>
      <c r="D24" s="200"/>
      <c r="E24" s="376"/>
      <c r="F24" s="376"/>
      <c r="G24" s="763"/>
      <c r="H24" s="764"/>
      <c r="I24" s="1509"/>
      <c r="J24" s="1509"/>
      <c r="K24" s="1509"/>
      <c r="L24" s="1509"/>
      <c r="M24" s="1509"/>
      <c r="N24" s="1509"/>
    </row>
    <row r="25" spans="1:14" s="339" customFormat="1" ht="12.6" customHeight="1">
      <c r="A25" s="1824"/>
      <c r="B25" s="1826" t="s">
        <v>2201</v>
      </c>
      <c r="C25" s="1826"/>
      <c r="D25" s="200">
        <v>3.12</v>
      </c>
      <c r="E25" s="376">
        <v>1.2</v>
      </c>
      <c r="F25" s="376">
        <v>0.15</v>
      </c>
      <c r="G25" s="765">
        <v>1</v>
      </c>
      <c r="H25" s="764">
        <f t="shared" ref="H25:H32" si="1">D25*E25*G25*F25</f>
        <v>0.56159999999999999</v>
      </c>
      <c r="I25" s="1509"/>
      <c r="J25" s="1509"/>
      <c r="K25" s="1509"/>
      <c r="L25" s="1509"/>
      <c r="M25" s="1509"/>
      <c r="N25" s="1509"/>
    </row>
    <row r="26" spans="1:14" s="339" customFormat="1" ht="12.6" customHeight="1">
      <c r="A26" s="1824"/>
      <c r="B26" s="1826" t="s">
        <v>2202</v>
      </c>
      <c r="C26" s="1826"/>
      <c r="D26" s="200">
        <v>2.2200000000000002</v>
      </c>
      <c r="E26" s="376">
        <v>1.2</v>
      </c>
      <c r="F26" s="376">
        <v>0.15</v>
      </c>
      <c r="G26" s="765">
        <v>1</v>
      </c>
      <c r="H26" s="764">
        <f t="shared" si="1"/>
        <v>0.39960000000000001</v>
      </c>
      <c r="I26" s="1509"/>
      <c r="J26" s="1509"/>
      <c r="K26" s="1509"/>
      <c r="L26" s="1509"/>
      <c r="M26" s="1509"/>
      <c r="N26" s="1509"/>
    </row>
    <row r="27" spans="1:14" s="339" customFormat="1" ht="12.6" customHeight="1">
      <c r="A27" s="1824"/>
      <c r="B27" s="1826" t="s">
        <v>2203</v>
      </c>
      <c r="C27" s="1826"/>
      <c r="D27" s="200">
        <v>1.4</v>
      </c>
      <c r="E27" s="376">
        <v>2.7</v>
      </c>
      <c r="F27" s="376">
        <v>0.3</v>
      </c>
      <c r="G27" s="765">
        <v>1</v>
      </c>
      <c r="H27" s="764">
        <f t="shared" si="1"/>
        <v>1.1339999999999999</v>
      </c>
      <c r="I27" s="1509"/>
      <c r="J27" s="1509"/>
      <c r="K27" s="1509"/>
      <c r="L27" s="1509"/>
      <c r="M27" s="1509"/>
      <c r="N27" s="1509"/>
    </row>
    <row r="28" spans="1:14" s="339" customFormat="1" ht="12.6" customHeight="1">
      <c r="A28" s="1824"/>
      <c r="B28" s="1826" t="s">
        <v>2204</v>
      </c>
      <c r="C28" s="1826"/>
      <c r="D28" s="200">
        <v>4.1399999999999997</v>
      </c>
      <c r="E28" s="376">
        <v>2.7</v>
      </c>
      <c r="F28" s="376">
        <v>0.15</v>
      </c>
      <c r="G28" s="765">
        <v>1</v>
      </c>
      <c r="H28" s="764">
        <f t="shared" si="1"/>
        <v>1.6766999999999999</v>
      </c>
      <c r="I28" s="1509"/>
      <c r="J28" s="1509"/>
      <c r="K28" s="1509"/>
      <c r="L28" s="1509"/>
      <c r="M28" s="1509"/>
      <c r="N28" s="1509"/>
    </row>
    <row r="29" spans="1:14" s="339" customFormat="1" ht="12.6" customHeight="1">
      <c r="A29" s="1824"/>
      <c r="B29" s="1826" t="s">
        <v>2205</v>
      </c>
      <c r="C29" s="1826"/>
      <c r="D29" s="200">
        <v>0.6</v>
      </c>
      <c r="E29" s="376">
        <v>2.7</v>
      </c>
      <c r="F29" s="376">
        <v>0.15</v>
      </c>
      <c r="G29" s="765">
        <v>1</v>
      </c>
      <c r="H29" s="764">
        <f t="shared" si="1"/>
        <v>0.24299999999999999</v>
      </c>
      <c r="I29" s="1509"/>
      <c r="J29" s="1509"/>
      <c r="K29" s="1509"/>
      <c r="L29" s="1509"/>
      <c r="M29" s="1509"/>
      <c r="N29" s="1509"/>
    </row>
    <row r="30" spans="1:14" s="339" customFormat="1" ht="12.6" customHeight="1">
      <c r="A30" s="1824"/>
      <c r="B30" s="1826" t="s">
        <v>2206</v>
      </c>
      <c r="C30" s="1826"/>
      <c r="D30" s="200">
        <v>8.7200000000000006</v>
      </c>
      <c r="E30" s="376">
        <v>2.7</v>
      </c>
      <c r="F30" s="376">
        <v>0.2</v>
      </c>
      <c r="G30" s="765">
        <v>1</v>
      </c>
      <c r="H30" s="764">
        <f t="shared" si="1"/>
        <v>4.708800000000001</v>
      </c>
      <c r="I30" s="1509"/>
      <c r="J30" s="1509"/>
      <c r="K30" s="1509"/>
      <c r="L30" s="1509"/>
      <c r="M30" s="1509"/>
      <c r="N30" s="1509"/>
    </row>
    <row r="31" spans="1:14" s="339" customFormat="1" ht="12.6" customHeight="1">
      <c r="A31" s="1824"/>
      <c r="B31" s="1826" t="s">
        <v>2207</v>
      </c>
      <c r="C31" s="1826"/>
      <c r="D31" s="200">
        <v>6.15</v>
      </c>
      <c r="E31" s="376">
        <v>2.7</v>
      </c>
      <c r="F31" s="376">
        <v>0.15</v>
      </c>
      <c r="G31" s="765">
        <v>1</v>
      </c>
      <c r="H31" s="764">
        <f t="shared" si="1"/>
        <v>2.4907499999999998</v>
      </c>
      <c r="I31" s="1509"/>
      <c r="J31" s="1509"/>
      <c r="K31" s="1509"/>
      <c r="L31" s="1509"/>
      <c r="M31" s="1509"/>
      <c r="N31" s="1509"/>
    </row>
    <row r="32" spans="1:14" s="339" customFormat="1" ht="12.6" customHeight="1">
      <c r="A32" s="1824"/>
      <c r="B32" s="1826" t="s">
        <v>2208</v>
      </c>
      <c r="C32" s="1826"/>
      <c r="D32" s="200">
        <v>0.9</v>
      </c>
      <c r="E32" s="376">
        <v>0.7</v>
      </c>
      <c r="F32" s="376">
        <v>0.15</v>
      </c>
      <c r="G32" s="765">
        <v>1</v>
      </c>
      <c r="H32" s="764">
        <f t="shared" si="1"/>
        <v>9.4500000000000001E-2</v>
      </c>
      <c r="I32" s="1509"/>
      <c r="J32" s="1509"/>
      <c r="K32" s="1509"/>
      <c r="L32" s="1509"/>
      <c r="M32" s="1509"/>
      <c r="N32" s="1509"/>
    </row>
    <row r="33" spans="1:14" s="339" customFormat="1" ht="12.6" customHeight="1">
      <c r="A33" s="1824"/>
      <c r="B33" s="1825" t="s">
        <v>2209</v>
      </c>
      <c r="C33" s="1825"/>
      <c r="D33" s="200"/>
      <c r="E33" s="376"/>
      <c r="F33" s="376"/>
      <c r="G33" s="765"/>
      <c r="H33" s="764"/>
      <c r="I33" s="1509"/>
      <c r="J33" s="1509"/>
      <c r="K33" s="1509"/>
      <c r="L33" s="1509"/>
      <c r="M33" s="1509"/>
      <c r="N33" s="1509"/>
    </row>
    <row r="34" spans="1:14" s="339" customFormat="1" ht="12.6" customHeight="1">
      <c r="A34" s="1824"/>
      <c r="B34" s="1826" t="s">
        <v>2210</v>
      </c>
      <c r="C34" s="1826"/>
      <c r="D34" s="200">
        <f xml:space="preserve"> 2.83+0.5+12.39+7.95</f>
        <v>23.67</v>
      </c>
      <c r="E34" s="376">
        <v>1.85</v>
      </c>
      <c r="F34" s="376">
        <v>0.15</v>
      </c>
      <c r="G34" s="765">
        <v>1</v>
      </c>
      <c r="H34" s="764">
        <f>D34*E34*G34*F34</f>
        <v>6.5684250000000004</v>
      </c>
      <c r="I34" s="1509"/>
      <c r="J34" s="1509"/>
      <c r="K34" s="1509"/>
      <c r="L34" s="1509"/>
      <c r="M34" s="1509"/>
      <c r="N34" s="1509"/>
    </row>
    <row r="35" spans="1:14" s="339" customFormat="1" ht="12.6" customHeight="1">
      <c r="A35" s="1081"/>
      <c r="B35" s="1826"/>
      <c r="C35" s="1826"/>
      <c r="D35" s="200"/>
      <c r="E35" s="376"/>
      <c r="F35" s="376"/>
      <c r="G35" s="763"/>
      <c r="H35" s="764"/>
      <c r="I35" s="1509"/>
      <c r="J35" s="1509"/>
      <c r="K35" s="1509"/>
      <c r="L35" s="1509"/>
      <c r="M35" s="1509"/>
      <c r="N35" s="1509"/>
    </row>
    <row r="36" spans="1:14" s="339" customFormat="1" ht="12.6" customHeight="1">
      <c r="A36" s="1824" t="s">
        <v>2211</v>
      </c>
      <c r="B36" s="1825" t="s">
        <v>2212</v>
      </c>
      <c r="C36" s="1825"/>
      <c r="D36" s="200"/>
      <c r="E36" s="376"/>
      <c r="F36" s="376"/>
      <c r="G36" s="763"/>
      <c r="H36" s="764"/>
      <c r="I36" s="1509"/>
      <c r="J36" s="1509"/>
      <c r="K36" s="1509"/>
      <c r="L36" s="1509"/>
      <c r="M36" s="1509"/>
      <c r="N36" s="1509"/>
    </row>
    <row r="37" spans="1:14" s="339" customFormat="1" ht="12.6" customHeight="1">
      <c r="A37" s="1824"/>
      <c r="B37" s="1826" t="s">
        <v>2213</v>
      </c>
      <c r="C37" s="1826"/>
      <c r="D37" s="200">
        <v>26.8</v>
      </c>
      <c r="E37" s="376">
        <v>5.83</v>
      </c>
      <c r="F37" s="376">
        <v>0.15</v>
      </c>
      <c r="G37" s="765">
        <v>1</v>
      </c>
      <c r="H37" s="764">
        <f>D37*E37*F37*G37</f>
        <v>23.436599999999999</v>
      </c>
      <c r="I37" s="1509"/>
      <c r="J37" s="1509"/>
      <c r="K37" s="1509"/>
      <c r="L37" s="1509"/>
      <c r="M37" s="1509"/>
      <c r="N37" s="1509"/>
    </row>
    <row r="38" spans="1:14" s="339" customFormat="1" ht="12.6" customHeight="1">
      <c r="A38" s="1824"/>
      <c r="B38" s="1825" t="s">
        <v>2192</v>
      </c>
      <c r="C38" s="1825"/>
      <c r="D38" s="200"/>
      <c r="E38" s="376"/>
      <c r="F38" s="376"/>
      <c r="G38" s="763"/>
      <c r="H38" s="764"/>
      <c r="I38" s="1509"/>
      <c r="J38" s="1509"/>
      <c r="K38" s="1509"/>
      <c r="L38" s="1509"/>
      <c r="M38" s="1509"/>
      <c r="N38" s="1509"/>
    </row>
    <row r="39" spans="1:14" s="339" customFormat="1" ht="12.6" customHeight="1">
      <c r="A39" s="1824"/>
      <c r="B39" s="1826" t="s">
        <v>2214</v>
      </c>
      <c r="C39" s="1826"/>
      <c r="D39" s="200">
        <v>3.17</v>
      </c>
      <c r="E39" s="376">
        <v>3</v>
      </c>
      <c r="F39" s="376">
        <v>0.15</v>
      </c>
      <c r="G39" s="765">
        <v>1</v>
      </c>
      <c r="H39" s="764">
        <f>D39*E39*F39*G39</f>
        <v>1.4264999999999999</v>
      </c>
      <c r="I39" s="1509"/>
      <c r="J39" s="1509"/>
      <c r="K39" s="1509"/>
      <c r="L39" s="1509"/>
      <c r="M39" s="1509"/>
      <c r="N39" s="1509"/>
    </row>
    <row r="40" spans="1:14" s="339" customFormat="1" ht="12.6" customHeight="1">
      <c r="A40" s="1824"/>
      <c r="B40" s="1826" t="s">
        <v>2215</v>
      </c>
      <c r="C40" s="1826"/>
      <c r="D40" s="200">
        <v>6.39</v>
      </c>
      <c r="E40" s="376">
        <v>2.7</v>
      </c>
      <c r="F40" s="376">
        <v>0.15</v>
      </c>
      <c r="G40" s="765">
        <v>1</v>
      </c>
      <c r="H40" s="764">
        <f>D40*E40*F40*G40</f>
        <v>2.5879499999999998</v>
      </c>
      <c r="I40" s="1509"/>
      <c r="J40" s="1509"/>
      <c r="K40" s="1509"/>
      <c r="L40" s="1509"/>
      <c r="M40" s="1509"/>
      <c r="N40" s="1509"/>
    </row>
    <row r="41" spans="1:14" s="339" customFormat="1" ht="12.6" customHeight="1">
      <c r="A41" s="1824"/>
      <c r="B41" s="1825" t="s">
        <v>2200</v>
      </c>
      <c r="C41" s="1825"/>
      <c r="D41" s="200"/>
      <c r="E41" s="376"/>
      <c r="F41" s="376"/>
      <c r="G41" s="763"/>
      <c r="H41" s="764"/>
      <c r="I41" s="1509"/>
      <c r="J41" s="1509"/>
      <c r="K41" s="1509"/>
      <c r="L41" s="1509"/>
      <c r="M41" s="1509"/>
      <c r="N41" s="1509"/>
    </row>
    <row r="42" spans="1:14" s="339" customFormat="1" ht="12.6" customHeight="1">
      <c r="A42" s="1824"/>
      <c r="B42" s="1826" t="s">
        <v>2216</v>
      </c>
      <c r="C42" s="1826"/>
      <c r="D42" s="200">
        <v>65.849999999999994</v>
      </c>
      <c r="E42" s="376">
        <v>1.85</v>
      </c>
      <c r="F42" s="376">
        <v>0.15</v>
      </c>
      <c r="G42" s="765">
        <v>1</v>
      </c>
      <c r="H42" s="764">
        <f>D42*E42*F42*G42</f>
        <v>18.273374999999998</v>
      </c>
      <c r="I42" s="1509"/>
      <c r="J42" s="1509"/>
      <c r="K42" s="1509"/>
      <c r="L42" s="1509"/>
      <c r="M42" s="1509"/>
      <c r="N42" s="1509"/>
    </row>
    <row r="43" spans="1:14" s="339" customFormat="1" ht="12.6" customHeight="1">
      <c r="A43" s="1824"/>
      <c r="B43" s="1826" t="s">
        <v>2217</v>
      </c>
      <c r="C43" s="1826"/>
      <c r="D43" s="200">
        <v>20.2</v>
      </c>
      <c r="E43" s="376">
        <v>3.1</v>
      </c>
      <c r="F43" s="376">
        <v>0.15</v>
      </c>
      <c r="G43" s="765">
        <v>1</v>
      </c>
      <c r="H43" s="764">
        <f>D43*E43*F43*G43</f>
        <v>9.3929999999999989</v>
      </c>
      <c r="I43" s="1509"/>
      <c r="J43" s="1509"/>
      <c r="K43" s="1509"/>
      <c r="L43" s="1509"/>
      <c r="M43" s="1509"/>
      <c r="N43" s="1509"/>
    </row>
    <row r="44" spans="1:14" s="339" customFormat="1" ht="12.6" customHeight="1">
      <c r="A44" s="1824"/>
      <c r="B44" s="1826"/>
      <c r="C44" s="1826"/>
      <c r="D44" s="200">
        <v>12.4</v>
      </c>
      <c r="E44" s="376">
        <v>1.5</v>
      </c>
      <c r="F44" s="376">
        <v>0.3</v>
      </c>
      <c r="G44" s="765">
        <v>1</v>
      </c>
      <c r="H44" s="764">
        <f>D44*E44*F44*G44</f>
        <v>5.58</v>
      </c>
      <c r="I44" s="1509"/>
      <c r="J44" s="1509"/>
      <c r="K44" s="1509"/>
      <c r="L44" s="1509"/>
      <c r="M44" s="1509"/>
      <c r="N44" s="1509"/>
    </row>
    <row r="45" spans="1:14" s="339" customFormat="1" ht="12.6" customHeight="1">
      <c r="A45" s="1824" t="s">
        <v>3728</v>
      </c>
      <c r="B45" s="1039" t="s">
        <v>2914</v>
      </c>
      <c r="C45" s="785"/>
      <c r="D45" s="1039"/>
      <c r="E45" s="1039"/>
      <c r="F45" s="1039"/>
      <c r="G45" s="765"/>
      <c r="H45" s="764"/>
      <c r="I45" s="1509"/>
      <c r="J45" s="1509"/>
      <c r="K45" s="1509"/>
      <c r="L45" s="1509"/>
      <c r="M45" s="1509"/>
      <c r="N45" s="1509"/>
    </row>
    <row r="46" spans="1:14" s="339" customFormat="1" ht="12.6" customHeight="1">
      <c r="A46" s="1824"/>
      <c r="B46" s="1043" t="s">
        <v>3718</v>
      </c>
      <c r="C46" s="785"/>
      <c r="D46" s="1040">
        <v>5.0999999999999996</v>
      </c>
      <c r="E46" s="1038">
        <v>2</v>
      </c>
      <c r="F46" s="1042">
        <v>0.15</v>
      </c>
      <c r="G46" s="765">
        <v>1</v>
      </c>
      <c r="H46" s="764">
        <f t="shared" ref="H46:H59" si="2">D46*E46*F46*G46</f>
        <v>1.5299999999999998</v>
      </c>
      <c r="I46" s="1509"/>
      <c r="J46" s="1509"/>
      <c r="K46" s="1509"/>
      <c r="L46" s="1509"/>
      <c r="M46" s="1509"/>
      <c r="N46" s="1509"/>
    </row>
    <row r="47" spans="1:14" s="339" customFormat="1" ht="12.6" customHeight="1">
      <c r="A47" s="1824"/>
      <c r="B47" s="1043" t="s">
        <v>3719</v>
      </c>
      <c r="C47" s="785"/>
      <c r="D47" s="1040">
        <v>3.14</v>
      </c>
      <c r="E47" s="1038">
        <v>2</v>
      </c>
      <c r="F47" s="1040">
        <v>0.15</v>
      </c>
      <c r="G47" s="765">
        <v>1</v>
      </c>
      <c r="H47" s="764">
        <f t="shared" si="2"/>
        <v>0.94199999999999995</v>
      </c>
      <c r="I47" s="1509"/>
      <c r="J47" s="1509"/>
      <c r="K47" s="1509"/>
      <c r="L47" s="1509"/>
      <c r="M47" s="1509"/>
      <c r="N47" s="1509"/>
    </row>
    <row r="48" spans="1:14" s="339" customFormat="1" ht="12.6" customHeight="1">
      <c r="A48" s="1824"/>
      <c r="B48" s="1043" t="s">
        <v>3095</v>
      </c>
      <c r="C48" s="785"/>
      <c r="D48" s="1040">
        <v>3.9899999999999998</v>
      </c>
      <c r="E48" s="1038">
        <v>1.8</v>
      </c>
      <c r="F48" s="1040">
        <v>0.15</v>
      </c>
      <c r="G48" s="765">
        <v>1</v>
      </c>
      <c r="H48" s="764">
        <f t="shared" si="2"/>
        <v>1.0772999999999999</v>
      </c>
      <c r="I48" s="1509"/>
      <c r="J48" s="1509"/>
      <c r="K48" s="1509"/>
      <c r="L48" s="1509"/>
      <c r="M48" s="1509"/>
      <c r="N48" s="1509"/>
    </row>
    <row r="49" spans="1:14" s="339" customFormat="1" ht="12.6" customHeight="1">
      <c r="A49" s="1824"/>
      <c r="B49" s="1044" t="s">
        <v>3720</v>
      </c>
      <c r="C49" s="785"/>
      <c r="D49" s="1040">
        <v>3.4999999999999996</v>
      </c>
      <c r="E49" s="1038">
        <v>3.13</v>
      </c>
      <c r="F49" s="1042">
        <v>0.15</v>
      </c>
      <c r="G49" s="765">
        <v>1</v>
      </c>
      <c r="H49" s="764">
        <f t="shared" si="2"/>
        <v>1.6432499999999997</v>
      </c>
      <c r="I49" s="1509"/>
      <c r="J49" s="1509"/>
      <c r="K49" s="1509"/>
      <c r="L49" s="1509"/>
      <c r="M49" s="1509"/>
      <c r="N49" s="1509"/>
    </row>
    <row r="50" spans="1:14" s="339" customFormat="1" ht="12.6" customHeight="1">
      <c r="A50" s="1824"/>
      <c r="B50" s="1039" t="s">
        <v>3524</v>
      </c>
      <c r="C50" s="785"/>
      <c r="D50" s="1039"/>
      <c r="E50" s="1039"/>
      <c r="F50" s="1039"/>
      <c r="G50" s="765"/>
      <c r="H50" s="764"/>
      <c r="I50" s="1509"/>
      <c r="J50" s="1509"/>
      <c r="K50" s="1509"/>
      <c r="L50" s="1509"/>
      <c r="M50" s="1509"/>
      <c r="N50" s="1509"/>
    </row>
    <row r="51" spans="1:14" s="339" customFormat="1" ht="12.6" customHeight="1">
      <c r="A51" s="1824"/>
      <c r="B51" s="1041" t="s">
        <v>3721</v>
      </c>
      <c r="C51" s="785"/>
      <c r="D51" s="1045">
        <v>3.0399999999999996</v>
      </c>
      <c r="E51" s="1042">
        <v>2.9</v>
      </c>
      <c r="F51" s="1042">
        <v>0.15</v>
      </c>
      <c r="G51" s="765">
        <v>1</v>
      </c>
      <c r="H51" s="764">
        <f t="shared" si="2"/>
        <v>1.3223999999999998</v>
      </c>
      <c r="I51" s="1509"/>
      <c r="J51" s="1509"/>
      <c r="K51" s="1509"/>
      <c r="L51" s="1509"/>
      <c r="M51" s="1509"/>
      <c r="N51" s="1509"/>
    </row>
    <row r="52" spans="1:14" s="339" customFormat="1" ht="12.6" customHeight="1">
      <c r="A52" s="1824"/>
      <c r="B52" s="1046" t="s">
        <v>3722</v>
      </c>
      <c r="C52" s="785"/>
      <c r="D52" s="1047">
        <v>1.1000000000000001</v>
      </c>
      <c r="E52" s="1042">
        <v>2.9</v>
      </c>
      <c r="F52" s="1042">
        <v>0.15</v>
      </c>
      <c r="G52" s="765">
        <v>1</v>
      </c>
      <c r="H52" s="764">
        <f t="shared" si="2"/>
        <v>0.47849999999999998</v>
      </c>
      <c r="I52" s="1509"/>
      <c r="J52" s="1509"/>
      <c r="K52" s="1509"/>
      <c r="L52" s="1509"/>
      <c r="M52" s="1509"/>
      <c r="N52" s="1509"/>
    </row>
    <row r="53" spans="1:14" s="339" customFormat="1" ht="12.6" customHeight="1">
      <c r="A53" s="1824"/>
      <c r="B53" s="1836" t="s">
        <v>3723</v>
      </c>
      <c r="C53" s="785"/>
      <c r="D53" s="1047">
        <v>2.25</v>
      </c>
      <c r="E53" s="1042">
        <v>2.9</v>
      </c>
      <c r="F53" s="1042">
        <v>0.15</v>
      </c>
      <c r="G53" s="765">
        <v>1</v>
      </c>
      <c r="H53" s="764">
        <f t="shared" si="2"/>
        <v>0.9787499999999999</v>
      </c>
      <c r="I53" s="1509"/>
      <c r="J53" s="1509"/>
      <c r="K53" s="1509"/>
      <c r="L53" s="1509"/>
      <c r="M53" s="1509"/>
      <c r="N53" s="1509"/>
    </row>
    <row r="54" spans="1:14" s="339" customFormat="1" ht="12.6" customHeight="1">
      <c r="A54" s="1824"/>
      <c r="B54" s="1836"/>
      <c r="C54" s="785"/>
      <c r="D54" s="1047">
        <v>2.23</v>
      </c>
      <c r="E54" s="1042">
        <v>2.9</v>
      </c>
      <c r="F54" s="1042">
        <v>0.15</v>
      </c>
      <c r="G54" s="765">
        <v>1</v>
      </c>
      <c r="H54" s="764">
        <f t="shared" si="2"/>
        <v>0.97004999999999986</v>
      </c>
      <c r="I54" s="1509"/>
      <c r="J54" s="1509"/>
      <c r="K54" s="1509"/>
      <c r="L54" s="1509"/>
      <c r="M54" s="1509"/>
      <c r="N54" s="1509"/>
    </row>
    <row r="55" spans="1:14" s="339" customFormat="1" ht="12.6" customHeight="1">
      <c r="A55" s="1824"/>
      <c r="B55" s="1046" t="s">
        <v>3724</v>
      </c>
      <c r="C55" s="785"/>
      <c r="D55" s="1047">
        <v>1.8</v>
      </c>
      <c r="E55" s="1042">
        <v>2.9</v>
      </c>
      <c r="F55" s="1042">
        <v>0.15</v>
      </c>
      <c r="G55" s="765">
        <v>1</v>
      </c>
      <c r="H55" s="764">
        <f t="shared" si="2"/>
        <v>0.78299999999999992</v>
      </c>
      <c r="I55" s="1509"/>
      <c r="J55" s="1509"/>
      <c r="K55" s="1509"/>
      <c r="L55" s="1509"/>
      <c r="M55" s="1509"/>
      <c r="N55" s="1509"/>
    </row>
    <row r="56" spans="1:14" s="339" customFormat="1" ht="12.6" customHeight="1">
      <c r="A56" s="1824"/>
      <c r="B56" s="1046" t="s">
        <v>3724</v>
      </c>
      <c r="C56" s="785"/>
      <c r="D56" s="1047">
        <v>1.8</v>
      </c>
      <c r="E56" s="1042">
        <v>2.9</v>
      </c>
      <c r="F56" s="1042">
        <v>0.15</v>
      </c>
      <c r="G56" s="765">
        <v>1</v>
      </c>
      <c r="H56" s="764">
        <f t="shared" si="2"/>
        <v>0.78299999999999992</v>
      </c>
      <c r="I56" s="1509"/>
      <c r="J56" s="1509"/>
      <c r="K56" s="1509"/>
      <c r="L56" s="1509"/>
      <c r="M56" s="1509"/>
      <c r="N56" s="1509"/>
    </row>
    <row r="57" spans="1:14" s="339" customFormat="1" ht="12.6" customHeight="1">
      <c r="A57" s="1824"/>
      <c r="B57" s="1043" t="s">
        <v>3725</v>
      </c>
      <c r="C57" s="785"/>
      <c r="D57" s="1042">
        <v>4.8</v>
      </c>
      <c r="E57" s="1048">
        <v>1.85</v>
      </c>
      <c r="F57" s="1042">
        <v>0.15</v>
      </c>
      <c r="G57" s="765">
        <v>1</v>
      </c>
      <c r="H57" s="764">
        <f t="shared" si="2"/>
        <v>1.3320000000000001</v>
      </c>
      <c r="I57" s="1509"/>
      <c r="J57" s="1509"/>
      <c r="K57" s="1509"/>
      <c r="L57" s="1509"/>
      <c r="M57" s="1509"/>
      <c r="N57" s="1509"/>
    </row>
    <row r="58" spans="1:14" s="339" customFormat="1" ht="12.6" customHeight="1">
      <c r="A58" s="1824"/>
      <c r="B58" s="1043" t="s">
        <v>3726</v>
      </c>
      <c r="C58" s="785"/>
      <c r="D58" s="1042">
        <v>20</v>
      </c>
      <c r="E58" s="1048">
        <v>3.1</v>
      </c>
      <c r="F58" s="1042">
        <v>0.15</v>
      </c>
      <c r="G58" s="765">
        <v>1</v>
      </c>
      <c r="H58" s="764">
        <f t="shared" si="2"/>
        <v>9.2999999999999989</v>
      </c>
      <c r="I58" s="1509"/>
      <c r="J58" s="1509"/>
      <c r="K58" s="1509"/>
      <c r="L58" s="1509"/>
      <c r="M58" s="1509"/>
      <c r="N58" s="1509"/>
    </row>
    <row r="59" spans="1:14" s="339" customFormat="1" ht="12.6" customHeight="1">
      <c r="A59" s="1824"/>
      <c r="B59" s="1043" t="s">
        <v>3727</v>
      </c>
      <c r="C59" s="785"/>
      <c r="D59" s="1042">
        <v>0.8</v>
      </c>
      <c r="E59" s="1048">
        <v>2.1</v>
      </c>
      <c r="F59" s="1042">
        <v>0.15</v>
      </c>
      <c r="G59" s="765">
        <v>1</v>
      </c>
      <c r="H59" s="764">
        <f t="shared" si="2"/>
        <v>0.252</v>
      </c>
      <c r="I59" s="1509"/>
      <c r="J59" s="1509"/>
      <c r="K59" s="1509"/>
      <c r="L59" s="1509"/>
      <c r="M59" s="1509"/>
      <c r="N59" s="1509"/>
    </row>
    <row r="60" spans="1:14" s="339" customFormat="1" ht="12.6" customHeight="1">
      <c r="A60" s="1082"/>
      <c r="B60" s="785"/>
      <c r="C60" s="785"/>
      <c r="D60" s="200"/>
      <c r="E60" s="376"/>
      <c r="F60" s="376"/>
      <c r="G60" s="765"/>
      <c r="H60" s="764"/>
      <c r="I60" s="1509"/>
      <c r="J60" s="1509"/>
      <c r="K60" s="1509"/>
      <c r="L60" s="1509"/>
      <c r="M60" s="1509"/>
      <c r="N60" s="1509"/>
    </row>
    <row r="61" spans="1:14" s="339" customFormat="1" ht="12.6" customHeight="1">
      <c r="A61" s="1823" t="s">
        <v>2218</v>
      </c>
      <c r="B61" s="1823"/>
      <c r="C61" s="1823"/>
      <c r="D61" s="1823"/>
      <c r="E61" s="1823"/>
      <c r="F61" s="1823"/>
      <c r="G61" s="1823"/>
      <c r="H61" s="766">
        <f>SUM(H15:H60)</f>
        <v>123.53999999999998</v>
      </c>
      <c r="I61" s="1509"/>
      <c r="J61" s="1509"/>
      <c r="K61" s="1509"/>
      <c r="L61" s="1509"/>
      <c r="M61" s="1509"/>
      <c r="N61" s="1509"/>
    </row>
    <row r="62" spans="1:14" s="339" customFormat="1" ht="12.6" customHeight="1">
      <c r="A62" s="1650" t="s">
        <v>2219</v>
      </c>
      <c r="B62" s="1650"/>
      <c r="C62" s="1650"/>
      <c r="D62" s="1650"/>
      <c r="E62" s="1650"/>
      <c r="F62" s="1650"/>
      <c r="G62" s="1650"/>
      <c r="H62" s="767">
        <f>SUM(H16:H44)</f>
        <v>102.14775</v>
      </c>
      <c r="I62" s="1509"/>
      <c r="J62" s="1509"/>
      <c r="K62" s="1509"/>
      <c r="L62" s="1509"/>
      <c r="M62" s="1509"/>
      <c r="N62" s="1509"/>
    </row>
    <row r="63" spans="1:14" s="339" customFormat="1" ht="12.6" customHeight="1">
      <c r="A63" s="1650" t="s">
        <v>2220</v>
      </c>
      <c r="B63" s="1650"/>
      <c r="C63" s="1650"/>
      <c r="D63" s="1650"/>
      <c r="E63" s="1650"/>
      <c r="F63" s="1650"/>
      <c r="G63" s="1650"/>
      <c r="H63" s="217">
        <f>H61-H62</f>
        <v>21.392249999999976</v>
      </c>
      <c r="I63" s="1509"/>
      <c r="J63" s="1509"/>
      <c r="K63" s="1509"/>
      <c r="L63" s="1509"/>
      <c r="M63" s="1509"/>
      <c r="N63" s="1509"/>
    </row>
    <row r="64" spans="1:14" s="339" customFormat="1" ht="12.6" customHeight="1">
      <c r="A64" s="1797"/>
      <c r="B64" s="1797"/>
      <c r="C64" s="1797"/>
      <c r="D64" s="1797"/>
      <c r="E64" s="1797"/>
      <c r="F64" s="1797"/>
      <c r="G64" s="1797"/>
      <c r="H64" s="1797"/>
      <c r="I64" s="1797"/>
      <c r="J64" s="1797"/>
      <c r="K64" s="1797"/>
      <c r="L64" s="1797"/>
      <c r="M64" s="1797"/>
      <c r="N64" s="1797"/>
    </row>
    <row r="65" spans="1:14" s="339" customFormat="1" ht="12.6" hidden="1" customHeight="1">
      <c r="A65" s="1080" t="s">
        <v>2221</v>
      </c>
      <c r="B65" s="1821" t="s">
        <v>537</v>
      </c>
      <c r="C65" s="1821"/>
      <c r="D65" s="1821"/>
      <c r="E65" s="1821"/>
      <c r="F65" s="1821"/>
      <c r="G65" s="1821"/>
      <c r="H65" s="1821"/>
      <c r="I65" s="1821"/>
      <c r="J65" s="1821"/>
      <c r="K65" s="761" t="s">
        <v>2222</v>
      </c>
      <c r="L65" s="1822">
        <v>406.26</v>
      </c>
      <c r="M65" s="1822"/>
      <c r="N65" s="762">
        <f>L65-H85</f>
        <v>-5.5094000000000278</v>
      </c>
    </row>
    <row r="66" spans="1:14" s="339" customFormat="1" ht="12.6" hidden="1" customHeight="1">
      <c r="A66" s="1797"/>
      <c r="B66" s="1797"/>
      <c r="C66" s="1797"/>
      <c r="D66" s="281" t="s">
        <v>2183</v>
      </c>
      <c r="E66" s="631" t="s">
        <v>2184</v>
      </c>
      <c r="F66" s="281" t="s">
        <v>2185</v>
      </c>
      <c r="G66" s="281" t="s">
        <v>2186</v>
      </c>
      <c r="H66" s="1823" t="s">
        <v>476</v>
      </c>
      <c r="I66" s="1509"/>
      <c r="J66" s="1509"/>
      <c r="K66" s="1509"/>
      <c r="L66" s="1509"/>
      <c r="M66" s="1509"/>
      <c r="N66" s="1509"/>
    </row>
    <row r="67" spans="1:14" s="339" customFormat="1" ht="12" hidden="1" customHeight="1">
      <c r="A67" s="1797"/>
      <c r="B67" s="1797"/>
      <c r="C67" s="1797"/>
      <c r="D67" s="375" t="s">
        <v>2187</v>
      </c>
      <c r="E67" s="1312" t="s">
        <v>2188</v>
      </c>
      <c r="F67" s="375" t="s">
        <v>2189</v>
      </c>
      <c r="G67" s="375" t="s">
        <v>2190</v>
      </c>
      <c r="H67" s="1823"/>
      <c r="I67" s="1509"/>
      <c r="J67" s="1509"/>
      <c r="K67" s="1509"/>
      <c r="L67" s="1509"/>
      <c r="M67" s="1509"/>
      <c r="N67" s="1509"/>
    </row>
    <row r="68" spans="1:14" s="339" customFormat="1" ht="12.6" hidden="1" customHeight="1">
      <c r="A68" s="1824"/>
      <c r="B68" s="1825" t="s">
        <v>2192</v>
      </c>
      <c r="C68" s="1825"/>
      <c r="D68" s="200"/>
      <c r="E68" s="376"/>
      <c r="F68" s="376"/>
      <c r="G68" s="763"/>
      <c r="H68" s="764"/>
      <c r="I68" s="1509"/>
      <c r="J68" s="1509"/>
      <c r="K68" s="1509"/>
      <c r="L68" s="1509"/>
      <c r="M68" s="1509"/>
      <c r="N68" s="1509"/>
    </row>
    <row r="69" spans="1:14" s="339" customFormat="1" ht="12.6" hidden="1" customHeight="1">
      <c r="A69" s="1824"/>
      <c r="B69" s="1827" t="s">
        <v>2223</v>
      </c>
      <c r="C69" s="1827"/>
      <c r="D69" s="200">
        <v>19.739999999999998</v>
      </c>
      <c r="E69" s="376">
        <v>2.76</v>
      </c>
      <c r="F69" s="376"/>
      <c r="G69" s="765">
        <v>1</v>
      </c>
      <c r="H69" s="475">
        <f t="shared" ref="H69:H80" si="3">D69*E69*G69</f>
        <v>54.482399999999991</v>
      </c>
      <c r="I69" s="1509"/>
      <c r="J69" s="1509"/>
      <c r="K69" s="1509"/>
      <c r="L69" s="1509"/>
      <c r="M69" s="1509"/>
      <c r="N69" s="1509"/>
    </row>
    <row r="70" spans="1:14" s="339" customFormat="1" ht="12.6" hidden="1" customHeight="1">
      <c r="A70" s="1824"/>
      <c r="B70" s="1827" t="s">
        <v>2224</v>
      </c>
      <c r="C70" s="1827"/>
      <c r="D70" s="200">
        <v>1.9</v>
      </c>
      <c r="E70" s="376">
        <v>2.9</v>
      </c>
      <c r="F70" s="376"/>
      <c r="G70" s="765">
        <v>2</v>
      </c>
      <c r="H70" s="475">
        <f t="shared" si="3"/>
        <v>11.02</v>
      </c>
      <c r="I70" s="1509"/>
      <c r="J70" s="1509"/>
      <c r="K70" s="1509"/>
      <c r="L70" s="1509"/>
      <c r="M70" s="1509"/>
      <c r="N70" s="1509"/>
    </row>
    <row r="71" spans="1:14" s="339" customFormat="1" ht="12.6" hidden="1" customHeight="1">
      <c r="A71" s="1824"/>
      <c r="B71" s="1827" t="s">
        <v>2225</v>
      </c>
      <c r="C71" s="1827"/>
      <c r="D71" s="200">
        <v>2.2999999999999998</v>
      </c>
      <c r="E71" s="376">
        <v>2.9</v>
      </c>
      <c r="F71" s="376"/>
      <c r="G71" s="765">
        <v>1</v>
      </c>
      <c r="H71" s="475">
        <f t="shared" si="3"/>
        <v>6.669999999999999</v>
      </c>
      <c r="I71" s="1509"/>
      <c r="J71" s="1509"/>
      <c r="K71" s="1509"/>
      <c r="L71" s="1509"/>
      <c r="M71" s="1509"/>
      <c r="N71" s="1509"/>
    </row>
    <row r="72" spans="1:14" s="339" customFormat="1" ht="12.6" hidden="1" customHeight="1">
      <c r="A72" s="1824"/>
      <c r="B72" s="1833" t="s">
        <v>2226</v>
      </c>
      <c r="C72" s="1833"/>
      <c r="D72" s="200">
        <v>2.52</v>
      </c>
      <c r="E72" s="376">
        <v>2.9</v>
      </c>
      <c r="F72" s="376"/>
      <c r="G72" s="765">
        <v>1</v>
      </c>
      <c r="H72" s="475">
        <f t="shared" si="3"/>
        <v>7.3079999999999998</v>
      </c>
      <c r="I72" s="1509"/>
      <c r="J72" s="1509"/>
      <c r="K72" s="1509"/>
      <c r="L72" s="1509"/>
      <c r="M72" s="1509"/>
      <c r="N72" s="1509"/>
    </row>
    <row r="73" spans="1:14" s="339" customFormat="1" ht="12.6" hidden="1" customHeight="1">
      <c r="A73" s="1824"/>
      <c r="B73" s="1833" t="s">
        <v>2227</v>
      </c>
      <c r="C73" s="1833"/>
      <c r="D73" s="200">
        <f>1.9+1.9+1.35</f>
        <v>5.15</v>
      </c>
      <c r="E73" s="376">
        <v>2.7</v>
      </c>
      <c r="F73" s="200"/>
      <c r="G73" s="765">
        <v>1</v>
      </c>
      <c r="H73" s="475">
        <f t="shared" si="3"/>
        <v>13.905000000000001</v>
      </c>
      <c r="I73" s="1509"/>
      <c r="J73" s="1509"/>
      <c r="K73" s="1509"/>
      <c r="L73" s="1509"/>
      <c r="M73" s="1509"/>
      <c r="N73" s="1509"/>
    </row>
    <row r="74" spans="1:14" s="339" customFormat="1" ht="12.6" hidden="1" customHeight="1">
      <c r="A74" s="1824"/>
      <c r="B74" s="1827" t="s">
        <v>2228</v>
      </c>
      <c r="C74" s="1827"/>
      <c r="D74" s="200">
        <f>1.95+1.95+1.35</f>
        <v>5.25</v>
      </c>
      <c r="E74" s="376">
        <v>2.7</v>
      </c>
      <c r="F74" s="200"/>
      <c r="G74" s="765">
        <v>1</v>
      </c>
      <c r="H74" s="475">
        <f t="shared" si="3"/>
        <v>14.175000000000001</v>
      </c>
      <c r="I74" s="1509"/>
      <c r="J74" s="1509"/>
      <c r="K74" s="1509"/>
      <c r="L74" s="1509"/>
      <c r="M74" s="1509"/>
      <c r="N74" s="1509"/>
    </row>
    <row r="75" spans="1:14" s="339" customFormat="1" ht="12.6" hidden="1" customHeight="1">
      <c r="A75" s="1824"/>
      <c r="B75" s="1827" t="s">
        <v>2229</v>
      </c>
      <c r="C75" s="1827"/>
      <c r="D75" s="200">
        <f>3.2+3.95</f>
        <v>7.15</v>
      </c>
      <c r="E75" s="376">
        <v>2.7</v>
      </c>
      <c r="F75" s="200"/>
      <c r="G75" s="765">
        <v>1</v>
      </c>
      <c r="H75" s="475">
        <f t="shared" si="3"/>
        <v>19.305000000000003</v>
      </c>
      <c r="I75" s="1509"/>
      <c r="J75" s="1509"/>
      <c r="K75" s="1509"/>
      <c r="L75" s="1509"/>
      <c r="M75" s="1509"/>
      <c r="N75" s="1509"/>
    </row>
    <row r="76" spans="1:14" s="339" customFormat="1" ht="12.6" hidden="1" customHeight="1">
      <c r="A76" s="1824"/>
      <c r="B76" s="1827" t="s">
        <v>2230</v>
      </c>
      <c r="C76" s="1827"/>
      <c r="D76" s="200">
        <f>2.52+4.69+4.2</f>
        <v>11.41</v>
      </c>
      <c r="E76" s="376">
        <v>2.7</v>
      </c>
      <c r="F76" s="200"/>
      <c r="G76" s="765">
        <v>1</v>
      </c>
      <c r="H76" s="475">
        <f t="shared" si="3"/>
        <v>30.807000000000002</v>
      </c>
      <c r="I76" s="1509"/>
      <c r="J76" s="1509"/>
      <c r="K76" s="1509"/>
      <c r="L76" s="1509"/>
      <c r="M76" s="1509"/>
      <c r="N76" s="1509"/>
    </row>
    <row r="77" spans="1:14" s="339" customFormat="1" ht="12.6" hidden="1" customHeight="1">
      <c r="A77" s="1824"/>
      <c r="B77" s="1827" t="s">
        <v>2231</v>
      </c>
      <c r="C77" s="1827"/>
      <c r="D77" s="200">
        <f>1.5</f>
        <v>1.5</v>
      </c>
      <c r="E77" s="376">
        <v>2.7</v>
      </c>
      <c r="F77" s="200"/>
      <c r="G77" s="765">
        <v>1</v>
      </c>
      <c r="H77" s="475">
        <f t="shared" si="3"/>
        <v>4.0500000000000007</v>
      </c>
      <c r="I77" s="1509"/>
      <c r="J77" s="1509"/>
      <c r="K77" s="1509"/>
      <c r="L77" s="1509"/>
      <c r="M77" s="1509"/>
      <c r="N77" s="1509"/>
    </row>
    <row r="78" spans="1:14" s="339" customFormat="1" ht="12.6" hidden="1" customHeight="1">
      <c r="A78" s="1824"/>
      <c r="B78" s="1827" t="s">
        <v>2232</v>
      </c>
      <c r="C78" s="1827"/>
      <c r="D78" s="200">
        <f>3.95+3.69</f>
        <v>7.6400000000000006</v>
      </c>
      <c r="E78" s="376">
        <v>2.7</v>
      </c>
      <c r="F78" s="200"/>
      <c r="G78" s="765">
        <v>1</v>
      </c>
      <c r="H78" s="475">
        <f t="shared" si="3"/>
        <v>20.628000000000004</v>
      </c>
      <c r="I78" s="1509"/>
      <c r="J78" s="1509"/>
      <c r="K78" s="1509"/>
      <c r="L78" s="1509"/>
      <c r="M78" s="1509"/>
      <c r="N78" s="1509"/>
    </row>
    <row r="79" spans="1:14" s="339" customFormat="1" ht="12.6" hidden="1" customHeight="1">
      <c r="A79" s="1824"/>
      <c r="B79" s="1827" t="s">
        <v>2233</v>
      </c>
      <c r="C79" s="1827"/>
      <c r="D79" s="200">
        <f>4.25+3.68</f>
        <v>7.93</v>
      </c>
      <c r="E79" s="376">
        <v>2.7</v>
      </c>
      <c r="F79" s="200"/>
      <c r="G79" s="765">
        <v>1</v>
      </c>
      <c r="H79" s="475">
        <f t="shared" si="3"/>
        <v>21.411000000000001</v>
      </c>
      <c r="I79" s="1509"/>
      <c r="J79" s="1509"/>
      <c r="K79" s="1509"/>
      <c r="L79" s="1509"/>
      <c r="M79" s="1509"/>
      <c r="N79" s="1509"/>
    </row>
    <row r="80" spans="1:14" s="339" customFormat="1" ht="12.6" hidden="1" customHeight="1">
      <c r="A80" s="1824"/>
      <c r="B80" s="1827" t="s">
        <v>2234</v>
      </c>
      <c r="C80" s="1827"/>
      <c r="D80" s="200">
        <f>3.95+3.53</f>
        <v>7.48</v>
      </c>
      <c r="E80" s="376">
        <v>2.7</v>
      </c>
      <c r="F80" s="200"/>
      <c r="G80" s="765">
        <v>1</v>
      </c>
      <c r="H80" s="475">
        <f t="shared" si="3"/>
        <v>20.196000000000002</v>
      </c>
      <c r="I80" s="1509"/>
      <c r="J80" s="1509"/>
      <c r="K80" s="1509"/>
      <c r="L80" s="1509"/>
      <c r="M80" s="1509"/>
      <c r="N80" s="1509"/>
    </row>
    <row r="81" spans="1:14" s="339" customFormat="1" ht="12.6" hidden="1" customHeight="1">
      <c r="A81" s="1824"/>
      <c r="B81" s="1825" t="s">
        <v>2200</v>
      </c>
      <c r="C81" s="1825"/>
      <c r="D81" s="200"/>
      <c r="E81" s="376"/>
      <c r="F81" s="376"/>
      <c r="G81" s="765"/>
      <c r="H81" s="475"/>
      <c r="I81" s="1509"/>
      <c r="J81" s="1509"/>
      <c r="K81" s="1509"/>
      <c r="L81" s="1509"/>
      <c r="M81" s="1509"/>
      <c r="N81" s="1509"/>
    </row>
    <row r="82" spans="1:14" s="339" customFormat="1" ht="12.6" hidden="1" customHeight="1">
      <c r="A82" s="1824"/>
      <c r="B82" s="1833" t="s">
        <v>2235</v>
      </c>
      <c r="C82" s="1833"/>
      <c r="D82" s="200">
        <v>21.1</v>
      </c>
      <c r="E82" s="376">
        <v>2.7</v>
      </c>
      <c r="F82" s="376"/>
      <c r="G82" s="765">
        <v>1</v>
      </c>
      <c r="H82" s="475">
        <f>D82*E82*G82</f>
        <v>56.970000000000006</v>
      </c>
      <c r="I82" s="1509"/>
      <c r="J82" s="1509"/>
      <c r="K82" s="1509"/>
      <c r="L82" s="1509"/>
      <c r="M82" s="1509"/>
      <c r="N82" s="1509"/>
    </row>
    <row r="83" spans="1:14" s="339" customFormat="1" ht="12.6" hidden="1" customHeight="1">
      <c r="A83" s="1824"/>
      <c r="B83" s="1833" t="s">
        <v>2236</v>
      </c>
      <c r="C83" s="1833"/>
      <c r="D83" s="200">
        <v>48.46</v>
      </c>
      <c r="E83" s="376">
        <v>2.7</v>
      </c>
      <c r="F83" s="376"/>
      <c r="G83" s="765">
        <v>1</v>
      </c>
      <c r="H83" s="475">
        <f>D83*E83*G83</f>
        <v>130.84200000000001</v>
      </c>
      <c r="I83" s="1509"/>
      <c r="J83" s="1509"/>
      <c r="K83" s="1509"/>
      <c r="L83" s="1509"/>
      <c r="M83" s="1509"/>
      <c r="N83" s="1509"/>
    </row>
    <row r="84" spans="1:14" s="339" customFormat="1" ht="12.6" hidden="1" customHeight="1">
      <c r="A84" s="1083"/>
      <c r="B84" s="1835"/>
      <c r="C84" s="1835"/>
      <c r="D84" s="200"/>
      <c r="E84" s="376"/>
      <c r="F84" s="376"/>
      <c r="G84" s="763"/>
      <c r="H84" s="764"/>
      <c r="I84" s="1509"/>
      <c r="J84" s="1509"/>
      <c r="K84" s="1509"/>
      <c r="L84" s="1509"/>
      <c r="M84" s="1509"/>
      <c r="N84" s="1509"/>
    </row>
    <row r="85" spans="1:14" s="339" customFormat="1" ht="12.6" hidden="1" customHeight="1">
      <c r="A85" s="1823" t="s">
        <v>2218</v>
      </c>
      <c r="B85" s="1823"/>
      <c r="C85" s="1823"/>
      <c r="D85" s="1823"/>
      <c r="E85" s="1823"/>
      <c r="F85" s="1823"/>
      <c r="G85" s="1823"/>
      <c r="H85" s="766">
        <f>SUM(H68:H84)</f>
        <v>411.76940000000002</v>
      </c>
      <c r="I85" s="1509"/>
      <c r="J85" s="1509"/>
      <c r="K85" s="1509"/>
      <c r="L85" s="1509"/>
      <c r="M85" s="1509"/>
      <c r="N85" s="1509"/>
    </row>
    <row r="86" spans="1:14" s="339" customFormat="1" ht="12.6" hidden="1" customHeight="1">
      <c r="A86" s="1650" t="s">
        <v>2219</v>
      </c>
      <c r="B86" s="1650"/>
      <c r="C86" s="1650"/>
      <c r="D86" s="1650"/>
      <c r="E86" s="1650"/>
      <c r="F86" s="1650"/>
      <c r="G86" s="1650"/>
      <c r="H86" s="767">
        <v>0</v>
      </c>
      <c r="I86" s="1509"/>
      <c r="J86" s="1509"/>
      <c r="K86" s="1509"/>
      <c r="L86" s="1509"/>
      <c r="M86" s="1509"/>
      <c r="N86" s="1509"/>
    </row>
    <row r="87" spans="1:14" s="339" customFormat="1" ht="12.6" hidden="1" customHeight="1">
      <c r="A87" s="1650" t="s">
        <v>2220</v>
      </c>
      <c r="B87" s="1650"/>
      <c r="C87" s="1650"/>
      <c r="D87" s="1650"/>
      <c r="E87" s="1650"/>
      <c r="F87" s="1650"/>
      <c r="G87" s="1650"/>
      <c r="H87" s="217">
        <f>H85-H86</f>
        <v>411.76940000000002</v>
      </c>
      <c r="I87" s="1509"/>
      <c r="J87" s="1509"/>
      <c r="K87" s="1509"/>
      <c r="L87" s="1509"/>
      <c r="M87" s="1509"/>
      <c r="N87" s="1509"/>
    </row>
    <row r="88" spans="1:14" s="339" customFormat="1" ht="12.6" hidden="1" customHeight="1">
      <c r="A88" s="278"/>
      <c r="B88" s="428"/>
      <c r="C88" s="278"/>
      <c r="D88" s="281"/>
      <c r="E88" s="631"/>
      <c r="F88" s="281"/>
      <c r="G88" s="281"/>
      <c r="H88" s="217"/>
      <c r="I88" s="768"/>
      <c r="J88" s="768"/>
      <c r="K88" s="768"/>
      <c r="L88" s="768"/>
      <c r="M88" s="768"/>
      <c r="N88" s="768"/>
    </row>
    <row r="89" spans="1:14" s="339" customFormat="1" ht="12.6" hidden="1" customHeight="1">
      <c r="A89" s="1080" t="s">
        <v>2237</v>
      </c>
      <c r="B89" s="1821" t="s">
        <v>57</v>
      </c>
      <c r="C89" s="1821"/>
      <c r="D89" s="1821"/>
      <c r="E89" s="1821"/>
      <c r="F89" s="1821"/>
      <c r="G89" s="1821"/>
      <c r="H89" s="1821"/>
      <c r="I89" s="1821"/>
      <c r="J89" s="1821"/>
      <c r="K89" s="761" t="s">
        <v>2222</v>
      </c>
      <c r="L89" s="1822">
        <v>123.33</v>
      </c>
      <c r="M89" s="1822"/>
      <c r="N89" s="762">
        <f>L89-H117</f>
        <v>-1.5779999999999887</v>
      </c>
    </row>
    <row r="90" spans="1:14" s="339" customFormat="1" ht="12.6" hidden="1" customHeight="1">
      <c r="A90" s="1797"/>
      <c r="B90" s="1797"/>
      <c r="C90" s="1797"/>
      <c r="D90" s="281" t="s">
        <v>2183</v>
      </c>
      <c r="E90" s="631" t="s">
        <v>2184</v>
      </c>
      <c r="F90" s="281" t="s">
        <v>2185</v>
      </c>
      <c r="G90" s="281" t="s">
        <v>2186</v>
      </c>
      <c r="H90" s="1823" t="s">
        <v>476</v>
      </c>
      <c r="I90" s="1509"/>
      <c r="J90" s="1509"/>
      <c r="K90" s="1509"/>
      <c r="L90" s="1509"/>
      <c r="M90" s="1509"/>
      <c r="N90" s="1509"/>
    </row>
    <row r="91" spans="1:14" s="339" customFormat="1" ht="12" hidden="1" customHeight="1">
      <c r="A91" s="1797"/>
      <c r="B91" s="1797"/>
      <c r="C91" s="1797"/>
      <c r="D91" s="375" t="s">
        <v>2187</v>
      </c>
      <c r="E91" s="1312" t="s">
        <v>2188</v>
      </c>
      <c r="F91" s="375" t="s">
        <v>2189</v>
      </c>
      <c r="G91" s="375" t="s">
        <v>2190</v>
      </c>
      <c r="H91" s="1823"/>
      <c r="I91" s="1509"/>
      <c r="J91" s="1509"/>
      <c r="K91" s="1509"/>
      <c r="L91" s="1509"/>
      <c r="M91" s="1509"/>
      <c r="N91" s="1509"/>
    </row>
    <row r="92" spans="1:14" s="339" customFormat="1" ht="12.6" hidden="1" customHeight="1">
      <c r="A92" s="1824" t="s">
        <v>2238</v>
      </c>
      <c r="B92" s="1825" t="s">
        <v>2192</v>
      </c>
      <c r="C92" s="1825"/>
      <c r="D92" s="200"/>
      <c r="E92" s="376"/>
      <c r="F92" s="376"/>
      <c r="G92" s="763"/>
      <c r="H92" s="764"/>
      <c r="I92" s="1509"/>
      <c r="J92" s="1509"/>
      <c r="K92" s="1509"/>
      <c r="L92" s="1509"/>
      <c r="M92" s="1509"/>
      <c r="N92" s="1509"/>
    </row>
    <row r="93" spans="1:14" s="339" customFormat="1" ht="12.6" hidden="1" customHeight="1">
      <c r="A93" s="1824"/>
      <c r="B93" s="1827" t="s">
        <v>2239</v>
      </c>
      <c r="C93" s="1827"/>
      <c r="D93" s="200">
        <v>1.95</v>
      </c>
      <c r="E93" s="376">
        <v>2</v>
      </c>
      <c r="F93" s="376"/>
      <c r="G93" s="765">
        <v>1</v>
      </c>
      <c r="H93" s="475">
        <f t="shared" ref="H93:H102" si="4">D93*E93*G93</f>
        <v>3.9</v>
      </c>
      <c r="I93" s="1509"/>
      <c r="J93" s="1509"/>
      <c r="K93" s="1509"/>
      <c r="L93" s="1509"/>
      <c r="M93" s="1509"/>
      <c r="N93" s="1509"/>
    </row>
    <row r="94" spans="1:14" s="339" customFormat="1" ht="12.6" hidden="1" customHeight="1">
      <c r="A94" s="1824"/>
      <c r="B94" s="1827" t="s">
        <v>2240</v>
      </c>
      <c r="C94" s="1827"/>
      <c r="D94" s="200">
        <v>1.72</v>
      </c>
      <c r="E94" s="376">
        <v>2.7</v>
      </c>
      <c r="F94" s="376"/>
      <c r="G94" s="765">
        <v>1</v>
      </c>
      <c r="H94" s="475">
        <f t="shared" si="4"/>
        <v>4.6440000000000001</v>
      </c>
      <c r="I94" s="1509"/>
      <c r="J94" s="1509"/>
      <c r="K94" s="1509"/>
      <c r="L94" s="1509"/>
      <c r="M94" s="1509"/>
      <c r="N94" s="1509"/>
    </row>
    <row r="95" spans="1:14" s="339" customFormat="1" ht="12.6" hidden="1" customHeight="1">
      <c r="A95" s="1824"/>
      <c r="B95" s="1827" t="s">
        <v>2241</v>
      </c>
      <c r="C95" s="1827"/>
      <c r="D95" s="200">
        <v>8.75</v>
      </c>
      <c r="E95" s="376">
        <v>2.6</v>
      </c>
      <c r="F95" s="376"/>
      <c r="G95" s="765">
        <v>1</v>
      </c>
      <c r="H95" s="475">
        <f t="shared" si="4"/>
        <v>22.75</v>
      </c>
      <c r="I95" s="1509"/>
      <c r="J95" s="1509"/>
      <c r="K95" s="1509"/>
      <c r="L95" s="1509"/>
      <c r="M95" s="1509"/>
      <c r="N95" s="1509"/>
    </row>
    <row r="96" spans="1:14" s="339" customFormat="1" ht="12.6" hidden="1" customHeight="1">
      <c r="A96" s="1824"/>
      <c r="B96" s="1833" t="s">
        <v>2242</v>
      </c>
      <c r="C96" s="1833"/>
      <c r="D96" s="200">
        <v>9.5399999999999991</v>
      </c>
      <c r="E96" s="376">
        <v>2.5499999999999998</v>
      </c>
      <c r="F96" s="376"/>
      <c r="G96" s="765">
        <v>1</v>
      </c>
      <c r="H96" s="475">
        <f t="shared" si="4"/>
        <v>24.326999999999995</v>
      </c>
      <c r="I96" s="1509"/>
      <c r="J96" s="1509"/>
      <c r="K96" s="1509"/>
      <c r="L96" s="1509"/>
      <c r="M96" s="1509"/>
      <c r="N96" s="1509"/>
    </row>
    <row r="97" spans="1:14" s="339" customFormat="1" ht="12.6" hidden="1" customHeight="1">
      <c r="A97" s="1824"/>
      <c r="B97" s="1833" t="s">
        <v>2243</v>
      </c>
      <c r="C97" s="1833"/>
      <c r="D97" s="200">
        <v>0.73</v>
      </c>
      <c r="E97" s="376">
        <v>2.65</v>
      </c>
      <c r="F97" s="200"/>
      <c r="G97" s="765">
        <v>2</v>
      </c>
      <c r="H97" s="475">
        <f t="shared" si="4"/>
        <v>3.8689999999999998</v>
      </c>
      <c r="I97" s="1509"/>
      <c r="J97" s="1509"/>
      <c r="K97" s="1509"/>
      <c r="L97" s="1509"/>
      <c r="M97" s="1509"/>
      <c r="N97" s="1509"/>
    </row>
    <row r="98" spans="1:14" s="339" customFormat="1" ht="12.6" hidden="1" customHeight="1">
      <c r="A98" s="1824"/>
      <c r="B98" s="1827" t="s">
        <v>2244</v>
      </c>
      <c r="C98" s="1827"/>
      <c r="D98" s="200">
        <v>2.4</v>
      </c>
      <c r="E98" s="376">
        <v>0.7</v>
      </c>
      <c r="F98" s="200"/>
      <c r="G98" s="765">
        <v>1</v>
      </c>
      <c r="H98" s="475">
        <f t="shared" si="4"/>
        <v>1.68</v>
      </c>
      <c r="I98" s="1509"/>
      <c r="J98" s="1509"/>
      <c r="K98" s="1509"/>
      <c r="L98" s="1509"/>
      <c r="M98" s="1509"/>
      <c r="N98" s="1509"/>
    </row>
    <row r="99" spans="1:14" s="339" customFormat="1" ht="12.6" hidden="1" customHeight="1">
      <c r="A99" s="1824"/>
      <c r="B99" s="1827" t="s">
        <v>2245</v>
      </c>
      <c r="C99" s="1827"/>
      <c r="D99" s="200">
        <v>0.55000000000000004</v>
      </c>
      <c r="E99" s="376">
        <v>0.5</v>
      </c>
      <c r="F99" s="200"/>
      <c r="G99" s="765">
        <v>4</v>
      </c>
      <c r="H99" s="475">
        <f t="shared" si="4"/>
        <v>1.1000000000000001</v>
      </c>
      <c r="I99" s="1509"/>
      <c r="J99" s="1509"/>
      <c r="K99" s="1509"/>
      <c r="L99" s="1509"/>
      <c r="M99" s="1509"/>
      <c r="N99" s="1509"/>
    </row>
    <row r="100" spans="1:14" s="339" customFormat="1" ht="12.6" hidden="1" customHeight="1">
      <c r="A100" s="1824"/>
      <c r="B100" s="1827" t="s">
        <v>2246</v>
      </c>
      <c r="C100" s="1827"/>
      <c r="D100" s="200">
        <v>0.55000000000000004</v>
      </c>
      <c r="E100" s="376">
        <v>0.8</v>
      </c>
      <c r="F100" s="200"/>
      <c r="G100" s="765">
        <v>1</v>
      </c>
      <c r="H100" s="475">
        <f t="shared" si="4"/>
        <v>0.44000000000000006</v>
      </c>
      <c r="I100" s="1509"/>
      <c r="J100" s="1509"/>
      <c r="K100" s="1509"/>
      <c r="L100" s="1509"/>
      <c r="M100" s="1509"/>
      <c r="N100" s="1509"/>
    </row>
    <row r="101" spans="1:14" s="339" customFormat="1" ht="12.6" hidden="1" customHeight="1">
      <c r="A101" s="1824"/>
      <c r="B101" s="1827" t="s">
        <v>2247</v>
      </c>
      <c r="C101" s="1827"/>
      <c r="D101" s="200">
        <v>11.7</v>
      </c>
      <c r="E101" s="376">
        <v>0.8</v>
      </c>
      <c r="F101" s="200"/>
      <c r="G101" s="765">
        <v>1</v>
      </c>
      <c r="H101" s="475">
        <f t="shared" si="4"/>
        <v>9.36</v>
      </c>
      <c r="I101" s="1509"/>
      <c r="J101" s="1509"/>
      <c r="K101" s="1509"/>
      <c r="L101" s="1509"/>
      <c r="M101" s="1509"/>
      <c r="N101" s="1509"/>
    </row>
    <row r="102" spans="1:14" s="339" customFormat="1" ht="12.6" hidden="1" customHeight="1">
      <c r="A102" s="1824"/>
      <c r="B102" s="1827" t="s">
        <v>2248</v>
      </c>
      <c r="C102" s="1827"/>
      <c r="D102" s="200">
        <v>2</v>
      </c>
      <c r="E102" s="376">
        <v>1.2</v>
      </c>
      <c r="F102" s="200"/>
      <c r="G102" s="765">
        <v>2</v>
      </c>
      <c r="H102" s="475">
        <f t="shared" si="4"/>
        <v>4.8</v>
      </c>
      <c r="I102" s="1509"/>
      <c r="J102" s="1509"/>
      <c r="K102" s="1509"/>
      <c r="L102" s="1509"/>
      <c r="M102" s="1509"/>
      <c r="N102" s="1509"/>
    </row>
    <row r="103" spans="1:14" s="339" customFormat="1" ht="12.6" hidden="1" customHeight="1">
      <c r="A103" s="1824"/>
      <c r="B103" s="1831" t="s">
        <v>2200</v>
      </c>
      <c r="C103" s="1831"/>
      <c r="D103" s="200"/>
      <c r="E103" s="376"/>
      <c r="F103" s="200"/>
      <c r="G103" s="765"/>
      <c r="H103" s="475"/>
      <c r="I103" s="1509"/>
      <c r="J103" s="1509"/>
      <c r="K103" s="1509"/>
      <c r="L103" s="1509"/>
      <c r="M103" s="1509"/>
      <c r="N103" s="1509"/>
    </row>
    <row r="104" spans="1:14" s="339" customFormat="1" ht="12.6" hidden="1" customHeight="1">
      <c r="A104" s="1824"/>
      <c r="B104" s="1827" t="s">
        <v>2249</v>
      </c>
      <c r="C104" s="1827"/>
      <c r="D104" s="200">
        <v>0.55000000000000004</v>
      </c>
      <c r="E104" s="376">
        <v>0.5</v>
      </c>
      <c r="F104" s="200"/>
      <c r="G104" s="765">
        <v>8</v>
      </c>
      <c r="H104" s="475">
        <f>D104*E104*G104</f>
        <v>2.2000000000000002</v>
      </c>
      <c r="I104" s="1509"/>
      <c r="J104" s="1509"/>
      <c r="K104" s="1509"/>
      <c r="L104" s="1509"/>
      <c r="M104" s="1509"/>
      <c r="N104" s="1509"/>
    </row>
    <row r="105" spans="1:14" s="339" customFormat="1" ht="12.6" hidden="1" customHeight="1">
      <c r="A105" s="1824"/>
      <c r="B105" s="1827" t="s">
        <v>2250</v>
      </c>
      <c r="C105" s="1827"/>
      <c r="D105" s="200">
        <v>0.55000000000000004</v>
      </c>
      <c r="E105" s="376">
        <v>0.9</v>
      </c>
      <c r="F105" s="200"/>
      <c r="G105" s="765">
        <v>2</v>
      </c>
      <c r="H105" s="475">
        <f>D105*E105*G105</f>
        <v>0.9900000000000001</v>
      </c>
      <c r="I105" s="1509"/>
      <c r="J105" s="1509"/>
      <c r="K105" s="1509"/>
      <c r="L105" s="1509"/>
      <c r="M105" s="1509"/>
      <c r="N105" s="1509"/>
    </row>
    <row r="106" spans="1:14" s="339" customFormat="1" ht="12.6" hidden="1" customHeight="1">
      <c r="A106" s="1824"/>
      <c r="B106" s="1827" t="s">
        <v>2251</v>
      </c>
      <c r="C106" s="1827"/>
      <c r="D106" s="200">
        <v>10.8</v>
      </c>
      <c r="E106" s="376">
        <v>1.2</v>
      </c>
      <c r="F106" s="200"/>
      <c r="G106" s="765">
        <v>2</v>
      </c>
      <c r="H106" s="475">
        <f>D106*E106*G106</f>
        <v>25.92</v>
      </c>
      <c r="I106" s="1509"/>
      <c r="J106" s="1509"/>
      <c r="K106" s="1509"/>
      <c r="L106" s="1509"/>
      <c r="M106" s="1509"/>
      <c r="N106" s="1509"/>
    </row>
    <row r="107" spans="1:14" s="339" customFormat="1" ht="12.6" hidden="1" customHeight="1">
      <c r="A107" s="1824"/>
      <c r="B107" s="1827" t="s">
        <v>2252</v>
      </c>
      <c r="C107" s="1827"/>
      <c r="D107" s="200">
        <v>2</v>
      </c>
      <c r="E107" s="376">
        <v>1.2</v>
      </c>
      <c r="F107" s="200"/>
      <c r="G107" s="765">
        <v>1</v>
      </c>
      <c r="H107" s="475">
        <f>D107*E107*G107</f>
        <v>2.4</v>
      </c>
      <c r="I107" s="1509"/>
      <c r="J107" s="1509"/>
      <c r="K107" s="1509"/>
      <c r="L107" s="1509"/>
      <c r="M107" s="1509"/>
      <c r="N107" s="1509"/>
    </row>
    <row r="108" spans="1:14" s="339" customFormat="1" ht="12.6" hidden="1" customHeight="1">
      <c r="A108" s="1824"/>
      <c r="B108" s="1831" t="s">
        <v>2253</v>
      </c>
      <c r="C108" s="1831"/>
      <c r="D108" s="200"/>
      <c r="E108" s="376"/>
      <c r="F108" s="200"/>
      <c r="G108" s="765"/>
      <c r="H108" s="475"/>
      <c r="I108" s="1509"/>
      <c r="J108" s="1509"/>
      <c r="K108" s="1509"/>
      <c r="L108" s="1509"/>
      <c r="M108" s="1509"/>
      <c r="N108" s="1509"/>
    </row>
    <row r="109" spans="1:14" s="339" customFormat="1" ht="12.6" hidden="1" customHeight="1">
      <c r="A109" s="1824"/>
      <c r="B109" s="1827" t="s">
        <v>2254</v>
      </c>
      <c r="C109" s="1827"/>
      <c r="D109" s="200">
        <v>9.4</v>
      </c>
      <c r="E109" s="376">
        <v>1.5</v>
      </c>
      <c r="F109" s="200"/>
      <c r="G109" s="765">
        <v>1</v>
      </c>
      <c r="H109" s="475">
        <f>D109*E109*G109</f>
        <v>14.100000000000001</v>
      </c>
      <c r="I109" s="1509"/>
      <c r="J109" s="1509"/>
      <c r="K109" s="1509"/>
      <c r="L109" s="1509"/>
      <c r="M109" s="1509"/>
      <c r="N109" s="1509"/>
    </row>
    <row r="110" spans="1:14" s="339" customFormat="1" ht="12.6" hidden="1" customHeight="1">
      <c r="A110" s="1824"/>
      <c r="B110" s="1827"/>
      <c r="C110" s="1827"/>
      <c r="D110" s="200"/>
      <c r="E110" s="376"/>
      <c r="F110" s="200"/>
      <c r="G110" s="765"/>
      <c r="H110" s="475"/>
      <c r="I110" s="1509"/>
      <c r="J110" s="1509"/>
      <c r="K110" s="1509"/>
      <c r="L110" s="1509"/>
      <c r="M110" s="1509"/>
      <c r="N110" s="1509"/>
    </row>
    <row r="111" spans="1:14" s="339" customFormat="1" ht="12.6" hidden="1" customHeight="1">
      <c r="A111" s="1705" t="s">
        <v>2211</v>
      </c>
      <c r="B111" s="1821" t="s">
        <v>2192</v>
      </c>
      <c r="C111" s="1821"/>
      <c r="D111" s="200"/>
      <c r="E111" s="376"/>
      <c r="F111" s="200"/>
      <c r="G111" s="765"/>
      <c r="H111" s="475"/>
      <c r="I111" s="1509"/>
      <c r="J111" s="1509"/>
      <c r="K111" s="1509"/>
      <c r="L111" s="1509"/>
      <c r="M111" s="1509"/>
      <c r="N111" s="1509"/>
    </row>
    <row r="112" spans="1:14" s="339" customFormat="1" ht="12.6" hidden="1" customHeight="1">
      <c r="A112" s="1705"/>
      <c r="B112" s="1833" t="s">
        <v>2255</v>
      </c>
      <c r="C112" s="1833"/>
      <c r="D112" s="200">
        <v>2.2000000000000002</v>
      </c>
      <c r="E112" s="376">
        <v>0.4</v>
      </c>
      <c r="F112" s="200"/>
      <c r="G112" s="765">
        <v>1</v>
      </c>
      <c r="H112" s="475">
        <f>D112*E112*G112</f>
        <v>0.88000000000000012</v>
      </c>
      <c r="I112" s="1509"/>
      <c r="J112" s="1509"/>
      <c r="K112" s="1509"/>
      <c r="L112" s="1509"/>
      <c r="M112" s="1509"/>
      <c r="N112" s="1509"/>
    </row>
    <row r="113" spans="1:14" s="339" customFormat="1" ht="12.6" hidden="1" customHeight="1">
      <c r="A113" s="1705"/>
      <c r="B113" s="1821" t="s">
        <v>2200</v>
      </c>
      <c r="C113" s="1821"/>
      <c r="D113" s="200"/>
      <c r="E113" s="376"/>
      <c r="F113" s="200"/>
      <c r="G113" s="765"/>
      <c r="H113" s="475"/>
      <c r="I113" s="1509"/>
      <c r="J113" s="1509"/>
      <c r="K113" s="1509"/>
      <c r="L113" s="1509"/>
      <c r="M113" s="1509"/>
      <c r="N113" s="1509"/>
    </row>
    <row r="114" spans="1:14" s="339" customFormat="1" ht="12.6" hidden="1" customHeight="1">
      <c r="A114" s="1705"/>
      <c r="B114" s="1833" t="s">
        <v>2256</v>
      </c>
      <c r="C114" s="1833"/>
      <c r="D114" s="200">
        <v>1.29</v>
      </c>
      <c r="E114" s="376">
        <v>1.2</v>
      </c>
      <c r="F114" s="200"/>
      <c r="G114" s="765">
        <v>1</v>
      </c>
      <c r="H114" s="475">
        <f>D114*E114*G114</f>
        <v>1.548</v>
      </c>
      <c r="I114" s="1509"/>
      <c r="J114" s="1509"/>
      <c r="K114" s="1509"/>
      <c r="L114" s="1509"/>
      <c r="M114" s="1509"/>
      <c r="N114" s="1509"/>
    </row>
    <row r="115" spans="1:14" s="339" customFormat="1" ht="12.6" hidden="1" customHeight="1">
      <c r="A115" s="1081"/>
      <c r="B115" s="1833"/>
      <c r="C115" s="1833"/>
      <c r="D115" s="200"/>
      <c r="E115" s="376"/>
      <c r="F115" s="376"/>
      <c r="G115" s="765"/>
      <c r="H115" s="475"/>
      <c r="I115" s="1509"/>
      <c r="J115" s="1509"/>
      <c r="K115" s="1509"/>
      <c r="L115" s="1509"/>
      <c r="M115" s="1509"/>
      <c r="N115" s="1509"/>
    </row>
    <row r="116" spans="1:14" s="339" customFormat="1" ht="12.6" hidden="1" customHeight="1">
      <c r="A116" s="1083"/>
      <c r="B116" s="1835"/>
      <c r="C116" s="1835"/>
      <c r="D116" s="200"/>
      <c r="E116" s="376"/>
      <c r="F116" s="376"/>
      <c r="G116" s="763"/>
      <c r="H116" s="764"/>
      <c r="I116" s="1509"/>
      <c r="J116" s="1509"/>
      <c r="K116" s="1509"/>
      <c r="L116" s="1509"/>
      <c r="M116" s="1509"/>
      <c r="N116" s="1509"/>
    </row>
    <row r="117" spans="1:14" s="339" customFormat="1" ht="12.6" hidden="1" customHeight="1">
      <c r="A117" s="1823" t="s">
        <v>2218</v>
      </c>
      <c r="B117" s="1823"/>
      <c r="C117" s="1823"/>
      <c r="D117" s="1823"/>
      <c r="E117" s="1823"/>
      <c r="F117" s="1823"/>
      <c r="G117" s="1823"/>
      <c r="H117" s="766">
        <f>SUM(H92:H116)</f>
        <v>124.90799999999999</v>
      </c>
      <c r="I117" s="1509"/>
      <c r="J117" s="1509"/>
      <c r="K117" s="1509"/>
      <c r="L117" s="1509"/>
      <c r="M117" s="1509"/>
      <c r="N117" s="1509"/>
    </row>
    <row r="118" spans="1:14" s="339" customFormat="1" ht="12.6" hidden="1" customHeight="1">
      <c r="A118" s="1650" t="s">
        <v>2219</v>
      </c>
      <c r="B118" s="1650"/>
      <c r="C118" s="1650"/>
      <c r="D118" s="1650"/>
      <c r="E118" s="1650"/>
      <c r="F118" s="1650"/>
      <c r="G118" s="1650"/>
      <c r="H118" s="767">
        <f>SUM(H93:H109)</f>
        <v>122.47999999999999</v>
      </c>
      <c r="I118" s="1509"/>
      <c r="J118" s="1509"/>
      <c r="K118" s="1509"/>
      <c r="L118" s="1509"/>
      <c r="M118" s="1509"/>
      <c r="N118" s="1509"/>
    </row>
    <row r="119" spans="1:14" s="339" customFormat="1" ht="12.6" hidden="1" customHeight="1">
      <c r="A119" s="1650" t="s">
        <v>2220</v>
      </c>
      <c r="B119" s="1650"/>
      <c r="C119" s="1650"/>
      <c r="D119" s="1650"/>
      <c r="E119" s="1650"/>
      <c r="F119" s="1650"/>
      <c r="G119" s="1650"/>
      <c r="H119" s="217">
        <f>H117-H118</f>
        <v>2.4279999999999973</v>
      </c>
      <c r="I119" s="1509"/>
      <c r="J119" s="1509"/>
      <c r="K119" s="1509"/>
      <c r="L119" s="1509"/>
      <c r="M119" s="1509"/>
      <c r="N119" s="1509"/>
    </row>
    <row r="120" spans="1:14" s="339" customFormat="1" ht="12.6" hidden="1" customHeight="1">
      <c r="A120" s="278"/>
      <c r="B120" s="428"/>
      <c r="C120" s="278"/>
      <c r="D120" s="281"/>
      <c r="E120" s="631"/>
      <c r="F120" s="281"/>
      <c r="G120" s="281"/>
      <c r="H120" s="217"/>
      <c r="I120" s="768"/>
      <c r="J120" s="768"/>
      <c r="K120" s="768"/>
      <c r="L120" s="768"/>
      <c r="M120" s="768"/>
      <c r="N120" s="768"/>
    </row>
    <row r="121" spans="1:14" hidden="1">
      <c r="A121" s="1080" t="s">
        <v>2257</v>
      </c>
      <c r="B121" s="1821" t="s">
        <v>541</v>
      </c>
      <c r="C121" s="1821"/>
      <c r="D121" s="1821"/>
      <c r="E121" s="1821"/>
      <c r="F121" s="1821"/>
      <c r="G121" s="1821"/>
      <c r="H121" s="1821"/>
      <c r="I121" s="1821"/>
      <c r="J121" s="1821"/>
      <c r="K121" s="761" t="s">
        <v>2222</v>
      </c>
      <c r="L121" s="1822">
        <v>74.81</v>
      </c>
      <c r="M121" s="1822"/>
      <c r="N121" s="762">
        <f>L121-H141</f>
        <v>0</v>
      </c>
    </row>
    <row r="122" spans="1:14" hidden="1">
      <c r="A122" s="1797"/>
      <c r="B122" s="1797"/>
      <c r="C122" s="1797"/>
      <c r="D122" s="281" t="s">
        <v>2183</v>
      </c>
      <c r="E122" s="631" t="s">
        <v>2184</v>
      </c>
      <c r="F122" s="281" t="s">
        <v>2185</v>
      </c>
      <c r="G122" s="281" t="s">
        <v>2186</v>
      </c>
      <c r="H122" s="1823" t="s">
        <v>476</v>
      </c>
      <c r="I122" s="1509"/>
      <c r="J122" s="1509"/>
      <c r="K122" s="1509"/>
      <c r="L122" s="1509"/>
      <c r="M122" s="1509"/>
      <c r="N122" s="1509"/>
    </row>
    <row r="123" spans="1:14" hidden="1">
      <c r="A123" s="1797"/>
      <c r="B123" s="1797"/>
      <c r="C123" s="1797"/>
      <c r="D123" s="375" t="s">
        <v>2187</v>
      </c>
      <c r="E123" s="1312" t="s">
        <v>2188</v>
      </c>
      <c r="F123" s="375" t="s">
        <v>2189</v>
      </c>
      <c r="G123" s="375" t="s">
        <v>2190</v>
      </c>
      <c r="H123" s="1823"/>
      <c r="I123" s="1509"/>
      <c r="J123" s="1509"/>
      <c r="K123" s="1509"/>
      <c r="L123" s="1509"/>
      <c r="M123" s="1509"/>
      <c r="N123" s="1509"/>
    </row>
    <row r="124" spans="1:14" ht="15" hidden="1" customHeight="1">
      <c r="A124" s="1824"/>
      <c r="B124" s="1825" t="s">
        <v>2192</v>
      </c>
      <c r="C124" s="1825"/>
      <c r="D124" s="200"/>
      <c r="E124" s="376"/>
      <c r="F124" s="376"/>
      <c r="G124" s="763"/>
      <c r="H124" s="764"/>
      <c r="I124" s="1509"/>
      <c r="J124" s="1509"/>
      <c r="K124" s="1509"/>
      <c r="L124" s="1509"/>
      <c r="M124" s="1509"/>
      <c r="N124" s="1509"/>
    </row>
    <row r="125" spans="1:14" hidden="1">
      <c r="A125" s="1824"/>
      <c r="B125" s="1827" t="s">
        <v>2258</v>
      </c>
      <c r="C125" s="1827"/>
      <c r="D125" s="200">
        <v>0.55000000000000004</v>
      </c>
      <c r="E125" s="376">
        <v>0.5</v>
      </c>
      <c r="F125" s="376"/>
      <c r="G125" s="765">
        <v>4</v>
      </c>
      <c r="H125" s="475">
        <f t="shared" ref="H125:H131" si="5">D125*E125*G125</f>
        <v>1.1000000000000001</v>
      </c>
      <c r="I125" s="1509"/>
      <c r="J125" s="1509"/>
      <c r="K125" s="1509"/>
      <c r="L125" s="1509"/>
      <c r="M125" s="1509"/>
      <c r="N125" s="1509"/>
    </row>
    <row r="126" spans="1:14" hidden="1">
      <c r="A126" s="1824"/>
      <c r="B126" s="1827" t="s">
        <v>2246</v>
      </c>
      <c r="C126" s="1827"/>
      <c r="D126" s="200">
        <v>0.55000000000000004</v>
      </c>
      <c r="E126" s="376">
        <v>0.8</v>
      </c>
      <c r="F126" s="376"/>
      <c r="G126" s="765">
        <v>1</v>
      </c>
      <c r="H126" s="475">
        <f t="shared" si="5"/>
        <v>0.44000000000000006</v>
      </c>
      <c r="I126" s="1509"/>
      <c r="J126" s="1509"/>
      <c r="K126" s="1509"/>
      <c r="L126" s="1509"/>
      <c r="M126" s="1509"/>
      <c r="N126" s="1509"/>
    </row>
    <row r="127" spans="1:14" hidden="1">
      <c r="A127" s="1824"/>
      <c r="B127" s="1827" t="s">
        <v>2259</v>
      </c>
      <c r="C127" s="1827"/>
      <c r="D127" s="200">
        <v>11.7</v>
      </c>
      <c r="E127" s="376">
        <v>0.8</v>
      </c>
      <c r="F127" s="376"/>
      <c r="G127" s="765">
        <v>1</v>
      </c>
      <c r="H127" s="475">
        <f t="shared" si="5"/>
        <v>9.36</v>
      </c>
      <c r="I127" s="1509"/>
      <c r="J127" s="1509"/>
      <c r="K127" s="1509"/>
      <c r="L127" s="1509"/>
      <c r="M127" s="1509"/>
      <c r="N127" s="1509"/>
    </row>
    <row r="128" spans="1:14" hidden="1">
      <c r="A128" s="1824"/>
      <c r="B128" s="1833" t="s">
        <v>2248</v>
      </c>
      <c r="C128" s="1833"/>
      <c r="D128" s="200">
        <v>2</v>
      </c>
      <c r="E128" s="376">
        <v>1.2</v>
      </c>
      <c r="F128" s="376"/>
      <c r="G128" s="765">
        <v>2</v>
      </c>
      <c r="H128" s="475">
        <f t="shared" si="5"/>
        <v>4.8</v>
      </c>
      <c r="I128" s="1509"/>
      <c r="J128" s="1509"/>
      <c r="K128" s="1509"/>
      <c r="L128" s="1509"/>
      <c r="M128" s="1509"/>
      <c r="N128" s="1509"/>
    </row>
    <row r="129" spans="1:14" hidden="1">
      <c r="A129" s="1824"/>
      <c r="B129" s="1833" t="s">
        <v>2260</v>
      </c>
      <c r="C129" s="1833"/>
      <c r="D129" s="200">
        <v>2.36</v>
      </c>
      <c r="E129" s="376">
        <v>2.7</v>
      </c>
      <c r="F129" s="200"/>
      <c r="G129" s="765">
        <v>1</v>
      </c>
      <c r="H129" s="475">
        <f t="shared" si="5"/>
        <v>6.3719999999999999</v>
      </c>
      <c r="I129" s="1509"/>
      <c r="J129" s="1509"/>
      <c r="K129" s="1509"/>
      <c r="L129" s="1509"/>
      <c r="M129" s="1509"/>
      <c r="N129" s="1509"/>
    </row>
    <row r="130" spans="1:14" hidden="1">
      <c r="A130" s="1824"/>
      <c r="B130" s="1827" t="s">
        <v>2261</v>
      </c>
      <c r="C130" s="1827"/>
      <c r="D130" s="200">
        <v>1</v>
      </c>
      <c r="E130" s="376">
        <v>1.5</v>
      </c>
      <c r="F130" s="200"/>
      <c r="G130" s="765">
        <v>1</v>
      </c>
      <c r="H130" s="475">
        <f t="shared" si="5"/>
        <v>1.5</v>
      </c>
      <c r="I130" s="1509"/>
      <c r="J130" s="1509"/>
      <c r="K130" s="1509"/>
      <c r="L130" s="1509"/>
      <c r="M130" s="1509"/>
      <c r="N130" s="1509"/>
    </row>
    <row r="131" spans="1:14" hidden="1">
      <c r="A131" s="1824"/>
      <c r="B131" s="1827" t="s">
        <v>2262</v>
      </c>
      <c r="C131" s="1827"/>
      <c r="D131" s="200">
        <v>1</v>
      </c>
      <c r="E131" s="376">
        <v>1.2</v>
      </c>
      <c r="F131" s="200"/>
      <c r="G131" s="765">
        <v>2</v>
      </c>
      <c r="H131" s="475">
        <f t="shared" si="5"/>
        <v>2.4</v>
      </c>
      <c r="I131" s="1509"/>
      <c r="J131" s="1509"/>
      <c r="K131" s="1509"/>
      <c r="L131" s="1509"/>
      <c r="M131" s="1509"/>
      <c r="N131" s="1509"/>
    </row>
    <row r="132" spans="1:14" hidden="1">
      <c r="A132" s="1824"/>
      <c r="B132" s="1831" t="s">
        <v>2200</v>
      </c>
      <c r="C132" s="1831"/>
      <c r="D132" s="200"/>
      <c r="E132" s="376"/>
      <c r="F132" s="200"/>
      <c r="G132" s="765"/>
      <c r="H132" s="475"/>
      <c r="I132" s="1509"/>
      <c r="J132" s="1509"/>
      <c r="K132" s="1509"/>
      <c r="L132" s="1509"/>
      <c r="M132" s="1509"/>
      <c r="N132" s="1509"/>
    </row>
    <row r="133" spans="1:14" hidden="1">
      <c r="A133" s="1824"/>
      <c r="B133" s="1830" t="s">
        <v>2258</v>
      </c>
      <c r="C133" s="1830"/>
      <c r="D133" s="200">
        <v>0.55000000000000004</v>
      </c>
      <c r="E133" s="376">
        <v>0.5</v>
      </c>
      <c r="F133" s="200"/>
      <c r="G133" s="765">
        <v>8</v>
      </c>
      <c r="H133" s="475">
        <f t="shared" ref="H133:H140" si="6">D133*E133*G133</f>
        <v>2.2000000000000002</v>
      </c>
      <c r="I133" s="1509"/>
      <c r="J133" s="1509"/>
      <c r="K133" s="1509"/>
      <c r="L133" s="1509"/>
      <c r="M133" s="1509"/>
      <c r="N133" s="1509"/>
    </row>
    <row r="134" spans="1:14" hidden="1">
      <c r="A134" s="1824"/>
      <c r="B134" s="1830" t="s">
        <v>2250</v>
      </c>
      <c r="C134" s="1830"/>
      <c r="D134" s="200">
        <v>0.55000000000000004</v>
      </c>
      <c r="E134" s="376">
        <v>0.9</v>
      </c>
      <c r="F134" s="200"/>
      <c r="G134" s="765">
        <v>2</v>
      </c>
      <c r="H134" s="475">
        <f t="shared" si="6"/>
        <v>0.9900000000000001</v>
      </c>
      <c r="I134" s="1509"/>
      <c r="J134" s="1509"/>
      <c r="K134" s="1509"/>
      <c r="L134" s="1509"/>
      <c r="M134" s="1509"/>
      <c r="N134" s="1509"/>
    </row>
    <row r="135" spans="1:14" hidden="1">
      <c r="A135" s="1824"/>
      <c r="B135" s="1830" t="s">
        <v>2251</v>
      </c>
      <c r="C135" s="1830"/>
      <c r="D135" s="200">
        <v>10.8</v>
      </c>
      <c r="E135" s="376">
        <v>1.2</v>
      </c>
      <c r="F135" s="200"/>
      <c r="G135" s="765">
        <v>2</v>
      </c>
      <c r="H135" s="475">
        <f t="shared" si="6"/>
        <v>25.92</v>
      </c>
      <c r="I135" s="1509"/>
      <c r="J135" s="1509"/>
      <c r="K135" s="1509"/>
      <c r="L135" s="1509"/>
      <c r="M135" s="1509"/>
      <c r="N135" s="1509"/>
    </row>
    <row r="136" spans="1:14" hidden="1">
      <c r="A136" s="1824"/>
      <c r="B136" s="1828" t="s">
        <v>2263</v>
      </c>
      <c r="C136" s="1828"/>
      <c r="D136" s="200">
        <v>1.76</v>
      </c>
      <c r="E136" s="376">
        <v>4</v>
      </c>
      <c r="F136" s="200"/>
      <c r="G136" s="765">
        <v>1</v>
      </c>
      <c r="H136" s="475">
        <f t="shared" si="6"/>
        <v>7.04</v>
      </c>
      <c r="I136" s="1509"/>
      <c r="J136" s="1509"/>
      <c r="K136" s="1509"/>
      <c r="L136" s="1509"/>
      <c r="M136" s="1509"/>
      <c r="N136" s="1509"/>
    </row>
    <row r="137" spans="1:14" hidden="1">
      <c r="A137" s="1824"/>
      <c r="B137" s="1830" t="s">
        <v>2252</v>
      </c>
      <c r="C137" s="1830"/>
      <c r="D137" s="200">
        <v>2</v>
      </c>
      <c r="E137" s="376">
        <v>1.2</v>
      </c>
      <c r="F137" s="200"/>
      <c r="G137" s="765">
        <v>1</v>
      </c>
      <c r="H137" s="475">
        <f t="shared" si="6"/>
        <v>2.4</v>
      </c>
      <c r="I137" s="1509"/>
      <c r="J137" s="1509"/>
      <c r="K137" s="1509"/>
      <c r="L137" s="1509"/>
      <c r="M137" s="1509"/>
      <c r="N137" s="1509"/>
    </row>
    <row r="138" spans="1:14" hidden="1">
      <c r="A138" s="1824"/>
      <c r="B138" s="1828" t="s">
        <v>2264</v>
      </c>
      <c r="C138" s="1828"/>
      <c r="D138" s="200">
        <v>1.2</v>
      </c>
      <c r="E138" s="376">
        <v>2.8</v>
      </c>
      <c r="F138" s="200"/>
      <c r="G138" s="765">
        <v>1</v>
      </c>
      <c r="H138" s="475">
        <f t="shared" si="6"/>
        <v>3.36</v>
      </c>
      <c r="I138" s="1509"/>
      <c r="J138" s="1509"/>
      <c r="K138" s="1509"/>
      <c r="L138" s="1509"/>
      <c r="M138" s="1509"/>
      <c r="N138" s="1509"/>
    </row>
    <row r="139" spans="1:14" hidden="1">
      <c r="A139" s="1824"/>
      <c r="B139" s="1828" t="s">
        <v>2265</v>
      </c>
      <c r="C139" s="1828"/>
      <c r="D139" s="200">
        <v>0.57999999999999996</v>
      </c>
      <c r="E139" s="376">
        <v>2.8</v>
      </c>
      <c r="F139" s="200"/>
      <c r="G139" s="765">
        <v>1</v>
      </c>
      <c r="H139" s="475">
        <f t="shared" si="6"/>
        <v>1.6239999999999999</v>
      </c>
      <c r="I139" s="1509"/>
      <c r="J139" s="1509"/>
      <c r="K139" s="1509"/>
      <c r="L139" s="1509"/>
      <c r="M139" s="1509"/>
      <c r="N139" s="1509"/>
    </row>
    <row r="140" spans="1:14" ht="15" hidden="1" customHeight="1">
      <c r="A140" s="1824"/>
      <c r="B140" s="1828" t="s">
        <v>2266</v>
      </c>
      <c r="C140" s="1828"/>
      <c r="D140" s="200">
        <v>3.12</v>
      </c>
      <c r="E140" s="376">
        <v>1.6999999999999997</v>
      </c>
      <c r="F140" s="376"/>
      <c r="G140" s="765">
        <v>1</v>
      </c>
      <c r="H140" s="475">
        <f t="shared" si="6"/>
        <v>5.3039999999999994</v>
      </c>
      <c r="I140" s="1509"/>
      <c r="J140" s="1509"/>
      <c r="K140" s="1509"/>
      <c r="L140" s="1509"/>
      <c r="M140" s="1509"/>
      <c r="N140" s="1509"/>
    </row>
    <row r="141" spans="1:14" hidden="1">
      <c r="A141" s="1823" t="s">
        <v>2218</v>
      </c>
      <c r="B141" s="1823"/>
      <c r="C141" s="1823"/>
      <c r="D141" s="1823"/>
      <c r="E141" s="1823"/>
      <c r="F141" s="1823"/>
      <c r="G141" s="1823"/>
      <c r="H141" s="766">
        <f>SUM(H124:H140)</f>
        <v>74.809999999999988</v>
      </c>
      <c r="I141" s="1509"/>
      <c r="J141" s="1509"/>
      <c r="K141" s="1509"/>
      <c r="L141" s="1509"/>
      <c r="M141" s="1509"/>
      <c r="N141" s="1509"/>
    </row>
    <row r="142" spans="1:14" hidden="1">
      <c r="A142" s="1650" t="s">
        <v>2219</v>
      </c>
      <c r="B142" s="1650"/>
      <c r="C142" s="1650"/>
      <c r="D142" s="1650"/>
      <c r="E142" s="1650"/>
      <c r="F142" s="1650"/>
      <c r="G142" s="1650"/>
      <c r="H142" s="767">
        <v>0</v>
      </c>
      <c r="I142" s="1509"/>
      <c r="J142" s="1509"/>
      <c r="K142" s="1509"/>
      <c r="L142" s="1509"/>
      <c r="M142" s="1509"/>
      <c r="N142" s="1509"/>
    </row>
    <row r="143" spans="1:14" hidden="1">
      <c r="A143" s="1650" t="s">
        <v>2220</v>
      </c>
      <c r="B143" s="1650"/>
      <c r="C143" s="1650"/>
      <c r="D143" s="1650"/>
      <c r="E143" s="1650"/>
      <c r="F143" s="1650"/>
      <c r="G143" s="1650"/>
      <c r="H143" s="217">
        <f>H141-H142</f>
        <v>74.809999999999988</v>
      </c>
      <c r="I143" s="1509"/>
      <c r="J143" s="1509"/>
      <c r="K143" s="1509"/>
      <c r="L143" s="1509"/>
      <c r="M143" s="1509"/>
      <c r="N143" s="1509"/>
    </row>
    <row r="144" spans="1:14">
      <c r="A144" s="278"/>
      <c r="B144" s="428"/>
      <c r="C144" s="278"/>
      <c r="D144" s="281"/>
      <c r="E144" s="631"/>
      <c r="F144" s="281"/>
      <c r="G144" s="281"/>
      <c r="H144" s="217"/>
      <c r="I144" s="768"/>
      <c r="J144" s="768"/>
      <c r="K144" s="768"/>
      <c r="L144" s="768"/>
      <c r="M144" s="768"/>
      <c r="N144" s="768"/>
    </row>
    <row r="145" spans="1:14" s="339" customFormat="1" ht="12.6" customHeight="1">
      <c r="A145" s="1080" t="s">
        <v>2267</v>
      </c>
      <c r="B145" s="1821" t="s">
        <v>482</v>
      </c>
      <c r="C145" s="1821"/>
      <c r="D145" s="1821"/>
      <c r="E145" s="1821"/>
      <c r="F145" s="1821"/>
      <c r="G145" s="1821"/>
      <c r="H145" s="1821"/>
      <c r="I145" s="1821"/>
      <c r="J145" s="1821"/>
      <c r="K145" s="761" t="s">
        <v>2182</v>
      </c>
      <c r="L145" s="1822">
        <v>61.7</v>
      </c>
      <c r="M145" s="1822"/>
      <c r="N145" s="762">
        <v>0</v>
      </c>
    </row>
    <row r="146" spans="1:14" s="339" customFormat="1" ht="12.6" customHeight="1">
      <c r="A146" s="1797"/>
      <c r="B146" s="1797"/>
      <c r="C146" s="1797"/>
      <c r="D146" s="281" t="s">
        <v>2183</v>
      </c>
      <c r="E146" s="631" t="s">
        <v>2184</v>
      </c>
      <c r="F146" s="281" t="s">
        <v>2185</v>
      </c>
      <c r="G146" s="281" t="s">
        <v>2186</v>
      </c>
      <c r="H146" s="1823" t="s">
        <v>476</v>
      </c>
      <c r="I146" s="1509"/>
      <c r="J146" s="1509"/>
      <c r="K146" s="1509"/>
      <c r="L146" s="1509"/>
      <c r="M146" s="1509"/>
      <c r="N146" s="1509"/>
    </row>
    <row r="147" spans="1:14" s="339" customFormat="1" ht="12" customHeight="1">
      <c r="A147" s="1797"/>
      <c r="B147" s="1797"/>
      <c r="C147" s="1797"/>
      <c r="D147" s="375" t="s">
        <v>2187</v>
      </c>
      <c r="E147" s="1312" t="s">
        <v>2188</v>
      </c>
      <c r="F147" s="375" t="s">
        <v>2189</v>
      </c>
      <c r="G147" s="375" t="s">
        <v>2190</v>
      </c>
      <c r="H147" s="1823"/>
      <c r="I147" s="1509"/>
      <c r="J147" s="1509"/>
      <c r="K147" s="1509"/>
      <c r="L147" s="1509"/>
      <c r="M147" s="1509"/>
      <c r="N147" s="1509"/>
    </row>
    <row r="148" spans="1:14" s="339" customFormat="1" ht="12.6" customHeight="1">
      <c r="A148" s="1705" t="s">
        <v>2268</v>
      </c>
      <c r="B148" s="1825" t="s">
        <v>2192</v>
      </c>
      <c r="C148" s="1825"/>
      <c r="D148" s="200"/>
      <c r="E148" s="376"/>
      <c r="F148" s="376"/>
      <c r="G148" s="763"/>
      <c r="H148" s="475"/>
      <c r="I148" s="1509"/>
      <c r="J148" s="1509"/>
      <c r="K148" s="1509"/>
      <c r="L148" s="1509"/>
      <c r="M148" s="1509"/>
      <c r="N148" s="1509"/>
    </row>
    <row r="149" spans="1:14" s="339" customFormat="1" ht="12">
      <c r="A149" s="1705"/>
      <c r="B149" s="1827" t="s">
        <v>2269</v>
      </c>
      <c r="C149" s="1827"/>
      <c r="D149" s="376">
        <v>3.6</v>
      </c>
      <c r="E149" s="376">
        <v>0.15</v>
      </c>
      <c r="F149" s="376">
        <v>0.45</v>
      </c>
      <c r="G149" s="376"/>
      <c r="H149" s="475">
        <f t="shared" ref="H149:H154" si="7">D149*E149*F149</f>
        <v>0.24300000000000002</v>
      </c>
      <c r="I149" s="1509"/>
      <c r="J149" s="1509"/>
      <c r="K149" s="1509"/>
      <c r="L149" s="1509"/>
      <c r="M149" s="1509"/>
      <c r="N149" s="1509"/>
    </row>
    <row r="150" spans="1:14" s="339" customFormat="1" ht="12">
      <c r="A150" s="1705"/>
      <c r="B150" s="1827" t="s">
        <v>2270</v>
      </c>
      <c r="C150" s="1827"/>
      <c r="D150" s="376">
        <v>4.22</v>
      </c>
      <c r="E150" s="376">
        <v>0.15</v>
      </c>
      <c r="F150" s="376">
        <v>0.45</v>
      </c>
      <c r="G150" s="376"/>
      <c r="H150" s="475">
        <f t="shared" si="7"/>
        <v>0.28484999999999994</v>
      </c>
      <c r="I150" s="1509"/>
      <c r="J150" s="1509"/>
      <c r="K150" s="1509"/>
      <c r="L150" s="1509"/>
      <c r="M150" s="1509"/>
      <c r="N150" s="1509"/>
    </row>
    <row r="151" spans="1:14" s="339" customFormat="1" ht="12">
      <c r="A151" s="1705"/>
      <c r="B151" s="1827" t="s">
        <v>2271</v>
      </c>
      <c r="C151" s="1827"/>
      <c r="D151" s="376">
        <v>3.65</v>
      </c>
      <c r="E151" s="376">
        <v>0.15</v>
      </c>
      <c r="F151" s="376">
        <v>0.45</v>
      </c>
      <c r="G151" s="376"/>
      <c r="H151" s="475">
        <f t="shared" si="7"/>
        <v>0.24637500000000001</v>
      </c>
      <c r="I151" s="1509"/>
      <c r="J151" s="1509"/>
      <c r="K151" s="1509"/>
      <c r="L151" s="1509"/>
      <c r="M151" s="1509"/>
      <c r="N151" s="1509"/>
    </row>
    <row r="152" spans="1:14" s="339" customFormat="1" ht="12">
      <c r="A152" s="1705"/>
      <c r="B152" s="1833" t="s">
        <v>2272</v>
      </c>
      <c r="C152" s="1833"/>
      <c r="D152" s="376">
        <v>4.05</v>
      </c>
      <c r="E152" s="376">
        <v>0.15</v>
      </c>
      <c r="F152" s="376">
        <v>0.45</v>
      </c>
      <c r="G152" s="376"/>
      <c r="H152" s="475">
        <f t="shared" si="7"/>
        <v>0.27337499999999998</v>
      </c>
      <c r="I152" s="1509"/>
      <c r="J152" s="1509"/>
      <c r="K152" s="1509"/>
      <c r="L152" s="1509"/>
      <c r="M152" s="1509"/>
      <c r="N152" s="1509"/>
    </row>
    <row r="153" spans="1:14" s="339" customFormat="1" ht="12">
      <c r="A153" s="1705"/>
      <c r="B153" s="1833" t="s">
        <v>2273</v>
      </c>
      <c r="C153" s="1833"/>
      <c r="D153" s="376">
        <f>2.35+2.76</f>
        <v>5.1099999999999994</v>
      </c>
      <c r="E153" s="376">
        <v>2.6</v>
      </c>
      <c r="F153" s="376">
        <v>0.15</v>
      </c>
      <c r="G153" s="376"/>
      <c r="H153" s="475">
        <f t="shared" si="7"/>
        <v>1.9928999999999999</v>
      </c>
      <c r="I153" s="1509"/>
      <c r="J153" s="1509"/>
      <c r="K153" s="1509"/>
      <c r="L153" s="1509"/>
      <c r="M153" s="1509"/>
      <c r="N153" s="1509"/>
    </row>
    <row r="154" spans="1:14" s="339" customFormat="1" ht="12">
      <c r="A154" s="1705"/>
      <c r="B154" s="1827" t="s">
        <v>2273</v>
      </c>
      <c r="C154" s="1827"/>
      <c r="D154" s="376">
        <v>2.63</v>
      </c>
      <c r="E154" s="376">
        <v>2.6</v>
      </c>
      <c r="F154" s="376">
        <v>0.25</v>
      </c>
      <c r="G154" s="376"/>
      <c r="H154" s="475">
        <f t="shared" si="7"/>
        <v>1.7095</v>
      </c>
      <c r="I154" s="1509"/>
      <c r="J154" s="1509"/>
      <c r="K154" s="1509"/>
      <c r="L154" s="1509"/>
      <c r="M154" s="1509"/>
      <c r="N154" s="1509"/>
    </row>
    <row r="155" spans="1:14" s="339" customFormat="1" ht="12.6" customHeight="1">
      <c r="A155" s="1705"/>
      <c r="B155" s="1831" t="s">
        <v>2274</v>
      </c>
      <c r="C155" s="1831"/>
      <c r="D155" s="200"/>
      <c r="E155" s="376"/>
      <c r="F155" s="200"/>
      <c r="G155" s="765"/>
      <c r="H155" s="475">
        <f>D155*E155*G155</f>
        <v>0</v>
      </c>
      <c r="I155" s="1509"/>
      <c r="J155" s="1509"/>
      <c r="K155" s="1509"/>
      <c r="L155" s="1509"/>
      <c r="M155" s="1509"/>
      <c r="N155" s="1509"/>
    </row>
    <row r="156" spans="1:14" s="339" customFormat="1" ht="12.6" customHeight="1">
      <c r="A156" s="1705"/>
      <c r="B156" s="1827" t="s">
        <v>2275</v>
      </c>
      <c r="C156" s="1827"/>
      <c r="D156" s="200">
        <v>0.87</v>
      </c>
      <c r="E156" s="376">
        <v>0.12</v>
      </c>
      <c r="F156" s="200">
        <v>2.2999999999999998</v>
      </c>
      <c r="G156" s="765">
        <v>2</v>
      </c>
      <c r="H156" s="475">
        <f>D156*E156*F156*G156</f>
        <v>0.48023999999999994</v>
      </c>
      <c r="I156" s="1509"/>
      <c r="J156" s="1509"/>
      <c r="K156" s="1509"/>
      <c r="L156" s="1509"/>
      <c r="M156" s="1509"/>
      <c r="N156" s="1509"/>
    </row>
    <row r="157" spans="1:14" s="339" customFormat="1" ht="12.6" customHeight="1">
      <c r="A157" s="1705"/>
      <c r="B157" s="1827" t="s">
        <v>2276</v>
      </c>
      <c r="C157" s="1827"/>
      <c r="D157" s="200">
        <v>0.2</v>
      </c>
      <c r="E157" s="376">
        <v>2.2999999999999998</v>
      </c>
      <c r="F157" s="200">
        <v>0.2</v>
      </c>
      <c r="G157" s="765">
        <v>2</v>
      </c>
      <c r="H157" s="475">
        <f>D157*E157*F157*G157</f>
        <v>0.184</v>
      </c>
      <c r="I157" s="1509"/>
      <c r="J157" s="1509"/>
      <c r="K157" s="1509"/>
      <c r="L157" s="1509"/>
      <c r="M157" s="1509"/>
      <c r="N157" s="1509"/>
    </row>
    <row r="158" spans="1:14" s="339" customFormat="1" ht="12.6" customHeight="1">
      <c r="A158" s="1705"/>
      <c r="B158" s="1827" t="s">
        <v>2277</v>
      </c>
      <c r="C158" s="1827"/>
      <c r="D158" s="200">
        <v>5.47</v>
      </c>
      <c r="E158" s="376">
        <v>0.15</v>
      </c>
      <c r="F158" s="200">
        <v>0.6</v>
      </c>
      <c r="G158" s="765">
        <v>2</v>
      </c>
      <c r="H158" s="475">
        <f>D158*E158*F158*G158</f>
        <v>0.98459999999999981</v>
      </c>
      <c r="I158" s="1509"/>
      <c r="J158" s="1509"/>
      <c r="K158" s="1509"/>
      <c r="L158" s="1509"/>
      <c r="M158" s="1509"/>
      <c r="N158" s="1509"/>
    </row>
    <row r="159" spans="1:14" s="339" customFormat="1" ht="12.6" customHeight="1">
      <c r="A159" s="1705"/>
      <c r="B159" s="1831" t="s">
        <v>2278</v>
      </c>
      <c r="C159" s="1831"/>
      <c r="D159" s="200"/>
      <c r="E159" s="376"/>
      <c r="F159" s="200"/>
      <c r="G159" s="765"/>
      <c r="H159" s="475"/>
      <c r="I159" s="1509"/>
      <c r="J159" s="1509"/>
      <c r="K159" s="1509"/>
      <c r="L159" s="1509"/>
      <c r="M159" s="1509"/>
      <c r="N159" s="1509"/>
    </row>
    <row r="160" spans="1:14" s="339" customFormat="1" ht="12.6" customHeight="1">
      <c r="A160" s="1705"/>
      <c r="B160" s="1827" t="s">
        <v>2279</v>
      </c>
      <c r="C160" s="1827"/>
      <c r="D160" s="200">
        <v>19.489999999999998</v>
      </c>
      <c r="E160" s="376">
        <v>0.12</v>
      </c>
      <c r="F160" s="200">
        <v>21.8</v>
      </c>
      <c r="G160" s="376">
        <v>-20.39</v>
      </c>
      <c r="H160" s="475">
        <f>(D160*E160*F160)+G160</f>
        <v>30.595839999999988</v>
      </c>
      <c r="I160" s="1509"/>
      <c r="J160" s="1509"/>
      <c r="K160" s="1509"/>
      <c r="L160" s="1509"/>
      <c r="M160" s="1509"/>
      <c r="N160" s="1509"/>
    </row>
    <row r="161" spans="1:14" s="339" customFormat="1" ht="12.6" customHeight="1">
      <c r="A161" s="1705"/>
      <c r="B161" s="1827"/>
      <c r="C161" s="1827"/>
      <c r="D161" s="200"/>
      <c r="E161" s="376"/>
      <c r="F161" s="200"/>
      <c r="G161" s="765"/>
      <c r="H161" s="475"/>
      <c r="I161" s="1509"/>
      <c r="J161" s="1509"/>
      <c r="K161" s="1509"/>
      <c r="L161" s="1509"/>
      <c r="M161" s="1509"/>
      <c r="N161" s="1509"/>
    </row>
    <row r="162" spans="1:14" s="339" customFormat="1" ht="12.6" customHeight="1">
      <c r="A162" s="1705" t="s">
        <v>3728</v>
      </c>
      <c r="B162" s="1041" t="s">
        <v>3729</v>
      </c>
      <c r="C162" s="771"/>
      <c r="D162" s="1042">
        <v>17.399999999999999</v>
      </c>
      <c r="E162" s="1313">
        <v>0.13</v>
      </c>
      <c r="F162" s="1042">
        <v>9.25</v>
      </c>
      <c r="G162" s="1048">
        <v>20.923500000000001</v>
      </c>
      <c r="H162" s="1051">
        <v>20.923500000000001</v>
      </c>
      <c r="I162" s="1509"/>
      <c r="J162" s="1509"/>
      <c r="K162" s="1509"/>
      <c r="L162" s="1509"/>
      <c r="M162" s="1509"/>
      <c r="N162" s="1509"/>
    </row>
    <row r="163" spans="1:14" s="339" customFormat="1" ht="12.6" customHeight="1">
      <c r="A163" s="1705"/>
      <c r="B163" s="1041"/>
      <c r="C163" s="771"/>
      <c r="D163" s="200"/>
      <c r="E163" s="1313"/>
      <c r="F163" s="1042"/>
      <c r="G163" s="1048"/>
      <c r="H163" s="1051"/>
      <c r="I163" s="1509"/>
      <c r="J163" s="1509"/>
      <c r="K163" s="1509"/>
      <c r="L163" s="1509"/>
      <c r="M163" s="1509"/>
      <c r="N163" s="1509"/>
    </row>
    <row r="164" spans="1:14" s="339" customFormat="1" ht="12.6" customHeight="1">
      <c r="A164" s="1705"/>
      <c r="B164" s="1049" t="s">
        <v>3730</v>
      </c>
      <c r="C164" s="771"/>
      <c r="D164" s="200"/>
      <c r="E164" s="1314">
        <v>0.08</v>
      </c>
      <c r="F164" s="1042"/>
      <c r="G164" s="1048">
        <v>13.65</v>
      </c>
      <c r="H164" s="1051">
        <v>1.0920000000000001</v>
      </c>
      <c r="I164" s="1509"/>
      <c r="J164" s="1509"/>
      <c r="K164" s="1509"/>
      <c r="L164" s="1509"/>
      <c r="M164" s="1509"/>
      <c r="N164" s="1509"/>
    </row>
    <row r="165" spans="1:14" s="339" customFormat="1" ht="12.6" customHeight="1">
      <c r="A165" s="1705"/>
      <c r="B165" s="1050" t="s">
        <v>3731</v>
      </c>
      <c r="C165" s="771"/>
      <c r="D165" s="200"/>
      <c r="E165" s="1314">
        <v>0.08</v>
      </c>
      <c r="F165" s="1042"/>
      <c r="G165" s="1048">
        <v>23.97</v>
      </c>
      <c r="H165" s="1051">
        <v>1.9176</v>
      </c>
      <c r="I165" s="1509"/>
      <c r="J165" s="1509"/>
      <c r="K165" s="1509"/>
      <c r="L165" s="1509"/>
      <c r="M165" s="1509"/>
      <c r="N165" s="1509"/>
    </row>
    <row r="166" spans="1:14" s="339" customFormat="1" ht="12.6" customHeight="1">
      <c r="A166" s="1705"/>
      <c r="B166" s="1050" t="s">
        <v>3732</v>
      </c>
      <c r="C166" s="771"/>
      <c r="D166" s="200"/>
      <c r="E166" s="1314">
        <v>0.08</v>
      </c>
      <c r="F166" s="1042"/>
      <c r="G166" s="1048">
        <v>11.87</v>
      </c>
      <c r="H166" s="1051">
        <v>0.9496</v>
      </c>
      <c r="I166" s="1509"/>
      <c r="J166" s="1509"/>
      <c r="K166" s="1509"/>
      <c r="L166" s="1509"/>
      <c r="M166" s="1509"/>
      <c r="N166" s="1509"/>
    </row>
    <row r="167" spans="1:14" s="339" customFormat="1" ht="12.6" customHeight="1">
      <c r="A167" s="1705"/>
      <c r="B167" s="1050" t="s">
        <v>3733</v>
      </c>
      <c r="C167" s="771"/>
      <c r="D167" s="200"/>
      <c r="E167" s="1314">
        <v>0.08</v>
      </c>
      <c r="F167" s="1042"/>
      <c r="G167" s="1048">
        <v>8.2100000000000009</v>
      </c>
      <c r="H167" s="1051">
        <v>0.65680000000000005</v>
      </c>
      <c r="I167" s="1509"/>
      <c r="J167" s="1509"/>
      <c r="K167" s="1509"/>
      <c r="L167" s="1509"/>
      <c r="M167" s="1509"/>
      <c r="N167" s="1509"/>
    </row>
    <row r="168" spans="1:14" s="339" customFormat="1" ht="12.6" customHeight="1">
      <c r="A168" s="1080"/>
      <c r="B168" s="771"/>
      <c r="C168" s="771"/>
      <c r="D168" s="200"/>
      <c r="E168" s="376"/>
      <c r="F168" s="200"/>
      <c r="G168" s="765"/>
      <c r="H168" s="475"/>
      <c r="I168" s="1509"/>
      <c r="J168" s="1509"/>
      <c r="K168" s="1509"/>
      <c r="L168" s="1509"/>
      <c r="M168" s="1509"/>
      <c r="N168" s="1509"/>
    </row>
    <row r="169" spans="1:14" s="339" customFormat="1" ht="12">
      <c r="A169" s="1080"/>
      <c r="B169" s="771"/>
      <c r="C169" s="771"/>
      <c r="D169" s="200"/>
      <c r="E169" s="376"/>
      <c r="F169" s="200"/>
      <c r="G169" s="765"/>
      <c r="H169" s="475"/>
      <c r="I169" s="1509"/>
      <c r="J169" s="1509"/>
      <c r="K169" s="1509"/>
      <c r="L169" s="1509"/>
      <c r="M169" s="1509"/>
      <c r="N169" s="1509"/>
    </row>
    <row r="170" spans="1:14" s="339" customFormat="1" ht="12.6" customHeight="1">
      <c r="A170" s="1823" t="s">
        <v>2218</v>
      </c>
      <c r="B170" s="1823"/>
      <c r="C170" s="1823"/>
      <c r="D170" s="1823"/>
      <c r="E170" s="1823"/>
      <c r="F170" s="1823"/>
      <c r="G170" s="1823"/>
      <c r="H170" s="766">
        <f>SUM(H148:H167)</f>
        <v>62.534179999999985</v>
      </c>
      <c r="I170" s="1509"/>
      <c r="J170" s="1509"/>
      <c r="K170" s="1509"/>
      <c r="L170" s="1509"/>
      <c r="M170" s="1509"/>
      <c r="N170" s="1509"/>
    </row>
    <row r="171" spans="1:14" s="339" customFormat="1" ht="12.6" customHeight="1">
      <c r="A171" s="1650" t="s">
        <v>2219</v>
      </c>
      <c r="B171" s="1650"/>
      <c r="C171" s="1650"/>
      <c r="D171" s="1650"/>
      <c r="E171" s="1650"/>
      <c r="F171" s="1650"/>
      <c r="G171" s="1650"/>
      <c r="H171" s="767">
        <f>SUM(H149:H160)</f>
        <v>36.994679999999988</v>
      </c>
      <c r="I171" s="1509"/>
      <c r="J171" s="1509"/>
      <c r="K171" s="1509"/>
      <c r="L171" s="1509"/>
      <c r="M171" s="1509"/>
      <c r="N171" s="1509"/>
    </row>
    <row r="172" spans="1:14" s="339" customFormat="1" ht="12.6" customHeight="1">
      <c r="A172" s="1650" t="s">
        <v>2220</v>
      </c>
      <c r="B172" s="1650"/>
      <c r="C172" s="1650"/>
      <c r="D172" s="1650"/>
      <c r="E172" s="1650"/>
      <c r="F172" s="1650"/>
      <c r="G172" s="1650"/>
      <c r="H172" s="217">
        <f>H170-H171</f>
        <v>25.539499999999997</v>
      </c>
      <c r="I172" s="1509"/>
      <c r="J172" s="1509"/>
      <c r="K172" s="1509"/>
      <c r="L172" s="1509"/>
      <c r="M172" s="1509"/>
      <c r="N172" s="1509"/>
    </row>
    <row r="173" spans="1:14" s="339" customFormat="1" ht="12.6" customHeight="1" thickBot="1">
      <c r="A173" s="278"/>
      <c r="B173" s="428"/>
      <c r="C173" s="278"/>
      <c r="D173" s="281"/>
      <c r="E173" s="631"/>
      <c r="F173" s="281"/>
      <c r="G173" s="281"/>
      <c r="H173" s="217"/>
      <c r="I173" s="768"/>
      <c r="J173" s="768"/>
      <c r="K173" s="768"/>
      <c r="L173" s="768"/>
      <c r="M173" s="768"/>
      <c r="N173" s="768"/>
    </row>
    <row r="174" spans="1:14" hidden="1">
      <c r="A174" s="1080" t="s">
        <v>2280</v>
      </c>
      <c r="B174" s="1821" t="s">
        <v>482</v>
      </c>
      <c r="C174" s="1821"/>
      <c r="D174" s="1821"/>
      <c r="E174" s="1821"/>
      <c r="F174" s="1821"/>
      <c r="G174" s="1821"/>
      <c r="H174" s="1821"/>
      <c r="I174" s="1821"/>
      <c r="J174" s="1821"/>
      <c r="K174" s="761" t="s">
        <v>2182</v>
      </c>
      <c r="L174" s="1822">
        <v>74.31</v>
      </c>
      <c r="M174" s="1822"/>
      <c r="N174" s="762">
        <f>L174-H221</f>
        <v>-1.5259999999841511E-3</v>
      </c>
    </row>
    <row r="175" spans="1:14" hidden="1">
      <c r="A175" s="1797"/>
      <c r="B175" s="1797"/>
      <c r="C175" s="1797"/>
      <c r="D175" s="281" t="s">
        <v>2183</v>
      </c>
      <c r="E175" s="631" t="s">
        <v>2184</v>
      </c>
      <c r="F175" s="281" t="s">
        <v>2185</v>
      </c>
      <c r="G175" s="281" t="s">
        <v>2186</v>
      </c>
      <c r="H175" s="1823" t="s">
        <v>476</v>
      </c>
      <c r="I175" s="1509"/>
      <c r="J175" s="1509"/>
      <c r="K175" s="1509"/>
      <c r="L175" s="1509"/>
      <c r="M175" s="1509"/>
      <c r="N175" s="1509"/>
    </row>
    <row r="176" spans="1:14" hidden="1">
      <c r="A176" s="1797"/>
      <c r="B176" s="1797"/>
      <c r="C176" s="1797"/>
      <c r="D176" s="375" t="s">
        <v>2187</v>
      </c>
      <c r="E176" s="1312" t="s">
        <v>2188</v>
      </c>
      <c r="F176" s="375" t="s">
        <v>2189</v>
      </c>
      <c r="G176" s="375" t="s">
        <v>2190</v>
      </c>
      <c r="H176" s="1823"/>
      <c r="I176" s="1509"/>
      <c r="J176" s="1509"/>
      <c r="K176" s="1509"/>
      <c r="L176" s="1509"/>
      <c r="M176" s="1509"/>
      <c r="N176" s="1509"/>
    </row>
    <row r="177" spans="1:14" hidden="1">
      <c r="A177" s="1705" t="s">
        <v>2268</v>
      </c>
      <c r="B177" s="1825" t="s">
        <v>2281</v>
      </c>
      <c r="C177" s="1825"/>
      <c r="D177" s="200"/>
      <c r="E177" s="376"/>
      <c r="F177" s="376"/>
      <c r="G177" s="763"/>
      <c r="H177" s="475"/>
      <c r="I177" s="1509"/>
      <c r="J177" s="1509"/>
      <c r="K177" s="1509"/>
      <c r="L177" s="1509"/>
      <c r="M177" s="1509"/>
      <c r="N177" s="1509"/>
    </row>
    <row r="178" spans="1:14" ht="15" hidden="1" customHeight="1">
      <c r="A178" s="1705"/>
      <c r="B178" s="1827" t="s">
        <v>2282</v>
      </c>
      <c r="C178" s="1827"/>
      <c r="D178" s="376">
        <v>19.489999999999998</v>
      </c>
      <c r="E178" s="376">
        <v>0.12</v>
      </c>
      <c r="F178" s="376">
        <v>21.8</v>
      </c>
      <c r="G178" s="376">
        <v>0.4</v>
      </c>
      <c r="H178" s="475">
        <f>D178*E178*F178*G178</f>
        <v>20.394335999999996</v>
      </c>
      <c r="I178" s="1509"/>
      <c r="J178" s="1509"/>
      <c r="K178" s="1509"/>
      <c r="L178" s="1509"/>
      <c r="M178" s="1509"/>
      <c r="N178" s="1509"/>
    </row>
    <row r="179" spans="1:14" ht="15" hidden="1" customHeight="1">
      <c r="A179" s="1705"/>
      <c r="B179" s="1827" t="s">
        <v>2283</v>
      </c>
      <c r="C179" s="1827"/>
      <c r="D179" s="376">
        <v>5.36</v>
      </c>
      <c r="E179" s="376">
        <v>0.12</v>
      </c>
      <c r="F179" s="376">
        <v>10</v>
      </c>
      <c r="G179" s="376">
        <v>1</v>
      </c>
      <c r="H179" s="475">
        <f>D179*E179*F179*G179</f>
        <v>6.4320000000000004</v>
      </c>
      <c r="I179" s="1509"/>
      <c r="J179" s="1509"/>
      <c r="K179" s="1509"/>
      <c r="L179" s="1509"/>
      <c r="M179" s="1509"/>
      <c r="N179" s="1509"/>
    </row>
    <row r="180" spans="1:14" ht="15" hidden="1" customHeight="1">
      <c r="A180" s="1705"/>
      <c r="B180" s="1827" t="s">
        <v>2284</v>
      </c>
      <c r="C180" s="1827"/>
      <c r="D180" s="376">
        <v>15</v>
      </c>
      <c r="E180" s="376">
        <v>0.12</v>
      </c>
      <c r="F180" s="376">
        <v>0.4</v>
      </c>
      <c r="G180" s="376">
        <v>1</v>
      </c>
      <c r="H180" s="475">
        <f>D180*E180*F180*G180</f>
        <v>0.72</v>
      </c>
      <c r="I180" s="1509"/>
      <c r="J180" s="1509"/>
      <c r="K180" s="1509"/>
      <c r="L180" s="1509"/>
      <c r="M180" s="1509"/>
      <c r="N180" s="1509"/>
    </row>
    <row r="181" spans="1:14" ht="15" hidden="1" customHeight="1">
      <c r="A181" s="1705"/>
      <c r="B181" s="1827" t="s">
        <v>2285</v>
      </c>
      <c r="C181" s="1827"/>
      <c r="D181" s="376">
        <v>14</v>
      </c>
      <c r="E181" s="376">
        <v>0.12</v>
      </c>
      <c r="F181" s="376">
        <v>1</v>
      </c>
      <c r="G181" s="376">
        <v>1</v>
      </c>
      <c r="H181" s="475">
        <f t="shared" ref="H181:H202" si="8">D181*E181*F181</f>
        <v>1.68</v>
      </c>
      <c r="I181" s="1509"/>
      <c r="J181" s="1509"/>
      <c r="K181" s="1509"/>
      <c r="L181" s="1509"/>
      <c r="M181" s="1509"/>
      <c r="N181" s="1509"/>
    </row>
    <row r="182" spans="1:14" ht="15" hidden="1" customHeight="1">
      <c r="A182" s="1705"/>
      <c r="B182" s="1827" t="s">
        <v>2286</v>
      </c>
      <c r="C182" s="1827"/>
      <c r="D182" s="376">
        <v>10</v>
      </c>
      <c r="E182" s="376">
        <v>0.12</v>
      </c>
      <c r="F182" s="376">
        <v>3.2</v>
      </c>
      <c r="G182" s="376">
        <v>1</v>
      </c>
      <c r="H182" s="475">
        <f t="shared" si="8"/>
        <v>3.84</v>
      </c>
      <c r="I182" s="1509"/>
      <c r="J182" s="1509"/>
      <c r="K182" s="1509"/>
      <c r="L182" s="1509"/>
      <c r="M182" s="1509"/>
      <c r="N182" s="1509"/>
    </row>
    <row r="183" spans="1:14" hidden="1">
      <c r="A183" s="1705"/>
      <c r="B183" s="1828" t="s">
        <v>2287</v>
      </c>
      <c r="C183" s="1828"/>
      <c r="D183" s="376">
        <v>7.0350000000000001</v>
      </c>
      <c r="E183" s="376">
        <v>0.15</v>
      </c>
      <c r="F183" s="376">
        <v>0.48</v>
      </c>
      <c r="G183" s="376"/>
      <c r="H183" s="475">
        <f t="shared" si="8"/>
        <v>0.50651999999999997</v>
      </c>
      <c r="I183" s="1509"/>
      <c r="J183" s="1509"/>
      <c r="K183" s="1509"/>
      <c r="L183" s="1509"/>
      <c r="M183" s="1509"/>
      <c r="N183" s="1509"/>
    </row>
    <row r="184" spans="1:14" ht="30" hidden="1">
      <c r="A184" s="1705"/>
      <c r="B184" s="769" t="s">
        <v>2288</v>
      </c>
      <c r="C184" s="770" t="s">
        <v>2288</v>
      </c>
      <c r="D184" s="376">
        <v>9.58</v>
      </c>
      <c r="E184" s="376">
        <v>0.15</v>
      </c>
      <c r="F184" s="376">
        <v>0.48</v>
      </c>
      <c r="G184" s="376"/>
      <c r="H184" s="475">
        <f t="shared" si="8"/>
        <v>0.68976000000000004</v>
      </c>
      <c r="I184" s="1509"/>
      <c r="J184" s="1509"/>
      <c r="K184" s="1509"/>
      <c r="L184" s="1509"/>
      <c r="M184" s="1509"/>
      <c r="N184" s="1509"/>
    </row>
    <row r="185" spans="1:14" ht="30" hidden="1">
      <c r="A185" s="1705"/>
      <c r="B185" s="769" t="s">
        <v>2289</v>
      </c>
      <c r="C185" s="770" t="s">
        <v>2289</v>
      </c>
      <c r="D185" s="376">
        <v>9.3330000000000002</v>
      </c>
      <c r="E185" s="376">
        <v>0.15</v>
      </c>
      <c r="F185" s="376">
        <v>0.48</v>
      </c>
      <c r="G185" s="376"/>
      <c r="H185" s="475">
        <f t="shared" si="8"/>
        <v>0.67197600000000002</v>
      </c>
      <c r="I185" s="1509"/>
      <c r="J185" s="1509"/>
      <c r="K185" s="1509"/>
      <c r="L185" s="1509"/>
      <c r="M185" s="1509"/>
      <c r="N185" s="1509"/>
    </row>
    <row r="186" spans="1:14" ht="30" hidden="1">
      <c r="A186" s="1705"/>
      <c r="B186" s="769" t="s">
        <v>2290</v>
      </c>
      <c r="C186" s="770" t="s">
        <v>2290</v>
      </c>
      <c r="D186" s="376">
        <v>4.5659999999999998</v>
      </c>
      <c r="E186" s="376">
        <v>0.15</v>
      </c>
      <c r="F186" s="376">
        <v>0.48</v>
      </c>
      <c r="G186" s="376"/>
      <c r="H186" s="475">
        <f t="shared" si="8"/>
        <v>0.32875199999999999</v>
      </c>
      <c r="I186" s="1509"/>
      <c r="J186" s="1509"/>
      <c r="K186" s="1509"/>
      <c r="L186" s="1509"/>
      <c r="M186" s="1509"/>
      <c r="N186" s="1509"/>
    </row>
    <row r="187" spans="1:14" ht="30" hidden="1">
      <c r="A187" s="1705"/>
      <c r="B187" s="769" t="s">
        <v>2291</v>
      </c>
      <c r="C187" s="770" t="s">
        <v>2291</v>
      </c>
      <c r="D187" s="376">
        <v>3.4</v>
      </c>
      <c r="E187" s="376">
        <v>0.4</v>
      </c>
      <c r="F187" s="376">
        <v>0.48</v>
      </c>
      <c r="G187" s="376"/>
      <c r="H187" s="475">
        <f t="shared" si="8"/>
        <v>0.65280000000000005</v>
      </c>
      <c r="I187" s="1509"/>
      <c r="J187" s="1509"/>
      <c r="K187" s="1509"/>
      <c r="L187" s="1509"/>
      <c r="M187" s="1509"/>
      <c r="N187" s="1509"/>
    </row>
    <row r="188" spans="1:14" ht="30" hidden="1">
      <c r="A188" s="1705"/>
      <c r="B188" s="769" t="s">
        <v>2292</v>
      </c>
      <c r="C188" s="770" t="s">
        <v>2292</v>
      </c>
      <c r="D188" s="376">
        <v>1.8</v>
      </c>
      <c r="E188" s="376">
        <v>0.4</v>
      </c>
      <c r="F188" s="376">
        <v>0.48</v>
      </c>
      <c r="G188" s="376"/>
      <c r="H188" s="475">
        <f t="shared" si="8"/>
        <v>0.34560000000000002</v>
      </c>
      <c r="I188" s="1509"/>
      <c r="J188" s="1509"/>
      <c r="K188" s="1509"/>
      <c r="L188" s="1509"/>
      <c r="M188" s="1509"/>
      <c r="N188" s="1509"/>
    </row>
    <row r="189" spans="1:14" ht="30" hidden="1">
      <c r="A189" s="1705"/>
      <c r="B189" s="769" t="s">
        <v>2293</v>
      </c>
      <c r="C189" s="770" t="s">
        <v>2293</v>
      </c>
      <c r="D189" s="376">
        <v>17.600000000000001</v>
      </c>
      <c r="E189" s="376">
        <v>0.15</v>
      </c>
      <c r="F189" s="376">
        <v>0.48</v>
      </c>
      <c r="G189" s="376"/>
      <c r="H189" s="475">
        <f t="shared" si="8"/>
        <v>1.2672000000000001</v>
      </c>
      <c r="I189" s="1509"/>
      <c r="J189" s="1509"/>
      <c r="K189" s="1509"/>
      <c r="L189" s="1509"/>
      <c r="M189" s="1509"/>
      <c r="N189" s="1509"/>
    </row>
    <row r="190" spans="1:14" ht="45" hidden="1">
      <c r="A190" s="1705"/>
      <c r="B190" s="769" t="s">
        <v>2294</v>
      </c>
      <c r="C190" s="770" t="s">
        <v>2294</v>
      </c>
      <c r="D190" s="376">
        <v>4.5999999999999996</v>
      </c>
      <c r="E190" s="376">
        <v>0.15</v>
      </c>
      <c r="F190" s="376">
        <v>1.5</v>
      </c>
      <c r="G190" s="376"/>
      <c r="H190" s="475">
        <f t="shared" si="8"/>
        <v>1.0349999999999999</v>
      </c>
      <c r="I190" s="1509"/>
      <c r="J190" s="1509"/>
      <c r="K190" s="1509"/>
      <c r="L190" s="1509"/>
      <c r="M190" s="1509"/>
      <c r="N190" s="1509"/>
    </row>
    <row r="191" spans="1:14" ht="45" hidden="1">
      <c r="A191" s="1705"/>
      <c r="B191" s="769" t="s">
        <v>2295</v>
      </c>
      <c r="C191" s="770" t="s">
        <v>2295</v>
      </c>
      <c r="D191" s="376">
        <v>5</v>
      </c>
      <c r="E191" s="376">
        <v>0.15</v>
      </c>
      <c r="F191" s="376">
        <v>1.5</v>
      </c>
      <c r="G191" s="376"/>
      <c r="H191" s="475">
        <f t="shared" si="8"/>
        <v>1.125</v>
      </c>
      <c r="I191" s="1509"/>
      <c r="J191" s="1509"/>
      <c r="K191" s="1509"/>
      <c r="L191" s="1509"/>
      <c r="M191" s="1509"/>
      <c r="N191" s="1509"/>
    </row>
    <row r="192" spans="1:14" ht="45" hidden="1">
      <c r="A192" s="1705"/>
      <c r="B192" s="769" t="s">
        <v>2296</v>
      </c>
      <c r="C192" s="770" t="s">
        <v>2296</v>
      </c>
      <c r="D192" s="376">
        <v>5</v>
      </c>
      <c r="E192" s="376">
        <v>0.15</v>
      </c>
      <c r="F192" s="376">
        <v>1.5</v>
      </c>
      <c r="G192" s="376"/>
      <c r="H192" s="475">
        <f t="shared" si="8"/>
        <v>1.125</v>
      </c>
      <c r="I192" s="1509"/>
      <c r="J192" s="1509"/>
      <c r="K192" s="1509"/>
      <c r="L192" s="1509"/>
      <c r="M192" s="1509"/>
      <c r="N192" s="1509"/>
    </row>
    <row r="193" spans="1:14" ht="45" hidden="1">
      <c r="A193" s="1705"/>
      <c r="B193" s="769" t="s">
        <v>2297</v>
      </c>
      <c r="C193" s="770" t="s">
        <v>2297</v>
      </c>
      <c r="D193" s="376">
        <v>3.15</v>
      </c>
      <c r="E193" s="376">
        <v>0.15</v>
      </c>
      <c r="F193" s="376">
        <v>1.5</v>
      </c>
      <c r="G193" s="376"/>
      <c r="H193" s="475">
        <f t="shared" si="8"/>
        <v>0.70874999999999999</v>
      </c>
      <c r="I193" s="1509"/>
      <c r="J193" s="1509"/>
      <c r="K193" s="1509"/>
      <c r="L193" s="1509"/>
      <c r="M193" s="1509"/>
      <c r="N193" s="1509"/>
    </row>
    <row r="194" spans="1:14" ht="60" hidden="1">
      <c r="A194" s="1705"/>
      <c r="B194" s="769" t="s">
        <v>2298</v>
      </c>
      <c r="C194" s="770" t="s">
        <v>2298</v>
      </c>
      <c r="D194" s="376">
        <v>0.6</v>
      </c>
      <c r="E194" s="376">
        <v>0.6</v>
      </c>
      <c r="F194" s="376">
        <v>0.6</v>
      </c>
      <c r="G194" s="376"/>
      <c r="H194" s="475">
        <f t="shared" si="8"/>
        <v>0.216</v>
      </c>
      <c r="I194" s="1509"/>
      <c r="J194" s="1509"/>
      <c r="K194" s="1509"/>
      <c r="L194" s="1509"/>
      <c r="M194" s="1509"/>
      <c r="N194" s="1509"/>
    </row>
    <row r="195" spans="1:14" ht="45" hidden="1">
      <c r="A195" s="1705"/>
      <c r="B195" s="769" t="s">
        <v>2299</v>
      </c>
      <c r="C195" s="770" t="s">
        <v>2299</v>
      </c>
      <c r="D195" s="376">
        <v>0.6</v>
      </c>
      <c r="E195" s="376">
        <v>0.6</v>
      </c>
      <c r="F195" s="376">
        <v>0.6</v>
      </c>
      <c r="G195" s="376"/>
      <c r="H195" s="475">
        <f t="shared" si="8"/>
        <v>0.216</v>
      </c>
      <c r="I195" s="1509"/>
      <c r="J195" s="1509"/>
      <c r="K195" s="1509"/>
      <c r="L195" s="1509"/>
      <c r="M195" s="1509"/>
      <c r="N195" s="1509"/>
    </row>
    <row r="196" spans="1:14" ht="60" hidden="1">
      <c r="A196" s="1705"/>
      <c r="B196" s="769" t="s">
        <v>2300</v>
      </c>
      <c r="C196" s="770" t="s">
        <v>2300</v>
      </c>
      <c r="D196" s="376">
        <v>0.6</v>
      </c>
      <c r="E196" s="376">
        <v>0.6</v>
      </c>
      <c r="F196" s="376">
        <v>0.6</v>
      </c>
      <c r="G196" s="376"/>
      <c r="H196" s="475">
        <f t="shared" si="8"/>
        <v>0.216</v>
      </c>
      <c r="I196" s="1509"/>
      <c r="J196" s="1509"/>
      <c r="K196" s="1509"/>
      <c r="L196" s="1509"/>
      <c r="M196" s="1509"/>
      <c r="N196" s="1509"/>
    </row>
    <row r="197" spans="1:14" ht="60" hidden="1">
      <c r="A197" s="1705"/>
      <c r="B197" s="769" t="s">
        <v>2301</v>
      </c>
      <c r="C197" s="770" t="s">
        <v>2301</v>
      </c>
      <c r="D197" s="376">
        <v>0.6</v>
      </c>
      <c r="E197" s="376">
        <v>0.6</v>
      </c>
      <c r="F197" s="376">
        <v>0.6</v>
      </c>
      <c r="G197" s="376"/>
      <c r="H197" s="475">
        <f t="shared" si="8"/>
        <v>0.216</v>
      </c>
      <c r="I197" s="1509"/>
      <c r="J197" s="1509"/>
      <c r="K197" s="1509"/>
      <c r="L197" s="1509"/>
      <c r="M197" s="1509"/>
      <c r="N197" s="1509"/>
    </row>
    <row r="198" spans="1:14" ht="60" hidden="1">
      <c r="A198" s="1705"/>
      <c r="B198" s="769" t="s">
        <v>2302</v>
      </c>
      <c r="C198" s="770" t="s">
        <v>2302</v>
      </c>
      <c r="D198" s="376">
        <v>0.6</v>
      </c>
      <c r="E198" s="376">
        <v>0.6</v>
      </c>
      <c r="F198" s="376">
        <v>0.6</v>
      </c>
      <c r="G198" s="376"/>
      <c r="H198" s="475">
        <f t="shared" si="8"/>
        <v>0.216</v>
      </c>
      <c r="I198" s="1509"/>
      <c r="J198" s="1509"/>
      <c r="K198" s="1509"/>
      <c r="L198" s="1509"/>
      <c r="M198" s="1509"/>
      <c r="N198" s="1509"/>
    </row>
    <row r="199" spans="1:14" ht="60" hidden="1">
      <c r="A199" s="1705"/>
      <c r="B199" s="769" t="s">
        <v>2303</v>
      </c>
      <c r="C199" s="770" t="s">
        <v>2303</v>
      </c>
      <c r="D199" s="376">
        <v>0.6</v>
      </c>
      <c r="E199" s="376">
        <v>0.6</v>
      </c>
      <c r="F199" s="376">
        <v>0.6</v>
      </c>
      <c r="G199" s="376"/>
      <c r="H199" s="475">
        <f t="shared" si="8"/>
        <v>0.216</v>
      </c>
      <c r="I199" s="1509"/>
      <c r="J199" s="1509"/>
      <c r="K199" s="1509"/>
      <c r="L199" s="1509"/>
      <c r="M199" s="1509"/>
      <c r="N199" s="1509"/>
    </row>
    <row r="200" spans="1:14" hidden="1">
      <c r="A200" s="1705"/>
      <c r="B200" s="1831" t="s">
        <v>2304</v>
      </c>
      <c r="C200" s="1831"/>
      <c r="D200" s="376"/>
      <c r="E200" s="376"/>
      <c r="F200" s="376"/>
      <c r="G200" s="376"/>
      <c r="H200" s="475">
        <f t="shared" si="8"/>
        <v>0</v>
      </c>
      <c r="I200" s="1509"/>
      <c r="J200" s="1509"/>
      <c r="K200" s="1509"/>
      <c r="L200" s="1509"/>
      <c r="M200" s="1509"/>
      <c r="N200" s="1509"/>
    </row>
    <row r="201" spans="1:14" hidden="1">
      <c r="A201" s="1705"/>
      <c r="B201" s="1827" t="s">
        <v>2305</v>
      </c>
      <c r="C201" s="1827"/>
      <c r="D201" s="376">
        <v>9.58</v>
      </c>
      <c r="E201" s="376">
        <v>0.12</v>
      </c>
      <c r="F201" s="376">
        <v>0.6</v>
      </c>
      <c r="G201" s="376"/>
      <c r="H201" s="475">
        <f t="shared" si="8"/>
        <v>0.68975999999999993</v>
      </c>
      <c r="I201" s="1509"/>
      <c r="J201" s="1509"/>
      <c r="K201" s="1509"/>
      <c r="L201" s="1509"/>
      <c r="M201" s="1509"/>
      <c r="N201" s="1509"/>
    </row>
    <row r="202" spans="1:14" ht="15" hidden="1" customHeight="1">
      <c r="A202" s="1705"/>
      <c r="B202" s="1827" t="s">
        <v>2306</v>
      </c>
      <c r="C202" s="1827"/>
      <c r="D202" s="376">
        <v>17.135999999999999</v>
      </c>
      <c r="E202" s="376">
        <v>0.12</v>
      </c>
      <c r="F202" s="376">
        <v>0.6</v>
      </c>
      <c r="G202" s="376"/>
      <c r="H202" s="475">
        <f t="shared" si="8"/>
        <v>1.233792</v>
      </c>
      <c r="I202" s="1509"/>
      <c r="J202" s="1509"/>
      <c r="K202" s="1509"/>
      <c r="L202" s="1509"/>
      <c r="M202" s="1509"/>
      <c r="N202" s="1509"/>
    </row>
    <row r="203" spans="1:14" hidden="1">
      <c r="A203" s="1705"/>
      <c r="B203" s="1833" t="s">
        <v>2307</v>
      </c>
      <c r="C203" s="1833"/>
      <c r="D203" s="376">
        <v>0.2</v>
      </c>
      <c r="E203" s="376">
        <v>0.4</v>
      </c>
      <c r="F203" s="376">
        <v>4.4000000000000004</v>
      </c>
      <c r="G203" s="376">
        <v>5</v>
      </c>
      <c r="H203" s="475">
        <f>D203*E203*F203*G203</f>
        <v>1.7600000000000005</v>
      </c>
      <c r="I203" s="1509"/>
      <c r="J203" s="1509"/>
      <c r="K203" s="1509"/>
      <c r="L203" s="1509"/>
      <c r="M203" s="1509"/>
      <c r="N203" s="1509"/>
    </row>
    <row r="204" spans="1:14" ht="15" hidden="1" customHeight="1">
      <c r="A204" s="1705"/>
      <c r="B204" s="1833" t="s">
        <v>2308</v>
      </c>
      <c r="C204" s="1833"/>
      <c r="D204" s="376">
        <v>1.7</v>
      </c>
      <c r="E204" s="376">
        <v>1.52</v>
      </c>
      <c r="F204" s="376">
        <v>0.12</v>
      </c>
      <c r="G204" s="376"/>
      <c r="H204" s="475">
        <f>D204*E204*F204</f>
        <v>0.31008000000000002</v>
      </c>
      <c r="I204" s="1509"/>
      <c r="J204" s="1509"/>
      <c r="K204" s="1509"/>
      <c r="L204" s="1509"/>
      <c r="M204" s="1509"/>
      <c r="N204" s="1509"/>
    </row>
    <row r="205" spans="1:14" ht="15" hidden="1" customHeight="1">
      <c r="A205" s="1705"/>
      <c r="B205" s="1827" t="s">
        <v>2309</v>
      </c>
      <c r="C205" s="1827"/>
      <c r="D205" s="376">
        <v>0.45</v>
      </c>
      <c r="E205" s="376">
        <v>2.6</v>
      </c>
      <c r="F205" s="376">
        <v>0.12</v>
      </c>
      <c r="G205" s="376"/>
      <c r="H205" s="475">
        <f>D205*E205*F205</f>
        <v>0.14040000000000002</v>
      </c>
      <c r="I205" s="1509"/>
      <c r="J205" s="1509"/>
      <c r="K205" s="1509"/>
      <c r="L205" s="1509"/>
      <c r="M205" s="1509"/>
      <c r="N205" s="1509"/>
    </row>
    <row r="206" spans="1:14" hidden="1">
      <c r="A206" s="1705"/>
      <c r="B206" s="1831" t="s">
        <v>2209</v>
      </c>
      <c r="C206" s="1831"/>
      <c r="D206" s="200"/>
      <c r="E206" s="376"/>
      <c r="F206" s="200"/>
      <c r="G206" s="765"/>
      <c r="H206" s="475"/>
      <c r="I206" s="1509"/>
      <c r="J206" s="1509"/>
      <c r="K206" s="1509"/>
      <c r="L206" s="1509"/>
      <c r="M206" s="1509"/>
      <c r="N206" s="1509"/>
    </row>
    <row r="207" spans="1:14" hidden="1">
      <c r="A207" s="1705"/>
      <c r="B207" s="1830" t="s">
        <v>2310</v>
      </c>
      <c r="C207" s="1830"/>
      <c r="D207" s="200">
        <v>17.36</v>
      </c>
      <c r="E207" s="376">
        <v>0.6</v>
      </c>
      <c r="F207" s="200">
        <v>1.05</v>
      </c>
      <c r="G207" s="376">
        <v>0.15</v>
      </c>
      <c r="H207" s="475">
        <f>(E207+F207)*D207*G207</f>
        <v>4.2965999999999998</v>
      </c>
      <c r="I207" s="1509"/>
      <c r="J207" s="1509"/>
      <c r="K207" s="1509"/>
      <c r="L207" s="1509"/>
      <c r="M207" s="1509"/>
      <c r="N207" s="1509"/>
    </row>
    <row r="208" spans="1:14" ht="60" hidden="1">
      <c r="A208" s="1705"/>
      <c r="B208" s="557" t="s">
        <v>2311</v>
      </c>
      <c r="C208" s="557" t="s">
        <v>2311</v>
      </c>
      <c r="D208" s="200">
        <v>17.36</v>
      </c>
      <c r="E208" s="376">
        <v>0.6</v>
      </c>
      <c r="F208" s="200">
        <v>1</v>
      </c>
      <c r="G208" s="376">
        <v>0.15</v>
      </c>
      <c r="H208" s="475">
        <f>(E208+F208)*D208*G208</f>
        <v>4.1663999999999994</v>
      </c>
      <c r="I208" s="1509"/>
      <c r="J208" s="1509"/>
      <c r="K208" s="1509"/>
      <c r="L208" s="1509"/>
      <c r="M208" s="1509"/>
      <c r="N208" s="1509"/>
    </row>
    <row r="209" spans="1:14" hidden="1">
      <c r="A209" s="1705"/>
      <c r="B209" s="1830" t="s">
        <v>2312</v>
      </c>
      <c r="C209" s="1830" t="s">
        <v>2312</v>
      </c>
      <c r="D209" s="200">
        <v>22.53</v>
      </c>
      <c r="E209" s="376">
        <v>0.6</v>
      </c>
      <c r="F209" s="200">
        <v>1</v>
      </c>
      <c r="G209" s="376">
        <v>0.15</v>
      </c>
      <c r="H209" s="475">
        <f>(E209+F209)*D209*G209</f>
        <v>5.4072000000000005</v>
      </c>
      <c r="I209" s="1509"/>
      <c r="J209" s="1509"/>
      <c r="K209" s="1509"/>
      <c r="L209" s="1509"/>
      <c r="M209" s="1509"/>
      <c r="N209" s="1509"/>
    </row>
    <row r="210" spans="1:14" hidden="1">
      <c r="A210" s="1705"/>
      <c r="B210" s="1830" t="s">
        <v>2313</v>
      </c>
      <c r="C210" s="1830" t="s">
        <v>2313</v>
      </c>
      <c r="D210" s="200">
        <v>17.36</v>
      </c>
      <c r="E210" s="376">
        <v>0.15</v>
      </c>
      <c r="F210" s="200">
        <v>0.6</v>
      </c>
      <c r="G210" s="376"/>
      <c r="H210" s="475">
        <f t="shared" ref="H210:H216" si="9">D210*E210*F210</f>
        <v>1.5623999999999998</v>
      </c>
      <c r="I210" s="1509"/>
      <c r="J210" s="1509"/>
      <c r="K210" s="1509"/>
      <c r="L210" s="1509"/>
      <c r="M210" s="1509"/>
      <c r="N210" s="1509"/>
    </row>
    <row r="211" spans="1:14" ht="120" hidden="1">
      <c r="A211" s="1705"/>
      <c r="B211" s="557" t="s">
        <v>2314</v>
      </c>
      <c r="C211" s="557" t="s">
        <v>2314</v>
      </c>
      <c r="D211" s="200">
        <v>9.59</v>
      </c>
      <c r="E211" s="376">
        <v>0.15</v>
      </c>
      <c r="F211" s="200">
        <v>0.6</v>
      </c>
      <c r="G211" s="376"/>
      <c r="H211" s="475">
        <f t="shared" si="9"/>
        <v>0.86309999999999987</v>
      </c>
      <c r="I211" s="1509"/>
      <c r="J211" s="1509"/>
      <c r="K211" s="1509"/>
      <c r="L211" s="1509"/>
      <c r="M211" s="1509"/>
      <c r="N211" s="1509"/>
    </row>
    <row r="212" spans="1:14" ht="105" hidden="1">
      <c r="A212" s="1705"/>
      <c r="B212" s="557" t="s">
        <v>2315</v>
      </c>
      <c r="C212" s="557" t="s">
        <v>2315</v>
      </c>
      <c r="D212" s="200">
        <v>18.27</v>
      </c>
      <c r="E212" s="376">
        <v>0.15</v>
      </c>
      <c r="F212" s="200">
        <v>0.6</v>
      </c>
      <c r="G212" s="376"/>
      <c r="H212" s="475">
        <f t="shared" si="9"/>
        <v>1.6442999999999999</v>
      </c>
      <c r="I212" s="1509"/>
      <c r="J212" s="1509"/>
      <c r="K212" s="1509"/>
      <c r="L212" s="1509"/>
      <c r="M212" s="1509"/>
      <c r="N212" s="1509"/>
    </row>
    <row r="213" spans="1:14" ht="105" hidden="1">
      <c r="A213" s="1705"/>
      <c r="B213" s="557" t="s">
        <v>2316</v>
      </c>
      <c r="C213" s="557" t="s">
        <v>2316</v>
      </c>
      <c r="D213" s="200">
        <v>14.51</v>
      </c>
      <c r="E213" s="376">
        <v>0.15</v>
      </c>
      <c r="F213" s="200">
        <v>0.4</v>
      </c>
      <c r="G213" s="376"/>
      <c r="H213" s="475">
        <f t="shared" si="9"/>
        <v>0.87060000000000004</v>
      </c>
      <c r="I213" s="1509"/>
      <c r="J213" s="1509"/>
      <c r="K213" s="1509"/>
      <c r="L213" s="1509"/>
      <c r="M213" s="1509"/>
      <c r="N213" s="1509"/>
    </row>
    <row r="214" spans="1:14" ht="135" hidden="1">
      <c r="A214" s="1705"/>
      <c r="B214" s="557" t="s">
        <v>2317</v>
      </c>
      <c r="C214" s="557" t="s">
        <v>2317</v>
      </c>
      <c r="D214" s="200">
        <v>4.8800000000000008</v>
      </c>
      <c r="E214" s="376">
        <v>0.15</v>
      </c>
      <c r="F214" s="200">
        <v>0.4</v>
      </c>
      <c r="G214" s="376"/>
      <c r="H214" s="475">
        <f t="shared" si="9"/>
        <v>0.29280000000000006</v>
      </c>
      <c r="I214" s="1509"/>
      <c r="J214" s="1509"/>
      <c r="K214" s="1509"/>
      <c r="L214" s="1509"/>
      <c r="M214" s="1509"/>
      <c r="N214" s="1509"/>
    </row>
    <row r="215" spans="1:14" ht="105" hidden="1">
      <c r="A215" s="1705"/>
      <c r="B215" s="557" t="s">
        <v>2318</v>
      </c>
      <c r="C215" s="557" t="s">
        <v>2318</v>
      </c>
      <c r="D215" s="200">
        <v>23.5</v>
      </c>
      <c r="E215" s="376">
        <v>0.15</v>
      </c>
      <c r="F215" s="200">
        <v>0.4</v>
      </c>
      <c r="G215" s="376"/>
      <c r="H215" s="475">
        <f t="shared" si="9"/>
        <v>1.4100000000000001</v>
      </c>
      <c r="I215" s="1509"/>
      <c r="J215" s="1509"/>
      <c r="K215" s="1509"/>
      <c r="L215" s="1509"/>
      <c r="M215" s="1509"/>
      <c r="N215" s="1509"/>
    </row>
    <row r="216" spans="1:14" ht="43.9" hidden="1" customHeight="1">
      <c r="A216" s="1705"/>
      <c r="B216" s="557" t="s">
        <v>2319</v>
      </c>
      <c r="C216" s="557" t="s">
        <v>2319</v>
      </c>
      <c r="D216" s="200">
        <v>9.82</v>
      </c>
      <c r="E216" s="376">
        <v>0.15</v>
      </c>
      <c r="F216" s="200">
        <v>0.4</v>
      </c>
      <c r="G216" s="376"/>
      <c r="H216" s="475">
        <f t="shared" si="9"/>
        <v>0.58920000000000006</v>
      </c>
      <c r="I216" s="1509"/>
      <c r="J216" s="1509"/>
      <c r="K216" s="1509"/>
      <c r="L216" s="1509"/>
      <c r="M216" s="1509"/>
      <c r="N216" s="1509"/>
    </row>
    <row r="217" spans="1:14" ht="120" hidden="1">
      <c r="A217" s="1705"/>
      <c r="B217" s="557" t="s">
        <v>2320</v>
      </c>
      <c r="C217" s="557" t="s">
        <v>2320</v>
      </c>
      <c r="D217" s="200">
        <v>0.15</v>
      </c>
      <c r="E217" s="376">
        <v>0.4</v>
      </c>
      <c r="F217" s="200">
        <v>1.85</v>
      </c>
      <c r="G217" s="376">
        <v>16</v>
      </c>
      <c r="H217" s="475">
        <f>D217*E217*F217*G217</f>
        <v>1.776</v>
      </c>
      <c r="I217" s="1509"/>
      <c r="J217" s="1509"/>
      <c r="K217" s="1509"/>
      <c r="L217" s="1509"/>
      <c r="M217" s="1509"/>
      <c r="N217" s="1509"/>
    </row>
    <row r="218" spans="1:14" hidden="1">
      <c r="A218" s="1705"/>
      <c r="B218" s="1827" t="s">
        <v>2321</v>
      </c>
      <c r="C218" s="1827"/>
      <c r="D218" s="200"/>
      <c r="E218" s="376">
        <v>0.16</v>
      </c>
      <c r="F218" s="200">
        <v>11.92</v>
      </c>
      <c r="G218" s="765"/>
      <c r="H218" s="475">
        <f>E218*F218</f>
        <v>1.9072</v>
      </c>
      <c r="I218" s="1509"/>
      <c r="J218" s="1509"/>
      <c r="K218" s="1509"/>
      <c r="L218" s="1509"/>
      <c r="M218" s="1509"/>
      <c r="N218" s="1509"/>
    </row>
    <row r="219" spans="1:14" hidden="1">
      <c r="A219" s="1705"/>
      <c r="B219" s="1827" t="s">
        <v>2322</v>
      </c>
      <c r="C219" s="1827"/>
      <c r="D219" s="200">
        <v>3.1</v>
      </c>
      <c r="E219" s="376">
        <v>0.25</v>
      </c>
      <c r="F219" s="200">
        <v>0.83</v>
      </c>
      <c r="G219" s="765">
        <v>4</v>
      </c>
      <c r="H219" s="475">
        <f>D219*E219*F219*G219</f>
        <v>2.573</v>
      </c>
      <c r="I219" s="1509"/>
      <c r="J219" s="1509"/>
      <c r="K219" s="1509"/>
      <c r="L219" s="1509"/>
      <c r="M219" s="1509"/>
      <c r="N219" s="1509"/>
    </row>
    <row r="220" spans="1:14" hidden="1">
      <c r="A220" s="1705"/>
      <c r="B220" s="1827"/>
      <c r="C220" s="1827"/>
      <c r="D220" s="200"/>
      <c r="E220" s="376"/>
      <c r="F220" s="200"/>
      <c r="G220" s="765"/>
      <c r="H220" s="475"/>
      <c r="I220" s="1509"/>
      <c r="J220" s="1509"/>
      <c r="K220" s="1509"/>
      <c r="L220" s="1509"/>
      <c r="M220" s="1509"/>
      <c r="N220" s="1509"/>
    </row>
    <row r="221" spans="1:14" hidden="1">
      <c r="A221" s="1823" t="s">
        <v>2218</v>
      </c>
      <c r="B221" s="1823"/>
      <c r="C221" s="1823"/>
      <c r="D221" s="1823"/>
      <c r="E221" s="1823"/>
      <c r="F221" s="1823"/>
      <c r="G221" s="1823"/>
      <c r="H221" s="766">
        <f>SUM(H177:H220)</f>
        <v>74.311525999999986</v>
      </c>
      <c r="I221" s="1509"/>
      <c r="J221" s="1509"/>
      <c r="K221" s="1509"/>
      <c r="L221" s="1509"/>
      <c r="M221" s="1509"/>
      <c r="N221" s="1509"/>
    </row>
    <row r="222" spans="1:14" hidden="1">
      <c r="A222" s="1650" t="s">
        <v>2219</v>
      </c>
      <c r="B222" s="1650"/>
      <c r="C222" s="1650"/>
      <c r="D222" s="1650"/>
      <c r="E222" s="1650"/>
      <c r="F222" s="1650"/>
      <c r="G222" s="1650"/>
      <c r="H222" s="767">
        <f>SUM(H178:H219)</f>
        <v>74.311525999999986</v>
      </c>
      <c r="I222" s="1509"/>
      <c r="J222" s="1509"/>
      <c r="K222" s="1509"/>
      <c r="L222" s="1509"/>
      <c r="M222" s="1509"/>
      <c r="N222" s="1509"/>
    </row>
    <row r="223" spans="1:14" hidden="1">
      <c r="A223" s="1650" t="s">
        <v>2220</v>
      </c>
      <c r="B223" s="1650"/>
      <c r="C223" s="1650"/>
      <c r="D223" s="1650"/>
      <c r="E223" s="1650"/>
      <c r="F223" s="1650"/>
      <c r="G223" s="1650"/>
      <c r="H223" s="217">
        <f>H221-H222</f>
        <v>0</v>
      </c>
      <c r="I223" s="1509"/>
      <c r="J223" s="1509"/>
      <c r="K223" s="1509"/>
      <c r="L223" s="1509"/>
      <c r="M223" s="1509"/>
      <c r="N223" s="1509"/>
    </row>
    <row r="224" spans="1:14" ht="15" hidden="1" customHeight="1">
      <c r="A224" s="1080" t="s">
        <v>2323</v>
      </c>
      <c r="B224" s="1821" t="s">
        <v>63</v>
      </c>
      <c r="C224" s="1821"/>
      <c r="D224" s="1821"/>
      <c r="E224" s="1821"/>
      <c r="F224" s="1821"/>
      <c r="G224" s="1821"/>
      <c r="H224" s="1821"/>
      <c r="I224" s="1821"/>
      <c r="J224" s="1821"/>
      <c r="K224" s="761" t="s">
        <v>44</v>
      </c>
      <c r="L224" s="1822">
        <v>98.85</v>
      </c>
      <c r="M224" s="1822"/>
      <c r="N224" s="762">
        <f>L224-H235</f>
        <v>0</v>
      </c>
    </row>
    <row r="225" spans="1:14" ht="15" hidden="1" customHeight="1">
      <c r="A225" s="1797"/>
      <c r="B225" s="1797"/>
      <c r="C225" s="1797"/>
      <c r="D225" s="281" t="s">
        <v>2183</v>
      </c>
      <c r="E225" s="631" t="s">
        <v>2184</v>
      </c>
      <c r="F225" s="281" t="s">
        <v>2185</v>
      </c>
      <c r="G225" s="281" t="s">
        <v>2186</v>
      </c>
      <c r="H225" s="1823" t="s">
        <v>476</v>
      </c>
      <c r="I225" s="1509"/>
      <c r="J225" s="1509"/>
      <c r="K225" s="1509"/>
      <c r="L225" s="1509"/>
      <c r="M225" s="1509"/>
      <c r="N225" s="1509"/>
    </row>
    <row r="226" spans="1:14" hidden="1">
      <c r="A226" s="1797"/>
      <c r="B226" s="1797"/>
      <c r="C226" s="1797"/>
      <c r="D226" s="375" t="s">
        <v>2187</v>
      </c>
      <c r="E226" s="1312" t="s">
        <v>2188</v>
      </c>
      <c r="F226" s="375" t="s">
        <v>2189</v>
      </c>
      <c r="G226" s="375" t="s">
        <v>2190</v>
      </c>
      <c r="H226" s="1823"/>
      <c r="I226" s="1509"/>
      <c r="J226" s="1509"/>
      <c r="K226" s="1509"/>
      <c r="L226" s="1509"/>
      <c r="M226" s="1509"/>
      <c r="N226" s="1509"/>
    </row>
    <row r="227" spans="1:14" ht="15" hidden="1" customHeight="1">
      <c r="A227" s="1705" t="s">
        <v>2191</v>
      </c>
      <c r="B227" s="1825" t="s">
        <v>2324</v>
      </c>
      <c r="C227" s="1825"/>
      <c r="D227" s="200"/>
      <c r="E227" s="376"/>
      <c r="F227" s="376"/>
      <c r="G227" s="763"/>
      <c r="H227" s="764"/>
      <c r="I227" s="1509"/>
      <c r="J227" s="1509"/>
      <c r="K227" s="1509"/>
      <c r="L227" s="1509"/>
      <c r="M227" s="1509"/>
      <c r="N227" s="1509"/>
    </row>
    <row r="228" spans="1:14" ht="15" hidden="1" customHeight="1">
      <c r="A228" s="1705"/>
      <c r="B228" s="1827" t="s">
        <v>2325</v>
      </c>
      <c r="C228" s="1827"/>
      <c r="D228" s="376">
        <v>17.3</v>
      </c>
      <c r="E228" s="376"/>
      <c r="F228" s="376"/>
      <c r="G228" s="765"/>
      <c r="H228" s="475">
        <f>D228</f>
        <v>17.3</v>
      </c>
      <c r="I228" s="1509"/>
      <c r="J228" s="1509"/>
      <c r="K228" s="1509"/>
      <c r="L228" s="1509"/>
      <c r="M228" s="1509"/>
      <c r="N228" s="1509"/>
    </row>
    <row r="229" spans="1:14" ht="15" hidden="1" customHeight="1">
      <c r="A229" s="1705"/>
      <c r="B229" s="1827"/>
      <c r="C229" s="1827"/>
      <c r="D229" s="376"/>
      <c r="E229" s="376"/>
      <c r="F229" s="376"/>
      <c r="G229" s="765"/>
      <c r="H229" s="475"/>
      <c r="I229" s="1509"/>
      <c r="J229" s="1509"/>
      <c r="K229" s="1509"/>
      <c r="L229" s="1509"/>
      <c r="M229" s="1509"/>
      <c r="N229" s="1509"/>
    </row>
    <row r="230" spans="1:14" hidden="1">
      <c r="A230" s="1705"/>
      <c r="B230" s="1827"/>
      <c r="C230" s="1827"/>
      <c r="D230" s="376"/>
      <c r="E230" s="376"/>
      <c r="F230" s="376"/>
      <c r="G230" s="765"/>
      <c r="H230" s="475"/>
      <c r="I230" s="1509"/>
      <c r="J230" s="1509"/>
      <c r="K230" s="1509"/>
      <c r="L230" s="1509"/>
      <c r="M230" s="1509"/>
      <c r="N230" s="1509"/>
    </row>
    <row r="231" spans="1:14" hidden="1">
      <c r="A231" s="1705" t="s">
        <v>2268</v>
      </c>
      <c r="B231" s="1833" t="s">
        <v>2325</v>
      </c>
      <c r="C231" s="1833"/>
      <c r="D231" s="376">
        <v>12</v>
      </c>
      <c r="E231" s="376"/>
      <c r="F231" s="376"/>
      <c r="G231" s="765"/>
      <c r="H231" s="475">
        <f>D231</f>
        <v>12</v>
      </c>
      <c r="I231" s="1509"/>
      <c r="J231" s="1509"/>
      <c r="K231" s="1509"/>
      <c r="L231" s="1509"/>
      <c r="M231" s="1509"/>
      <c r="N231" s="1509"/>
    </row>
    <row r="232" spans="1:14" ht="15" hidden="1" customHeight="1">
      <c r="A232" s="1705"/>
      <c r="B232" s="1833"/>
      <c r="C232" s="1833"/>
      <c r="D232" s="376"/>
      <c r="E232" s="376"/>
      <c r="F232" s="200"/>
      <c r="G232" s="765"/>
      <c r="H232" s="475"/>
      <c r="I232" s="1509"/>
      <c r="J232" s="1509"/>
      <c r="K232" s="1509"/>
      <c r="L232" s="1509"/>
      <c r="M232" s="1509"/>
      <c r="N232" s="1509"/>
    </row>
    <row r="233" spans="1:14" hidden="1">
      <c r="A233" s="1705" t="s">
        <v>2749</v>
      </c>
      <c r="B233" s="1827"/>
      <c r="C233" s="1827"/>
      <c r="D233" s="376"/>
      <c r="E233" s="376"/>
      <c r="F233" s="200"/>
      <c r="G233" s="765"/>
      <c r="H233" s="475"/>
      <c r="I233" s="1509"/>
      <c r="J233" s="1509"/>
      <c r="K233" s="1509"/>
      <c r="L233" s="1509"/>
      <c r="M233" s="1509"/>
      <c r="N233" s="1509"/>
    </row>
    <row r="234" spans="1:14" ht="15" hidden="1" customHeight="1">
      <c r="A234" s="1705"/>
      <c r="B234" s="1827" t="s">
        <v>2842</v>
      </c>
      <c r="C234" s="1827"/>
      <c r="D234" s="376">
        <v>69.55</v>
      </c>
      <c r="E234" s="376"/>
      <c r="F234" s="200"/>
      <c r="G234" s="765"/>
      <c r="H234" s="475">
        <f>D234</f>
        <v>69.55</v>
      </c>
      <c r="I234" s="1509"/>
      <c r="J234" s="1509"/>
      <c r="K234" s="1509"/>
      <c r="L234" s="1509"/>
      <c r="M234" s="1509"/>
      <c r="N234" s="1509"/>
    </row>
    <row r="235" spans="1:14" hidden="1">
      <c r="A235" s="1823" t="s">
        <v>2218</v>
      </c>
      <c r="B235" s="1823"/>
      <c r="C235" s="1823"/>
      <c r="D235" s="1823"/>
      <c r="E235" s="1823"/>
      <c r="F235" s="1823"/>
      <c r="G235" s="1823"/>
      <c r="H235" s="766">
        <f>SUM(H227:H234)</f>
        <v>98.85</v>
      </c>
      <c r="I235" s="1509"/>
      <c r="J235" s="1509"/>
      <c r="K235" s="1509"/>
      <c r="L235" s="1509"/>
      <c r="M235" s="1509"/>
      <c r="N235" s="1509"/>
    </row>
    <row r="236" spans="1:14" hidden="1">
      <c r="A236" s="1650" t="s">
        <v>2219</v>
      </c>
      <c r="B236" s="1650"/>
      <c r="C236" s="1650"/>
      <c r="D236" s="1650"/>
      <c r="E236" s="1650"/>
      <c r="F236" s="1650"/>
      <c r="G236" s="1650"/>
      <c r="H236" s="767">
        <v>29.3</v>
      </c>
      <c r="I236" s="1509"/>
      <c r="J236" s="1509"/>
      <c r="K236" s="1509"/>
      <c r="L236" s="1509"/>
      <c r="M236" s="1509"/>
      <c r="N236" s="1509"/>
    </row>
    <row r="237" spans="1:14" hidden="1">
      <c r="A237" s="1650" t="s">
        <v>2220</v>
      </c>
      <c r="B237" s="1650"/>
      <c r="C237" s="1650"/>
      <c r="D237" s="1650"/>
      <c r="E237" s="1650"/>
      <c r="F237" s="1650"/>
      <c r="G237" s="1650"/>
      <c r="H237" s="217">
        <f>H235-H236</f>
        <v>69.55</v>
      </c>
      <c r="I237" s="1509"/>
      <c r="J237" s="1509"/>
      <c r="K237" s="1509"/>
      <c r="L237" s="1509"/>
      <c r="M237" s="1509"/>
      <c r="N237" s="1509"/>
    </row>
    <row r="238" spans="1:14" hidden="1">
      <c r="A238" s="278"/>
      <c r="B238" s="428"/>
      <c r="C238" s="278"/>
      <c r="D238" s="281"/>
      <c r="E238" s="631"/>
      <c r="F238" s="281"/>
      <c r="G238" s="281"/>
      <c r="H238" s="217"/>
      <c r="I238" s="768"/>
      <c r="J238" s="768"/>
      <c r="K238" s="768"/>
      <c r="L238" s="768"/>
      <c r="M238" s="768"/>
      <c r="N238" s="768"/>
    </row>
    <row r="239" spans="1:14" hidden="1">
      <c r="A239" s="1080" t="s">
        <v>2326</v>
      </c>
      <c r="B239" s="1821" t="s">
        <v>529</v>
      </c>
      <c r="C239" s="1821"/>
      <c r="D239" s="1821"/>
      <c r="E239" s="1821"/>
      <c r="F239" s="1821"/>
      <c r="G239" s="1821"/>
      <c r="H239" s="1821"/>
      <c r="I239" s="1821"/>
      <c r="J239" s="1821"/>
      <c r="K239" s="761" t="s">
        <v>2222</v>
      </c>
      <c r="L239" s="1822">
        <v>261.5</v>
      </c>
      <c r="M239" s="1822"/>
      <c r="N239" s="762">
        <f>L239-H252</f>
        <v>88.669499999999999</v>
      </c>
    </row>
    <row r="240" spans="1:14" hidden="1">
      <c r="A240" s="1797"/>
      <c r="B240" s="1797"/>
      <c r="C240" s="1797"/>
      <c r="D240" s="281" t="s">
        <v>2183</v>
      </c>
      <c r="E240" s="631" t="s">
        <v>2184</v>
      </c>
      <c r="F240" s="281" t="s">
        <v>2185</v>
      </c>
      <c r="G240" s="281" t="s">
        <v>2186</v>
      </c>
      <c r="H240" s="1823" t="s">
        <v>476</v>
      </c>
      <c r="I240" s="1509"/>
      <c r="J240" s="1509"/>
      <c r="K240" s="1509"/>
      <c r="L240" s="1509"/>
      <c r="M240" s="1509"/>
      <c r="N240" s="1509"/>
    </row>
    <row r="241" spans="1:14" hidden="1">
      <c r="A241" s="1797"/>
      <c r="B241" s="1797"/>
      <c r="C241" s="1797"/>
      <c r="D241" s="375" t="s">
        <v>2187</v>
      </c>
      <c r="E241" s="1312" t="s">
        <v>2188</v>
      </c>
      <c r="F241" s="375" t="s">
        <v>2189</v>
      </c>
      <c r="G241" s="375" t="s">
        <v>2190</v>
      </c>
      <c r="H241" s="1823"/>
      <c r="I241" s="1509"/>
      <c r="J241" s="1509"/>
      <c r="K241" s="1509"/>
      <c r="L241" s="1509"/>
      <c r="M241" s="1509"/>
      <c r="N241" s="1509"/>
    </row>
    <row r="242" spans="1:14" ht="15" hidden="1" customHeight="1">
      <c r="A242" s="1705" t="s">
        <v>2238</v>
      </c>
      <c r="B242" s="1825" t="s">
        <v>2324</v>
      </c>
      <c r="C242" s="1825"/>
      <c r="D242" s="376"/>
      <c r="E242" s="376"/>
      <c r="F242" s="376"/>
      <c r="G242" s="376"/>
      <c r="H242" s="764"/>
      <c r="I242" s="1509"/>
      <c r="J242" s="1509"/>
      <c r="K242" s="1509"/>
      <c r="L242" s="1509"/>
      <c r="M242" s="1509"/>
      <c r="N242" s="1509"/>
    </row>
    <row r="243" spans="1:14" hidden="1">
      <c r="A243" s="1705"/>
      <c r="B243" s="1827" t="s">
        <v>2325</v>
      </c>
      <c r="C243" s="1827"/>
      <c r="D243" s="376">
        <v>17.3</v>
      </c>
      <c r="E243" s="376"/>
      <c r="F243" s="376">
        <v>0.6</v>
      </c>
      <c r="G243" s="376"/>
      <c r="H243" s="475">
        <f>D243*F243</f>
        <v>10.38</v>
      </c>
      <c r="I243" s="1509"/>
      <c r="J243" s="1509"/>
      <c r="K243" s="1509"/>
      <c r="L243" s="1509"/>
      <c r="M243" s="1509"/>
      <c r="N243" s="1509"/>
    </row>
    <row r="244" spans="1:14" hidden="1">
      <c r="A244" s="1705"/>
      <c r="B244" s="1827" t="s">
        <v>2327</v>
      </c>
      <c r="C244" s="1827"/>
      <c r="D244" s="376">
        <v>6</v>
      </c>
      <c r="E244" s="376"/>
      <c r="F244" s="376">
        <v>6</v>
      </c>
      <c r="G244" s="376"/>
      <c r="H244" s="475">
        <f>D244*F244</f>
        <v>36</v>
      </c>
      <c r="I244" s="1509"/>
      <c r="J244" s="1509"/>
      <c r="K244" s="1509"/>
      <c r="L244" s="1509"/>
      <c r="M244" s="1509"/>
      <c r="N244" s="1509"/>
    </row>
    <row r="245" spans="1:14" hidden="1">
      <c r="A245" s="1705"/>
      <c r="B245" s="1827"/>
      <c r="C245" s="1827"/>
      <c r="D245" s="376"/>
      <c r="E245" s="376"/>
      <c r="F245" s="376"/>
      <c r="G245" s="376"/>
      <c r="H245" s="475"/>
      <c r="I245" s="1509"/>
      <c r="J245" s="1509"/>
      <c r="K245" s="1509"/>
      <c r="L245" s="1509"/>
      <c r="M245" s="1509"/>
      <c r="N245" s="1509"/>
    </row>
    <row r="246" spans="1:14" hidden="1">
      <c r="A246" s="1705" t="s">
        <v>2268</v>
      </c>
      <c r="B246" s="1833" t="s">
        <v>2327</v>
      </c>
      <c r="C246" s="1833"/>
      <c r="D246" s="376">
        <v>6.05</v>
      </c>
      <c r="E246" s="376"/>
      <c r="F246" s="376">
        <f>2.36+4.45</f>
        <v>6.8100000000000005</v>
      </c>
      <c r="G246" s="376"/>
      <c r="H246" s="475">
        <f>D246*F246</f>
        <v>41.200500000000005</v>
      </c>
      <c r="I246" s="1509"/>
      <c r="J246" s="1509"/>
      <c r="K246" s="1509"/>
      <c r="L246" s="1509"/>
      <c r="M246" s="1509"/>
      <c r="N246" s="1509"/>
    </row>
    <row r="247" spans="1:14" hidden="1">
      <c r="A247" s="1705"/>
      <c r="B247" s="1833"/>
      <c r="C247" s="1833"/>
      <c r="D247" s="376"/>
      <c r="E247" s="376"/>
      <c r="F247" s="376"/>
      <c r="G247" s="376"/>
      <c r="H247" s="475"/>
      <c r="I247" s="1509"/>
      <c r="J247" s="1509"/>
      <c r="K247" s="1509"/>
      <c r="L247" s="1509"/>
      <c r="M247" s="1509"/>
      <c r="N247" s="1509"/>
    </row>
    <row r="248" spans="1:14" hidden="1">
      <c r="A248" s="1705"/>
      <c r="B248" s="1827"/>
      <c r="C248" s="1827"/>
      <c r="D248" s="376"/>
      <c r="E248" s="376"/>
      <c r="F248" s="376"/>
      <c r="G248" s="376"/>
      <c r="H248" s="475"/>
      <c r="I248" s="1509"/>
      <c r="J248" s="1509"/>
      <c r="K248" s="1509"/>
      <c r="L248" s="1509"/>
      <c r="M248" s="1509"/>
      <c r="N248" s="1509"/>
    </row>
    <row r="249" spans="1:14" hidden="1">
      <c r="A249" s="1705" t="s">
        <v>2749</v>
      </c>
      <c r="B249" s="1827" t="s">
        <v>2327</v>
      </c>
      <c r="C249" s="1827"/>
      <c r="D249" s="376">
        <v>15.5</v>
      </c>
      <c r="E249" s="376"/>
      <c r="F249" s="376">
        <v>5.5</v>
      </c>
      <c r="G249" s="376"/>
      <c r="H249" s="475">
        <f>D249*F249</f>
        <v>85.25</v>
      </c>
      <c r="I249" s="1509"/>
      <c r="J249" s="1509"/>
      <c r="K249" s="1509"/>
      <c r="L249" s="1509"/>
      <c r="M249" s="1509"/>
      <c r="N249" s="1509"/>
    </row>
    <row r="250" spans="1:14" hidden="1">
      <c r="A250" s="1705"/>
      <c r="B250" s="771"/>
      <c r="C250" s="771"/>
      <c r="D250" s="376"/>
      <c r="E250" s="376"/>
      <c r="F250" s="376"/>
      <c r="G250" s="376"/>
      <c r="H250" s="475"/>
      <c r="I250" s="1509"/>
      <c r="J250" s="1509"/>
      <c r="K250" s="1509"/>
      <c r="L250" s="1509"/>
      <c r="M250" s="1509"/>
      <c r="N250" s="1509"/>
    </row>
    <row r="251" spans="1:14" hidden="1">
      <c r="A251" s="1705"/>
      <c r="B251" s="771"/>
      <c r="C251" s="771"/>
      <c r="D251" s="200"/>
      <c r="E251" s="376"/>
      <c r="F251" s="200"/>
      <c r="G251" s="765"/>
      <c r="H251" s="475"/>
      <c r="I251" s="1509"/>
      <c r="J251" s="1509"/>
      <c r="K251" s="1509"/>
      <c r="L251" s="1509"/>
      <c r="M251" s="1509"/>
      <c r="N251" s="1509"/>
    </row>
    <row r="252" spans="1:14" hidden="1">
      <c r="A252" s="1823" t="s">
        <v>2218</v>
      </c>
      <c r="B252" s="1823"/>
      <c r="C252" s="1823"/>
      <c r="D252" s="1823"/>
      <c r="E252" s="1823"/>
      <c r="F252" s="1823"/>
      <c r="G252" s="1823"/>
      <c r="H252" s="766">
        <f>SUM(H242:H251)</f>
        <v>172.8305</v>
      </c>
      <c r="I252" s="1509"/>
      <c r="J252" s="1509"/>
      <c r="K252" s="1509"/>
      <c r="L252" s="1509"/>
      <c r="M252" s="1509"/>
      <c r="N252" s="1509"/>
    </row>
    <row r="253" spans="1:14" hidden="1">
      <c r="A253" s="1650" t="s">
        <v>2219</v>
      </c>
      <c r="B253" s="1650"/>
      <c r="C253" s="1650"/>
      <c r="D253" s="1650"/>
      <c r="E253" s="1650"/>
      <c r="F253" s="1650"/>
      <c r="G253" s="1650"/>
      <c r="H253" s="767">
        <f>SUM(H243:H248)</f>
        <v>87.580500000000001</v>
      </c>
      <c r="I253" s="1509"/>
      <c r="J253" s="1509"/>
      <c r="K253" s="1509"/>
      <c r="L253" s="1509"/>
      <c r="M253" s="1509"/>
      <c r="N253" s="1509"/>
    </row>
    <row r="254" spans="1:14" hidden="1">
      <c r="A254" s="1650" t="s">
        <v>2220</v>
      </c>
      <c r="B254" s="1650"/>
      <c r="C254" s="1650"/>
      <c r="D254" s="1650"/>
      <c r="E254" s="1650"/>
      <c r="F254" s="1650"/>
      <c r="G254" s="1650"/>
      <c r="H254" s="217">
        <f>H252-H253</f>
        <v>85.25</v>
      </c>
      <c r="I254" s="1509"/>
      <c r="J254" s="1509"/>
      <c r="K254" s="1509"/>
      <c r="L254" s="1509"/>
      <c r="M254" s="1509"/>
      <c r="N254" s="1509"/>
    </row>
    <row r="255" spans="1:14" ht="15" hidden="1" customHeight="1">
      <c r="A255" s="278"/>
      <c r="B255" s="428"/>
      <c r="C255" s="278"/>
      <c r="D255" s="281"/>
      <c r="E255" s="631"/>
      <c r="F255" s="281"/>
      <c r="G255" s="281"/>
      <c r="H255" s="217"/>
      <c r="I255" s="768"/>
      <c r="J255" s="768"/>
      <c r="K255" s="768"/>
      <c r="L255" s="768"/>
      <c r="M255" s="768"/>
      <c r="N255" s="768"/>
    </row>
    <row r="256" spans="1:14" hidden="1">
      <c r="A256" s="1080" t="s">
        <v>2328</v>
      </c>
      <c r="B256" s="1821" t="s">
        <v>27</v>
      </c>
      <c r="C256" s="1821"/>
      <c r="D256" s="1821"/>
      <c r="E256" s="1821"/>
      <c r="F256" s="1821"/>
      <c r="G256" s="1821"/>
      <c r="H256" s="1821"/>
      <c r="I256" s="1821"/>
      <c r="J256" s="1821"/>
      <c r="K256" s="761" t="s">
        <v>2329</v>
      </c>
      <c r="L256" s="1822">
        <v>12</v>
      </c>
      <c r="M256" s="1822"/>
      <c r="N256" s="762">
        <f>L256-H268</f>
        <v>0</v>
      </c>
    </row>
    <row r="257" spans="1:14" hidden="1">
      <c r="A257" s="1797"/>
      <c r="B257" s="1797"/>
      <c r="C257" s="1797"/>
      <c r="D257" s="281" t="s">
        <v>2183</v>
      </c>
      <c r="E257" s="631" t="s">
        <v>2184</v>
      </c>
      <c r="F257" s="281" t="s">
        <v>2185</v>
      </c>
      <c r="G257" s="281" t="s">
        <v>2186</v>
      </c>
      <c r="H257" s="1823" t="s">
        <v>476</v>
      </c>
      <c r="I257" s="1509"/>
      <c r="J257" s="1509"/>
      <c r="K257" s="1509"/>
      <c r="L257" s="1509"/>
      <c r="M257" s="1509"/>
      <c r="N257" s="1509"/>
    </row>
    <row r="258" spans="1:14" hidden="1">
      <c r="A258" s="1797"/>
      <c r="B258" s="1797"/>
      <c r="C258" s="1797"/>
      <c r="D258" s="375" t="s">
        <v>2187</v>
      </c>
      <c r="E258" s="1312" t="s">
        <v>2188</v>
      </c>
      <c r="F258" s="375" t="s">
        <v>2189</v>
      </c>
      <c r="G258" s="375" t="s">
        <v>2190</v>
      </c>
      <c r="H258" s="1823"/>
      <c r="I258" s="1509"/>
      <c r="J258" s="1509"/>
      <c r="K258" s="1509"/>
      <c r="L258" s="1509"/>
      <c r="M258" s="1509"/>
      <c r="N258" s="1509"/>
    </row>
    <row r="259" spans="1:14" hidden="1">
      <c r="A259" s="1824" t="s">
        <v>2238</v>
      </c>
      <c r="B259" s="1825"/>
      <c r="C259" s="1825"/>
      <c r="D259" s="200"/>
      <c r="E259" s="376"/>
      <c r="F259" s="376"/>
      <c r="G259" s="763"/>
      <c r="H259" s="764"/>
      <c r="I259" s="1509"/>
      <c r="J259" s="1509"/>
      <c r="K259" s="1509"/>
      <c r="L259" s="1509"/>
      <c r="M259" s="1509"/>
      <c r="N259" s="1509"/>
    </row>
    <row r="260" spans="1:14" hidden="1">
      <c r="A260" s="1824"/>
      <c r="B260" s="1827" t="s">
        <v>2330</v>
      </c>
      <c r="C260" s="1827"/>
      <c r="D260" s="200"/>
      <c r="E260" s="376"/>
      <c r="F260" s="376"/>
      <c r="G260" s="765">
        <v>3</v>
      </c>
      <c r="H260" s="475">
        <f>G260</f>
        <v>3</v>
      </c>
      <c r="I260" s="1509"/>
      <c r="J260" s="1509"/>
      <c r="K260" s="1509"/>
      <c r="L260" s="1509"/>
      <c r="M260" s="1509"/>
      <c r="N260" s="1509"/>
    </row>
    <row r="261" spans="1:14" hidden="1">
      <c r="A261" s="1824"/>
      <c r="B261" s="1827" t="s">
        <v>2331</v>
      </c>
      <c r="C261" s="1827"/>
      <c r="D261" s="200"/>
      <c r="E261" s="376"/>
      <c r="F261" s="376"/>
      <c r="G261" s="765">
        <v>1</v>
      </c>
      <c r="H261" s="475">
        <f>G261</f>
        <v>1</v>
      </c>
      <c r="I261" s="1509"/>
      <c r="J261" s="1509"/>
      <c r="K261" s="1509"/>
      <c r="L261" s="1509"/>
      <c r="M261" s="1509"/>
      <c r="N261" s="1509"/>
    </row>
    <row r="262" spans="1:14" hidden="1">
      <c r="A262" s="1824"/>
      <c r="B262" s="1827" t="s">
        <v>2332</v>
      </c>
      <c r="C262" s="1827"/>
      <c r="D262" s="200"/>
      <c r="E262" s="376"/>
      <c r="F262" s="376"/>
      <c r="G262" s="765">
        <v>5</v>
      </c>
      <c r="H262" s="475">
        <f>G262</f>
        <v>5</v>
      </c>
      <c r="I262" s="1509"/>
      <c r="J262" s="1509"/>
      <c r="K262" s="1509"/>
      <c r="L262" s="1509"/>
      <c r="M262" s="1509"/>
      <c r="N262" s="1509"/>
    </row>
    <row r="263" spans="1:14" hidden="1">
      <c r="A263" s="1824"/>
      <c r="B263" s="1833" t="s">
        <v>2333</v>
      </c>
      <c r="C263" s="1833"/>
      <c r="D263" s="200"/>
      <c r="E263" s="376"/>
      <c r="F263" s="376"/>
      <c r="G263" s="765">
        <v>1</v>
      </c>
      <c r="H263" s="475">
        <f>G263</f>
        <v>1</v>
      </c>
      <c r="I263" s="1509"/>
      <c r="J263" s="1509"/>
      <c r="K263" s="1509"/>
      <c r="L263" s="1509"/>
      <c r="M263" s="1509"/>
      <c r="N263" s="1509"/>
    </row>
    <row r="264" spans="1:14" hidden="1">
      <c r="A264" s="1824"/>
      <c r="B264" s="1832"/>
      <c r="C264" s="1832"/>
      <c r="D264" s="200"/>
      <c r="E264" s="376"/>
      <c r="F264" s="376"/>
      <c r="G264" s="765"/>
      <c r="H264" s="475"/>
      <c r="I264" s="1509"/>
      <c r="J264" s="1509"/>
      <c r="K264" s="1509"/>
      <c r="L264" s="1509"/>
      <c r="M264" s="1509"/>
      <c r="N264" s="1509"/>
    </row>
    <row r="265" spans="1:14" hidden="1">
      <c r="A265" s="1705" t="s">
        <v>2268</v>
      </c>
      <c r="B265" s="1833" t="s">
        <v>2330</v>
      </c>
      <c r="C265" s="1833"/>
      <c r="D265" s="200"/>
      <c r="E265" s="376"/>
      <c r="F265" s="376"/>
      <c r="G265" s="765">
        <v>2</v>
      </c>
      <c r="H265" s="475">
        <f>G265</f>
        <v>2</v>
      </c>
      <c r="I265" s="1509"/>
      <c r="J265" s="1509"/>
      <c r="K265" s="1509"/>
      <c r="L265" s="1509"/>
      <c r="M265" s="1509"/>
      <c r="N265" s="1509"/>
    </row>
    <row r="266" spans="1:14" hidden="1">
      <c r="A266" s="1705"/>
      <c r="B266" s="1832"/>
      <c r="C266" s="1832"/>
      <c r="D266" s="200"/>
      <c r="E266" s="376"/>
      <c r="F266" s="376"/>
      <c r="G266" s="765"/>
      <c r="H266" s="475"/>
      <c r="I266" s="1509"/>
      <c r="J266" s="1509"/>
      <c r="K266" s="1509"/>
      <c r="L266" s="1509"/>
      <c r="M266" s="1509"/>
      <c r="N266" s="1509"/>
    </row>
    <row r="267" spans="1:14" hidden="1">
      <c r="A267" s="1081"/>
      <c r="B267" s="1833"/>
      <c r="C267" s="1833"/>
      <c r="D267" s="200"/>
      <c r="E267" s="376"/>
      <c r="F267" s="200"/>
      <c r="G267" s="765"/>
      <c r="H267" s="475">
        <f>G267</f>
        <v>0</v>
      </c>
      <c r="I267" s="1509"/>
      <c r="J267" s="1509"/>
      <c r="K267" s="1509"/>
      <c r="L267" s="1509"/>
      <c r="M267" s="1509"/>
      <c r="N267" s="1509"/>
    </row>
    <row r="268" spans="1:14" hidden="1">
      <c r="A268" s="1823" t="s">
        <v>2218</v>
      </c>
      <c r="B268" s="1823"/>
      <c r="C268" s="1823"/>
      <c r="D268" s="1823"/>
      <c r="E268" s="1823"/>
      <c r="F268" s="1823"/>
      <c r="G268" s="1823"/>
      <c r="H268" s="766">
        <f>SUM(H259:H267)</f>
        <v>12</v>
      </c>
      <c r="I268" s="1509"/>
      <c r="J268" s="1509"/>
      <c r="K268" s="1509"/>
      <c r="L268" s="1509"/>
      <c r="M268" s="1509"/>
      <c r="N268" s="1509"/>
    </row>
    <row r="269" spans="1:14" hidden="1">
      <c r="A269" s="1650" t="s">
        <v>2219</v>
      </c>
      <c r="B269" s="1650"/>
      <c r="C269" s="1650"/>
      <c r="D269" s="1650"/>
      <c r="E269" s="1650"/>
      <c r="F269" s="1650"/>
      <c r="G269" s="1650"/>
      <c r="H269" s="767">
        <v>10</v>
      </c>
      <c r="I269" s="1509"/>
      <c r="J269" s="1509"/>
      <c r="K269" s="1509"/>
      <c r="L269" s="1509"/>
      <c r="M269" s="1509"/>
      <c r="N269" s="1509"/>
    </row>
    <row r="270" spans="1:14" hidden="1">
      <c r="A270" s="1650" t="s">
        <v>2220</v>
      </c>
      <c r="B270" s="1650"/>
      <c r="C270" s="1650"/>
      <c r="D270" s="1650"/>
      <c r="E270" s="1650"/>
      <c r="F270" s="1650"/>
      <c r="G270" s="1650"/>
      <c r="H270" s="217">
        <f>H268-H269</f>
        <v>2</v>
      </c>
      <c r="I270" s="1509"/>
      <c r="J270" s="1509"/>
      <c r="K270" s="1509"/>
      <c r="L270" s="1509"/>
      <c r="M270" s="1509"/>
      <c r="N270" s="1509"/>
    </row>
    <row r="271" spans="1:14" ht="15" hidden="1" customHeight="1">
      <c r="A271" s="1797"/>
      <c r="B271" s="1797"/>
      <c r="C271" s="1797"/>
      <c r="D271" s="1797"/>
      <c r="E271" s="1797"/>
      <c r="F271" s="1797"/>
      <c r="G271" s="1797"/>
      <c r="H271" s="1797"/>
      <c r="I271" s="1797"/>
      <c r="J271" s="1797"/>
      <c r="K271" s="1797"/>
      <c r="L271" s="1797"/>
      <c r="M271" s="1797"/>
      <c r="N271" s="1797"/>
    </row>
    <row r="272" spans="1:14" hidden="1">
      <c r="A272" s="1080" t="s">
        <v>2334</v>
      </c>
      <c r="B272" s="1821" t="s">
        <v>34</v>
      </c>
      <c r="C272" s="1821"/>
      <c r="D272" s="1821"/>
      <c r="E272" s="1821"/>
      <c r="F272" s="1821"/>
      <c r="G272" s="1821"/>
      <c r="H272" s="1821"/>
      <c r="I272" s="1821"/>
      <c r="J272" s="1821"/>
      <c r="K272" s="761" t="s">
        <v>2222</v>
      </c>
      <c r="L272" s="1822">
        <v>8.49</v>
      </c>
      <c r="M272" s="1822"/>
      <c r="N272" s="762">
        <f>L272-H293</f>
        <v>0</v>
      </c>
    </row>
    <row r="273" spans="1:14" hidden="1">
      <c r="A273" s="1797"/>
      <c r="B273" s="1797"/>
      <c r="C273" s="1797"/>
      <c r="D273" s="281" t="s">
        <v>2183</v>
      </c>
      <c r="E273" s="631" t="s">
        <v>2184</v>
      </c>
      <c r="F273" s="281" t="s">
        <v>2185</v>
      </c>
      <c r="G273" s="281" t="s">
        <v>2186</v>
      </c>
      <c r="H273" s="1823" t="s">
        <v>476</v>
      </c>
      <c r="I273" s="1509"/>
      <c r="J273" s="1509"/>
      <c r="K273" s="1509"/>
      <c r="L273" s="1509"/>
      <c r="M273" s="1509"/>
      <c r="N273" s="1509"/>
    </row>
    <row r="274" spans="1:14" hidden="1">
      <c r="A274" s="1797"/>
      <c r="B274" s="1797"/>
      <c r="C274" s="1797"/>
      <c r="D274" s="375" t="s">
        <v>2335</v>
      </c>
      <c r="E274" s="1312" t="s">
        <v>2188</v>
      </c>
      <c r="F274" s="375" t="s">
        <v>2189</v>
      </c>
      <c r="G274" s="375" t="s">
        <v>2190</v>
      </c>
      <c r="H274" s="1823"/>
      <c r="I274" s="1509"/>
      <c r="J274" s="1509"/>
      <c r="K274" s="1509"/>
      <c r="L274" s="1509"/>
      <c r="M274" s="1509"/>
      <c r="N274" s="1509"/>
    </row>
    <row r="275" spans="1:14" hidden="1">
      <c r="A275" s="1824" t="s">
        <v>2238</v>
      </c>
      <c r="B275" s="1825" t="s">
        <v>2192</v>
      </c>
      <c r="C275" s="1825"/>
      <c r="D275" s="200"/>
      <c r="E275" s="376"/>
      <c r="F275" s="376"/>
      <c r="G275" s="763"/>
      <c r="H275" s="475"/>
      <c r="I275" s="1509"/>
      <c r="J275" s="1509"/>
      <c r="K275" s="1509"/>
      <c r="L275" s="1509"/>
      <c r="M275" s="1509"/>
      <c r="N275" s="1509"/>
    </row>
    <row r="276" spans="1:14" hidden="1">
      <c r="A276" s="1824"/>
      <c r="B276" s="1828" t="s">
        <v>2336</v>
      </c>
      <c r="C276" s="1828"/>
      <c r="D276" s="200">
        <v>0.86</v>
      </c>
      <c r="E276" s="376"/>
      <c r="F276" s="376"/>
      <c r="G276" s="765">
        <v>1</v>
      </c>
      <c r="H276" s="475">
        <f>D276*G276</f>
        <v>0.86</v>
      </c>
      <c r="I276" s="1509"/>
      <c r="J276" s="1509"/>
      <c r="K276" s="1509"/>
      <c r="L276" s="1509"/>
      <c r="M276" s="1509"/>
      <c r="N276" s="1509"/>
    </row>
    <row r="277" spans="1:14" hidden="1">
      <c r="A277" s="1824"/>
      <c r="B277" s="1830" t="s">
        <v>2337</v>
      </c>
      <c r="C277" s="1830"/>
      <c r="D277" s="200">
        <v>0.98</v>
      </c>
      <c r="E277" s="376"/>
      <c r="F277" s="376"/>
      <c r="G277" s="765">
        <v>1</v>
      </c>
      <c r="H277" s="475">
        <f>D277*G277</f>
        <v>0.98</v>
      </c>
      <c r="I277" s="1509"/>
      <c r="J277" s="1509"/>
      <c r="K277" s="1509"/>
      <c r="L277" s="1509"/>
      <c r="M277" s="1509"/>
      <c r="N277" s="1509"/>
    </row>
    <row r="278" spans="1:14" hidden="1">
      <c r="A278" s="1824"/>
      <c r="B278" s="1830" t="s">
        <v>2338</v>
      </c>
      <c r="C278" s="1830"/>
      <c r="D278" s="200">
        <v>0.4</v>
      </c>
      <c r="E278" s="376"/>
      <c r="F278" s="376"/>
      <c r="G278" s="765">
        <v>1</v>
      </c>
      <c r="H278" s="475">
        <f>D278*G278</f>
        <v>0.4</v>
      </c>
      <c r="I278" s="1509"/>
      <c r="J278" s="1509"/>
      <c r="K278" s="1509"/>
      <c r="L278" s="1509"/>
      <c r="M278" s="1509"/>
      <c r="N278" s="1509"/>
    </row>
    <row r="279" spans="1:14" hidden="1">
      <c r="A279" s="1824"/>
      <c r="B279" s="1830" t="s">
        <v>2339</v>
      </c>
      <c r="C279" s="1830"/>
      <c r="D279" s="200">
        <v>0.41</v>
      </c>
      <c r="E279" s="376"/>
      <c r="F279" s="376"/>
      <c r="G279" s="765">
        <v>1</v>
      </c>
      <c r="H279" s="475">
        <f>D279*G279</f>
        <v>0.41</v>
      </c>
      <c r="I279" s="1509"/>
      <c r="J279" s="1509"/>
      <c r="K279" s="1509"/>
      <c r="L279" s="1509"/>
      <c r="M279" s="1509"/>
      <c r="N279" s="1509"/>
    </row>
    <row r="280" spans="1:14" hidden="1">
      <c r="A280" s="1824"/>
      <c r="B280" s="1830" t="s">
        <v>2339</v>
      </c>
      <c r="C280" s="1830"/>
      <c r="D280" s="200">
        <v>0.68</v>
      </c>
      <c r="E280" s="376"/>
      <c r="F280" s="376"/>
      <c r="G280" s="765">
        <v>1</v>
      </c>
      <c r="H280" s="475">
        <f>D280*G280</f>
        <v>0.68</v>
      </c>
      <c r="I280" s="1509"/>
      <c r="J280" s="1509"/>
      <c r="K280" s="1509"/>
      <c r="L280" s="1509"/>
      <c r="M280" s="1509"/>
      <c r="N280" s="1509"/>
    </row>
    <row r="281" spans="1:14" hidden="1">
      <c r="A281" s="1824"/>
      <c r="B281" s="1831" t="s">
        <v>2200</v>
      </c>
      <c r="C281" s="1831"/>
      <c r="D281" s="200"/>
      <c r="E281" s="376"/>
      <c r="F281" s="376"/>
      <c r="G281" s="765"/>
      <c r="H281" s="475"/>
      <c r="I281" s="1509"/>
      <c r="J281" s="1509"/>
      <c r="K281" s="1509"/>
      <c r="L281" s="1509"/>
      <c r="M281" s="1509"/>
      <c r="N281" s="1509"/>
    </row>
    <row r="282" spans="1:14" hidden="1">
      <c r="A282" s="1824"/>
      <c r="B282" s="1830" t="s">
        <v>2340</v>
      </c>
      <c r="C282" s="1830"/>
      <c r="D282" s="200">
        <v>0.22</v>
      </c>
      <c r="E282" s="376"/>
      <c r="F282" s="376"/>
      <c r="G282" s="765">
        <v>1</v>
      </c>
      <c r="H282" s="475">
        <f t="shared" ref="H282:H288" si="10">D282*G282</f>
        <v>0.22</v>
      </c>
      <c r="I282" s="1509"/>
      <c r="J282" s="1509"/>
      <c r="K282" s="1509"/>
      <c r="L282" s="1509"/>
      <c r="M282" s="1509"/>
      <c r="N282" s="1509"/>
    </row>
    <row r="283" spans="1:14" hidden="1">
      <c r="A283" s="1824"/>
      <c r="B283" s="1830" t="s">
        <v>2341</v>
      </c>
      <c r="C283" s="1830"/>
      <c r="D283" s="200">
        <v>0.6</v>
      </c>
      <c r="E283" s="376"/>
      <c r="F283" s="376"/>
      <c r="G283" s="765">
        <v>1</v>
      </c>
      <c r="H283" s="475">
        <f t="shared" si="10"/>
        <v>0.6</v>
      </c>
      <c r="I283" s="1509"/>
      <c r="J283" s="1509"/>
      <c r="K283" s="1509"/>
      <c r="L283" s="1509"/>
      <c r="M283" s="1509"/>
      <c r="N283" s="1509"/>
    </row>
    <row r="284" spans="1:14" hidden="1">
      <c r="A284" s="1824"/>
      <c r="B284" s="1830" t="s">
        <v>2342</v>
      </c>
      <c r="C284" s="1830"/>
      <c r="D284" s="200">
        <v>0.55000000000000004</v>
      </c>
      <c r="E284" s="376"/>
      <c r="F284" s="376"/>
      <c r="G284" s="765">
        <v>1</v>
      </c>
      <c r="H284" s="475">
        <f t="shared" si="10"/>
        <v>0.55000000000000004</v>
      </c>
      <c r="I284" s="1509"/>
      <c r="J284" s="1509"/>
      <c r="K284" s="1509"/>
      <c r="L284" s="1509"/>
      <c r="M284" s="1509"/>
      <c r="N284" s="1509"/>
    </row>
    <row r="285" spans="1:14" hidden="1">
      <c r="A285" s="1824"/>
      <c r="B285" s="1830" t="s">
        <v>2343</v>
      </c>
      <c r="C285" s="1830"/>
      <c r="D285" s="200">
        <v>0.41</v>
      </c>
      <c r="E285" s="376"/>
      <c r="F285" s="376"/>
      <c r="G285" s="765">
        <v>1</v>
      </c>
      <c r="H285" s="475">
        <f t="shared" si="10"/>
        <v>0.41</v>
      </c>
      <c r="I285" s="1509"/>
      <c r="J285" s="1509"/>
      <c r="K285" s="1509"/>
      <c r="L285" s="1509"/>
      <c r="M285" s="1509"/>
      <c r="N285" s="1509"/>
    </row>
    <row r="286" spans="1:14" hidden="1">
      <c r="A286" s="1824"/>
      <c r="B286" s="1830" t="s">
        <v>2344</v>
      </c>
      <c r="C286" s="1830"/>
      <c r="D286" s="200">
        <v>0.4</v>
      </c>
      <c r="E286" s="376"/>
      <c r="F286" s="376"/>
      <c r="G286" s="765">
        <v>1</v>
      </c>
      <c r="H286" s="475">
        <f t="shared" si="10"/>
        <v>0.4</v>
      </c>
      <c r="I286" s="1509"/>
      <c r="J286" s="1509"/>
      <c r="K286" s="1509"/>
      <c r="L286" s="1509"/>
      <c r="M286" s="1509"/>
      <c r="N286" s="1509"/>
    </row>
    <row r="287" spans="1:14" hidden="1">
      <c r="A287" s="1824"/>
      <c r="B287" s="1830" t="s">
        <v>2338</v>
      </c>
      <c r="C287" s="1830"/>
      <c r="D287" s="200">
        <v>0.65</v>
      </c>
      <c r="E287" s="376"/>
      <c r="F287" s="376"/>
      <c r="G287" s="765">
        <v>1</v>
      </c>
      <c r="H287" s="475">
        <f t="shared" si="10"/>
        <v>0.65</v>
      </c>
      <c r="I287" s="1509"/>
      <c r="J287" s="1509"/>
      <c r="K287" s="1509"/>
      <c r="L287" s="1509"/>
      <c r="M287" s="1509"/>
      <c r="N287" s="1509"/>
    </row>
    <row r="288" spans="1:14" hidden="1">
      <c r="A288" s="1824"/>
      <c r="B288" s="1830" t="s">
        <v>2339</v>
      </c>
      <c r="C288" s="1830"/>
      <c r="D288" s="200">
        <v>0.65</v>
      </c>
      <c r="E288" s="376"/>
      <c r="F288" s="376"/>
      <c r="G288" s="765">
        <v>1</v>
      </c>
      <c r="H288" s="475">
        <f t="shared" si="10"/>
        <v>0.65</v>
      </c>
      <c r="I288" s="1509"/>
      <c r="J288" s="1509"/>
      <c r="K288" s="1509"/>
      <c r="L288" s="1509"/>
      <c r="M288" s="1509"/>
      <c r="N288" s="1509"/>
    </row>
    <row r="289" spans="1:14" hidden="1">
      <c r="A289" s="1705" t="s">
        <v>2268</v>
      </c>
      <c r="B289" s="1834" t="s">
        <v>2192</v>
      </c>
      <c r="C289" s="1834"/>
      <c r="D289" s="200"/>
      <c r="E289" s="376"/>
      <c r="F289" s="376"/>
      <c r="G289" s="765"/>
      <c r="H289" s="475"/>
      <c r="I289" s="1509"/>
      <c r="J289" s="1509"/>
      <c r="K289" s="1509"/>
      <c r="L289" s="1509"/>
      <c r="M289" s="1509"/>
      <c r="N289" s="1509"/>
    </row>
    <row r="290" spans="1:14" hidden="1">
      <c r="A290" s="1705"/>
      <c r="B290" s="1830" t="s">
        <v>2345</v>
      </c>
      <c r="C290" s="1830"/>
      <c r="D290" s="200">
        <v>0.95</v>
      </c>
      <c r="E290" s="376"/>
      <c r="F290" s="376"/>
      <c r="G290" s="765">
        <v>1</v>
      </c>
      <c r="H290" s="475">
        <f>D290*G290</f>
        <v>0.95</v>
      </c>
      <c r="I290" s="1509"/>
      <c r="J290" s="1509"/>
      <c r="K290" s="1509"/>
      <c r="L290" s="1509"/>
      <c r="M290" s="1509"/>
      <c r="N290" s="1509"/>
    </row>
    <row r="291" spans="1:14" hidden="1">
      <c r="A291" s="1705"/>
      <c r="B291" s="1830" t="s">
        <v>2338</v>
      </c>
      <c r="C291" s="1830"/>
      <c r="D291" s="200">
        <v>0.73</v>
      </c>
      <c r="E291" s="376"/>
      <c r="F291" s="376"/>
      <c r="G291" s="765">
        <v>1</v>
      </c>
      <c r="H291" s="475">
        <f>D291*G291</f>
        <v>0.73</v>
      </c>
      <c r="I291" s="1509"/>
      <c r="J291" s="1509"/>
      <c r="K291" s="1509"/>
      <c r="L291" s="1509"/>
      <c r="M291" s="1509"/>
      <c r="N291" s="1509"/>
    </row>
    <row r="292" spans="1:14" hidden="1">
      <c r="A292" s="1705"/>
      <c r="B292" s="1830"/>
      <c r="C292" s="1830"/>
      <c r="D292" s="200"/>
      <c r="E292" s="376"/>
      <c r="F292" s="376"/>
      <c r="G292" s="765"/>
      <c r="H292" s="475"/>
      <c r="I292" s="1509"/>
      <c r="J292" s="1509"/>
      <c r="K292" s="1509"/>
      <c r="L292" s="1509"/>
      <c r="M292" s="1509"/>
      <c r="N292" s="1509"/>
    </row>
    <row r="293" spans="1:14" hidden="1">
      <c r="A293" s="1823" t="s">
        <v>2218</v>
      </c>
      <c r="B293" s="1823"/>
      <c r="C293" s="1823"/>
      <c r="D293" s="1823"/>
      <c r="E293" s="1823"/>
      <c r="F293" s="1823"/>
      <c r="G293" s="1823"/>
      <c r="H293" s="766">
        <f>SUM(H275:H291)</f>
        <v>8.490000000000002</v>
      </c>
      <c r="I293" s="1509"/>
      <c r="J293" s="1509"/>
      <c r="K293" s="1509"/>
      <c r="L293" s="1509"/>
      <c r="M293" s="1509"/>
      <c r="N293" s="1509"/>
    </row>
    <row r="294" spans="1:14" hidden="1">
      <c r="A294" s="1650" t="s">
        <v>2219</v>
      </c>
      <c r="B294" s="1650"/>
      <c r="C294" s="1650"/>
      <c r="D294" s="1650"/>
      <c r="E294" s="1650"/>
      <c r="F294" s="1650"/>
      <c r="G294" s="1650"/>
      <c r="H294" s="767">
        <f>SUM(H276:H288)</f>
        <v>6.8100000000000014</v>
      </c>
      <c r="I294" s="1509"/>
      <c r="J294" s="1509"/>
      <c r="K294" s="1509"/>
      <c r="L294" s="1509"/>
      <c r="M294" s="1509"/>
      <c r="N294" s="1509"/>
    </row>
    <row r="295" spans="1:14" hidden="1">
      <c r="A295" s="1650" t="s">
        <v>2220</v>
      </c>
      <c r="B295" s="1650"/>
      <c r="C295" s="1650"/>
      <c r="D295" s="1650"/>
      <c r="E295" s="1650"/>
      <c r="F295" s="1650"/>
      <c r="G295" s="1650"/>
      <c r="H295" s="217">
        <f>H293-H294</f>
        <v>1.6800000000000006</v>
      </c>
      <c r="I295" s="1509"/>
      <c r="J295" s="1509"/>
      <c r="K295" s="1509"/>
      <c r="L295" s="1509"/>
      <c r="M295" s="1509"/>
      <c r="N295" s="1509"/>
    </row>
    <row r="296" spans="1:14" ht="15" hidden="1" customHeight="1">
      <c r="A296" s="1797"/>
      <c r="B296" s="1797"/>
      <c r="C296" s="1797"/>
      <c r="D296" s="1797"/>
      <c r="E296" s="1797"/>
      <c r="F296" s="1797"/>
      <c r="G296" s="1797"/>
      <c r="H296" s="1797"/>
      <c r="I296" s="1797"/>
      <c r="J296" s="1797"/>
      <c r="K296" s="1797"/>
      <c r="L296" s="1797"/>
      <c r="M296" s="1797"/>
      <c r="N296" s="1797"/>
    </row>
    <row r="297" spans="1:14" hidden="1">
      <c r="A297" s="1080" t="s">
        <v>2346</v>
      </c>
      <c r="B297" s="1821" t="s">
        <v>552</v>
      </c>
      <c r="C297" s="1821"/>
      <c r="D297" s="1821"/>
      <c r="E297" s="1821"/>
      <c r="F297" s="1821"/>
      <c r="G297" s="1821"/>
      <c r="H297" s="1821"/>
      <c r="I297" s="1821"/>
      <c r="J297" s="1821"/>
      <c r="K297" s="761" t="s">
        <v>2222</v>
      </c>
      <c r="L297" s="1822">
        <v>29.67</v>
      </c>
      <c r="M297" s="1822"/>
      <c r="N297" s="762">
        <f>L297-H310</f>
        <v>0</v>
      </c>
    </row>
    <row r="298" spans="1:14" hidden="1">
      <c r="A298" s="1797"/>
      <c r="B298" s="1797"/>
      <c r="C298" s="1797"/>
      <c r="D298" s="281" t="s">
        <v>2183</v>
      </c>
      <c r="E298" s="631" t="s">
        <v>2184</v>
      </c>
      <c r="F298" s="281" t="s">
        <v>2185</v>
      </c>
      <c r="G298" s="281" t="s">
        <v>2186</v>
      </c>
      <c r="H298" s="1823" t="s">
        <v>476</v>
      </c>
      <c r="I298" s="1509"/>
      <c r="J298" s="1509"/>
      <c r="K298" s="1509"/>
      <c r="L298" s="1509"/>
      <c r="M298" s="1509"/>
      <c r="N298" s="1509"/>
    </row>
    <row r="299" spans="1:14" hidden="1">
      <c r="A299" s="1797"/>
      <c r="B299" s="1797"/>
      <c r="C299" s="1797"/>
      <c r="D299" s="375" t="s">
        <v>2187</v>
      </c>
      <c r="E299" s="1312" t="s">
        <v>2188</v>
      </c>
      <c r="F299" s="375" t="s">
        <v>2189</v>
      </c>
      <c r="G299" s="375" t="s">
        <v>2190</v>
      </c>
      <c r="H299" s="1823"/>
      <c r="I299" s="1509"/>
      <c r="J299" s="1509"/>
      <c r="K299" s="1509"/>
      <c r="L299" s="1509"/>
      <c r="M299" s="1509"/>
      <c r="N299" s="1509"/>
    </row>
    <row r="300" spans="1:14" hidden="1">
      <c r="A300" s="1824" t="s">
        <v>2238</v>
      </c>
      <c r="B300" s="1825" t="s">
        <v>2192</v>
      </c>
      <c r="C300" s="1825"/>
      <c r="D300" s="200"/>
      <c r="E300" s="376"/>
      <c r="F300" s="376"/>
      <c r="G300" s="763"/>
      <c r="H300" s="475"/>
      <c r="I300" s="1509"/>
      <c r="J300" s="1509"/>
      <c r="K300" s="1509"/>
      <c r="L300" s="1509"/>
      <c r="M300" s="1509"/>
      <c r="N300" s="1509"/>
    </row>
    <row r="301" spans="1:14" ht="15" hidden="1" customHeight="1">
      <c r="A301" s="1824"/>
      <c r="B301" s="1828" t="s">
        <v>2347</v>
      </c>
      <c r="C301" s="1828"/>
      <c r="D301" s="200">
        <v>2.35</v>
      </c>
      <c r="E301" s="376">
        <v>2.9</v>
      </c>
      <c r="F301" s="376">
        <v>0.4</v>
      </c>
      <c r="G301" s="765">
        <v>1</v>
      </c>
      <c r="H301" s="475">
        <f>D301*E301</f>
        <v>6.8150000000000004</v>
      </c>
      <c r="I301" s="1509"/>
      <c r="J301" s="1509"/>
      <c r="K301" s="1509"/>
      <c r="L301" s="1509"/>
      <c r="M301" s="1509"/>
      <c r="N301" s="1509"/>
    </row>
    <row r="302" spans="1:14" hidden="1">
      <c r="A302" s="1824"/>
      <c r="B302" s="1830" t="s">
        <v>2348</v>
      </c>
      <c r="C302" s="1830"/>
      <c r="D302" s="200">
        <v>2.1</v>
      </c>
      <c r="E302" s="376">
        <v>0.7</v>
      </c>
      <c r="F302" s="376">
        <v>0.6</v>
      </c>
      <c r="G302" s="765">
        <v>1</v>
      </c>
      <c r="H302" s="475">
        <f>D302*E302</f>
        <v>1.47</v>
      </c>
      <c r="I302" s="1509"/>
      <c r="J302" s="1509"/>
      <c r="K302" s="1509"/>
      <c r="L302" s="1509"/>
      <c r="M302" s="1509"/>
      <c r="N302" s="1509"/>
    </row>
    <row r="303" spans="1:14" hidden="1">
      <c r="A303" s="1824"/>
      <c r="B303" s="1830" t="s">
        <v>2348</v>
      </c>
      <c r="C303" s="1830"/>
      <c r="D303" s="200">
        <v>1.7</v>
      </c>
      <c r="E303" s="376">
        <v>1.2999999999999998</v>
      </c>
      <c r="F303" s="376">
        <v>0.4</v>
      </c>
      <c r="G303" s="765"/>
      <c r="H303" s="475">
        <f>D303*E303</f>
        <v>2.2099999999999995</v>
      </c>
      <c r="I303" s="1509"/>
      <c r="J303" s="1509"/>
      <c r="K303" s="1509"/>
      <c r="L303" s="1509"/>
      <c r="M303" s="1509"/>
      <c r="N303" s="1509"/>
    </row>
    <row r="304" spans="1:14" hidden="1">
      <c r="A304" s="1824"/>
      <c r="B304" s="1830" t="s">
        <v>2349</v>
      </c>
      <c r="C304" s="1830"/>
      <c r="D304" s="200">
        <v>2.6</v>
      </c>
      <c r="E304" s="376">
        <v>2.5</v>
      </c>
      <c r="F304" s="376">
        <v>0.4</v>
      </c>
      <c r="G304" s="765">
        <v>1</v>
      </c>
      <c r="H304" s="475">
        <f>D304*E304</f>
        <v>6.5</v>
      </c>
      <c r="I304" s="1509"/>
      <c r="J304" s="1509"/>
      <c r="K304" s="1509"/>
      <c r="L304" s="1509"/>
      <c r="M304" s="1509"/>
      <c r="N304" s="1509"/>
    </row>
    <row r="305" spans="1:14" hidden="1">
      <c r="A305" s="1824"/>
      <c r="B305" s="1830" t="s">
        <v>2350</v>
      </c>
      <c r="C305" s="1830"/>
      <c r="D305" s="200">
        <v>7.4</v>
      </c>
      <c r="E305" s="376">
        <v>0.8</v>
      </c>
      <c r="F305" s="376">
        <v>0.4</v>
      </c>
      <c r="G305" s="765">
        <v>1</v>
      </c>
      <c r="H305" s="475">
        <f>D305*E305</f>
        <v>5.9200000000000008</v>
      </c>
      <c r="I305" s="1509"/>
      <c r="J305" s="1509"/>
      <c r="K305" s="1509"/>
      <c r="L305" s="1509"/>
      <c r="M305" s="1509"/>
      <c r="N305" s="1509"/>
    </row>
    <row r="306" spans="1:14" hidden="1">
      <c r="A306" s="1824"/>
      <c r="B306" s="1830" t="s">
        <v>2351</v>
      </c>
      <c r="C306" s="1830"/>
      <c r="D306" s="200">
        <v>8.1000000000000014</v>
      </c>
      <c r="E306" s="376">
        <v>0</v>
      </c>
      <c r="F306" s="376">
        <v>0.55000000000000004</v>
      </c>
      <c r="G306" s="765">
        <v>1</v>
      </c>
      <c r="H306" s="475">
        <f>D306*F306</f>
        <v>4.455000000000001</v>
      </c>
      <c r="I306" s="1509"/>
      <c r="J306" s="1509"/>
      <c r="K306" s="1509"/>
      <c r="L306" s="1509"/>
      <c r="M306" s="1509"/>
      <c r="N306" s="1509"/>
    </row>
    <row r="307" spans="1:14" hidden="1">
      <c r="A307" s="1824"/>
      <c r="B307" s="1831" t="s">
        <v>2200</v>
      </c>
      <c r="C307" s="1831"/>
      <c r="D307" s="200"/>
      <c r="E307" s="376"/>
      <c r="F307" s="376"/>
      <c r="G307" s="765"/>
      <c r="H307" s="475"/>
      <c r="I307" s="1509"/>
      <c r="J307" s="1509"/>
      <c r="K307" s="1509"/>
      <c r="L307" s="1509"/>
      <c r="M307" s="1509"/>
      <c r="N307" s="1509"/>
    </row>
    <row r="308" spans="1:14" hidden="1">
      <c r="A308" s="1824"/>
      <c r="B308" s="1830" t="s">
        <v>2352</v>
      </c>
      <c r="C308" s="1830"/>
      <c r="D308" s="200">
        <v>1.1499999999999999</v>
      </c>
      <c r="E308" s="376">
        <v>0.7</v>
      </c>
      <c r="F308" s="376">
        <v>0.6</v>
      </c>
      <c r="G308" s="765">
        <v>1</v>
      </c>
      <c r="H308" s="475">
        <f>D308*E308</f>
        <v>0.80499999999999994</v>
      </c>
      <c r="I308" s="1509"/>
      <c r="J308" s="1509"/>
      <c r="K308" s="1509"/>
      <c r="L308" s="1509"/>
      <c r="M308" s="1509"/>
      <c r="N308" s="1509"/>
    </row>
    <row r="309" spans="1:14" hidden="1">
      <c r="A309" s="1824"/>
      <c r="B309" s="1830" t="s">
        <v>2353</v>
      </c>
      <c r="C309" s="1830"/>
      <c r="D309" s="200">
        <v>1.1499999999999999</v>
      </c>
      <c r="E309" s="376">
        <v>1.2999999999999998</v>
      </c>
      <c r="F309" s="376">
        <v>0.4</v>
      </c>
      <c r="G309" s="765">
        <v>1</v>
      </c>
      <c r="H309" s="475">
        <f>D309*E309</f>
        <v>1.4949999999999997</v>
      </c>
      <c r="I309" s="1509"/>
      <c r="J309" s="1509"/>
      <c r="K309" s="1509"/>
      <c r="L309" s="1509"/>
      <c r="M309" s="1509"/>
      <c r="N309" s="1509"/>
    </row>
    <row r="310" spans="1:14" hidden="1">
      <c r="A310" s="1823" t="s">
        <v>2218</v>
      </c>
      <c r="B310" s="1823"/>
      <c r="C310" s="1823"/>
      <c r="D310" s="1823"/>
      <c r="E310" s="1823"/>
      <c r="F310" s="1823"/>
      <c r="G310" s="1823"/>
      <c r="H310" s="766">
        <f>SUM(H300:H309)</f>
        <v>29.67</v>
      </c>
      <c r="I310" s="1509"/>
      <c r="J310" s="1509"/>
      <c r="K310" s="1509"/>
      <c r="L310" s="1509"/>
      <c r="M310" s="1509"/>
      <c r="N310" s="1509"/>
    </row>
    <row r="311" spans="1:14" hidden="1">
      <c r="A311" s="1650" t="s">
        <v>2219</v>
      </c>
      <c r="B311" s="1650"/>
      <c r="C311" s="1650"/>
      <c r="D311" s="1650"/>
      <c r="E311" s="1650"/>
      <c r="F311" s="1650"/>
      <c r="G311" s="1650"/>
      <c r="H311" s="767">
        <v>0</v>
      </c>
      <c r="I311" s="1509"/>
      <c r="J311" s="1509"/>
      <c r="K311" s="1509"/>
      <c r="L311" s="1509"/>
      <c r="M311" s="1509"/>
      <c r="N311" s="1509"/>
    </row>
    <row r="312" spans="1:14" hidden="1">
      <c r="A312" s="1650" t="s">
        <v>2220</v>
      </c>
      <c r="B312" s="1650"/>
      <c r="C312" s="1650"/>
      <c r="D312" s="1650"/>
      <c r="E312" s="1650"/>
      <c r="F312" s="1650"/>
      <c r="G312" s="1650"/>
      <c r="H312" s="217">
        <f>H310-H311</f>
        <v>29.67</v>
      </c>
      <c r="I312" s="1509"/>
      <c r="J312" s="1509"/>
      <c r="K312" s="1509"/>
      <c r="L312" s="1509"/>
      <c r="M312" s="1509"/>
      <c r="N312" s="1509"/>
    </row>
    <row r="313" spans="1:14" ht="15" hidden="1" customHeight="1">
      <c r="A313" s="1797"/>
      <c r="B313" s="1797"/>
      <c r="C313" s="1797"/>
      <c r="D313" s="1797"/>
      <c r="E313" s="1797"/>
      <c r="F313" s="1797"/>
      <c r="G313" s="1797"/>
      <c r="H313" s="1797"/>
      <c r="I313" s="1797"/>
      <c r="J313" s="1797"/>
      <c r="K313" s="1797"/>
      <c r="L313" s="1797"/>
      <c r="M313" s="1797"/>
      <c r="N313" s="1797"/>
    </row>
    <row r="314" spans="1:14" hidden="1">
      <c r="A314" s="1080" t="s">
        <v>2354</v>
      </c>
      <c r="B314" s="1821" t="s">
        <v>555</v>
      </c>
      <c r="C314" s="1821"/>
      <c r="D314" s="1821"/>
      <c r="E314" s="1821"/>
      <c r="F314" s="1821"/>
      <c r="G314" s="1821"/>
      <c r="H314" s="1821"/>
      <c r="I314" s="1821"/>
      <c r="J314" s="1821"/>
      <c r="K314" s="761" t="s">
        <v>2222</v>
      </c>
      <c r="L314" s="1822">
        <v>2.97</v>
      </c>
      <c r="M314" s="1822"/>
      <c r="N314" s="762">
        <f>L314-H319</f>
        <v>0</v>
      </c>
    </row>
    <row r="315" spans="1:14" hidden="1">
      <c r="A315" s="1797"/>
      <c r="B315" s="1797"/>
      <c r="C315" s="1797"/>
      <c r="D315" s="281" t="s">
        <v>2183</v>
      </c>
      <c r="E315" s="631" t="s">
        <v>2184</v>
      </c>
      <c r="F315" s="281" t="s">
        <v>2185</v>
      </c>
      <c r="G315" s="281" t="s">
        <v>2186</v>
      </c>
      <c r="H315" s="1823" t="s">
        <v>476</v>
      </c>
      <c r="I315" s="1509"/>
      <c r="J315" s="1509"/>
      <c r="K315" s="1509"/>
      <c r="L315" s="1509"/>
      <c r="M315" s="1509"/>
      <c r="N315" s="1509"/>
    </row>
    <row r="316" spans="1:14" hidden="1">
      <c r="A316" s="1797"/>
      <c r="B316" s="1797"/>
      <c r="C316" s="1797"/>
      <c r="D316" s="375" t="s">
        <v>2187</v>
      </c>
      <c r="E316" s="1312" t="s">
        <v>2188</v>
      </c>
      <c r="F316" s="375" t="s">
        <v>2189</v>
      </c>
      <c r="G316" s="375" t="s">
        <v>2190</v>
      </c>
      <c r="H316" s="1823"/>
      <c r="I316" s="1509"/>
      <c r="J316" s="1509"/>
      <c r="K316" s="1509"/>
      <c r="L316" s="1509"/>
      <c r="M316" s="1509"/>
      <c r="N316" s="1509"/>
    </row>
    <row r="317" spans="1:14" hidden="1">
      <c r="A317" s="1824" t="s">
        <v>2238</v>
      </c>
      <c r="B317" s="1825" t="s">
        <v>2192</v>
      </c>
      <c r="C317" s="1825"/>
      <c r="D317" s="200"/>
      <c r="E317" s="376"/>
      <c r="F317" s="376"/>
      <c r="G317" s="763"/>
      <c r="H317" s="475"/>
      <c r="I317" s="1509"/>
      <c r="J317" s="1509"/>
      <c r="K317" s="1509"/>
      <c r="L317" s="1509"/>
      <c r="M317" s="1509"/>
      <c r="N317" s="1509"/>
    </row>
    <row r="318" spans="1:14" hidden="1">
      <c r="A318" s="1824"/>
      <c r="B318" s="1828" t="s">
        <v>2336</v>
      </c>
      <c r="C318" s="1828"/>
      <c r="D318" s="200">
        <v>1.65</v>
      </c>
      <c r="E318" s="376">
        <v>1.8</v>
      </c>
      <c r="F318" s="376"/>
      <c r="G318" s="765">
        <v>1</v>
      </c>
      <c r="H318" s="475">
        <f>D318*E318</f>
        <v>2.9699999999999998</v>
      </c>
      <c r="I318" s="1509"/>
      <c r="J318" s="1509"/>
      <c r="K318" s="1509"/>
      <c r="L318" s="1509"/>
      <c r="M318" s="1509"/>
      <c r="N318" s="1509"/>
    </row>
    <row r="319" spans="1:14" hidden="1">
      <c r="A319" s="1823" t="s">
        <v>2218</v>
      </c>
      <c r="B319" s="1823"/>
      <c r="C319" s="1823"/>
      <c r="D319" s="1823"/>
      <c r="E319" s="1823"/>
      <c r="F319" s="1823"/>
      <c r="G319" s="1823"/>
      <c r="H319" s="766">
        <f>SUM(H317:H318)</f>
        <v>2.9699999999999998</v>
      </c>
      <c r="I319" s="1509"/>
      <c r="J319" s="1509"/>
      <c r="K319" s="1509"/>
      <c r="L319" s="1509"/>
      <c r="M319" s="1509"/>
      <c r="N319" s="1509"/>
    </row>
    <row r="320" spans="1:14" hidden="1">
      <c r="A320" s="1650" t="s">
        <v>2219</v>
      </c>
      <c r="B320" s="1650"/>
      <c r="C320" s="1650"/>
      <c r="D320" s="1650"/>
      <c r="E320" s="1650"/>
      <c r="F320" s="1650"/>
      <c r="G320" s="1650"/>
      <c r="H320" s="767">
        <v>0</v>
      </c>
      <c r="I320" s="1509"/>
      <c r="J320" s="1509"/>
      <c r="K320" s="1509"/>
      <c r="L320" s="1509"/>
      <c r="M320" s="1509"/>
      <c r="N320" s="1509"/>
    </row>
    <row r="321" spans="1:14" hidden="1">
      <c r="A321" s="1650" t="s">
        <v>2220</v>
      </c>
      <c r="B321" s="1650"/>
      <c r="C321" s="1650"/>
      <c r="D321" s="1650"/>
      <c r="E321" s="1650"/>
      <c r="F321" s="1650"/>
      <c r="G321" s="1650"/>
      <c r="H321" s="217">
        <f>H319-H320</f>
        <v>2.9699999999999998</v>
      </c>
      <c r="I321" s="1509"/>
      <c r="J321" s="1509"/>
      <c r="K321" s="1509"/>
      <c r="L321" s="1509"/>
      <c r="M321" s="1509"/>
      <c r="N321" s="1509"/>
    </row>
    <row r="322" spans="1:14" ht="15" hidden="1" customHeight="1">
      <c r="A322" s="278"/>
      <c r="B322" s="428"/>
      <c r="C322" s="278"/>
      <c r="D322" s="281"/>
      <c r="E322" s="631"/>
      <c r="F322" s="281"/>
      <c r="G322" s="281"/>
      <c r="H322" s="217"/>
      <c r="I322" s="768"/>
      <c r="J322" s="768"/>
      <c r="K322" s="768"/>
      <c r="L322" s="768"/>
      <c r="M322" s="768"/>
      <c r="N322" s="768"/>
    </row>
    <row r="323" spans="1:14" hidden="1">
      <c r="A323" s="1080" t="s">
        <v>2355</v>
      </c>
      <c r="B323" s="1821" t="s">
        <v>21</v>
      </c>
      <c r="C323" s="1821"/>
      <c r="D323" s="1821"/>
      <c r="E323" s="1821"/>
      <c r="F323" s="1821"/>
      <c r="G323" s="1821"/>
      <c r="H323" s="1821"/>
      <c r="I323" s="1821"/>
      <c r="J323" s="1821"/>
      <c r="K323" s="761" t="s">
        <v>2222</v>
      </c>
      <c r="L323" s="1822">
        <v>71.84</v>
      </c>
      <c r="M323" s="1822"/>
      <c r="N323" s="762">
        <f>L323-H345</f>
        <v>-2.0000000000095497E-3</v>
      </c>
    </row>
    <row r="324" spans="1:14" hidden="1">
      <c r="A324" s="1797"/>
      <c r="B324" s="1797"/>
      <c r="C324" s="1797"/>
      <c r="D324" s="281" t="s">
        <v>2183</v>
      </c>
      <c r="E324" s="631" t="s">
        <v>2184</v>
      </c>
      <c r="F324" s="281" t="s">
        <v>2185</v>
      </c>
      <c r="G324" s="281" t="s">
        <v>2186</v>
      </c>
      <c r="H324" s="1823" t="s">
        <v>476</v>
      </c>
      <c r="I324" s="1509"/>
      <c r="J324" s="1509"/>
      <c r="K324" s="1509"/>
      <c r="L324" s="1509"/>
      <c r="M324" s="1509"/>
      <c r="N324" s="1509"/>
    </row>
    <row r="325" spans="1:14" hidden="1">
      <c r="A325" s="1797"/>
      <c r="B325" s="1797"/>
      <c r="C325" s="1797"/>
      <c r="D325" s="375" t="s">
        <v>2187</v>
      </c>
      <c r="E325" s="1312" t="s">
        <v>2188</v>
      </c>
      <c r="F325" s="375" t="s">
        <v>2189</v>
      </c>
      <c r="G325" s="375" t="s">
        <v>2190</v>
      </c>
      <c r="H325" s="1823"/>
      <c r="I325" s="1509"/>
      <c r="J325" s="1509"/>
      <c r="K325" s="1509"/>
      <c r="L325" s="1509"/>
      <c r="M325" s="1509"/>
      <c r="N325" s="1509"/>
    </row>
    <row r="326" spans="1:14" hidden="1">
      <c r="A326" s="1824" t="s">
        <v>2238</v>
      </c>
      <c r="B326" s="1825" t="s">
        <v>2192</v>
      </c>
      <c r="C326" s="1825"/>
      <c r="D326" s="200"/>
      <c r="E326" s="376"/>
      <c r="F326" s="376"/>
      <c r="G326" s="763"/>
      <c r="H326" s="475"/>
      <c r="I326" s="1509"/>
      <c r="J326" s="1509"/>
      <c r="K326" s="1509"/>
      <c r="L326" s="1509"/>
      <c r="M326" s="1509"/>
      <c r="N326" s="1509"/>
    </row>
    <row r="327" spans="1:14" hidden="1">
      <c r="A327" s="1824"/>
      <c r="B327" s="1828" t="s">
        <v>2356</v>
      </c>
      <c r="C327" s="1828"/>
      <c r="D327" s="200">
        <v>0.7</v>
      </c>
      <c r="E327" s="376">
        <v>2</v>
      </c>
      <c r="F327" s="376"/>
      <c r="G327" s="765">
        <v>1</v>
      </c>
      <c r="H327" s="475">
        <f t="shared" ref="H327:H334" si="11">D327*E327*G327</f>
        <v>1.4</v>
      </c>
      <c r="I327" s="1509"/>
      <c r="J327" s="1509"/>
      <c r="K327" s="1509"/>
      <c r="L327" s="1509"/>
      <c r="M327" s="1509"/>
      <c r="N327" s="1509"/>
    </row>
    <row r="328" spans="1:14" hidden="1">
      <c r="A328" s="1824"/>
      <c r="B328" s="1828" t="s">
        <v>2357</v>
      </c>
      <c r="C328" s="1828"/>
      <c r="D328" s="200">
        <v>3</v>
      </c>
      <c r="E328" s="376">
        <v>2.4</v>
      </c>
      <c r="F328" s="376"/>
      <c r="G328" s="765">
        <v>1</v>
      </c>
      <c r="H328" s="475">
        <f t="shared" si="11"/>
        <v>7.1999999999999993</v>
      </c>
      <c r="I328" s="1509"/>
      <c r="J328" s="1509"/>
      <c r="K328" s="1509"/>
      <c r="L328" s="1509"/>
      <c r="M328" s="1509"/>
      <c r="N328" s="1509"/>
    </row>
    <row r="329" spans="1:14" hidden="1">
      <c r="A329" s="1824"/>
      <c r="B329" s="1828" t="s">
        <v>2258</v>
      </c>
      <c r="C329" s="1828"/>
      <c r="D329" s="200">
        <v>0.55000000000000004</v>
      </c>
      <c r="E329" s="376">
        <v>0.5</v>
      </c>
      <c r="F329" s="376"/>
      <c r="G329" s="765">
        <v>4</v>
      </c>
      <c r="H329" s="475">
        <f t="shared" si="11"/>
        <v>1.1000000000000001</v>
      </c>
      <c r="I329" s="1509"/>
      <c r="J329" s="1509"/>
      <c r="K329" s="1509"/>
      <c r="L329" s="1509"/>
      <c r="M329" s="1509"/>
      <c r="N329" s="1509"/>
    </row>
    <row r="330" spans="1:14" hidden="1">
      <c r="A330" s="1824"/>
      <c r="B330" s="1828" t="s">
        <v>2246</v>
      </c>
      <c r="C330" s="1828"/>
      <c r="D330" s="200">
        <v>0.55000000000000004</v>
      </c>
      <c r="E330" s="376">
        <v>0.8</v>
      </c>
      <c r="F330" s="376"/>
      <c r="G330" s="765">
        <v>1</v>
      </c>
      <c r="H330" s="475">
        <f t="shared" si="11"/>
        <v>0.44000000000000006</v>
      </c>
      <c r="I330" s="1509"/>
      <c r="J330" s="1509"/>
      <c r="K330" s="1509"/>
      <c r="L330" s="1509"/>
      <c r="M330" s="1509"/>
      <c r="N330" s="1509"/>
    </row>
    <row r="331" spans="1:14" hidden="1">
      <c r="A331" s="1824"/>
      <c r="B331" s="1828" t="s">
        <v>2259</v>
      </c>
      <c r="C331" s="1828"/>
      <c r="D331" s="200">
        <v>11.7</v>
      </c>
      <c r="E331" s="376">
        <v>0.8</v>
      </c>
      <c r="F331" s="376"/>
      <c r="G331" s="765">
        <v>1</v>
      </c>
      <c r="H331" s="475">
        <f t="shared" si="11"/>
        <v>9.36</v>
      </c>
      <c r="I331" s="1509"/>
      <c r="J331" s="1509"/>
      <c r="K331" s="1509"/>
      <c r="L331" s="1509"/>
      <c r="M331" s="1509"/>
      <c r="N331" s="1509"/>
    </row>
    <row r="332" spans="1:14" hidden="1">
      <c r="A332" s="1824"/>
      <c r="B332" s="1828" t="s">
        <v>2248</v>
      </c>
      <c r="C332" s="1828"/>
      <c r="D332" s="200">
        <v>2</v>
      </c>
      <c r="E332" s="376">
        <v>1.2</v>
      </c>
      <c r="F332" s="376"/>
      <c r="G332" s="765">
        <v>2</v>
      </c>
      <c r="H332" s="475">
        <f t="shared" si="11"/>
        <v>4.8</v>
      </c>
      <c r="I332" s="1509"/>
      <c r="J332" s="1509"/>
      <c r="K332" s="1509"/>
      <c r="L332" s="1509"/>
      <c r="M332" s="1509"/>
      <c r="N332" s="1509"/>
    </row>
    <row r="333" spans="1:14" hidden="1">
      <c r="A333" s="1824"/>
      <c r="B333" s="1828" t="s">
        <v>2261</v>
      </c>
      <c r="C333" s="1828"/>
      <c r="D333" s="200">
        <v>1</v>
      </c>
      <c r="E333" s="376">
        <v>1.5</v>
      </c>
      <c r="F333" s="376"/>
      <c r="G333" s="765">
        <v>1</v>
      </c>
      <c r="H333" s="475">
        <f t="shared" si="11"/>
        <v>1.5</v>
      </c>
      <c r="I333" s="1509"/>
      <c r="J333" s="1509"/>
      <c r="K333" s="1509"/>
      <c r="L333" s="1509"/>
      <c r="M333" s="1509"/>
      <c r="N333" s="1509"/>
    </row>
    <row r="334" spans="1:14" ht="15" hidden="1" customHeight="1">
      <c r="A334" s="1824"/>
      <c r="B334" s="1828" t="s">
        <v>2358</v>
      </c>
      <c r="C334" s="1828"/>
      <c r="D334" s="200">
        <v>2.36</v>
      </c>
      <c r="E334" s="376">
        <v>2.7</v>
      </c>
      <c r="F334" s="376"/>
      <c r="G334" s="765">
        <v>1</v>
      </c>
      <c r="H334" s="475">
        <f t="shared" si="11"/>
        <v>6.3719999999999999</v>
      </c>
      <c r="I334" s="1509"/>
      <c r="J334" s="1509"/>
      <c r="K334" s="1509"/>
      <c r="L334" s="1509"/>
      <c r="M334" s="1509"/>
      <c r="N334" s="1509"/>
    </row>
    <row r="335" spans="1:14" hidden="1">
      <c r="A335" s="1824"/>
      <c r="B335" s="1829" t="s">
        <v>2200</v>
      </c>
      <c r="C335" s="1829"/>
      <c r="D335" s="200"/>
      <c r="E335" s="376"/>
      <c r="F335" s="376"/>
      <c r="G335" s="763"/>
      <c r="H335" s="475"/>
      <c r="I335" s="1509"/>
      <c r="J335" s="1509"/>
      <c r="K335" s="1509"/>
      <c r="L335" s="1509"/>
      <c r="M335" s="1509"/>
      <c r="N335" s="1509"/>
    </row>
    <row r="336" spans="1:14" hidden="1">
      <c r="A336" s="1824"/>
      <c r="B336" s="1830" t="s">
        <v>2258</v>
      </c>
      <c r="C336" s="1830"/>
      <c r="D336" s="200">
        <v>0.55000000000000004</v>
      </c>
      <c r="E336" s="376">
        <v>0.5</v>
      </c>
      <c r="F336" s="376"/>
      <c r="G336" s="765">
        <v>8</v>
      </c>
      <c r="H336" s="475">
        <f>D336*E336*G336</f>
        <v>2.2000000000000002</v>
      </c>
      <c r="I336" s="1509"/>
      <c r="J336" s="1509"/>
      <c r="K336" s="1509"/>
      <c r="L336" s="1509"/>
      <c r="M336" s="1509"/>
      <c r="N336" s="1509"/>
    </row>
    <row r="337" spans="1:14" ht="15" hidden="1" customHeight="1">
      <c r="A337" s="1824"/>
      <c r="B337" s="1830" t="s">
        <v>2250</v>
      </c>
      <c r="C337" s="1830"/>
      <c r="D337" s="200">
        <v>0.55000000000000004</v>
      </c>
      <c r="E337" s="376">
        <v>0.9</v>
      </c>
      <c r="F337" s="376"/>
      <c r="G337" s="765">
        <v>2</v>
      </c>
      <c r="H337" s="475">
        <f>D337*E337*G337</f>
        <v>0.9900000000000001</v>
      </c>
      <c r="I337" s="1509"/>
      <c r="J337" s="1509"/>
      <c r="K337" s="1509"/>
      <c r="L337" s="1509"/>
      <c r="M337" s="1509"/>
      <c r="N337" s="1509"/>
    </row>
    <row r="338" spans="1:14" hidden="1">
      <c r="A338" s="1824"/>
      <c r="B338" s="1830" t="s">
        <v>2251</v>
      </c>
      <c r="C338" s="1830"/>
      <c r="D338" s="200">
        <v>10.8</v>
      </c>
      <c r="E338" s="376">
        <v>1.2</v>
      </c>
      <c r="F338" s="376"/>
      <c r="G338" s="765">
        <v>2</v>
      </c>
      <c r="H338" s="475">
        <f>D338*E338*G338</f>
        <v>25.92</v>
      </c>
      <c r="I338" s="1509"/>
      <c r="J338" s="1509"/>
      <c r="K338" s="1509"/>
      <c r="L338" s="1509"/>
      <c r="M338" s="1509"/>
      <c r="N338" s="1509"/>
    </row>
    <row r="339" spans="1:14" ht="15" hidden="1" customHeight="1">
      <c r="A339" s="1824"/>
      <c r="B339" s="1828" t="s">
        <v>2263</v>
      </c>
      <c r="C339" s="1828"/>
      <c r="D339" s="200">
        <v>1.76</v>
      </c>
      <c r="E339" s="376">
        <v>4</v>
      </c>
      <c r="F339" s="376"/>
      <c r="G339" s="765">
        <v>1</v>
      </c>
      <c r="H339" s="475">
        <f>D339*E339*G339</f>
        <v>7.04</v>
      </c>
      <c r="I339" s="1509"/>
      <c r="J339" s="1509"/>
      <c r="K339" s="1509"/>
      <c r="L339" s="1509"/>
      <c r="M339" s="1509"/>
      <c r="N339" s="1509"/>
    </row>
    <row r="340" spans="1:14" hidden="1">
      <c r="A340" s="1824"/>
      <c r="B340" s="1830" t="s">
        <v>2252</v>
      </c>
      <c r="C340" s="1830"/>
      <c r="D340" s="200">
        <v>2</v>
      </c>
      <c r="E340" s="376">
        <v>1.2</v>
      </c>
      <c r="F340" s="376"/>
      <c r="G340" s="765">
        <v>1</v>
      </c>
      <c r="H340" s="475">
        <f>D340*E340*G340</f>
        <v>2.4</v>
      </c>
      <c r="I340" s="1509"/>
      <c r="J340" s="1509"/>
      <c r="K340" s="1509"/>
      <c r="L340" s="1509"/>
      <c r="M340" s="1509"/>
      <c r="N340" s="1509"/>
    </row>
    <row r="341" spans="1:14" hidden="1">
      <c r="A341" s="1824"/>
      <c r="B341" s="1829" t="s">
        <v>2209</v>
      </c>
      <c r="C341" s="1829"/>
      <c r="D341" s="200"/>
      <c r="E341" s="376"/>
      <c r="F341" s="376"/>
      <c r="G341" s="763"/>
      <c r="H341" s="475"/>
      <c r="I341" s="1509"/>
      <c r="J341" s="1509"/>
      <c r="K341" s="1509"/>
      <c r="L341" s="1509"/>
      <c r="M341" s="1509"/>
      <c r="N341" s="1509"/>
    </row>
    <row r="342" spans="1:14" ht="15" hidden="1" customHeight="1">
      <c r="A342" s="1824"/>
      <c r="B342" s="1828" t="s">
        <v>2359</v>
      </c>
      <c r="C342" s="1828"/>
      <c r="D342" s="200">
        <v>0.8</v>
      </c>
      <c r="E342" s="376">
        <v>0.8</v>
      </c>
      <c r="F342" s="376"/>
      <c r="G342" s="765">
        <v>1</v>
      </c>
      <c r="H342" s="475">
        <f>D342*E342</f>
        <v>0.64000000000000012</v>
      </c>
      <c r="I342" s="1509"/>
      <c r="J342" s="1509"/>
      <c r="K342" s="1509"/>
      <c r="L342" s="1509"/>
      <c r="M342" s="1509"/>
      <c r="N342" s="1509"/>
    </row>
    <row r="343" spans="1:14" ht="15" hidden="1" customHeight="1">
      <c r="A343" s="1824"/>
      <c r="B343" s="1828" t="s">
        <v>2360</v>
      </c>
      <c r="C343" s="1828"/>
      <c r="D343" s="200">
        <v>0.6</v>
      </c>
      <c r="E343" s="376">
        <v>0.8</v>
      </c>
      <c r="F343" s="376"/>
      <c r="G343" s="765">
        <v>1</v>
      </c>
      <c r="H343" s="475">
        <f>D343*E343</f>
        <v>0.48</v>
      </c>
      <c r="I343" s="1509"/>
      <c r="J343" s="1509"/>
      <c r="K343" s="1509"/>
      <c r="L343" s="1509"/>
      <c r="M343" s="1509"/>
      <c r="N343" s="1509"/>
    </row>
    <row r="344" spans="1:14" hidden="1">
      <c r="A344" s="1824"/>
      <c r="B344" s="1828"/>
      <c r="C344" s="1828"/>
      <c r="D344" s="200"/>
      <c r="E344" s="376"/>
      <c r="F344" s="376"/>
      <c r="G344" s="765"/>
      <c r="H344" s="475"/>
      <c r="I344" s="1509"/>
      <c r="J344" s="1509"/>
      <c r="K344" s="1509"/>
      <c r="L344" s="1509"/>
      <c r="M344" s="1509"/>
      <c r="N344" s="1509"/>
    </row>
    <row r="345" spans="1:14" hidden="1">
      <c r="A345" s="1823" t="s">
        <v>2218</v>
      </c>
      <c r="B345" s="1823"/>
      <c r="C345" s="1823"/>
      <c r="D345" s="1823"/>
      <c r="E345" s="1823"/>
      <c r="F345" s="1823"/>
      <c r="G345" s="1823"/>
      <c r="H345" s="766">
        <f>SUM(H326:H344)</f>
        <v>71.842000000000013</v>
      </c>
      <c r="I345" s="1509"/>
      <c r="J345" s="1509"/>
      <c r="K345" s="1509"/>
      <c r="L345" s="1509"/>
      <c r="M345" s="1509"/>
      <c r="N345" s="1509"/>
    </row>
    <row r="346" spans="1:14" hidden="1">
      <c r="A346" s="1650" t="s">
        <v>2219</v>
      </c>
      <c r="B346" s="1650"/>
      <c r="C346" s="1650"/>
      <c r="D346" s="1650"/>
      <c r="E346" s="1650"/>
      <c r="F346" s="1650"/>
      <c r="G346" s="1650"/>
      <c r="H346" s="767">
        <v>0</v>
      </c>
      <c r="I346" s="1509"/>
      <c r="J346" s="1509"/>
      <c r="K346" s="1509"/>
      <c r="L346" s="1509"/>
      <c r="M346" s="1509"/>
      <c r="N346" s="1509"/>
    </row>
    <row r="347" spans="1:14" hidden="1">
      <c r="A347" s="1650" t="s">
        <v>2220</v>
      </c>
      <c r="B347" s="1650"/>
      <c r="C347" s="1650"/>
      <c r="D347" s="1650"/>
      <c r="E347" s="1650"/>
      <c r="F347" s="1650"/>
      <c r="G347" s="1650"/>
      <c r="H347" s="217">
        <f>H345-H346</f>
        <v>71.842000000000013</v>
      </c>
      <c r="I347" s="1509"/>
      <c r="J347" s="1509"/>
      <c r="K347" s="1509"/>
      <c r="L347" s="1509"/>
      <c r="M347" s="1509"/>
      <c r="N347" s="1509"/>
    </row>
    <row r="348" spans="1:14" ht="15" hidden="1" customHeight="1">
      <c r="A348" s="278"/>
      <c r="B348" s="428"/>
      <c r="C348" s="278"/>
      <c r="D348" s="281"/>
      <c r="E348" s="631"/>
      <c r="F348" s="281"/>
      <c r="G348" s="281"/>
      <c r="H348" s="217"/>
      <c r="I348" s="768"/>
      <c r="J348" s="768"/>
      <c r="K348" s="768"/>
      <c r="L348" s="768"/>
      <c r="M348" s="768"/>
      <c r="N348" s="768"/>
    </row>
    <row r="349" spans="1:14" hidden="1">
      <c r="A349" s="1080" t="s">
        <v>2361</v>
      </c>
      <c r="B349" s="1821" t="s">
        <v>533</v>
      </c>
      <c r="C349" s="1821"/>
      <c r="D349" s="1821"/>
      <c r="E349" s="1821"/>
      <c r="F349" s="1821"/>
      <c r="G349" s="1821"/>
      <c r="H349" s="1821"/>
      <c r="I349" s="1821"/>
      <c r="J349" s="1821"/>
      <c r="K349" s="761" t="s">
        <v>2222</v>
      </c>
      <c r="L349" s="1822">
        <v>49.95</v>
      </c>
      <c r="M349" s="1822"/>
      <c r="N349" s="762">
        <f>L349-H358</f>
        <v>0</v>
      </c>
    </row>
    <row r="350" spans="1:14" hidden="1">
      <c r="A350" s="1797"/>
      <c r="B350" s="1797"/>
      <c r="C350" s="1797"/>
      <c r="D350" s="281" t="s">
        <v>2183</v>
      </c>
      <c r="E350" s="631" t="s">
        <v>2184</v>
      </c>
      <c r="F350" s="281" t="s">
        <v>2185</v>
      </c>
      <c r="G350" s="281" t="s">
        <v>2186</v>
      </c>
      <c r="H350" s="1823" t="s">
        <v>476</v>
      </c>
      <c r="I350" s="1509"/>
      <c r="J350" s="1509"/>
      <c r="K350" s="1509"/>
      <c r="L350" s="1509"/>
      <c r="M350" s="1509"/>
      <c r="N350" s="1509"/>
    </row>
    <row r="351" spans="1:14" hidden="1">
      <c r="A351" s="1797"/>
      <c r="B351" s="1797"/>
      <c r="C351" s="1797"/>
      <c r="D351" s="375" t="s">
        <v>2187</v>
      </c>
      <c r="E351" s="1312" t="s">
        <v>2188</v>
      </c>
      <c r="F351" s="375" t="s">
        <v>2189</v>
      </c>
      <c r="G351" s="375" t="s">
        <v>2190</v>
      </c>
      <c r="H351" s="1823"/>
      <c r="I351" s="1509"/>
      <c r="J351" s="1509"/>
      <c r="K351" s="1509"/>
      <c r="L351" s="1509"/>
      <c r="M351" s="1509"/>
      <c r="N351" s="1509"/>
    </row>
    <row r="352" spans="1:14" hidden="1">
      <c r="A352" s="1824" t="s">
        <v>2238</v>
      </c>
      <c r="B352" s="1825" t="s">
        <v>2192</v>
      </c>
      <c r="C352" s="1825"/>
      <c r="D352" s="200"/>
      <c r="E352" s="376"/>
      <c r="F352" s="376"/>
      <c r="G352" s="763"/>
      <c r="H352" s="475"/>
      <c r="I352" s="1509"/>
      <c r="J352" s="1509"/>
      <c r="K352" s="1509"/>
      <c r="L352" s="1509"/>
      <c r="M352" s="1509"/>
      <c r="N352" s="1509"/>
    </row>
    <row r="353" spans="1:14" hidden="1">
      <c r="A353" s="1824"/>
      <c r="B353" s="1828" t="s">
        <v>2259</v>
      </c>
      <c r="C353" s="1828"/>
      <c r="D353" s="200">
        <f>11.7+0.3</f>
        <v>12</v>
      </c>
      <c r="E353" s="376">
        <v>1.1000000000000001</v>
      </c>
      <c r="F353" s="376"/>
      <c r="G353" s="765">
        <v>1</v>
      </c>
      <c r="H353" s="475">
        <f>D353*E353</f>
        <v>13.200000000000001</v>
      </c>
      <c r="I353" s="1509"/>
      <c r="J353" s="1509"/>
      <c r="K353" s="1509"/>
      <c r="L353" s="1509"/>
      <c r="M353" s="1509"/>
      <c r="N353" s="1509"/>
    </row>
    <row r="354" spans="1:14" hidden="1">
      <c r="A354" s="1824"/>
      <c r="B354" s="1829" t="s">
        <v>2200</v>
      </c>
      <c r="C354" s="1829"/>
      <c r="D354" s="200"/>
      <c r="E354" s="376"/>
      <c r="F354" s="376"/>
      <c r="G354" s="763"/>
      <c r="H354" s="475"/>
      <c r="I354" s="1509"/>
      <c r="J354" s="1509"/>
      <c r="K354" s="1509"/>
      <c r="L354" s="1509"/>
      <c r="M354" s="1509"/>
      <c r="N354" s="1509"/>
    </row>
    <row r="355" spans="1:14" hidden="1">
      <c r="A355" s="1824"/>
      <c r="B355" s="1828" t="s">
        <v>2362</v>
      </c>
      <c r="C355" s="1828"/>
      <c r="D355" s="200">
        <f>10.8+0.3</f>
        <v>11.100000000000001</v>
      </c>
      <c r="E355" s="376">
        <v>1.5</v>
      </c>
      <c r="F355" s="376"/>
      <c r="G355" s="765">
        <v>2</v>
      </c>
      <c r="H355" s="475">
        <f>D355*E355*G355</f>
        <v>33.300000000000004</v>
      </c>
      <c r="I355" s="1509"/>
      <c r="J355" s="1509"/>
      <c r="K355" s="1509"/>
      <c r="L355" s="1509"/>
      <c r="M355" s="1509"/>
      <c r="N355" s="1509"/>
    </row>
    <row r="356" spans="1:14" hidden="1">
      <c r="A356" s="1824"/>
      <c r="B356" s="1830" t="s">
        <v>2363</v>
      </c>
      <c r="C356" s="1830"/>
      <c r="D356" s="200">
        <v>2.2999999999999998</v>
      </c>
      <c r="E356" s="376">
        <v>1.5</v>
      </c>
      <c r="F356" s="376"/>
      <c r="G356" s="765">
        <v>1</v>
      </c>
      <c r="H356" s="475">
        <f>D356*E356*G356</f>
        <v>3.4499999999999997</v>
      </c>
      <c r="I356" s="1509"/>
      <c r="J356" s="1509"/>
      <c r="K356" s="1509"/>
      <c r="L356" s="1509"/>
      <c r="M356" s="1509"/>
      <c r="N356" s="1509"/>
    </row>
    <row r="357" spans="1:14" hidden="1">
      <c r="A357" s="1824"/>
      <c r="B357" s="1830"/>
      <c r="C357" s="1830"/>
      <c r="D357" s="200"/>
      <c r="E357" s="376"/>
      <c r="F357" s="376"/>
      <c r="G357" s="765"/>
      <c r="H357" s="475"/>
      <c r="I357" s="1509"/>
      <c r="J357" s="1509"/>
      <c r="K357" s="1509"/>
      <c r="L357" s="1509"/>
      <c r="M357" s="1509"/>
      <c r="N357" s="1509"/>
    </row>
    <row r="358" spans="1:14" hidden="1">
      <c r="A358" s="1823" t="s">
        <v>2218</v>
      </c>
      <c r="B358" s="1823"/>
      <c r="C358" s="1823"/>
      <c r="D358" s="1823"/>
      <c r="E358" s="1823"/>
      <c r="F358" s="1823"/>
      <c r="G358" s="1823"/>
      <c r="H358" s="766">
        <f>SUM(H352:H357)</f>
        <v>49.95000000000001</v>
      </c>
      <c r="I358" s="1509"/>
      <c r="J358" s="1509"/>
      <c r="K358" s="1509"/>
      <c r="L358" s="1509"/>
      <c r="M358" s="1509"/>
      <c r="N358" s="1509"/>
    </row>
    <row r="359" spans="1:14" hidden="1">
      <c r="A359" s="1650" t="s">
        <v>2219</v>
      </c>
      <c r="B359" s="1650"/>
      <c r="C359" s="1650"/>
      <c r="D359" s="1650"/>
      <c r="E359" s="1650"/>
      <c r="F359" s="1650"/>
      <c r="G359" s="1650"/>
      <c r="H359" s="767">
        <v>0</v>
      </c>
      <c r="I359" s="1509"/>
      <c r="J359" s="1509"/>
      <c r="K359" s="1509"/>
      <c r="L359" s="1509"/>
      <c r="M359" s="1509"/>
      <c r="N359" s="1509"/>
    </row>
    <row r="360" spans="1:14" hidden="1">
      <c r="A360" s="1650" t="s">
        <v>2220</v>
      </c>
      <c r="B360" s="1650"/>
      <c r="C360" s="1650"/>
      <c r="D360" s="1650"/>
      <c r="E360" s="1650"/>
      <c r="F360" s="1650"/>
      <c r="G360" s="1650"/>
      <c r="H360" s="217">
        <f>H358-H359</f>
        <v>49.95000000000001</v>
      </c>
      <c r="I360" s="1509"/>
      <c r="J360" s="1509"/>
      <c r="K360" s="1509"/>
      <c r="L360" s="1509"/>
      <c r="M360" s="1509"/>
      <c r="N360" s="1509"/>
    </row>
    <row r="361" spans="1:14" ht="15" hidden="1" customHeight="1">
      <c r="A361" s="278"/>
      <c r="B361" s="428"/>
      <c r="C361" s="278"/>
      <c r="D361" s="281"/>
      <c r="E361" s="631"/>
      <c r="F361" s="281"/>
      <c r="G361" s="281"/>
      <c r="H361" s="217"/>
      <c r="I361" s="768"/>
      <c r="J361" s="768"/>
      <c r="K361" s="768"/>
      <c r="L361" s="768"/>
      <c r="M361" s="768"/>
      <c r="N361" s="768"/>
    </row>
    <row r="362" spans="1:14" hidden="1">
      <c r="A362" s="1080" t="s">
        <v>2364</v>
      </c>
      <c r="B362" s="1821" t="s">
        <v>18</v>
      </c>
      <c r="C362" s="1821"/>
      <c r="D362" s="1821"/>
      <c r="E362" s="1821"/>
      <c r="F362" s="1821"/>
      <c r="G362" s="1821"/>
      <c r="H362" s="1821"/>
      <c r="I362" s="1821"/>
      <c r="J362" s="1821"/>
      <c r="K362" s="761" t="s">
        <v>2222</v>
      </c>
      <c r="L362" s="1822">
        <v>53.55</v>
      </c>
      <c r="M362" s="1822"/>
      <c r="N362" s="762">
        <f>L362-H377</f>
        <v>0</v>
      </c>
    </row>
    <row r="363" spans="1:14" hidden="1">
      <c r="A363" s="1797"/>
      <c r="B363" s="1797"/>
      <c r="C363" s="1797"/>
      <c r="D363" s="281" t="s">
        <v>2183</v>
      </c>
      <c r="E363" s="631" t="s">
        <v>2184</v>
      </c>
      <c r="F363" s="281" t="s">
        <v>2185</v>
      </c>
      <c r="G363" s="281" t="s">
        <v>2186</v>
      </c>
      <c r="H363" s="1823" t="s">
        <v>476</v>
      </c>
      <c r="I363" s="1509"/>
      <c r="J363" s="1509"/>
      <c r="K363" s="1509"/>
      <c r="L363" s="1509"/>
      <c r="M363" s="1509"/>
      <c r="N363" s="1509"/>
    </row>
    <row r="364" spans="1:14" hidden="1">
      <c r="A364" s="1797"/>
      <c r="B364" s="1797"/>
      <c r="C364" s="1797"/>
      <c r="D364" s="375" t="s">
        <v>2187</v>
      </c>
      <c r="E364" s="1312" t="s">
        <v>2188</v>
      </c>
      <c r="F364" s="375" t="s">
        <v>2189</v>
      </c>
      <c r="G364" s="375" t="s">
        <v>2190</v>
      </c>
      <c r="H364" s="1823"/>
      <c r="I364" s="1509"/>
      <c r="J364" s="1509"/>
      <c r="K364" s="1509"/>
      <c r="L364" s="1509"/>
      <c r="M364" s="1509"/>
      <c r="N364" s="1509"/>
    </row>
    <row r="365" spans="1:14" hidden="1">
      <c r="A365" s="1824" t="s">
        <v>2238</v>
      </c>
      <c r="B365" s="1825" t="s">
        <v>2192</v>
      </c>
      <c r="C365" s="1825"/>
      <c r="D365" s="200"/>
      <c r="E365" s="376"/>
      <c r="F365" s="376"/>
      <c r="G365" s="763"/>
      <c r="H365" s="475"/>
      <c r="I365" s="1509"/>
      <c r="J365" s="1509"/>
      <c r="K365" s="1509"/>
      <c r="L365" s="1509"/>
      <c r="M365" s="1509"/>
      <c r="N365" s="1509"/>
    </row>
    <row r="366" spans="1:14" hidden="1">
      <c r="A366" s="1824"/>
      <c r="B366" s="1827" t="s">
        <v>2365</v>
      </c>
      <c r="C366" s="1827"/>
      <c r="D366" s="200">
        <v>0.6</v>
      </c>
      <c r="E366" s="376">
        <v>2.1</v>
      </c>
      <c r="F366" s="376"/>
      <c r="G366" s="765">
        <v>2</v>
      </c>
      <c r="H366" s="475">
        <f>D366*E366*G366</f>
        <v>2.52</v>
      </c>
      <c r="I366" s="1509"/>
      <c r="J366" s="1509"/>
      <c r="K366" s="1509"/>
      <c r="L366" s="1509"/>
      <c r="M366" s="1509"/>
      <c r="N366" s="1509"/>
    </row>
    <row r="367" spans="1:14" hidden="1">
      <c r="A367" s="1824"/>
      <c r="B367" s="1827" t="s">
        <v>2366</v>
      </c>
      <c r="C367" s="1827"/>
      <c r="D367" s="200">
        <v>0.8</v>
      </c>
      <c r="E367" s="376">
        <v>2.1</v>
      </c>
      <c r="F367" s="376"/>
      <c r="G367" s="765">
        <v>3</v>
      </c>
      <c r="H367" s="475">
        <f>D367*E367*G367</f>
        <v>5.0400000000000009</v>
      </c>
      <c r="I367" s="1509"/>
      <c r="J367" s="1509"/>
      <c r="K367" s="1509"/>
      <c r="L367" s="1509"/>
      <c r="M367" s="1509"/>
      <c r="N367" s="1509"/>
    </row>
    <row r="368" spans="1:14" hidden="1">
      <c r="A368" s="1824"/>
      <c r="B368" s="1827" t="s">
        <v>2367</v>
      </c>
      <c r="C368" s="1827"/>
      <c r="D368" s="200">
        <v>0.8</v>
      </c>
      <c r="E368" s="376">
        <v>2.1</v>
      </c>
      <c r="F368" s="376"/>
      <c r="G368" s="765">
        <v>9</v>
      </c>
      <c r="H368" s="475">
        <f>D368*E368*G368</f>
        <v>15.120000000000001</v>
      </c>
      <c r="I368" s="1509"/>
      <c r="J368" s="1509"/>
      <c r="K368" s="1509"/>
      <c r="L368" s="1509"/>
      <c r="M368" s="1509"/>
      <c r="N368" s="1509"/>
    </row>
    <row r="369" spans="1:14" hidden="1">
      <c r="A369" s="1824"/>
      <c r="B369" s="1827" t="s">
        <v>2368</v>
      </c>
      <c r="C369" s="1827"/>
      <c r="D369" s="200">
        <v>0.9</v>
      </c>
      <c r="E369" s="376">
        <v>2.1</v>
      </c>
      <c r="F369" s="376"/>
      <c r="G369" s="765">
        <v>1</v>
      </c>
      <c r="H369" s="475">
        <f>D369*E369*G369</f>
        <v>1.8900000000000001</v>
      </c>
      <c r="I369" s="1509"/>
      <c r="J369" s="1509"/>
      <c r="K369" s="1509"/>
      <c r="L369" s="1509"/>
      <c r="M369" s="1509"/>
      <c r="N369" s="1509"/>
    </row>
    <row r="370" spans="1:14" hidden="1">
      <c r="A370" s="1824"/>
      <c r="B370" s="1821" t="s">
        <v>2200</v>
      </c>
      <c r="C370" s="1821"/>
      <c r="D370" s="200"/>
      <c r="E370" s="376"/>
      <c r="F370" s="376"/>
      <c r="G370" s="763"/>
      <c r="H370" s="475"/>
      <c r="I370" s="1509"/>
      <c r="J370" s="1509"/>
      <c r="K370" s="1509"/>
      <c r="L370" s="1509"/>
      <c r="M370" s="1509"/>
      <c r="N370" s="1509"/>
    </row>
    <row r="371" spans="1:14" hidden="1">
      <c r="A371" s="1824"/>
      <c r="B371" s="1827" t="s">
        <v>2365</v>
      </c>
      <c r="C371" s="1827"/>
      <c r="D371" s="200">
        <v>0.6</v>
      </c>
      <c r="E371" s="376">
        <v>2.1</v>
      </c>
      <c r="F371" s="376"/>
      <c r="G371" s="765">
        <v>3</v>
      </c>
      <c r="H371" s="475">
        <f>D371*E371*G371</f>
        <v>3.7800000000000002</v>
      </c>
      <c r="I371" s="1509"/>
      <c r="J371" s="1509"/>
      <c r="K371" s="1509"/>
      <c r="L371" s="1509"/>
      <c r="M371" s="1509"/>
      <c r="N371" s="1509"/>
    </row>
    <row r="372" spans="1:14" hidden="1">
      <c r="A372" s="1824"/>
      <c r="B372" s="1827" t="s">
        <v>2366</v>
      </c>
      <c r="C372" s="1827"/>
      <c r="D372" s="200">
        <v>0.8</v>
      </c>
      <c r="E372" s="376">
        <v>2.1</v>
      </c>
      <c r="F372" s="376"/>
      <c r="G372" s="765">
        <v>4</v>
      </c>
      <c r="H372" s="475">
        <f>D372*E372*G372</f>
        <v>6.7200000000000006</v>
      </c>
      <c r="I372" s="1509"/>
      <c r="J372" s="1509"/>
      <c r="K372" s="1509"/>
      <c r="L372" s="1509"/>
      <c r="M372" s="1509"/>
      <c r="N372" s="1509"/>
    </row>
    <row r="373" spans="1:14" hidden="1">
      <c r="A373" s="1824"/>
      <c r="B373" s="1827" t="s">
        <v>2367</v>
      </c>
      <c r="C373" s="1827"/>
      <c r="D373" s="200">
        <v>0.8</v>
      </c>
      <c r="E373" s="376">
        <v>2.1</v>
      </c>
      <c r="F373" s="376"/>
      <c r="G373" s="765">
        <v>9</v>
      </c>
      <c r="H373" s="475">
        <f>D373*E373*G373</f>
        <v>15.120000000000001</v>
      </c>
      <c r="I373" s="1509"/>
      <c r="J373" s="1509"/>
      <c r="K373" s="1509"/>
      <c r="L373" s="1509"/>
      <c r="M373" s="1509"/>
      <c r="N373" s="1509"/>
    </row>
    <row r="374" spans="1:14" hidden="1">
      <c r="A374" s="1705" t="s">
        <v>2268</v>
      </c>
      <c r="B374" s="1825" t="s">
        <v>2192</v>
      </c>
      <c r="C374" s="1825"/>
      <c r="D374" s="200"/>
      <c r="E374" s="376"/>
      <c r="F374" s="376"/>
      <c r="G374" s="765"/>
      <c r="H374" s="475"/>
      <c r="I374" s="1509"/>
      <c r="J374" s="1509"/>
      <c r="K374" s="1509"/>
      <c r="L374" s="1509"/>
      <c r="M374" s="1509"/>
      <c r="N374" s="1509"/>
    </row>
    <row r="375" spans="1:14" hidden="1">
      <c r="A375" s="1705"/>
      <c r="B375" s="1827" t="s">
        <v>2366</v>
      </c>
      <c r="C375" s="1827"/>
      <c r="D375" s="200">
        <v>0.8</v>
      </c>
      <c r="E375" s="376">
        <v>2.1</v>
      </c>
      <c r="F375" s="376"/>
      <c r="G375" s="765">
        <v>2</v>
      </c>
      <c r="H375" s="475">
        <f>D375*E375*G375</f>
        <v>3.3600000000000003</v>
      </c>
      <c r="I375" s="1509"/>
      <c r="J375" s="1509"/>
      <c r="K375" s="1509"/>
      <c r="L375" s="1509"/>
      <c r="M375" s="1509"/>
      <c r="N375" s="1509"/>
    </row>
    <row r="376" spans="1:14" hidden="1">
      <c r="A376" s="1705"/>
      <c r="B376" s="1827"/>
      <c r="C376" s="1827"/>
      <c r="D376" s="200"/>
      <c r="E376" s="376"/>
      <c r="F376" s="376"/>
      <c r="G376" s="765"/>
      <c r="H376" s="475"/>
      <c r="I376" s="1509"/>
      <c r="J376" s="1509"/>
      <c r="K376" s="1509"/>
      <c r="L376" s="1509"/>
      <c r="M376" s="1509"/>
      <c r="N376" s="1509"/>
    </row>
    <row r="377" spans="1:14" hidden="1">
      <c r="A377" s="1823" t="s">
        <v>2218</v>
      </c>
      <c r="B377" s="1823"/>
      <c r="C377" s="1823"/>
      <c r="D377" s="1823"/>
      <c r="E377" s="1823"/>
      <c r="F377" s="1823"/>
      <c r="G377" s="1823"/>
      <c r="H377" s="766">
        <f>SUM(H365:H376)</f>
        <v>53.55</v>
      </c>
      <c r="I377" s="1509"/>
      <c r="J377" s="1509"/>
      <c r="K377" s="1509"/>
      <c r="L377" s="1509"/>
      <c r="M377" s="1509"/>
      <c r="N377" s="1509"/>
    </row>
    <row r="378" spans="1:14" hidden="1">
      <c r="A378" s="1650" t="s">
        <v>2219</v>
      </c>
      <c r="B378" s="1650"/>
      <c r="C378" s="1650"/>
      <c r="D378" s="1650"/>
      <c r="E378" s="1650"/>
      <c r="F378" s="1650"/>
      <c r="G378" s="1650"/>
      <c r="H378" s="767">
        <f>SUM(H366:H373)</f>
        <v>50.19</v>
      </c>
      <c r="I378" s="1509"/>
      <c r="J378" s="1509"/>
      <c r="K378" s="1509"/>
      <c r="L378" s="1509"/>
      <c r="M378" s="1509"/>
      <c r="N378" s="1509"/>
    </row>
    <row r="379" spans="1:14" hidden="1">
      <c r="A379" s="1650" t="s">
        <v>2220</v>
      </c>
      <c r="B379" s="1650"/>
      <c r="C379" s="1650"/>
      <c r="D379" s="1650"/>
      <c r="E379" s="1650"/>
      <c r="F379" s="1650"/>
      <c r="G379" s="1650"/>
      <c r="H379" s="217">
        <f>H377-H378</f>
        <v>3.3599999999999994</v>
      </c>
      <c r="I379" s="1509"/>
      <c r="J379" s="1509"/>
      <c r="K379" s="1509"/>
      <c r="L379" s="1509"/>
      <c r="M379" s="1509"/>
      <c r="N379" s="1509"/>
    </row>
    <row r="380" spans="1:14" ht="15" hidden="1" customHeight="1">
      <c r="A380" s="278"/>
      <c r="B380" s="428"/>
      <c r="C380" s="278"/>
      <c r="D380" s="281"/>
      <c r="E380" s="631"/>
      <c r="F380" s="281"/>
      <c r="G380" s="281"/>
      <c r="H380" s="217"/>
      <c r="I380" s="768"/>
      <c r="J380" s="768"/>
      <c r="K380" s="768"/>
      <c r="L380" s="768"/>
      <c r="M380" s="768"/>
      <c r="N380" s="768"/>
    </row>
    <row r="381" spans="1:14" hidden="1">
      <c r="A381" s="1080" t="s">
        <v>2369</v>
      </c>
      <c r="B381" s="1821" t="s">
        <v>562</v>
      </c>
      <c r="C381" s="1821"/>
      <c r="D381" s="1821"/>
      <c r="E381" s="1821"/>
      <c r="F381" s="1821"/>
      <c r="G381" s="1821"/>
      <c r="H381" s="1821"/>
      <c r="I381" s="1821"/>
      <c r="J381" s="1821"/>
      <c r="K381" s="761" t="s">
        <v>2222</v>
      </c>
      <c r="L381" s="1822">
        <v>408.64</v>
      </c>
      <c r="M381" s="1822"/>
      <c r="N381" s="762">
        <f>L381-H390</f>
        <v>-6.4000000000021373E-2</v>
      </c>
    </row>
    <row r="382" spans="1:14" hidden="1">
      <c r="A382" s="1797"/>
      <c r="B382" s="1797"/>
      <c r="C382" s="1797"/>
      <c r="D382" s="281" t="s">
        <v>2183</v>
      </c>
      <c r="E382" s="631" t="s">
        <v>2184</v>
      </c>
      <c r="F382" s="281" t="s">
        <v>2185</v>
      </c>
      <c r="G382" s="281" t="s">
        <v>2186</v>
      </c>
      <c r="H382" s="1823" t="s">
        <v>476</v>
      </c>
      <c r="I382" s="1509"/>
      <c r="J382" s="1509"/>
      <c r="K382" s="1509"/>
      <c r="L382" s="1509"/>
      <c r="M382" s="1509"/>
      <c r="N382" s="1509"/>
    </row>
    <row r="383" spans="1:14" hidden="1">
      <c r="A383" s="1797"/>
      <c r="B383" s="1797"/>
      <c r="C383" s="1797"/>
      <c r="D383" s="375" t="s">
        <v>2187</v>
      </c>
      <c r="E383" s="1312" t="s">
        <v>2188</v>
      </c>
      <c r="F383" s="375" t="s">
        <v>2189</v>
      </c>
      <c r="G383" s="375" t="s">
        <v>2370</v>
      </c>
      <c r="H383" s="1823"/>
      <c r="I383" s="1509"/>
      <c r="J383" s="1509"/>
      <c r="K383" s="1509"/>
      <c r="L383" s="1509"/>
      <c r="M383" s="1509"/>
      <c r="N383" s="1509"/>
    </row>
    <row r="384" spans="1:14" ht="15" hidden="1" customHeight="1">
      <c r="A384" s="1824" t="s">
        <v>2238</v>
      </c>
      <c r="B384" s="1826" t="s">
        <v>2371</v>
      </c>
      <c r="C384" s="1826"/>
      <c r="D384" s="200"/>
      <c r="E384" s="376"/>
      <c r="F384" s="376"/>
      <c r="G384" s="376">
        <v>228.7</v>
      </c>
      <c r="H384" s="475">
        <f>G384</f>
        <v>228.7</v>
      </c>
      <c r="I384" s="1509"/>
      <c r="J384" s="1509"/>
      <c r="K384" s="1509"/>
      <c r="L384" s="1509"/>
      <c r="M384" s="1509"/>
      <c r="N384" s="1509"/>
    </row>
    <row r="385" spans="1:14" ht="15" hidden="1" customHeight="1">
      <c r="A385" s="1824"/>
      <c r="B385" s="1826" t="s">
        <v>2372</v>
      </c>
      <c r="C385" s="1826"/>
      <c r="D385" s="200">
        <v>1.31</v>
      </c>
      <c r="E385" s="376"/>
      <c r="F385" s="376">
        <v>3.8</v>
      </c>
      <c r="G385" s="376"/>
      <c r="H385" s="475">
        <f>D385*F385</f>
        <v>4.9779999999999998</v>
      </c>
      <c r="I385" s="1509"/>
      <c r="J385" s="1509"/>
      <c r="K385" s="1509"/>
      <c r="L385" s="1509"/>
      <c r="M385" s="1509"/>
      <c r="N385" s="1509"/>
    </row>
    <row r="386" spans="1:14" ht="15" hidden="1" customHeight="1">
      <c r="A386" s="1824"/>
      <c r="B386" s="1826" t="s">
        <v>2373</v>
      </c>
      <c r="C386" s="1826"/>
      <c r="D386" s="200">
        <v>5.0999999999999996</v>
      </c>
      <c r="E386" s="376"/>
      <c r="F386" s="376">
        <v>9.2100000000000009</v>
      </c>
      <c r="G386" s="376"/>
      <c r="H386" s="475">
        <f>D386*F386</f>
        <v>46.971000000000004</v>
      </c>
      <c r="I386" s="1509"/>
      <c r="J386" s="1509"/>
      <c r="K386" s="1509"/>
      <c r="L386" s="1509"/>
      <c r="M386" s="1509"/>
      <c r="N386" s="1509"/>
    </row>
    <row r="387" spans="1:14" ht="15" hidden="1" customHeight="1">
      <c r="A387" s="1824"/>
      <c r="B387" s="1826" t="s">
        <v>2374</v>
      </c>
      <c r="C387" s="1826"/>
      <c r="D387" s="200">
        <v>12.75</v>
      </c>
      <c r="E387" s="376"/>
      <c r="F387" s="376">
        <v>8.9600000000000009</v>
      </c>
      <c r="G387" s="376"/>
      <c r="H387" s="475">
        <f>D387*F387</f>
        <v>114.24000000000001</v>
      </c>
      <c r="I387" s="1509"/>
      <c r="J387" s="1509"/>
      <c r="K387" s="1509"/>
      <c r="L387" s="1509"/>
      <c r="M387" s="1509"/>
      <c r="N387" s="1509"/>
    </row>
    <row r="388" spans="1:14" ht="15" hidden="1" customHeight="1">
      <c r="A388" s="1824"/>
      <c r="B388" s="1826" t="s">
        <v>2375</v>
      </c>
      <c r="C388" s="1826"/>
      <c r="D388" s="200">
        <v>9.2100000000000009</v>
      </c>
      <c r="E388" s="376"/>
      <c r="F388" s="376">
        <v>1.5</v>
      </c>
      <c r="G388" s="376"/>
      <c r="H388" s="475">
        <f>D388*F388</f>
        <v>13.815000000000001</v>
      </c>
      <c r="I388" s="1509"/>
      <c r="J388" s="1509"/>
      <c r="K388" s="1509"/>
      <c r="L388" s="1509"/>
      <c r="M388" s="1509"/>
      <c r="N388" s="1509"/>
    </row>
    <row r="389" spans="1:14" hidden="1">
      <c r="A389" s="1824"/>
      <c r="B389" s="1821"/>
      <c r="C389" s="1821"/>
      <c r="D389" s="200"/>
      <c r="E389" s="376"/>
      <c r="F389" s="376"/>
      <c r="G389" s="376"/>
      <c r="H389" s="475"/>
      <c r="I389" s="1509"/>
      <c r="J389" s="1509"/>
      <c r="K389" s="1509"/>
      <c r="L389" s="1509"/>
      <c r="M389" s="1509"/>
      <c r="N389" s="1509"/>
    </row>
    <row r="390" spans="1:14" hidden="1">
      <c r="A390" s="1823" t="s">
        <v>2218</v>
      </c>
      <c r="B390" s="1823"/>
      <c r="C390" s="1823"/>
      <c r="D390" s="1823"/>
      <c r="E390" s="1823"/>
      <c r="F390" s="1823"/>
      <c r="G390" s="1823"/>
      <c r="H390" s="766">
        <f>SUM(H384:H389)</f>
        <v>408.70400000000001</v>
      </c>
      <c r="I390" s="1509"/>
      <c r="J390" s="1509"/>
      <c r="K390" s="1509"/>
      <c r="L390" s="1509"/>
      <c r="M390" s="1509"/>
      <c r="N390" s="1509"/>
    </row>
    <row r="391" spans="1:14" hidden="1">
      <c r="A391" s="1650" t="s">
        <v>2219</v>
      </c>
      <c r="B391" s="1650"/>
      <c r="C391" s="1650"/>
      <c r="D391" s="1650"/>
      <c r="E391" s="1650"/>
      <c r="F391" s="1650"/>
      <c r="G391" s="1650"/>
      <c r="H391" s="767">
        <v>0</v>
      </c>
      <c r="I391" s="1509"/>
      <c r="J391" s="1509"/>
      <c r="K391" s="1509"/>
      <c r="L391" s="1509"/>
      <c r="M391" s="1509"/>
      <c r="N391" s="1509"/>
    </row>
    <row r="392" spans="1:14" hidden="1">
      <c r="A392" s="1650" t="s">
        <v>2220</v>
      </c>
      <c r="B392" s="1650"/>
      <c r="C392" s="1650"/>
      <c r="D392" s="1650"/>
      <c r="E392" s="1650"/>
      <c r="F392" s="1650"/>
      <c r="G392" s="1650"/>
      <c r="H392" s="217">
        <f>H390-H391</f>
        <v>408.70400000000001</v>
      </c>
      <c r="I392" s="1509"/>
      <c r="J392" s="1509"/>
      <c r="K392" s="1509"/>
      <c r="L392" s="1509"/>
      <c r="M392" s="1509"/>
      <c r="N392" s="1509"/>
    </row>
    <row r="393" spans="1:14" ht="15" hidden="1" customHeight="1">
      <c r="A393" s="278"/>
      <c r="B393" s="428"/>
      <c r="C393" s="278"/>
      <c r="D393" s="281"/>
      <c r="E393" s="631"/>
      <c r="F393" s="281"/>
      <c r="G393" s="281"/>
      <c r="H393" s="217"/>
      <c r="I393" s="768"/>
      <c r="J393" s="768"/>
      <c r="K393" s="768"/>
      <c r="L393" s="768"/>
      <c r="M393" s="768"/>
      <c r="N393" s="768"/>
    </row>
    <row r="394" spans="1:14" hidden="1">
      <c r="A394" s="1080" t="s">
        <v>2376</v>
      </c>
      <c r="B394" s="1821" t="s">
        <v>565</v>
      </c>
      <c r="C394" s="1821"/>
      <c r="D394" s="1821"/>
      <c r="E394" s="1821"/>
      <c r="F394" s="1821"/>
      <c r="G394" s="1821"/>
      <c r="H394" s="1821"/>
      <c r="I394" s="1821"/>
      <c r="J394" s="1821"/>
      <c r="K394" s="761" t="s">
        <v>2222</v>
      </c>
      <c r="L394" s="1822">
        <v>408.64</v>
      </c>
      <c r="M394" s="1822"/>
      <c r="N394" s="762">
        <f>L394-H403</f>
        <v>-6.4000000000021373E-2</v>
      </c>
    </row>
    <row r="395" spans="1:14" hidden="1">
      <c r="A395" s="1797"/>
      <c r="B395" s="1797"/>
      <c r="C395" s="1797"/>
      <c r="D395" s="281" t="s">
        <v>2183</v>
      </c>
      <c r="E395" s="631" t="s">
        <v>2184</v>
      </c>
      <c r="F395" s="281" t="s">
        <v>2185</v>
      </c>
      <c r="G395" s="281" t="s">
        <v>2186</v>
      </c>
      <c r="H395" s="1823" t="s">
        <v>476</v>
      </c>
      <c r="I395" s="1509"/>
      <c r="J395" s="1509"/>
      <c r="K395" s="1509"/>
      <c r="L395" s="1509"/>
      <c r="M395" s="1509"/>
      <c r="N395" s="1509"/>
    </row>
    <row r="396" spans="1:14" hidden="1">
      <c r="A396" s="1797"/>
      <c r="B396" s="1797"/>
      <c r="C396" s="1797"/>
      <c r="D396" s="375" t="s">
        <v>2187</v>
      </c>
      <c r="E396" s="1312" t="s">
        <v>2188</v>
      </c>
      <c r="F396" s="375" t="s">
        <v>2189</v>
      </c>
      <c r="G396" s="375" t="s">
        <v>2370</v>
      </c>
      <c r="H396" s="1823"/>
      <c r="I396" s="1509"/>
      <c r="J396" s="1509"/>
      <c r="K396" s="1509"/>
      <c r="L396" s="1509"/>
      <c r="M396" s="1509"/>
      <c r="N396" s="1509"/>
    </row>
    <row r="397" spans="1:14" ht="15" hidden="1" customHeight="1">
      <c r="A397" s="1824" t="s">
        <v>2238</v>
      </c>
      <c r="B397" s="1826" t="s">
        <v>2371</v>
      </c>
      <c r="C397" s="1826"/>
      <c r="D397" s="200"/>
      <c r="E397" s="376"/>
      <c r="F397" s="376"/>
      <c r="G397" s="376">
        <v>228.7</v>
      </c>
      <c r="H397" s="475">
        <f>G397</f>
        <v>228.7</v>
      </c>
      <c r="I397" s="1509"/>
      <c r="J397" s="1509"/>
      <c r="K397" s="1509"/>
      <c r="L397" s="1509"/>
      <c r="M397" s="1509"/>
      <c r="N397" s="1509"/>
    </row>
    <row r="398" spans="1:14" hidden="1">
      <c r="A398" s="1824"/>
      <c r="B398" s="1826" t="s">
        <v>2372</v>
      </c>
      <c r="C398" s="1826"/>
      <c r="D398" s="200">
        <v>1.31</v>
      </c>
      <c r="E398" s="376"/>
      <c r="F398" s="376">
        <v>3.8</v>
      </c>
      <c r="G398" s="376"/>
      <c r="H398" s="475">
        <f>D398*F398</f>
        <v>4.9779999999999998</v>
      </c>
      <c r="I398" s="1509"/>
      <c r="J398" s="1509"/>
      <c r="K398" s="1509"/>
      <c r="L398" s="1509"/>
      <c r="M398" s="1509"/>
      <c r="N398" s="1509"/>
    </row>
    <row r="399" spans="1:14" hidden="1">
      <c r="A399" s="1824"/>
      <c r="B399" s="1826" t="s">
        <v>2373</v>
      </c>
      <c r="C399" s="1826"/>
      <c r="D399" s="200">
        <v>5.0999999999999996</v>
      </c>
      <c r="E399" s="376"/>
      <c r="F399" s="376">
        <v>9.2100000000000009</v>
      </c>
      <c r="G399" s="376"/>
      <c r="H399" s="475">
        <f>D399*F399</f>
        <v>46.971000000000004</v>
      </c>
      <c r="I399" s="1509"/>
      <c r="J399" s="1509"/>
      <c r="K399" s="1509"/>
      <c r="L399" s="1509"/>
      <c r="M399" s="1509"/>
      <c r="N399" s="1509"/>
    </row>
    <row r="400" spans="1:14" hidden="1">
      <c r="A400" s="1824"/>
      <c r="B400" s="1826" t="s">
        <v>2374</v>
      </c>
      <c r="C400" s="1826"/>
      <c r="D400" s="200">
        <v>12.75</v>
      </c>
      <c r="E400" s="376"/>
      <c r="F400" s="376">
        <v>8.9600000000000009</v>
      </c>
      <c r="G400" s="376"/>
      <c r="H400" s="475">
        <f>D400*F400</f>
        <v>114.24000000000001</v>
      </c>
      <c r="I400" s="1509"/>
      <c r="J400" s="1509"/>
      <c r="K400" s="1509"/>
      <c r="L400" s="1509"/>
      <c r="M400" s="1509"/>
      <c r="N400" s="1509"/>
    </row>
    <row r="401" spans="1:14" ht="15" hidden="1" customHeight="1">
      <c r="A401" s="1824"/>
      <c r="B401" s="1826" t="s">
        <v>2375</v>
      </c>
      <c r="C401" s="1826"/>
      <c r="D401" s="200">
        <v>9.2100000000000009</v>
      </c>
      <c r="E401" s="376"/>
      <c r="F401" s="376">
        <v>1.5</v>
      </c>
      <c r="G401" s="376"/>
      <c r="H401" s="475">
        <f>D401*F401</f>
        <v>13.815000000000001</v>
      </c>
      <c r="I401" s="1509"/>
      <c r="J401" s="1509"/>
      <c r="K401" s="1509"/>
      <c r="L401" s="1509"/>
      <c r="M401" s="1509"/>
      <c r="N401" s="1509"/>
    </row>
    <row r="402" spans="1:14" hidden="1">
      <c r="A402" s="1824"/>
      <c r="B402" s="1821"/>
      <c r="C402" s="1821"/>
      <c r="D402" s="200"/>
      <c r="E402" s="376"/>
      <c r="F402" s="376"/>
      <c r="G402" s="376"/>
      <c r="H402" s="475"/>
      <c r="I402" s="1509"/>
      <c r="J402" s="1509"/>
      <c r="K402" s="1509"/>
      <c r="L402" s="1509"/>
      <c r="M402" s="1509"/>
      <c r="N402" s="1509"/>
    </row>
    <row r="403" spans="1:14" hidden="1">
      <c r="A403" s="1823" t="s">
        <v>2218</v>
      </c>
      <c r="B403" s="1823"/>
      <c r="C403" s="1823"/>
      <c r="D403" s="1823"/>
      <c r="E403" s="1823"/>
      <c r="F403" s="1823"/>
      <c r="G403" s="1823"/>
      <c r="H403" s="766">
        <f>SUM(H397:H402)</f>
        <v>408.70400000000001</v>
      </c>
      <c r="I403" s="1509"/>
      <c r="J403" s="1509"/>
      <c r="K403" s="1509"/>
      <c r="L403" s="1509"/>
      <c r="M403" s="1509"/>
      <c r="N403" s="1509"/>
    </row>
    <row r="404" spans="1:14" hidden="1">
      <c r="A404" s="1650" t="s">
        <v>2219</v>
      </c>
      <c r="B404" s="1650"/>
      <c r="C404" s="1650"/>
      <c r="D404" s="1650"/>
      <c r="E404" s="1650"/>
      <c r="F404" s="1650"/>
      <c r="G404" s="1650"/>
      <c r="H404" s="767">
        <v>0</v>
      </c>
      <c r="I404" s="1509"/>
      <c r="J404" s="1509"/>
      <c r="K404" s="1509"/>
      <c r="L404" s="1509"/>
      <c r="M404" s="1509"/>
      <c r="N404" s="1509"/>
    </row>
    <row r="405" spans="1:14" hidden="1">
      <c r="A405" s="1650" t="s">
        <v>2220</v>
      </c>
      <c r="B405" s="1650"/>
      <c r="C405" s="1650"/>
      <c r="D405" s="1650"/>
      <c r="E405" s="1650"/>
      <c r="F405" s="1650"/>
      <c r="G405" s="1650"/>
      <c r="H405" s="217">
        <f>H403-H404</f>
        <v>408.70400000000001</v>
      </c>
      <c r="I405" s="1509"/>
      <c r="J405" s="1509"/>
      <c r="K405" s="1509"/>
      <c r="L405" s="1509"/>
      <c r="M405" s="1509"/>
      <c r="N405" s="1509"/>
    </row>
    <row r="406" spans="1:14" hidden="1">
      <c r="A406" s="278"/>
      <c r="B406" s="428"/>
      <c r="C406" s="278"/>
      <c r="D406" s="281"/>
      <c r="E406" s="631"/>
      <c r="F406" s="281"/>
      <c r="G406" s="281"/>
      <c r="H406" s="217"/>
      <c r="I406" s="768"/>
      <c r="J406" s="768"/>
      <c r="K406" s="768"/>
      <c r="L406" s="768"/>
      <c r="M406" s="768"/>
      <c r="N406" s="768"/>
    </row>
    <row r="407" spans="1:14" hidden="1">
      <c r="A407" s="1080" t="s">
        <v>2377</v>
      </c>
      <c r="B407" s="1821" t="s">
        <v>2102</v>
      </c>
      <c r="C407" s="1821"/>
      <c r="D407" s="1821"/>
      <c r="E407" s="1821"/>
      <c r="F407" s="1821"/>
      <c r="G407" s="1821"/>
      <c r="H407" s="1821"/>
      <c r="I407" s="1821"/>
      <c r="J407" s="1821"/>
      <c r="K407" s="761" t="s">
        <v>2222</v>
      </c>
      <c r="L407" s="1822">
        <v>158.78</v>
      </c>
      <c r="M407" s="1822"/>
      <c r="N407" s="762">
        <f>L407-H416</f>
        <v>0</v>
      </c>
    </row>
    <row r="408" spans="1:14" hidden="1">
      <c r="A408" s="1797"/>
      <c r="B408" s="1797"/>
      <c r="C408" s="1797"/>
      <c r="D408" s="281" t="s">
        <v>2183</v>
      </c>
      <c r="E408" s="631" t="s">
        <v>2184</v>
      </c>
      <c r="F408" s="281" t="s">
        <v>2185</v>
      </c>
      <c r="G408" s="281" t="s">
        <v>2186</v>
      </c>
      <c r="H408" s="1823" t="s">
        <v>476</v>
      </c>
      <c r="I408" s="1509"/>
      <c r="J408" s="1509"/>
      <c r="K408" s="1509"/>
      <c r="L408" s="1509"/>
      <c r="M408" s="1509"/>
      <c r="N408" s="1509"/>
    </row>
    <row r="409" spans="1:14" hidden="1">
      <c r="A409" s="1797"/>
      <c r="B409" s="1797"/>
      <c r="C409" s="1797"/>
      <c r="D409" s="375" t="s">
        <v>2187</v>
      </c>
      <c r="E409" s="1312" t="s">
        <v>2188</v>
      </c>
      <c r="F409" s="375" t="s">
        <v>2189</v>
      </c>
      <c r="G409" s="375" t="s">
        <v>2370</v>
      </c>
      <c r="H409" s="1823"/>
      <c r="I409" s="1509"/>
      <c r="J409" s="1509"/>
      <c r="K409" s="1509"/>
      <c r="L409" s="1509"/>
      <c r="M409" s="1509"/>
      <c r="N409" s="1509"/>
    </row>
    <row r="410" spans="1:14" ht="15" hidden="1" customHeight="1">
      <c r="A410" s="1705" t="s">
        <v>2268</v>
      </c>
      <c r="B410" s="1825" t="s">
        <v>2378</v>
      </c>
      <c r="C410" s="1825"/>
      <c r="D410" s="200"/>
      <c r="E410" s="376"/>
      <c r="F410" s="376"/>
      <c r="G410" s="376"/>
      <c r="H410" s="475"/>
      <c r="I410" s="1509"/>
      <c r="J410" s="1509"/>
      <c r="K410" s="1509"/>
      <c r="L410" s="1509"/>
      <c r="M410" s="1509"/>
      <c r="N410" s="1509"/>
    </row>
    <row r="411" spans="1:14" hidden="1">
      <c r="A411" s="1705"/>
      <c r="B411" s="1826" t="s">
        <v>2379</v>
      </c>
      <c r="C411" s="1826"/>
      <c r="D411" s="200"/>
      <c r="E411" s="376">
        <v>0.06</v>
      </c>
      <c r="F411" s="376"/>
      <c r="G411" s="376">
        <v>112.73</v>
      </c>
      <c r="H411" s="475">
        <f>G411</f>
        <v>112.73</v>
      </c>
      <c r="I411" s="1509"/>
      <c r="J411" s="1509"/>
      <c r="K411" s="1509"/>
      <c r="L411" s="1509"/>
      <c r="M411" s="1509"/>
      <c r="N411" s="1509"/>
    </row>
    <row r="412" spans="1:14" hidden="1">
      <c r="A412" s="1705"/>
      <c r="B412" s="1826" t="s">
        <v>2223</v>
      </c>
      <c r="C412" s="1826"/>
      <c r="D412" s="200"/>
      <c r="E412" s="376">
        <v>0.06</v>
      </c>
      <c r="F412" s="376"/>
      <c r="G412" s="376">
        <v>23.04</v>
      </c>
      <c r="H412" s="475">
        <f>G412</f>
        <v>23.04</v>
      </c>
      <c r="I412" s="1509"/>
      <c r="J412" s="1509"/>
      <c r="K412" s="1509"/>
      <c r="L412" s="1509"/>
      <c r="M412" s="1509"/>
      <c r="N412" s="1509"/>
    </row>
    <row r="413" spans="1:14" hidden="1">
      <c r="A413" s="1705"/>
      <c r="B413" s="1826" t="s">
        <v>2380</v>
      </c>
      <c r="C413" s="1826"/>
      <c r="D413" s="200"/>
      <c r="E413" s="376">
        <v>0.06</v>
      </c>
      <c r="F413" s="376"/>
      <c r="G413" s="376">
        <v>23.01</v>
      </c>
      <c r="H413" s="475">
        <f>G413</f>
        <v>23.01</v>
      </c>
      <c r="I413" s="1509"/>
      <c r="J413" s="1509"/>
      <c r="K413" s="1509"/>
      <c r="L413" s="1509"/>
      <c r="M413" s="1509"/>
      <c r="N413" s="1509"/>
    </row>
    <row r="414" spans="1:14" ht="15" hidden="1" customHeight="1">
      <c r="A414" s="1705"/>
      <c r="B414" s="1826"/>
      <c r="C414" s="1826"/>
      <c r="D414" s="200"/>
      <c r="E414" s="376"/>
      <c r="F414" s="376"/>
      <c r="G414" s="376"/>
      <c r="H414" s="475"/>
      <c r="I414" s="1509"/>
      <c r="J414" s="1509"/>
      <c r="K414" s="1509"/>
      <c r="L414" s="1509"/>
      <c r="M414" s="1509"/>
      <c r="N414" s="1509"/>
    </row>
    <row r="415" spans="1:14" hidden="1">
      <c r="A415" s="1705"/>
      <c r="B415" s="1821"/>
      <c r="C415" s="1821"/>
      <c r="D415" s="200"/>
      <c r="E415" s="376"/>
      <c r="F415" s="376"/>
      <c r="G415" s="376"/>
      <c r="H415" s="475"/>
      <c r="I415" s="1509"/>
      <c r="J415" s="1509"/>
      <c r="K415" s="1509"/>
      <c r="L415" s="1509"/>
      <c r="M415" s="1509"/>
      <c r="N415" s="1509"/>
    </row>
    <row r="416" spans="1:14" hidden="1">
      <c r="A416" s="1823" t="s">
        <v>2218</v>
      </c>
      <c r="B416" s="1823"/>
      <c r="C416" s="1823"/>
      <c r="D416" s="1823"/>
      <c r="E416" s="1823"/>
      <c r="F416" s="1823"/>
      <c r="G416" s="1823"/>
      <c r="H416" s="766">
        <f>SUM(H410:H415)</f>
        <v>158.78</v>
      </c>
      <c r="I416" s="1509"/>
      <c r="J416" s="1509"/>
      <c r="K416" s="1509"/>
      <c r="L416" s="1509"/>
      <c r="M416" s="1509"/>
      <c r="N416" s="1509"/>
    </row>
    <row r="417" spans="1:14" hidden="1">
      <c r="A417" s="1650" t="s">
        <v>2219</v>
      </c>
      <c r="B417" s="1650"/>
      <c r="C417" s="1650"/>
      <c r="D417" s="1650"/>
      <c r="E417" s="1650"/>
      <c r="F417" s="1650"/>
      <c r="G417" s="1650"/>
      <c r="H417" s="767">
        <v>0</v>
      </c>
      <c r="I417" s="1509"/>
      <c r="J417" s="1509"/>
      <c r="K417" s="1509"/>
      <c r="L417" s="1509"/>
      <c r="M417" s="1509"/>
      <c r="N417" s="1509"/>
    </row>
    <row r="418" spans="1:14" hidden="1">
      <c r="A418" s="1650" t="s">
        <v>2220</v>
      </c>
      <c r="B418" s="1650"/>
      <c r="C418" s="1650"/>
      <c r="D418" s="1650"/>
      <c r="E418" s="1650"/>
      <c r="F418" s="1650"/>
      <c r="G418" s="1650"/>
      <c r="H418" s="217">
        <f>H416-H417</f>
        <v>158.78</v>
      </c>
      <c r="I418" s="1509"/>
      <c r="J418" s="1509"/>
      <c r="K418" s="1509"/>
      <c r="L418" s="1509"/>
      <c r="M418" s="1509"/>
      <c r="N418" s="1509"/>
    </row>
    <row r="419" spans="1:14" hidden="1">
      <c r="A419" s="278"/>
      <c r="B419" s="428"/>
      <c r="C419" s="278"/>
      <c r="D419" s="281"/>
      <c r="E419" s="631"/>
      <c r="F419" s="281"/>
      <c r="G419" s="281"/>
      <c r="H419" s="217"/>
      <c r="I419" s="768"/>
      <c r="J419" s="768"/>
      <c r="K419" s="768"/>
      <c r="L419" s="768"/>
      <c r="M419" s="768"/>
      <c r="N419" s="768"/>
    </row>
    <row r="420" spans="1:14" hidden="1">
      <c r="A420" s="1080" t="s">
        <v>2381</v>
      </c>
      <c r="B420" s="1821" t="s">
        <v>531</v>
      </c>
      <c r="C420" s="1821"/>
      <c r="D420" s="1821"/>
      <c r="E420" s="1821"/>
      <c r="F420" s="1821"/>
      <c r="G420" s="1821"/>
      <c r="H420" s="1821"/>
      <c r="I420" s="1821"/>
      <c r="J420" s="1821"/>
      <c r="K420" s="761" t="s">
        <v>2222</v>
      </c>
      <c r="L420" s="1822">
        <v>114.02</v>
      </c>
      <c r="M420" s="1822"/>
      <c r="N420" s="762">
        <f>L420-H463</f>
        <v>0</v>
      </c>
    </row>
    <row r="421" spans="1:14" hidden="1">
      <c r="A421" s="1797"/>
      <c r="B421" s="1797"/>
      <c r="C421" s="772"/>
      <c r="D421" s="281" t="s">
        <v>2183</v>
      </c>
      <c r="E421" s="631" t="s">
        <v>2184</v>
      </c>
      <c r="F421" s="281" t="s">
        <v>2185</v>
      </c>
      <c r="G421" s="281" t="s">
        <v>2186</v>
      </c>
      <c r="H421" s="1823" t="s">
        <v>476</v>
      </c>
      <c r="I421" s="1509"/>
      <c r="J421" s="1509"/>
      <c r="K421" s="1509"/>
      <c r="L421" s="1509"/>
      <c r="M421" s="1509"/>
      <c r="N421" s="1509"/>
    </row>
    <row r="422" spans="1:14" hidden="1">
      <c r="A422" s="1797"/>
      <c r="B422" s="1797"/>
      <c r="C422" s="555" t="s">
        <v>2382</v>
      </c>
      <c r="D422" s="375" t="s">
        <v>2187</v>
      </c>
      <c r="E422" s="1312" t="s">
        <v>2188</v>
      </c>
      <c r="F422" s="375" t="s">
        <v>2189</v>
      </c>
      <c r="G422" s="375" t="s">
        <v>2190</v>
      </c>
      <c r="H422" s="1823"/>
      <c r="I422" s="1509"/>
      <c r="J422" s="1509"/>
      <c r="K422" s="1509"/>
      <c r="L422" s="1509"/>
      <c r="M422" s="1509"/>
      <c r="N422" s="1509"/>
    </row>
    <row r="423" spans="1:14" hidden="1">
      <c r="A423" s="1824" t="s">
        <v>2238</v>
      </c>
      <c r="B423" s="1825" t="s">
        <v>2192</v>
      </c>
      <c r="C423" s="1825"/>
      <c r="D423" s="200"/>
      <c r="E423" s="376"/>
      <c r="F423" s="376"/>
      <c r="G423" s="376"/>
      <c r="H423" s="475"/>
      <c r="I423" s="1509"/>
      <c r="J423" s="1509"/>
      <c r="K423" s="1509"/>
      <c r="L423" s="1509"/>
      <c r="M423" s="1509"/>
      <c r="N423" s="1509"/>
    </row>
    <row r="424" spans="1:14" hidden="1">
      <c r="A424" s="1824"/>
      <c r="B424" s="773" t="s">
        <v>2383</v>
      </c>
      <c r="C424" s="774"/>
      <c r="D424" s="200"/>
      <c r="E424" s="376"/>
      <c r="F424" s="376"/>
      <c r="G424" s="376"/>
      <c r="H424" s="475"/>
      <c r="I424" s="1509"/>
      <c r="J424" s="1509"/>
      <c r="K424" s="1509"/>
      <c r="L424" s="1509"/>
      <c r="M424" s="1509"/>
      <c r="N424" s="1509"/>
    </row>
    <row r="425" spans="1:14" hidden="1">
      <c r="A425" s="1824"/>
      <c r="B425" s="775" t="s">
        <v>2384</v>
      </c>
      <c r="C425" s="776">
        <v>62.17</v>
      </c>
      <c r="D425" s="200"/>
      <c r="E425" s="376"/>
      <c r="F425" s="376"/>
      <c r="G425" s="376">
        <v>1</v>
      </c>
      <c r="H425" s="475">
        <f>C425*G425</f>
        <v>62.17</v>
      </c>
      <c r="I425" s="1509"/>
      <c r="J425" s="1509"/>
      <c r="K425" s="1509"/>
      <c r="L425" s="1509"/>
      <c r="M425" s="1509"/>
      <c r="N425" s="1509"/>
    </row>
    <row r="426" spans="1:14" hidden="1">
      <c r="A426" s="1824"/>
      <c r="B426" s="777" t="s">
        <v>2231</v>
      </c>
      <c r="C426" s="778">
        <v>12.92</v>
      </c>
      <c r="D426" s="200"/>
      <c r="E426" s="376"/>
      <c r="F426" s="376"/>
      <c r="G426" s="376">
        <v>1</v>
      </c>
      <c r="H426" s="475">
        <f>C426*G426</f>
        <v>12.92</v>
      </c>
      <c r="I426" s="1509"/>
      <c r="J426" s="1509"/>
      <c r="K426" s="1509"/>
      <c r="L426" s="1509"/>
      <c r="M426" s="1509"/>
      <c r="N426" s="1509"/>
    </row>
    <row r="427" spans="1:14" hidden="1">
      <c r="A427" s="1824"/>
      <c r="B427" s="773" t="s">
        <v>2385</v>
      </c>
      <c r="C427" s="774"/>
      <c r="D427" s="200"/>
      <c r="E427" s="376"/>
      <c r="F427" s="376"/>
      <c r="G427" s="376"/>
      <c r="H427" s="475"/>
      <c r="I427" s="1509"/>
      <c r="J427" s="1509"/>
      <c r="K427" s="1509"/>
      <c r="L427" s="1509"/>
      <c r="M427" s="1509"/>
      <c r="N427" s="1509"/>
    </row>
    <row r="428" spans="1:14" hidden="1">
      <c r="A428" s="1824"/>
      <c r="B428" s="775" t="s">
        <v>2259</v>
      </c>
      <c r="C428" s="776">
        <v>1.76</v>
      </c>
      <c r="D428" s="200"/>
      <c r="E428" s="376"/>
      <c r="F428" s="376"/>
      <c r="G428" s="376">
        <v>1</v>
      </c>
      <c r="H428" s="475">
        <f>C428*G428</f>
        <v>1.76</v>
      </c>
      <c r="I428" s="1509"/>
      <c r="J428" s="1509"/>
      <c r="K428" s="1509"/>
      <c r="L428" s="1509"/>
      <c r="M428" s="1509"/>
      <c r="N428" s="1509"/>
    </row>
    <row r="429" spans="1:14" hidden="1">
      <c r="A429" s="1824"/>
      <c r="B429" s="775" t="s">
        <v>2252</v>
      </c>
      <c r="C429" s="778">
        <v>0.34</v>
      </c>
      <c r="D429" s="200"/>
      <c r="E429" s="376"/>
      <c r="F429" s="376"/>
      <c r="G429" s="376">
        <v>2</v>
      </c>
      <c r="H429" s="475">
        <f>C429*G429</f>
        <v>0.68</v>
      </c>
      <c r="I429" s="1509"/>
      <c r="J429" s="1509"/>
      <c r="K429" s="1509"/>
      <c r="L429" s="1509"/>
      <c r="M429" s="1509"/>
      <c r="N429" s="1509"/>
    </row>
    <row r="430" spans="1:14" hidden="1">
      <c r="A430" s="1824"/>
      <c r="B430" s="777" t="s">
        <v>2386</v>
      </c>
      <c r="C430" s="776">
        <v>0.17</v>
      </c>
      <c r="D430" s="200"/>
      <c r="E430" s="376"/>
      <c r="F430" s="376"/>
      <c r="G430" s="376">
        <v>5</v>
      </c>
      <c r="H430" s="475">
        <f>C430*G430</f>
        <v>0.85000000000000009</v>
      </c>
      <c r="I430" s="1509"/>
      <c r="J430" s="1509"/>
      <c r="K430" s="1509"/>
      <c r="L430" s="1509"/>
      <c r="M430" s="1509"/>
      <c r="N430" s="1509"/>
    </row>
    <row r="431" spans="1:14" hidden="1">
      <c r="A431" s="1824"/>
      <c r="B431" s="777" t="s">
        <v>2262</v>
      </c>
      <c r="C431" s="778">
        <v>0.12</v>
      </c>
      <c r="D431" s="200"/>
      <c r="E431" s="376"/>
      <c r="F431" s="376"/>
      <c r="G431" s="376">
        <v>1</v>
      </c>
      <c r="H431" s="475">
        <f>C431*G431</f>
        <v>0.12</v>
      </c>
      <c r="I431" s="1509"/>
      <c r="J431" s="1509"/>
      <c r="K431" s="1509"/>
      <c r="L431" s="1509"/>
      <c r="M431" s="1509"/>
      <c r="N431" s="1509"/>
    </row>
    <row r="432" spans="1:14" hidden="1">
      <c r="A432" s="1824"/>
      <c r="B432" s="777" t="s">
        <v>2387</v>
      </c>
      <c r="C432" s="776">
        <v>0.12</v>
      </c>
      <c r="D432" s="200"/>
      <c r="E432" s="376"/>
      <c r="F432" s="376"/>
      <c r="G432" s="376">
        <v>1</v>
      </c>
      <c r="H432" s="475">
        <f>C432*G432</f>
        <v>0.12</v>
      </c>
      <c r="I432" s="1509"/>
      <c r="J432" s="1509"/>
      <c r="K432" s="1509"/>
      <c r="L432" s="1509"/>
      <c r="M432" s="1509"/>
      <c r="N432" s="1509"/>
    </row>
    <row r="433" spans="1:14" hidden="1">
      <c r="A433" s="1824"/>
      <c r="B433" s="773" t="s">
        <v>2388</v>
      </c>
      <c r="C433" s="774"/>
      <c r="D433" s="200"/>
      <c r="E433" s="376"/>
      <c r="F433" s="376"/>
      <c r="G433" s="376"/>
      <c r="H433" s="475"/>
      <c r="I433" s="1509"/>
      <c r="J433" s="1509"/>
      <c r="K433" s="1509"/>
      <c r="L433" s="1509"/>
      <c r="M433" s="1509"/>
      <c r="N433" s="1509"/>
    </row>
    <row r="434" spans="1:14" hidden="1">
      <c r="A434" s="1824"/>
      <c r="B434" s="775" t="s">
        <v>2389</v>
      </c>
      <c r="C434" s="776">
        <v>0.23</v>
      </c>
      <c r="D434" s="200"/>
      <c r="E434" s="376"/>
      <c r="F434" s="376"/>
      <c r="G434" s="376">
        <v>1</v>
      </c>
      <c r="H434" s="475">
        <f t="shared" ref="H434:H439" si="12">C434*G434</f>
        <v>0.23</v>
      </c>
      <c r="I434" s="1509"/>
      <c r="J434" s="1509"/>
      <c r="K434" s="1509"/>
      <c r="L434" s="1509"/>
      <c r="M434" s="1509"/>
      <c r="N434" s="1509"/>
    </row>
    <row r="435" spans="1:14" hidden="1">
      <c r="A435" s="1824"/>
      <c r="B435" s="775" t="s">
        <v>2390</v>
      </c>
      <c r="C435" s="778">
        <v>0.06</v>
      </c>
      <c r="D435" s="200"/>
      <c r="E435" s="376"/>
      <c r="F435" s="376"/>
      <c r="G435" s="376">
        <v>2</v>
      </c>
      <c r="H435" s="475">
        <f t="shared" si="12"/>
        <v>0.12</v>
      </c>
      <c r="I435" s="1509"/>
      <c r="J435" s="1509"/>
      <c r="K435" s="1509"/>
      <c r="L435" s="1509"/>
      <c r="M435" s="1509"/>
      <c r="N435" s="1509"/>
    </row>
    <row r="436" spans="1:14" hidden="1">
      <c r="A436" s="1824"/>
      <c r="B436" s="775" t="s">
        <v>2391</v>
      </c>
      <c r="C436" s="776">
        <v>0.08</v>
      </c>
      <c r="D436" s="200"/>
      <c r="E436" s="376"/>
      <c r="F436" s="376"/>
      <c r="G436" s="376">
        <v>9</v>
      </c>
      <c r="H436" s="475">
        <f t="shared" si="12"/>
        <v>0.72</v>
      </c>
      <c r="I436" s="1509"/>
      <c r="J436" s="1509"/>
      <c r="K436" s="1509"/>
      <c r="L436" s="1509"/>
      <c r="M436" s="1509"/>
      <c r="N436" s="1509"/>
    </row>
    <row r="437" spans="1:14" hidden="1">
      <c r="A437" s="1824"/>
      <c r="B437" s="775" t="s">
        <v>2392</v>
      </c>
      <c r="C437" s="778">
        <v>0.08</v>
      </c>
      <c r="D437" s="200"/>
      <c r="E437" s="376"/>
      <c r="F437" s="376"/>
      <c r="G437" s="376">
        <v>9</v>
      </c>
      <c r="H437" s="475">
        <f t="shared" si="12"/>
        <v>0.72</v>
      </c>
      <c r="I437" s="1509"/>
      <c r="J437" s="1509"/>
      <c r="K437" s="1509"/>
      <c r="L437" s="1509"/>
      <c r="M437" s="1509"/>
      <c r="N437" s="1509"/>
    </row>
    <row r="438" spans="1:14" hidden="1">
      <c r="A438" s="1824"/>
      <c r="B438" s="775" t="s">
        <v>2393</v>
      </c>
      <c r="C438" s="776">
        <v>0.09</v>
      </c>
      <c r="D438" s="200"/>
      <c r="E438" s="376"/>
      <c r="F438" s="376"/>
      <c r="G438" s="376">
        <v>1</v>
      </c>
      <c r="H438" s="475">
        <f t="shared" si="12"/>
        <v>0.09</v>
      </c>
      <c r="I438" s="1509"/>
      <c r="J438" s="1509"/>
      <c r="K438" s="1509"/>
      <c r="L438" s="1509"/>
      <c r="M438" s="1509"/>
      <c r="N438" s="1509"/>
    </row>
    <row r="439" spans="1:14" hidden="1">
      <c r="A439" s="1824"/>
      <c r="B439" s="775" t="s">
        <v>2394</v>
      </c>
      <c r="C439" s="776">
        <v>0.1</v>
      </c>
      <c r="D439" s="200"/>
      <c r="E439" s="376"/>
      <c r="F439" s="376"/>
      <c r="G439" s="376">
        <v>1</v>
      </c>
      <c r="H439" s="475">
        <f t="shared" si="12"/>
        <v>0.1</v>
      </c>
      <c r="I439" s="1509"/>
      <c r="J439" s="1509"/>
      <c r="K439" s="1509"/>
      <c r="L439" s="1509"/>
      <c r="M439" s="1509"/>
      <c r="N439" s="1509"/>
    </row>
    <row r="440" spans="1:14" hidden="1">
      <c r="A440" s="1824"/>
      <c r="B440" s="1826"/>
      <c r="C440" s="1826"/>
      <c r="D440" s="200"/>
      <c r="E440" s="376"/>
      <c r="F440" s="376"/>
      <c r="G440" s="376"/>
      <c r="H440" s="475"/>
      <c r="I440" s="1509"/>
      <c r="J440" s="1509"/>
      <c r="K440" s="1509"/>
      <c r="L440" s="1509"/>
      <c r="M440" s="1509"/>
      <c r="N440" s="1509"/>
    </row>
    <row r="441" spans="1:14" hidden="1">
      <c r="A441" s="1824"/>
      <c r="B441" s="1825" t="s">
        <v>2200</v>
      </c>
      <c r="C441" s="1825"/>
      <c r="D441" s="200"/>
      <c r="E441" s="376"/>
      <c r="F441" s="376"/>
      <c r="G441" s="376"/>
      <c r="H441" s="475"/>
      <c r="I441" s="1509"/>
      <c r="J441" s="1509"/>
      <c r="K441" s="1509"/>
      <c r="L441" s="1509"/>
      <c r="M441" s="1509"/>
      <c r="N441" s="1509"/>
    </row>
    <row r="442" spans="1:14" hidden="1">
      <c r="A442" s="1824"/>
      <c r="B442" s="773" t="s">
        <v>2385</v>
      </c>
      <c r="C442" s="774"/>
      <c r="D442" s="200"/>
      <c r="E442" s="376"/>
      <c r="F442" s="376"/>
      <c r="G442" s="376"/>
      <c r="H442" s="475"/>
      <c r="I442" s="1509"/>
      <c r="J442" s="1509"/>
      <c r="K442" s="1509"/>
      <c r="L442" s="1509"/>
      <c r="M442" s="1509"/>
      <c r="N442" s="1509"/>
    </row>
    <row r="443" spans="1:14" hidden="1">
      <c r="A443" s="1824"/>
      <c r="B443" s="775" t="s">
        <v>2395</v>
      </c>
      <c r="C443" s="776">
        <v>0.26</v>
      </c>
      <c r="D443" s="200"/>
      <c r="E443" s="376"/>
      <c r="F443" s="376"/>
      <c r="G443" s="375">
        <v>1</v>
      </c>
      <c r="H443" s="475">
        <f t="shared" ref="H443:H451" si="13">C443*G443</f>
        <v>0.26</v>
      </c>
      <c r="I443" s="1509"/>
      <c r="J443" s="1509"/>
      <c r="K443" s="1509"/>
      <c r="L443" s="1509"/>
      <c r="M443" s="1509"/>
      <c r="N443" s="1509"/>
    </row>
    <row r="444" spans="1:14" hidden="1">
      <c r="A444" s="1824"/>
      <c r="B444" s="775" t="s">
        <v>2252</v>
      </c>
      <c r="C444" s="778">
        <v>0.34</v>
      </c>
      <c r="D444" s="200"/>
      <c r="E444" s="376"/>
      <c r="F444" s="376"/>
      <c r="G444" s="375">
        <v>2</v>
      </c>
      <c r="H444" s="475">
        <f t="shared" si="13"/>
        <v>0.68</v>
      </c>
      <c r="I444" s="1509"/>
      <c r="J444" s="1509"/>
      <c r="K444" s="1509"/>
      <c r="L444" s="1509"/>
      <c r="M444" s="1509"/>
      <c r="N444" s="1509"/>
    </row>
    <row r="445" spans="1:14" hidden="1">
      <c r="A445" s="1824"/>
      <c r="B445" s="775" t="s">
        <v>2396</v>
      </c>
      <c r="C445" s="776">
        <v>1.94</v>
      </c>
      <c r="D445" s="200"/>
      <c r="E445" s="376"/>
      <c r="F445" s="376"/>
      <c r="G445" s="375">
        <v>2</v>
      </c>
      <c r="H445" s="475">
        <f t="shared" si="13"/>
        <v>3.88</v>
      </c>
      <c r="I445" s="1509"/>
      <c r="J445" s="1509"/>
      <c r="K445" s="1509"/>
      <c r="L445" s="1509"/>
      <c r="M445" s="1509"/>
      <c r="N445" s="1509"/>
    </row>
    <row r="446" spans="1:14" hidden="1">
      <c r="A446" s="1824"/>
      <c r="B446" s="777" t="s">
        <v>2386</v>
      </c>
      <c r="C446" s="778">
        <v>0.09</v>
      </c>
      <c r="D446" s="200"/>
      <c r="E446" s="376"/>
      <c r="F446" s="376"/>
      <c r="G446" s="375">
        <v>1</v>
      </c>
      <c r="H446" s="475">
        <f t="shared" si="13"/>
        <v>0.09</v>
      </c>
      <c r="I446" s="1509"/>
      <c r="J446" s="1509"/>
      <c r="K446" s="1509"/>
      <c r="L446" s="1509"/>
      <c r="M446" s="1509"/>
      <c r="N446" s="1509"/>
    </row>
    <row r="447" spans="1:14" hidden="1">
      <c r="A447" s="1824"/>
      <c r="B447" s="777" t="s">
        <v>2386</v>
      </c>
      <c r="C447" s="776">
        <v>0.17</v>
      </c>
      <c r="D447" s="200"/>
      <c r="E447" s="376"/>
      <c r="F447" s="376"/>
      <c r="G447" s="375">
        <v>8</v>
      </c>
      <c r="H447" s="475">
        <f t="shared" si="13"/>
        <v>1.36</v>
      </c>
      <c r="I447" s="1509"/>
      <c r="J447" s="1509"/>
      <c r="K447" s="1509"/>
      <c r="L447" s="1509"/>
      <c r="M447" s="1509"/>
      <c r="N447" s="1509"/>
    </row>
    <row r="448" spans="1:14" hidden="1">
      <c r="A448" s="1824"/>
      <c r="B448" s="777" t="s">
        <v>2397</v>
      </c>
      <c r="C448" s="778">
        <v>0.22</v>
      </c>
      <c r="D448" s="200"/>
      <c r="E448" s="376"/>
      <c r="F448" s="376"/>
      <c r="G448" s="375">
        <v>1</v>
      </c>
      <c r="H448" s="475">
        <f t="shared" si="13"/>
        <v>0.22</v>
      </c>
      <c r="I448" s="1509"/>
      <c r="J448" s="1509"/>
      <c r="K448" s="1509"/>
      <c r="L448" s="1509"/>
      <c r="M448" s="1509"/>
      <c r="N448" s="1509"/>
    </row>
    <row r="449" spans="1:14" hidden="1">
      <c r="A449" s="1824"/>
      <c r="B449" s="777" t="s">
        <v>2397</v>
      </c>
      <c r="C449" s="776">
        <v>0.14000000000000001</v>
      </c>
      <c r="D449" s="200"/>
      <c r="E449" s="376"/>
      <c r="F449" s="376"/>
      <c r="G449" s="375">
        <v>8</v>
      </c>
      <c r="H449" s="475">
        <f t="shared" si="13"/>
        <v>1.1200000000000001</v>
      </c>
      <c r="I449" s="1509"/>
      <c r="J449" s="1509"/>
      <c r="K449" s="1509"/>
      <c r="L449" s="1509"/>
      <c r="M449" s="1509"/>
      <c r="N449" s="1509"/>
    </row>
    <row r="450" spans="1:14" hidden="1">
      <c r="A450" s="1824"/>
      <c r="B450" s="777" t="s">
        <v>2398</v>
      </c>
      <c r="C450" s="778">
        <v>0.14000000000000001</v>
      </c>
      <c r="D450" s="200"/>
      <c r="E450" s="376"/>
      <c r="F450" s="376"/>
      <c r="G450" s="375">
        <v>1</v>
      </c>
      <c r="H450" s="475">
        <f t="shared" si="13"/>
        <v>0.14000000000000001</v>
      </c>
      <c r="I450" s="1509"/>
      <c r="J450" s="1509"/>
      <c r="K450" s="1509"/>
      <c r="L450" s="1509"/>
      <c r="M450" s="1509"/>
      <c r="N450" s="1509"/>
    </row>
    <row r="451" spans="1:14" hidden="1">
      <c r="A451" s="1824"/>
      <c r="B451" s="777" t="s">
        <v>2262</v>
      </c>
      <c r="C451" s="776">
        <v>0.12</v>
      </c>
      <c r="D451" s="200"/>
      <c r="E451" s="376"/>
      <c r="F451" s="376"/>
      <c r="G451" s="375">
        <v>9</v>
      </c>
      <c r="H451" s="475">
        <f t="shared" si="13"/>
        <v>1.08</v>
      </c>
      <c r="I451" s="1509"/>
      <c r="J451" s="1509"/>
      <c r="K451" s="1509"/>
      <c r="L451" s="1509"/>
      <c r="M451" s="1509"/>
      <c r="N451" s="1509"/>
    </row>
    <row r="452" spans="1:14" hidden="1">
      <c r="A452" s="1824"/>
      <c r="B452" s="773" t="s">
        <v>2388</v>
      </c>
      <c r="C452" s="776"/>
      <c r="D452" s="200"/>
      <c r="E452" s="376"/>
      <c r="F452" s="376"/>
      <c r="G452" s="376"/>
      <c r="H452" s="475"/>
      <c r="I452" s="1509"/>
      <c r="J452" s="1509"/>
      <c r="K452" s="1509"/>
      <c r="L452" s="1509"/>
      <c r="M452" s="1509"/>
      <c r="N452" s="1509"/>
    </row>
    <row r="453" spans="1:14" hidden="1">
      <c r="A453" s="1824"/>
      <c r="B453" s="775" t="s">
        <v>2390</v>
      </c>
      <c r="C453" s="778">
        <v>0.1</v>
      </c>
      <c r="D453" s="200"/>
      <c r="E453" s="376"/>
      <c r="F453" s="376"/>
      <c r="G453" s="376">
        <v>3</v>
      </c>
      <c r="H453" s="475">
        <f>C453*G453</f>
        <v>0.30000000000000004</v>
      </c>
      <c r="I453" s="1509"/>
      <c r="J453" s="1509"/>
      <c r="K453" s="1509"/>
      <c r="L453" s="1509"/>
      <c r="M453" s="1509"/>
      <c r="N453" s="1509"/>
    </row>
    <row r="454" spans="1:14" hidden="1">
      <c r="A454" s="1824"/>
      <c r="B454" s="775" t="s">
        <v>2391</v>
      </c>
      <c r="C454" s="776">
        <v>0.08</v>
      </c>
      <c r="D454" s="200"/>
      <c r="E454" s="376"/>
      <c r="F454" s="376"/>
      <c r="G454" s="376">
        <v>15</v>
      </c>
      <c r="H454" s="475">
        <f>C454*G454</f>
        <v>1.2</v>
      </c>
      <c r="I454" s="1509"/>
      <c r="J454" s="1509"/>
      <c r="K454" s="1509"/>
      <c r="L454" s="1509"/>
      <c r="M454" s="1509"/>
      <c r="N454" s="1509"/>
    </row>
    <row r="455" spans="1:14" hidden="1">
      <c r="A455" s="1824"/>
      <c r="B455" s="775" t="s">
        <v>2393</v>
      </c>
      <c r="C455" s="778">
        <v>0.09</v>
      </c>
      <c r="D455" s="200"/>
      <c r="E455" s="376"/>
      <c r="F455" s="376"/>
      <c r="G455" s="376">
        <v>3</v>
      </c>
      <c r="H455" s="475">
        <f>C455*G455</f>
        <v>0.27</v>
      </c>
      <c r="I455" s="1509"/>
      <c r="J455" s="1509"/>
      <c r="K455" s="1509"/>
      <c r="L455" s="1509"/>
      <c r="M455" s="1509"/>
      <c r="N455" s="1509"/>
    </row>
    <row r="456" spans="1:14" hidden="1">
      <c r="A456" s="1824"/>
      <c r="B456" s="775" t="s">
        <v>2394</v>
      </c>
      <c r="C456" s="776">
        <v>0.1</v>
      </c>
      <c r="D456" s="200"/>
      <c r="E456" s="376"/>
      <c r="F456" s="376"/>
      <c r="G456" s="376">
        <v>1</v>
      </c>
      <c r="H456" s="475">
        <f>C456*G456</f>
        <v>0.1</v>
      </c>
      <c r="I456" s="1509"/>
      <c r="J456" s="1509"/>
      <c r="K456" s="1509"/>
      <c r="L456" s="1509"/>
      <c r="M456" s="1509"/>
      <c r="N456" s="1509"/>
    </row>
    <row r="457" spans="1:14" hidden="1">
      <c r="A457" s="1824"/>
      <c r="B457" s="773" t="s">
        <v>2399</v>
      </c>
      <c r="C457" s="776"/>
      <c r="D457" s="200"/>
      <c r="E457" s="376"/>
      <c r="F457" s="376"/>
      <c r="G457" s="376"/>
      <c r="H457" s="475"/>
      <c r="I457" s="1509"/>
      <c r="J457" s="1509"/>
      <c r="K457" s="1509"/>
      <c r="L457" s="1509"/>
      <c r="M457" s="1509"/>
      <c r="N457" s="1509"/>
    </row>
    <row r="458" spans="1:14" hidden="1">
      <c r="A458" s="1824"/>
      <c r="B458" s="779"/>
      <c r="C458" s="780">
        <v>8.9</v>
      </c>
      <c r="D458" s="200"/>
      <c r="E458" s="376"/>
      <c r="F458" s="376"/>
      <c r="G458" s="376">
        <v>1</v>
      </c>
      <c r="H458" s="475">
        <f>C458*G458</f>
        <v>8.9</v>
      </c>
      <c r="I458" s="1509"/>
      <c r="J458" s="1509"/>
      <c r="K458" s="1509"/>
      <c r="L458" s="1509"/>
      <c r="M458" s="1509"/>
      <c r="N458" s="1509"/>
    </row>
    <row r="459" spans="1:14" hidden="1">
      <c r="A459" s="1824"/>
      <c r="B459" s="1825" t="s">
        <v>2400</v>
      </c>
      <c r="C459" s="1825"/>
      <c r="D459" s="200"/>
      <c r="E459" s="376"/>
      <c r="F459" s="376"/>
      <c r="G459" s="376"/>
      <c r="H459" s="475"/>
      <c r="I459" s="1509"/>
      <c r="J459" s="1509"/>
      <c r="K459" s="1509"/>
      <c r="L459" s="1509"/>
      <c r="M459" s="1509"/>
      <c r="N459" s="1509"/>
    </row>
    <row r="460" spans="1:14" hidden="1">
      <c r="A460" s="1824"/>
      <c r="B460" s="773" t="s">
        <v>2399</v>
      </c>
      <c r="C460" s="779"/>
      <c r="D460" s="200"/>
      <c r="E460" s="376"/>
      <c r="F460" s="376"/>
      <c r="G460" s="376"/>
      <c r="H460" s="475"/>
      <c r="I460" s="1509"/>
      <c r="J460" s="1509"/>
      <c r="K460" s="1509"/>
      <c r="L460" s="1509"/>
      <c r="M460" s="1509"/>
      <c r="N460" s="1509"/>
    </row>
    <row r="461" spans="1:14" hidden="1">
      <c r="A461" s="1824"/>
      <c r="B461" s="779"/>
      <c r="C461" s="780">
        <v>13.82</v>
      </c>
      <c r="D461" s="200"/>
      <c r="E461" s="376"/>
      <c r="F461" s="376"/>
      <c r="G461" s="376">
        <v>1</v>
      </c>
      <c r="H461" s="475">
        <f>C461*G461</f>
        <v>13.82</v>
      </c>
      <c r="I461" s="1509"/>
      <c r="J461" s="1509"/>
      <c r="K461" s="1509"/>
      <c r="L461" s="1509"/>
      <c r="M461" s="1509"/>
      <c r="N461" s="1509"/>
    </row>
    <row r="462" spans="1:14" hidden="1">
      <c r="A462" s="1824"/>
      <c r="B462" s="779"/>
      <c r="C462" s="779"/>
      <c r="D462" s="200"/>
      <c r="E462" s="376"/>
      <c r="F462" s="376"/>
      <c r="G462" s="376"/>
      <c r="H462" s="475"/>
      <c r="I462" s="1509"/>
      <c r="J462" s="1509"/>
      <c r="K462" s="1509"/>
      <c r="L462" s="1509"/>
      <c r="M462" s="1509"/>
      <c r="N462" s="1509"/>
    </row>
    <row r="463" spans="1:14" hidden="1">
      <c r="A463" s="1823" t="s">
        <v>2218</v>
      </c>
      <c r="B463" s="1823"/>
      <c r="C463" s="1823"/>
      <c r="D463" s="1823"/>
      <c r="E463" s="1823"/>
      <c r="F463" s="1823"/>
      <c r="G463" s="1823"/>
      <c r="H463" s="766">
        <f>SUM(H423:H462)</f>
        <v>114.02000000000004</v>
      </c>
      <c r="I463" s="1509"/>
      <c r="J463" s="1509"/>
      <c r="K463" s="1509"/>
      <c r="L463" s="1509"/>
      <c r="M463" s="1509"/>
      <c r="N463" s="1509"/>
    </row>
    <row r="464" spans="1:14" hidden="1">
      <c r="A464" s="1650" t="s">
        <v>2219</v>
      </c>
      <c r="B464" s="1650"/>
      <c r="C464" s="1650"/>
      <c r="D464" s="1650"/>
      <c r="E464" s="1650"/>
      <c r="F464" s="1650"/>
      <c r="G464" s="1650"/>
      <c r="H464" s="767">
        <v>0</v>
      </c>
      <c r="I464" s="1509"/>
      <c r="J464" s="1509"/>
      <c r="K464" s="1509"/>
      <c r="L464" s="1509"/>
      <c r="M464" s="1509"/>
      <c r="N464" s="1509"/>
    </row>
    <row r="465" spans="1:14" hidden="1">
      <c r="A465" s="1650" t="s">
        <v>2220</v>
      </c>
      <c r="B465" s="1650"/>
      <c r="C465" s="1650"/>
      <c r="D465" s="1650"/>
      <c r="E465" s="1650"/>
      <c r="F465" s="1650"/>
      <c r="G465" s="1650"/>
      <c r="H465" s="217">
        <f>H463-H464</f>
        <v>114.02000000000004</v>
      </c>
      <c r="I465" s="1509"/>
      <c r="J465" s="1509"/>
      <c r="K465" s="1509"/>
      <c r="L465" s="1509"/>
      <c r="M465" s="1509"/>
      <c r="N465" s="1509"/>
    </row>
    <row r="466" spans="1:14" hidden="1">
      <c r="A466" s="1797"/>
      <c r="B466" s="1797"/>
      <c r="C466" s="1797"/>
      <c r="D466" s="1797"/>
      <c r="E466" s="1797"/>
      <c r="F466" s="1797"/>
      <c r="G466" s="1797"/>
      <c r="H466" s="1797"/>
      <c r="I466" s="1797"/>
      <c r="J466" s="1797"/>
      <c r="K466" s="1797"/>
      <c r="L466" s="1797"/>
      <c r="M466" s="1797"/>
      <c r="N466" s="1797"/>
    </row>
    <row r="467" spans="1:14" hidden="1">
      <c r="A467" s="1080" t="s">
        <v>2401</v>
      </c>
      <c r="B467" s="1821" t="s">
        <v>480</v>
      </c>
      <c r="C467" s="1821"/>
      <c r="D467" s="1821"/>
      <c r="E467" s="1821"/>
      <c r="F467" s="1821"/>
      <c r="G467" s="1821"/>
      <c r="H467" s="1821"/>
      <c r="I467" s="1821"/>
      <c r="J467" s="1821"/>
      <c r="K467" s="761" t="s">
        <v>2222</v>
      </c>
      <c r="L467" s="1822">
        <v>406.93</v>
      </c>
      <c r="M467" s="1822"/>
      <c r="N467" s="762">
        <f>L467-H510</f>
        <v>0</v>
      </c>
    </row>
    <row r="468" spans="1:14" hidden="1">
      <c r="A468" s="1797"/>
      <c r="B468" s="1797"/>
      <c r="C468" s="772"/>
      <c r="D468" s="281" t="s">
        <v>2183</v>
      </c>
      <c r="E468" s="631" t="s">
        <v>2184</v>
      </c>
      <c r="F468" s="281" t="s">
        <v>2185</v>
      </c>
      <c r="G468" s="281" t="s">
        <v>2186</v>
      </c>
      <c r="H468" s="1823" t="s">
        <v>476</v>
      </c>
      <c r="I468" s="1509"/>
      <c r="J468" s="1509"/>
      <c r="K468" s="1509"/>
      <c r="L468" s="1509"/>
      <c r="M468" s="1509"/>
      <c r="N468" s="1509"/>
    </row>
    <row r="469" spans="1:14" hidden="1">
      <c r="A469" s="1797"/>
      <c r="B469" s="1797"/>
      <c r="C469" s="555" t="s">
        <v>2382</v>
      </c>
      <c r="D469" s="375" t="s">
        <v>2187</v>
      </c>
      <c r="E469" s="1312" t="s">
        <v>2188</v>
      </c>
      <c r="F469" s="375" t="s">
        <v>2189</v>
      </c>
      <c r="G469" s="375" t="s">
        <v>2190</v>
      </c>
      <c r="H469" s="1823"/>
      <c r="I469" s="1509"/>
      <c r="J469" s="1509"/>
      <c r="K469" s="1509"/>
      <c r="L469" s="1509"/>
      <c r="M469" s="1509"/>
      <c r="N469" s="1509"/>
    </row>
    <row r="470" spans="1:14" hidden="1">
      <c r="A470" s="1824" t="s">
        <v>2238</v>
      </c>
      <c r="B470" s="1825" t="s">
        <v>2192</v>
      </c>
      <c r="C470" s="1825"/>
      <c r="D470" s="200"/>
      <c r="E470" s="376"/>
      <c r="F470" s="376"/>
      <c r="G470" s="376"/>
      <c r="H470" s="475"/>
      <c r="I470" s="1509"/>
      <c r="J470" s="1509"/>
      <c r="K470" s="1509"/>
      <c r="L470" s="1509"/>
      <c r="M470" s="1509"/>
      <c r="N470" s="1509"/>
    </row>
    <row r="471" spans="1:14" hidden="1">
      <c r="A471" s="1824"/>
      <c r="B471" s="781" t="s">
        <v>2229</v>
      </c>
      <c r="C471" s="782">
        <v>12.64</v>
      </c>
      <c r="D471" s="200"/>
      <c r="E471" s="376"/>
      <c r="F471" s="376"/>
      <c r="G471" s="376"/>
      <c r="H471" s="475">
        <f t="shared" ref="H471:H487" si="14">C471</f>
        <v>12.64</v>
      </c>
      <c r="I471" s="1509"/>
      <c r="J471" s="1509"/>
      <c r="K471" s="1509"/>
      <c r="L471" s="1509"/>
      <c r="M471" s="1509"/>
      <c r="N471" s="1509"/>
    </row>
    <row r="472" spans="1:14" hidden="1">
      <c r="A472" s="1824"/>
      <c r="B472" s="781" t="s">
        <v>2402</v>
      </c>
      <c r="C472" s="782">
        <v>7.42</v>
      </c>
      <c r="D472" s="200"/>
      <c r="E472" s="376"/>
      <c r="F472" s="376"/>
      <c r="G472" s="376"/>
      <c r="H472" s="475">
        <f t="shared" si="14"/>
        <v>7.42</v>
      </c>
      <c r="I472" s="1509"/>
      <c r="J472" s="1509"/>
      <c r="K472" s="1509"/>
      <c r="L472" s="1509"/>
      <c r="M472" s="1509"/>
      <c r="N472" s="1509"/>
    </row>
    <row r="473" spans="1:14" hidden="1">
      <c r="A473" s="1824"/>
      <c r="B473" s="781" t="s">
        <v>2403</v>
      </c>
      <c r="C473" s="782">
        <v>4.0999999999999996</v>
      </c>
      <c r="D473" s="200"/>
      <c r="E473" s="376"/>
      <c r="F473" s="376"/>
      <c r="G473" s="376"/>
      <c r="H473" s="475">
        <f t="shared" si="14"/>
        <v>4.0999999999999996</v>
      </c>
      <c r="I473" s="1509"/>
      <c r="J473" s="1509"/>
      <c r="K473" s="1509"/>
      <c r="L473" s="1509"/>
      <c r="M473" s="1509"/>
      <c r="N473" s="1509"/>
    </row>
    <row r="474" spans="1:14" hidden="1">
      <c r="A474" s="1824"/>
      <c r="B474" s="781" t="s">
        <v>2227</v>
      </c>
      <c r="C474" s="782">
        <v>2.56</v>
      </c>
      <c r="D474" s="200"/>
      <c r="E474" s="376"/>
      <c r="F474" s="376"/>
      <c r="G474" s="376"/>
      <c r="H474" s="475">
        <f t="shared" si="14"/>
        <v>2.56</v>
      </c>
      <c r="I474" s="1509"/>
      <c r="J474" s="1509"/>
      <c r="K474" s="1509"/>
      <c r="L474" s="1509"/>
      <c r="M474" s="1509"/>
      <c r="N474" s="1509"/>
    </row>
    <row r="475" spans="1:14" hidden="1">
      <c r="A475" s="1824"/>
      <c r="B475" s="781" t="s">
        <v>2228</v>
      </c>
      <c r="C475" s="782">
        <v>2.63</v>
      </c>
      <c r="D475" s="200"/>
      <c r="E475" s="376"/>
      <c r="F475" s="376"/>
      <c r="G475" s="376"/>
      <c r="H475" s="475">
        <f t="shared" si="14"/>
        <v>2.63</v>
      </c>
      <c r="I475" s="1509"/>
      <c r="J475" s="1509"/>
      <c r="K475" s="1509"/>
      <c r="L475" s="1509"/>
      <c r="M475" s="1509"/>
      <c r="N475" s="1509"/>
    </row>
    <row r="476" spans="1:14" hidden="1">
      <c r="A476" s="1824"/>
      <c r="B476" s="781" t="s">
        <v>2404</v>
      </c>
      <c r="C476" s="782">
        <v>35.28</v>
      </c>
      <c r="D476" s="200"/>
      <c r="E476" s="376"/>
      <c r="F476" s="376"/>
      <c r="G476" s="376"/>
      <c r="H476" s="475">
        <f t="shared" si="14"/>
        <v>35.28</v>
      </c>
      <c r="I476" s="1509"/>
      <c r="J476" s="1509"/>
      <c r="K476" s="1509"/>
      <c r="L476" s="1509"/>
      <c r="M476" s="1509"/>
      <c r="N476" s="1509"/>
    </row>
    <row r="477" spans="1:14" hidden="1">
      <c r="A477" s="1824"/>
      <c r="B477" s="781" t="s">
        <v>2405</v>
      </c>
      <c r="C477" s="782">
        <v>5.14</v>
      </c>
      <c r="D477" s="200"/>
      <c r="E477" s="376"/>
      <c r="F477" s="376"/>
      <c r="G477" s="376"/>
      <c r="H477" s="475">
        <f t="shared" si="14"/>
        <v>5.14</v>
      </c>
      <c r="I477" s="1509"/>
      <c r="J477" s="1509"/>
      <c r="K477" s="1509"/>
      <c r="L477" s="1509"/>
      <c r="M477" s="1509"/>
      <c r="N477" s="1509"/>
    </row>
    <row r="478" spans="1:14" hidden="1">
      <c r="A478" s="1824"/>
      <c r="B478" s="781" t="s">
        <v>2336</v>
      </c>
      <c r="C478" s="782">
        <v>9.85</v>
      </c>
      <c r="D478" s="200"/>
      <c r="E478" s="376"/>
      <c r="F478" s="376"/>
      <c r="G478" s="376"/>
      <c r="H478" s="475">
        <f t="shared" si="14"/>
        <v>9.85</v>
      </c>
      <c r="I478" s="1509"/>
      <c r="J478" s="1509"/>
      <c r="K478" s="1509"/>
      <c r="L478" s="1509"/>
      <c r="M478" s="1509"/>
      <c r="N478" s="1509"/>
    </row>
    <row r="479" spans="1:14" hidden="1">
      <c r="A479" s="1824"/>
      <c r="B479" s="781" t="s">
        <v>2193</v>
      </c>
      <c r="C479" s="782">
        <v>9.93</v>
      </c>
      <c r="D479" s="200"/>
      <c r="E479" s="376"/>
      <c r="F479" s="376"/>
      <c r="G479" s="376"/>
      <c r="H479" s="475">
        <f t="shared" si="14"/>
        <v>9.93</v>
      </c>
      <c r="I479" s="1509"/>
      <c r="J479" s="1509"/>
      <c r="K479" s="1509"/>
      <c r="L479" s="1509"/>
      <c r="M479" s="1509"/>
      <c r="N479" s="1509"/>
    </row>
    <row r="480" spans="1:14" hidden="1">
      <c r="A480" s="1824"/>
      <c r="B480" s="781" t="s">
        <v>2406</v>
      </c>
      <c r="C480" s="782">
        <v>5.26</v>
      </c>
      <c r="D480" s="200"/>
      <c r="E480" s="376"/>
      <c r="F480" s="376"/>
      <c r="G480" s="376"/>
      <c r="H480" s="475">
        <f t="shared" si="14"/>
        <v>5.26</v>
      </c>
      <c r="I480" s="1509"/>
      <c r="J480" s="1509"/>
      <c r="K480" s="1509"/>
      <c r="L480" s="1509"/>
      <c r="M480" s="1509"/>
      <c r="N480" s="1509"/>
    </row>
    <row r="481" spans="1:14" hidden="1">
      <c r="A481" s="1824"/>
      <c r="B481" s="781" t="s">
        <v>2337</v>
      </c>
      <c r="C481" s="782">
        <v>4.38</v>
      </c>
      <c r="D481" s="200"/>
      <c r="E481" s="376"/>
      <c r="F481" s="376"/>
      <c r="G481" s="376"/>
      <c r="H481" s="475">
        <f t="shared" si="14"/>
        <v>4.38</v>
      </c>
      <c r="I481" s="1509"/>
      <c r="J481" s="1509"/>
      <c r="K481" s="1509"/>
      <c r="L481" s="1509"/>
      <c r="M481" s="1509"/>
      <c r="N481" s="1509"/>
    </row>
    <row r="482" spans="1:14" hidden="1">
      <c r="A482" s="1824"/>
      <c r="B482" s="781" t="s">
        <v>2407</v>
      </c>
      <c r="C482" s="782">
        <v>5.28</v>
      </c>
      <c r="D482" s="200"/>
      <c r="E482" s="376"/>
      <c r="F482" s="376"/>
      <c r="G482" s="376"/>
      <c r="H482" s="475">
        <f t="shared" si="14"/>
        <v>5.28</v>
      </c>
      <c r="I482" s="1509"/>
      <c r="J482" s="1509"/>
      <c r="K482" s="1509"/>
      <c r="L482" s="1509"/>
      <c r="M482" s="1509"/>
      <c r="N482" s="1509"/>
    </row>
    <row r="483" spans="1:14" hidden="1">
      <c r="A483" s="1824"/>
      <c r="B483" s="781" t="s">
        <v>2408</v>
      </c>
      <c r="C483" s="782">
        <v>15</v>
      </c>
      <c r="D483" s="200"/>
      <c r="E483" s="376"/>
      <c r="F483" s="376"/>
      <c r="G483" s="376"/>
      <c r="H483" s="475">
        <f t="shared" si="14"/>
        <v>15</v>
      </c>
      <c r="I483" s="1509"/>
      <c r="J483" s="1509"/>
      <c r="K483" s="1509"/>
      <c r="L483" s="1509"/>
      <c r="M483" s="1509"/>
      <c r="N483" s="1509"/>
    </row>
    <row r="484" spans="1:14" hidden="1">
      <c r="A484" s="1824"/>
      <c r="B484" s="781" t="s">
        <v>2233</v>
      </c>
      <c r="C484" s="782">
        <v>15.64</v>
      </c>
      <c r="D484" s="200"/>
      <c r="E484" s="376"/>
      <c r="F484" s="376"/>
      <c r="G484" s="376"/>
      <c r="H484" s="475">
        <f t="shared" si="14"/>
        <v>15.64</v>
      </c>
      <c r="I484" s="1509"/>
      <c r="J484" s="1509"/>
      <c r="K484" s="1509"/>
      <c r="L484" s="1509"/>
      <c r="M484" s="1509"/>
      <c r="N484" s="1509"/>
    </row>
    <row r="485" spans="1:14" hidden="1">
      <c r="A485" s="1824"/>
      <c r="B485" s="781" t="s">
        <v>2232</v>
      </c>
      <c r="C485" s="782">
        <v>15.68</v>
      </c>
      <c r="D485" s="200"/>
      <c r="E485" s="376"/>
      <c r="F485" s="376"/>
      <c r="G485" s="376"/>
      <c r="H485" s="475">
        <f t="shared" si="14"/>
        <v>15.68</v>
      </c>
      <c r="I485" s="1509"/>
      <c r="J485" s="1509"/>
      <c r="K485" s="1509"/>
      <c r="L485" s="1509"/>
      <c r="M485" s="1509"/>
      <c r="N485" s="1509"/>
    </row>
    <row r="486" spans="1:14" hidden="1">
      <c r="A486" s="1824"/>
      <c r="B486" s="781" t="s">
        <v>2339</v>
      </c>
      <c r="C486" s="782">
        <v>4.12</v>
      </c>
      <c r="D486" s="200"/>
      <c r="E486" s="376"/>
      <c r="F486" s="376"/>
      <c r="G486" s="376"/>
      <c r="H486" s="475">
        <f t="shared" si="14"/>
        <v>4.12</v>
      </c>
      <c r="I486" s="1509"/>
      <c r="J486" s="1509"/>
      <c r="K486" s="1509"/>
      <c r="L486" s="1509"/>
      <c r="M486" s="1509"/>
      <c r="N486" s="1509"/>
    </row>
    <row r="487" spans="1:14" hidden="1">
      <c r="A487" s="1824"/>
      <c r="B487" s="781" t="s">
        <v>2338</v>
      </c>
      <c r="C487" s="782">
        <v>4.16</v>
      </c>
      <c r="D487" s="200"/>
      <c r="E487" s="376"/>
      <c r="F487" s="376"/>
      <c r="G487" s="376"/>
      <c r="H487" s="475">
        <f t="shared" si="14"/>
        <v>4.16</v>
      </c>
      <c r="I487" s="1509"/>
      <c r="J487" s="1509"/>
      <c r="K487" s="1509"/>
      <c r="L487" s="1509"/>
      <c r="M487" s="1509"/>
      <c r="N487" s="1509"/>
    </row>
    <row r="488" spans="1:14" hidden="1">
      <c r="A488" s="1824"/>
      <c r="B488" s="1825" t="s">
        <v>2200</v>
      </c>
      <c r="C488" s="1825"/>
      <c r="D488" s="200"/>
      <c r="E488" s="376"/>
      <c r="F488" s="376"/>
      <c r="G488" s="376"/>
      <c r="H488" s="475"/>
      <c r="I488" s="1509"/>
      <c r="J488" s="1509"/>
      <c r="K488" s="1509"/>
      <c r="L488" s="1509"/>
      <c r="M488" s="1509"/>
      <c r="N488" s="1509"/>
    </row>
    <row r="489" spans="1:14" hidden="1">
      <c r="A489" s="1824"/>
      <c r="B489" s="781" t="s">
        <v>2409</v>
      </c>
      <c r="C489" s="782">
        <v>27.3</v>
      </c>
      <c r="D489" s="200"/>
      <c r="E489" s="376"/>
      <c r="F489" s="376"/>
      <c r="G489" s="376"/>
      <c r="H489" s="475">
        <f t="shared" ref="H489:H508" si="15">C489</f>
        <v>27.3</v>
      </c>
      <c r="I489" s="1509"/>
      <c r="J489" s="1509"/>
      <c r="K489" s="1509"/>
      <c r="L489" s="1509"/>
      <c r="M489" s="1509"/>
      <c r="N489" s="1509"/>
    </row>
    <row r="490" spans="1:14" hidden="1">
      <c r="A490" s="1824"/>
      <c r="B490" s="781" t="s">
        <v>2410</v>
      </c>
      <c r="C490" s="782">
        <v>19.61</v>
      </c>
      <c r="D490" s="200"/>
      <c r="E490" s="376"/>
      <c r="F490" s="376"/>
      <c r="G490" s="375"/>
      <c r="H490" s="475">
        <f t="shared" si="15"/>
        <v>19.61</v>
      </c>
      <c r="I490" s="1509"/>
      <c r="J490" s="1509"/>
      <c r="K490" s="1509"/>
      <c r="L490" s="1509"/>
      <c r="M490" s="1509"/>
      <c r="N490" s="1509"/>
    </row>
    <row r="491" spans="1:14" hidden="1">
      <c r="A491" s="1824"/>
      <c r="B491" s="781" t="s">
        <v>2411</v>
      </c>
      <c r="C491" s="782">
        <v>19.52</v>
      </c>
      <c r="D491" s="200"/>
      <c r="E491" s="376"/>
      <c r="F491" s="376"/>
      <c r="G491" s="375"/>
      <c r="H491" s="475">
        <f t="shared" si="15"/>
        <v>19.52</v>
      </c>
      <c r="I491" s="1509"/>
      <c r="J491" s="1509"/>
      <c r="K491" s="1509"/>
      <c r="L491" s="1509"/>
      <c r="M491" s="1509"/>
      <c r="N491" s="1509"/>
    </row>
    <row r="492" spans="1:14" hidden="1">
      <c r="A492" s="1824"/>
      <c r="B492" s="781" t="s">
        <v>2412</v>
      </c>
      <c r="C492" s="782">
        <v>19.350000000000001</v>
      </c>
      <c r="D492" s="200"/>
      <c r="E492" s="376"/>
      <c r="F492" s="376"/>
      <c r="G492" s="375"/>
      <c r="H492" s="475">
        <f t="shared" si="15"/>
        <v>19.350000000000001</v>
      </c>
      <c r="I492" s="1509"/>
      <c r="J492" s="1509"/>
      <c r="K492" s="1509"/>
      <c r="L492" s="1509"/>
      <c r="M492" s="1509"/>
      <c r="N492" s="1509"/>
    </row>
    <row r="493" spans="1:14" hidden="1">
      <c r="A493" s="1824"/>
      <c r="B493" s="781" t="s">
        <v>2413</v>
      </c>
      <c r="C493" s="782">
        <v>19.73</v>
      </c>
      <c r="D493" s="200"/>
      <c r="E493" s="376"/>
      <c r="F493" s="376"/>
      <c r="G493" s="375"/>
      <c r="H493" s="475">
        <f t="shared" si="15"/>
        <v>19.73</v>
      </c>
      <c r="I493" s="1509"/>
      <c r="J493" s="1509"/>
      <c r="K493" s="1509"/>
      <c r="L493" s="1509"/>
      <c r="M493" s="1509"/>
      <c r="N493" s="1509"/>
    </row>
    <row r="494" spans="1:14" hidden="1">
      <c r="A494" s="1824"/>
      <c r="B494" s="781" t="s">
        <v>2414</v>
      </c>
      <c r="C494" s="782">
        <v>18.899999999999999</v>
      </c>
      <c r="D494" s="200"/>
      <c r="E494" s="376"/>
      <c r="F494" s="376"/>
      <c r="G494" s="375"/>
      <c r="H494" s="475">
        <f t="shared" si="15"/>
        <v>18.899999999999999</v>
      </c>
      <c r="I494" s="1509"/>
      <c r="J494" s="1509"/>
      <c r="K494" s="1509"/>
      <c r="L494" s="1509"/>
      <c r="M494" s="1509"/>
      <c r="N494" s="1509"/>
    </row>
    <row r="495" spans="1:14" hidden="1">
      <c r="A495" s="1824"/>
      <c r="B495" s="781" t="s">
        <v>2415</v>
      </c>
      <c r="C495" s="782">
        <v>19.350000000000001</v>
      </c>
      <c r="D495" s="200"/>
      <c r="E495" s="376"/>
      <c r="F495" s="376"/>
      <c r="G495" s="375"/>
      <c r="H495" s="475">
        <f t="shared" si="15"/>
        <v>19.350000000000001</v>
      </c>
      <c r="I495" s="1509"/>
      <c r="J495" s="1509"/>
      <c r="K495" s="1509"/>
      <c r="L495" s="1509"/>
      <c r="M495" s="1509"/>
      <c r="N495" s="1509"/>
    </row>
    <row r="496" spans="1:14" hidden="1">
      <c r="A496" s="1824"/>
      <c r="B496" s="781" t="s">
        <v>2416</v>
      </c>
      <c r="C496" s="782">
        <v>20.059999999999999</v>
      </c>
      <c r="D496" s="200"/>
      <c r="E496" s="376"/>
      <c r="F496" s="376"/>
      <c r="G496" s="375"/>
      <c r="H496" s="475">
        <f t="shared" si="15"/>
        <v>20.059999999999999</v>
      </c>
      <c r="I496" s="1509"/>
      <c r="J496" s="1509"/>
      <c r="K496" s="1509"/>
      <c r="L496" s="1509"/>
      <c r="M496" s="1509"/>
      <c r="N496" s="1509"/>
    </row>
    <row r="497" spans="1:14" hidden="1">
      <c r="A497" s="1824"/>
      <c r="B497" s="781" t="s">
        <v>2417</v>
      </c>
      <c r="C497" s="782">
        <v>1.63</v>
      </c>
      <c r="D497" s="200"/>
      <c r="E497" s="376"/>
      <c r="F497" s="376"/>
      <c r="G497" s="375"/>
      <c r="H497" s="475">
        <f t="shared" si="15"/>
        <v>1.63</v>
      </c>
      <c r="I497" s="1509"/>
      <c r="J497" s="1509"/>
      <c r="K497" s="1509"/>
      <c r="L497" s="1509"/>
      <c r="M497" s="1509"/>
      <c r="N497" s="1509"/>
    </row>
    <row r="498" spans="1:14" hidden="1">
      <c r="A498" s="1824"/>
      <c r="B498" s="781" t="s">
        <v>2418</v>
      </c>
      <c r="C498" s="782">
        <v>19.86</v>
      </c>
      <c r="D498" s="200"/>
      <c r="E498" s="376"/>
      <c r="F498" s="376"/>
      <c r="G498" s="375"/>
      <c r="H498" s="475">
        <f t="shared" si="15"/>
        <v>19.86</v>
      </c>
      <c r="I498" s="1509"/>
      <c r="J498" s="1509"/>
      <c r="K498" s="1509"/>
      <c r="L498" s="1509"/>
      <c r="M498" s="1509"/>
      <c r="N498" s="1509"/>
    </row>
    <row r="499" spans="1:14" hidden="1">
      <c r="A499" s="1824"/>
      <c r="B499" s="781" t="s">
        <v>2419</v>
      </c>
      <c r="C499" s="782">
        <v>1.77</v>
      </c>
      <c r="D499" s="200"/>
      <c r="E499" s="376"/>
      <c r="F499" s="376"/>
      <c r="G499" s="375"/>
      <c r="H499" s="475">
        <f t="shared" si="15"/>
        <v>1.77</v>
      </c>
      <c r="I499" s="1509"/>
      <c r="J499" s="1509"/>
      <c r="K499" s="1509"/>
      <c r="L499" s="1509"/>
      <c r="M499" s="1509"/>
      <c r="N499" s="1509"/>
    </row>
    <row r="500" spans="1:14" hidden="1">
      <c r="A500" s="1824"/>
      <c r="B500" s="781" t="s">
        <v>2420</v>
      </c>
      <c r="C500" s="782">
        <v>1.61</v>
      </c>
      <c r="D500" s="200"/>
      <c r="E500" s="376"/>
      <c r="F500" s="376"/>
      <c r="G500" s="375"/>
      <c r="H500" s="475">
        <f t="shared" si="15"/>
        <v>1.61</v>
      </c>
      <c r="I500" s="1509"/>
      <c r="J500" s="1509"/>
      <c r="K500" s="1509"/>
      <c r="L500" s="1509"/>
      <c r="M500" s="1509"/>
      <c r="N500" s="1509"/>
    </row>
    <row r="501" spans="1:14" hidden="1">
      <c r="A501" s="1824"/>
      <c r="B501" s="781" t="s">
        <v>2342</v>
      </c>
      <c r="C501" s="782">
        <v>7.04</v>
      </c>
      <c r="D501" s="200"/>
      <c r="E501" s="376"/>
      <c r="F501" s="376"/>
      <c r="G501" s="375"/>
      <c r="H501" s="475">
        <f t="shared" si="15"/>
        <v>7.04</v>
      </c>
      <c r="I501" s="1509"/>
      <c r="J501" s="1509"/>
      <c r="K501" s="1509"/>
      <c r="L501" s="1509"/>
      <c r="M501" s="1509"/>
      <c r="N501" s="1509"/>
    </row>
    <row r="502" spans="1:14" hidden="1">
      <c r="A502" s="1824"/>
      <c r="B502" s="781" t="s">
        <v>2407</v>
      </c>
      <c r="C502" s="782">
        <v>5.28</v>
      </c>
      <c r="D502" s="200"/>
      <c r="E502" s="376"/>
      <c r="F502" s="376"/>
      <c r="G502" s="375"/>
      <c r="H502" s="475">
        <f t="shared" si="15"/>
        <v>5.28</v>
      </c>
      <c r="I502" s="1509"/>
      <c r="J502" s="1509"/>
      <c r="K502" s="1509"/>
      <c r="L502" s="1509"/>
      <c r="M502" s="1509"/>
      <c r="N502" s="1509"/>
    </row>
    <row r="503" spans="1:14" hidden="1">
      <c r="A503" s="1824"/>
      <c r="B503" s="781" t="s">
        <v>2343</v>
      </c>
      <c r="C503" s="782">
        <v>2.11</v>
      </c>
      <c r="D503" s="200"/>
      <c r="E503" s="376"/>
      <c r="F503" s="376"/>
      <c r="G503" s="375"/>
      <c r="H503" s="475">
        <f t="shared" si="15"/>
        <v>2.11</v>
      </c>
      <c r="I503" s="1509"/>
      <c r="J503" s="1509"/>
      <c r="K503" s="1509"/>
      <c r="L503" s="1509"/>
      <c r="M503" s="1509"/>
      <c r="N503" s="1509"/>
    </row>
    <row r="504" spans="1:14" hidden="1">
      <c r="A504" s="1824"/>
      <c r="B504" s="781" t="s">
        <v>2344</v>
      </c>
      <c r="C504" s="782">
        <v>1.98</v>
      </c>
      <c r="D504" s="200"/>
      <c r="E504" s="376"/>
      <c r="F504" s="376"/>
      <c r="G504" s="375"/>
      <c r="H504" s="475">
        <f t="shared" si="15"/>
        <v>1.98</v>
      </c>
      <c r="I504" s="1509"/>
      <c r="J504" s="1509"/>
      <c r="K504" s="1509"/>
      <c r="L504" s="1509"/>
      <c r="M504" s="1509"/>
      <c r="N504" s="1509"/>
    </row>
    <row r="505" spans="1:14" hidden="1">
      <c r="A505" s="1824"/>
      <c r="B505" s="781" t="s">
        <v>2421</v>
      </c>
      <c r="C505" s="782">
        <v>1.78</v>
      </c>
      <c r="D505" s="200"/>
      <c r="E505" s="376"/>
      <c r="F505" s="376"/>
      <c r="G505" s="376"/>
      <c r="H505" s="475">
        <f t="shared" si="15"/>
        <v>1.78</v>
      </c>
      <c r="I505" s="1509"/>
      <c r="J505" s="1509"/>
      <c r="K505" s="1509"/>
      <c r="L505" s="1509"/>
      <c r="M505" s="1509"/>
      <c r="N505" s="1509"/>
    </row>
    <row r="506" spans="1:14" hidden="1">
      <c r="A506" s="1824"/>
      <c r="B506" s="781" t="s">
        <v>2339</v>
      </c>
      <c r="C506" s="782">
        <v>4.9000000000000004</v>
      </c>
      <c r="D506" s="200"/>
      <c r="E506" s="376"/>
      <c r="F506" s="376"/>
      <c r="G506" s="376"/>
      <c r="H506" s="475">
        <f t="shared" si="15"/>
        <v>4.9000000000000004</v>
      </c>
      <c r="I506" s="1509"/>
      <c r="J506" s="1509"/>
      <c r="K506" s="1509"/>
      <c r="L506" s="1509"/>
      <c r="M506" s="1509"/>
      <c r="N506" s="1509"/>
    </row>
    <row r="507" spans="1:14" hidden="1">
      <c r="A507" s="1824"/>
      <c r="B507" s="781" t="s">
        <v>2338</v>
      </c>
      <c r="C507" s="782">
        <v>5.08</v>
      </c>
      <c r="D507" s="200"/>
      <c r="E507" s="376"/>
      <c r="F507" s="376"/>
      <c r="G507" s="376"/>
      <c r="H507" s="475">
        <f t="shared" si="15"/>
        <v>5.08</v>
      </c>
      <c r="I507" s="1509"/>
      <c r="J507" s="1509"/>
      <c r="K507" s="1509"/>
      <c r="L507" s="1509"/>
      <c r="M507" s="1509"/>
      <c r="N507" s="1509"/>
    </row>
    <row r="508" spans="1:14" hidden="1">
      <c r="A508" s="1824"/>
      <c r="B508" s="781" t="s">
        <v>2422</v>
      </c>
      <c r="C508" s="782">
        <v>31</v>
      </c>
      <c r="D508" s="200"/>
      <c r="E508" s="376"/>
      <c r="F508" s="376"/>
      <c r="G508" s="376"/>
      <c r="H508" s="475">
        <f t="shared" si="15"/>
        <v>31</v>
      </c>
      <c r="I508" s="1509"/>
      <c r="J508" s="1509"/>
      <c r="K508" s="1509"/>
      <c r="L508" s="1509"/>
      <c r="M508" s="1509"/>
      <c r="N508" s="1509"/>
    </row>
    <row r="509" spans="1:14" hidden="1">
      <c r="A509" s="1824"/>
      <c r="B509" s="775"/>
      <c r="C509" s="776"/>
      <c r="D509" s="200"/>
      <c r="E509" s="376"/>
      <c r="F509" s="376"/>
      <c r="G509" s="376"/>
      <c r="H509" s="475"/>
      <c r="I509" s="1509"/>
      <c r="J509" s="1509"/>
      <c r="K509" s="1509"/>
      <c r="L509" s="1509"/>
      <c r="M509" s="1509"/>
      <c r="N509" s="1509"/>
    </row>
    <row r="510" spans="1:14" hidden="1">
      <c r="A510" s="1823" t="s">
        <v>2218</v>
      </c>
      <c r="B510" s="1823"/>
      <c r="C510" s="1823"/>
      <c r="D510" s="1823"/>
      <c r="E510" s="1823"/>
      <c r="F510" s="1823"/>
      <c r="G510" s="1823"/>
      <c r="H510" s="766">
        <f>SUM(H470:H509)</f>
        <v>406.93</v>
      </c>
      <c r="I510" s="1509"/>
      <c r="J510" s="1509"/>
      <c r="K510" s="1509"/>
      <c r="L510" s="1509"/>
      <c r="M510" s="1509"/>
      <c r="N510" s="1509"/>
    </row>
    <row r="511" spans="1:14" hidden="1">
      <c r="A511" s="1650" t="s">
        <v>2219</v>
      </c>
      <c r="B511" s="1650"/>
      <c r="C511" s="1650"/>
      <c r="D511" s="1650"/>
      <c r="E511" s="1650"/>
      <c r="F511" s="1650"/>
      <c r="G511" s="1650"/>
      <c r="H511" s="767">
        <v>0</v>
      </c>
      <c r="I511" s="1509"/>
      <c r="J511" s="1509"/>
      <c r="K511" s="1509"/>
      <c r="L511" s="1509"/>
      <c r="M511" s="1509"/>
      <c r="N511" s="1509"/>
    </row>
    <row r="512" spans="1:14" hidden="1">
      <c r="A512" s="1650" t="s">
        <v>2220</v>
      </c>
      <c r="B512" s="1650"/>
      <c r="C512" s="1650"/>
      <c r="D512" s="1650"/>
      <c r="E512" s="1650"/>
      <c r="F512" s="1650"/>
      <c r="G512" s="1650"/>
      <c r="H512" s="217">
        <f>H510-H511</f>
        <v>406.93</v>
      </c>
      <c r="I512" s="1509"/>
      <c r="J512" s="1509"/>
      <c r="K512" s="1509"/>
      <c r="L512" s="1509"/>
      <c r="M512" s="1509"/>
      <c r="N512" s="1509"/>
    </row>
    <row r="513" spans="1:14" ht="15" hidden="1" customHeight="1">
      <c r="A513" s="1820"/>
      <c r="B513" s="1820"/>
      <c r="C513" s="1820"/>
      <c r="D513" s="1820"/>
      <c r="E513" s="1820"/>
      <c r="F513" s="1820"/>
      <c r="G513" s="1820"/>
      <c r="H513" s="1820"/>
      <c r="I513" s="1820"/>
      <c r="J513" s="1820"/>
      <c r="K513" s="1820"/>
      <c r="L513" s="1820"/>
      <c r="M513" s="1820"/>
      <c r="N513" s="1820"/>
    </row>
    <row r="514" spans="1:14" hidden="1">
      <c r="A514" s="1080" t="s">
        <v>2423</v>
      </c>
      <c r="B514" s="1821" t="s">
        <v>576</v>
      </c>
      <c r="C514" s="1821"/>
      <c r="D514" s="1821"/>
      <c r="E514" s="1821"/>
      <c r="F514" s="1821"/>
      <c r="G514" s="1821"/>
      <c r="H514" s="1821"/>
      <c r="I514" s="1821"/>
      <c r="J514" s="1821"/>
      <c r="K514" s="761" t="s">
        <v>44</v>
      </c>
      <c r="L514" s="1822">
        <v>7.8</v>
      </c>
      <c r="M514" s="1822"/>
      <c r="N514" s="762">
        <f>L514-H520</f>
        <v>0</v>
      </c>
    </row>
    <row r="515" spans="1:14" hidden="1">
      <c r="A515" s="1797"/>
      <c r="B515" s="1797"/>
      <c r="C515" s="772"/>
      <c r="D515" s="281" t="s">
        <v>2183</v>
      </c>
      <c r="E515" s="631" t="s">
        <v>2184</v>
      </c>
      <c r="F515" s="281" t="s">
        <v>2185</v>
      </c>
      <c r="G515" s="281" t="s">
        <v>2186</v>
      </c>
      <c r="H515" s="1823" t="s">
        <v>476</v>
      </c>
      <c r="I515" s="1509"/>
      <c r="J515" s="1509"/>
      <c r="K515" s="1509"/>
      <c r="L515" s="1509"/>
      <c r="M515" s="1509"/>
      <c r="N515" s="1509"/>
    </row>
    <row r="516" spans="1:14" hidden="1">
      <c r="A516" s="1797"/>
      <c r="B516" s="1797"/>
      <c r="C516" s="555" t="s">
        <v>2382</v>
      </c>
      <c r="D516" s="375" t="s">
        <v>2187</v>
      </c>
      <c r="E516" s="1312" t="s">
        <v>2188</v>
      </c>
      <c r="F516" s="375" t="s">
        <v>2189</v>
      </c>
      <c r="G516" s="375" t="s">
        <v>2190</v>
      </c>
      <c r="H516" s="1823"/>
      <c r="I516" s="1509"/>
      <c r="J516" s="1509"/>
      <c r="K516" s="1509"/>
      <c r="L516" s="1509"/>
      <c r="M516" s="1509"/>
      <c r="N516" s="1509"/>
    </row>
    <row r="517" spans="1:14" hidden="1">
      <c r="A517" s="1824" t="s">
        <v>2238</v>
      </c>
      <c r="B517" s="1825" t="s">
        <v>2324</v>
      </c>
      <c r="C517" s="1825"/>
      <c r="D517" s="200"/>
      <c r="E517" s="376"/>
      <c r="F517" s="376"/>
      <c r="G517" s="376"/>
      <c r="H517" s="475"/>
      <c r="I517" s="1509"/>
      <c r="J517" s="1509"/>
      <c r="K517" s="1509"/>
      <c r="L517" s="1509"/>
      <c r="M517" s="1509"/>
      <c r="N517" s="1509"/>
    </row>
    <row r="518" spans="1:14" hidden="1">
      <c r="A518" s="1824"/>
      <c r="B518" s="781" t="s">
        <v>2424</v>
      </c>
      <c r="C518" s="782"/>
      <c r="D518" s="200">
        <v>2.6</v>
      </c>
      <c r="E518" s="376"/>
      <c r="F518" s="376"/>
      <c r="G518" s="376">
        <v>3</v>
      </c>
      <c r="H518" s="475">
        <f>D518*G518</f>
        <v>7.8000000000000007</v>
      </c>
      <c r="I518" s="1509"/>
      <c r="J518" s="1509"/>
      <c r="K518" s="1509"/>
      <c r="L518" s="1509"/>
      <c r="M518" s="1509"/>
      <c r="N518" s="1509"/>
    </row>
    <row r="519" spans="1:14" hidden="1">
      <c r="A519" s="1824"/>
      <c r="B519" s="775"/>
      <c r="C519" s="776"/>
      <c r="D519" s="200"/>
      <c r="E519" s="376"/>
      <c r="F519" s="376"/>
      <c r="G519" s="376"/>
      <c r="H519" s="475"/>
      <c r="I519" s="1509"/>
      <c r="J519" s="1509"/>
      <c r="K519" s="1509"/>
      <c r="L519" s="1509"/>
      <c r="M519" s="1509"/>
      <c r="N519" s="1509"/>
    </row>
    <row r="520" spans="1:14" hidden="1">
      <c r="A520" s="1823" t="s">
        <v>2218</v>
      </c>
      <c r="B520" s="1823"/>
      <c r="C520" s="1823"/>
      <c r="D520" s="1823"/>
      <c r="E520" s="1823"/>
      <c r="F520" s="1823"/>
      <c r="G520" s="1823"/>
      <c r="H520" s="766">
        <f>SUM(H517:H519)</f>
        <v>7.8000000000000007</v>
      </c>
      <c r="I520" s="1509"/>
      <c r="J520" s="1509"/>
      <c r="K520" s="1509"/>
      <c r="L520" s="1509"/>
      <c r="M520" s="1509"/>
      <c r="N520" s="1509"/>
    </row>
    <row r="521" spans="1:14" hidden="1">
      <c r="A521" s="1650" t="s">
        <v>2219</v>
      </c>
      <c r="B521" s="1650"/>
      <c r="C521" s="1650"/>
      <c r="D521" s="1650"/>
      <c r="E521" s="1650"/>
      <c r="F521" s="1650"/>
      <c r="G521" s="1650"/>
      <c r="H521" s="767">
        <v>0</v>
      </c>
      <c r="I521" s="1509"/>
      <c r="J521" s="1509"/>
      <c r="K521" s="1509"/>
      <c r="L521" s="1509"/>
      <c r="M521" s="1509"/>
      <c r="N521" s="1509"/>
    </row>
    <row r="522" spans="1:14" hidden="1">
      <c r="A522" s="1650" t="s">
        <v>2220</v>
      </c>
      <c r="B522" s="1650"/>
      <c r="C522" s="1650"/>
      <c r="D522" s="1650"/>
      <c r="E522" s="1650"/>
      <c r="F522" s="1650"/>
      <c r="G522" s="1650"/>
      <c r="H522" s="217">
        <f>H520-H521</f>
        <v>7.8000000000000007</v>
      </c>
      <c r="I522" s="1509"/>
      <c r="J522" s="1509"/>
      <c r="K522" s="1509"/>
      <c r="L522" s="1509"/>
      <c r="M522" s="1509"/>
      <c r="N522" s="1509"/>
    </row>
    <row r="523" spans="1:14" ht="15" hidden="1" customHeight="1">
      <c r="A523" s="1820"/>
      <c r="B523" s="1820"/>
      <c r="C523" s="1820"/>
      <c r="D523" s="1820"/>
      <c r="E523" s="1820"/>
      <c r="F523" s="1820"/>
      <c r="G523" s="1820"/>
      <c r="H523" s="1820"/>
      <c r="I523" s="1820"/>
      <c r="J523" s="1820"/>
      <c r="K523" s="1820"/>
      <c r="L523" s="1820"/>
      <c r="M523" s="1820"/>
      <c r="N523" s="1820"/>
    </row>
    <row r="524" spans="1:14" hidden="1">
      <c r="A524" s="1080" t="s">
        <v>2425</v>
      </c>
      <c r="B524" s="1821" t="s">
        <v>579</v>
      </c>
      <c r="C524" s="1821"/>
      <c r="D524" s="1821"/>
      <c r="E524" s="1821"/>
      <c r="F524" s="1821"/>
      <c r="G524" s="1821"/>
      <c r="H524" s="1821"/>
      <c r="I524" s="1821"/>
      <c r="J524" s="1821"/>
      <c r="K524" s="761" t="s">
        <v>44</v>
      </c>
      <c r="L524" s="1822">
        <v>15.6</v>
      </c>
      <c r="M524" s="1822"/>
      <c r="N524" s="762">
        <f>L524-H530</f>
        <v>0</v>
      </c>
    </row>
    <row r="525" spans="1:14" hidden="1">
      <c r="A525" s="1797"/>
      <c r="B525" s="1797"/>
      <c r="C525" s="772"/>
      <c r="D525" s="281" t="s">
        <v>2183</v>
      </c>
      <c r="E525" s="631" t="s">
        <v>2184</v>
      </c>
      <c r="F525" s="281" t="s">
        <v>2185</v>
      </c>
      <c r="G525" s="281" t="s">
        <v>2186</v>
      </c>
      <c r="H525" s="1823" t="s">
        <v>476</v>
      </c>
      <c r="I525" s="1509"/>
      <c r="J525" s="1509"/>
      <c r="K525" s="1509"/>
      <c r="L525" s="1509"/>
      <c r="M525" s="1509"/>
      <c r="N525" s="1509"/>
    </row>
    <row r="526" spans="1:14" hidden="1">
      <c r="A526" s="1797"/>
      <c r="B526" s="1797"/>
      <c r="C526" s="555" t="s">
        <v>2382</v>
      </c>
      <c r="D526" s="375" t="s">
        <v>2187</v>
      </c>
      <c r="E526" s="1312" t="s">
        <v>2188</v>
      </c>
      <c r="F526" s="375" t="s">
        <v>2189</v>
      </c>
      <c r="G526" s="375" t="s">
        <v>2190</v>
      </c>
      <c r="H526" s="1823"/>
      <c r="I526" s="1509"/>
      <c r="J526" s="1509"/>
      <c r="K526" s="1509"/>
      <c r="L526" s="1509"/>
      <c r="M526" s="1509"/>
      <c r="N526" s="1509"/>
    </row>
    <row r="527" spans="1:14" hidden="1">
      <c r="A527" s="1824" t="s">
        <v>2238</v>
      </c>
      <c r="B527" s="1825"/>
      <c r="C527" s="1825"/>
      <c r="D527" s="200"/>
      <c r="E527" s="376"/>
      <c r="F527" s="376"/>
      <c r="G527" s="376"/>
      <c r="H527" s="475"/>
      <c r="I527" s="1509"/>
      <c r="J527" s="1509"/>
      <c r="K527" s="1509"/>
      <c r="L527" s="1509"/>
      <c r="M527" s="1509"/>
      <c r="N527" s="1509"/>
    </row>
    <row r="528" spans="1:14" hidden="1">
      <c r="A528" s="1824"/>
      <c r="B528" s="781" t="s">
        <v>2426</v>
      </c>
      <c r="C528" s="782"/>
      <c r="D528" s="200">
        <v>5.45</v>
      </c>
      <c r="E528" s="376">
        <v>1.1000000000000001</v>
      </c>
      <c r="F528" s="376"/>
      <c r="G528" s="376"/>
      <c r="H528" s="475">
        <f>D528</f>
        <v>5.45</v>
      </c>
      <c r="I528" s="1509"/>
      <c r="J528" s="1509"/>
      <c r="K528" s="1509"/>
      <c r="L528" s="1509"/>
      <c r="M528" s="1509"/>
      <c r="N528" s="1509"/>
    </row>
    <row r="529" spans="1:14" hidden="1">
      <c r="A529" s="1824"/>
      <c r="B529" s="775" t="s">
        <v>2427</v>
      </c>
      <c r="C529" s="776"/>
      <c r="D529" s="200">
        <v>10.15</v>
      </c>
      <c r="E529" s="376"/>
      <c r="F529" s="376"/>
      <c r="G529" s="376"/>
      <c r="H529" s="475">
        <f>D529</f>
        <v>10.15</v>
      </c>
      <c r="I529" s="1509"/>
      <c r="J529" s="1509"/>
      <c r="K529" s="1509"/>
      <c r="L529" s="1509"/>
      <c r="M529" s="1509"/>
      <c r="N529" s="1509"/>
    </row>
    <row r="530" spans="1:14" hidden="1">
      <c r="A530" s="1823" t="s">
        <v>2218</v>
      </c>
      <c r="B530" s="1823"/>
      <c r="C530" s="1823"/>
      <c r="D530" s="1823"/>
      <c r="E530" s="1823"/>
      <c r="F530" s="1823"/>
      <c r="G530" s="1823"/>
      <c r="H530" s="766">
        <f>SUM(H527:H529)</f>
        <v>15.600000000000001</v>
      </c>
      <c r="I530" s="1509"/>
      <c r="J530" s="1509"/>
      <c r="K530" s="1509"/>
      <c r="L530" s="1509"/>
      <c r="M530" s="1509"/>
      <c r="N530" s="1509"/>
    </row>
    <row r="531" spans="1:14" hidden="1">
      <c r="A531" s="1650" t="s">
        <v>2219</v>
      </c>
      <c r="B531" s="1650"/>
      <c r="C531" s="1650"/>
      <c r="D531" s="1650"/>
      <c r="E531" s="1650"/>
      <c r="F531" s="1650"/>
      <c r="G531" s="1650"/>
      <c r="H531" s="767">
        <v>0</v>
      </c>
      <c r="I531" s="1509"/>
      <c r="J531" s="1509"/>
      <c r="K531" s="1509"/>
      <c r="L531" s="1509"/>
      <c r="M531" s="1509"/>
      <c r="N531" s="1509"/>
    </row>
    <row r="532" spans="1:14" hidden="1">
      <c r="A532" s="1650" t="s">
        <v>2220</v>
      </c>
      <c r="B532" s="1650"/>
      <c r="C532" s="1650"/>
      <c r="D532" s="1650"/>
      <c r="E532" s="1650"/>
      <c r="F532" s="1650"/>
      <c r="G532" s="1650"/>
      <c r="H532" s="217">
        <f>H530-H531</f>
        <v>15.600000000000001</v>
      </c>
      <c r="I532" s="1509"/>
      <c r="J532" s="1509"/>
      <c r="K532" s="1509"/>
      <c r="L532" s="1509"/>
      <c r="M532" s="1509"/>
      <c r="N532" s="1509"/>
    </row>
    <row r="533" spans="1:14" ht="15" hidden="1" customHeight="1">
      <c r="A533" s="1820"/>
      <c r="B533" s="1820"/>
      <c r="C533" s="1820"/>
      <c r="D533" s="1820"/>
      <c r="E533" s="1820"/>
      <c r="F533" s="1820"/>
      <c r="G533" s="1820"/>
      <c r="H533" s="1820"/>
      <c r="I533" s="1820"/>
      <c r="J533" s="1820"/>
      <c r="K533" s="1820"/>
      <c r="L533" s="1820"/>
      <c r="M533" s="1820"/>
      <c r="N533" s="1820"/>
    </row>
    <row r="534" spans="1:14" ht="15" hidden="1" customHeight="1">
      <c r="A534" s="1080" t="s">
        <v>2428</v>
      </c>
      <c r="B534" s="1821" t="s">
        <v>582</v>
      </c>
      <c r="C534" s="1821"/>
      <c r="D534" s="1821"/>
      <c r="E534" s="1821"/>
      <c r="F534" s="1821"/>
      <c r="G534" s="1821"/>
      <c r="H534" s="1821"/>
      <c r="I534" s="1821"/>
      <c r="J534" s="1821"/>
      <c r="K534" s="761" t="s">
        <v>2329</v>
      </c>
      <c r="L534" s="1822">
        <v>2</v>
      </c>
      <c r="M534" s="1822"/>
      <c r="N534" s="762">
        <f>L534-H540</f>
        <v>0</v>
      </c>
    </row>
    <row r="535" spans="1:14" hidden="1">
      <c r="A535" s="1797"/>
      <c r="B535" s="1797"/>
      <c r="C535" s="772"/>
      <c r="D535" s="281" t="s">
        <v>2183</v>
      </c>
      <c r="E535" s="631" t="s">
        <v>2184</v>
      </c>
      <c r="F535" s="281" t="s">
        <v>2185</v>
      </c>
      <c r="G535" s="281" t="s">
        <v>2186</v>
      </c>
      <c r="H535" s="1823" t="s">
        <v>476</v>
      </c>
      <c r="I535" s="1509"/>
      <c r="J535" s="1509"/>
      <c r="K535" s="1509"/>
      <c r="L535" s="1509"/>
      <c r="M535" s="1509"/>
      <c r="N535" s="1509"/>
    </row>
    <row r="536" spans="1:14" hidden="1">
      <c r="A536" s="1797"/>
      <c r="B536" s="1797"/>
      <c r="C536" s="555" t="s">
        <v>2382</v>
      </c>
      <c r="D536" s="375" t="s">
        <v>2187</v>
      </c>
      <c r="E536" s="1312" t="s">
        <v>2188</v>
      </c>
      <c r="F536" s="375" t="s">
        <v>2189</v>
      </c>
      <c r="G536" s="375" t="s">
        <v>2190</v>
      </c>
      <c r="H536" s="1823"/>
      <c r="I536" s="1509"/>
      <c r="J536" s="1509"/>
      <c r="K536" s="1509"/>
      <c r="L536" s="1509"/>
      <c r="M536" s="1509"/>
      <c r="N536" s="1509"/>
    </row>
    <row r="537" spans="1:14" hidden="1">
      <c r="A537" s="1705" t="s">
        <v>2268</v>
      </c>
      <c r="B537" s="783" t="s">
        <v>2209</v>
      </c>
      <c r="C537" s="783"/>
      <c r="D537" s="200"/>
      <c r="E537" s="376"/>
      <c r="F537" s="376"/>
      <c r="G537" s="376"/>
      <c r="H537" s="475"/>
      <c r="I537" s="1509"/>
      <c r="J537" s="1509"/>
      <c r="K537" s="1509"/>
      <c r="L537" s="1509"/>
      <c r="M537" s="1509"/>
      <c r="N537" s="1509"/>
    </row>
    <row r="538" spans="1:14" hidden="1">
      <c r="A538" s="1705"/>
      <c r="B538" s="695" t="s">
        <v>2429</v>
      </c>
      <c r="C538" s="782"/>
      <c r="D538" s="200"/>
      <c r="E538" s="376"/>
      <c r="F538" s="376"/>
      <c r="G538" s="376">
        <v>2</v>
      </c>
      <c r="H538" s="475">
        <f>G538</f>
        <v>2</v>
      </c>
      <c r="I538" s="1509"/>
      <c r="J538" s="1509"/>
      <c r="K538" s="1509"/>
      <c r="L538" s="1509"/>
      <c r="M538" s="1509"/>
      <c r="N538" s="1509"/>
    </row>
    <row r="539" spans="1:14" hidden="1">
      <c r="A539" s="1705"/>
      <c r="B539" s="784"/>
      <c r="C539" s="782"/>
      <c r="D539" s="200"/>
      <c r="E539" s="376"/>
      <c r="F539" s="376"/>
      <c r="G539" s="376"/>
      <c r="H539" s="475"/>
      <c r="I539" s="1509"/>
      <c r="J539" s="1509"/>
      <c r="K539" s="1509"/>
      <c r="L539" s="1509"/>
      <c r="M539" s="1509"/>
      <c r="N539" s="1509"/>
    </row>
    <row r="540" spans="1:14" hidden="1">
      <c r="A540" s="1823" t="s">
        <v>2218</v>
      </c>
      <c r="B540" s="1823"/>
      <c r="C540" s="1823"/>
      <c r="D540" s="1823"/>
      <c r="E540" s="1823"/>
      <c r="F540" s="1823"/>
      <c r="G540" s="1823"/>
      <c r="H540" s="766">
        <f>SUM(H537:H539)</f>
        <v>2</v>
      </c>
      <c r="I540" s="1509"/>
      <c r="J540" s="1509"/>
      <c r="K540" s="1509"/>
      <c r="L540" s="1509"/>
      <c r="M540" s="1509"/>
      <c r="N540" s="1509"/>
    </row>
    <row r="541" spans="1:14" hidden="1">
      <c r="A541" s="1650" t="s">
        <v>2219</v>
      </c>
      <c r="B541" s="1650"/>
      <c r="C541" s="1650"/>
      <c r="D541" s="1650"/>
      <c r="E541" s="1650"/>
      <c r="F541" s="1650"/>
      <c r="G541" s="1650"/>
      <c r="H541" s="767">
        <v>0</v>
      </c>
      <c r="I541" s="1509"/>
      <c r="J541" s="1509"/>
      <c r="K541" s="1509"/>
      <c r="L541" s="1509"/>
      <c r="M541" s="1509"/>
      <c r="N541" s="1509"/>
    </row>
    <row r="542" spans="1:14" hidden="1">
      <c r="A542" s="1650" t="s">
        <v>2220</v>
      </c>
      <c r="B542" s="1650"/>
      <c r="C542" s="1650"/>
      <c r="D542" s="1650"/>
      <c r="E542" s="1650"/>
      <c r="F542" s="1650"/>
      <c r="G542" s="1650"/>
      <c r="H542" s="217">
        <f>H540-H541</f>
        <v>2</v>
      </c>
      <c r="I542" s="1509"/>
      <c r="J542" s="1509"/>
      <c r="K542" s="1509"/>
      <c r="L542" s="1509"/>
      <c r="M542" s="1509"/>
      <c r="N542" s="1509"/>
    </row>
    <row r="543" spans="1:14" ht="15" hidden="1" customHeight="1">
      <c r="A543" s="1820"/>
      <c r="B543" s="1820"/>
      <c r="C543" s="1820"/>
      <c r="D543" s="1820"/>
      <c r="E543" s="1820"/>
      <c r="F543" s="1820"/>
      <c r="G543" s="1820"/>
      <c r="H543" s="1820"/>
      <c r="I543" s="1820"/>
      <c r="J543" s="1820"/>
      <c r="K543" s="1820"/>
      <c r="L543" s="1820"/>
      <c r="M543" s="1820"/>
      <c r="N543" s="1820"/>
    </row>
    <row r="544" spans="1:14" ht="15" hidden="1" customHeight="1">
      <c r="A544" s="1080" t="s">
        <v>2430</v>
      </c>
      <c r="B544" s="1821" t="s">
        <v>585</v>
      </c>
      <c r="C544" s="1821"/>
      <c r="D544" s="1821"/>
      <c r="E544" s="1821"/>
      <c r="F544" s="1821"/>
      <c r="G544" s="1821"/>
      <c r="H544" s="1821"/>
      <c r="I544" s="1821"/>
      <c r="J544" s="1821"/>
      <c r="K544" s="761" t="s">
        <v>2329</v>
      </c>
      <c r="L544" s="1822">
        <v>16</v>
      </c>
      <c r="M544" s="1822"/>
      <c r="N544" s="762">
        <f>L544-H557</f>
        <v>0</v>
      </c>
    </row>
    <row r="545" spans="1:14" hidden="1">
      <c r="A545" s="1797"/>
      <c r="B545" s="1797"/>
      <c r="C545" s="772"/>
      <c r="D545" s="281" t="s">
        <v>2183</v>
      </c>
      <c r="E545" s="631" t="s">
        <v>2184</v>
      </c>
      <c r="F545" s="281" t="s">
        <v>2185</v>
      </c>
      <c r="G545" s="281" t="s">
        <v>2186</v>
      </c>
      <c r="H545" s="1823" t="s">
        <v>476</v>
      </c>
      <c r="I545" s="1509"/>
      <c r="J545" s="1509"/>
      <c r="K545" s="1509"/>
      <c r="L545" s="1509"/>
      <c r="M545" s="1509"/>
      <c r="N545" s="1509"/>
    </row>
    <row r="546" spans="1:14" hidden="1">
      <c r="A546" s="1797"/>
      <c r="B546" s="1797"/>
      <c r="C546" s="555" t="s">
        <v>2382</v>
      </c>
      <c r="D546" s="375" t="s">
        <v>2187</v>
      </c>
      <c r="E546" s="1312" t="s">
        <v>2188</v>
      </c>
      <c r="F546" s="375" t="s">
        <v>2189</v>
      </c>
      <c r="G546" s="375" t="s">
        <v>2190</v>
      </c>
      <c r="H546" s="1823"/>
      <c r="I546" s="1509"/>
      <c r="J546" s="1509"/>
      <c r="K546" s="1509"/>
      <c r="L546" s="1509"/>
      <c r="M546" s="1509"/>
      <c r="N546" s="1509"/>
    </row>
    <row r="547" spans="1:14" hidden="1">
      <c r="A547" s="1824" t="s">
        <v>2238</v>
      </c>
      <c r="B547" s="783" t="s">
        <v>2192</v>
      </c>
      <c r="C547" s="783"/>
      <c r="D547" s="200"/>
      <c r="E547" s="376"/>
      <c r="F547" s="376"/>
      <c r="G547" s="376"/>
      <c r="H547" s="475"/>
      <c r="I547" s="1509"/>
      <c r="J547" s="1509"/>
      <c r="K547" s="1509"/>
      <c r="L547" s="1509"/>
      <c r="M547" s="1509"/>
      <c r="N547" s="1509"/>
    </row>
    <row r="548" spans="1:14" hidden="1">
      <c r="A548" s="1824"/>
      <c r="B548" s="695" t="s">
        <v>2431</v>
      </c>
      <c r="C548" s="782"/>
      <c r="D548" s="200"/>
      <c r="E548" s="376"/>
      <c r="F548" s="376"/>
      <c r="G548" s="376">
        <v>2</v>
      </c>
      <c r="H548" s="475">
        <f t="shared" ref="H548:H553" si="16">G548</f>
        <v>2</v>
      </c>
      <c r="I548" s="1509"/>
      <c r="J548" s="1509"/>
      <c r="K548" s="1509"/>
      <c r="L548" s="1509"/>
      <c r="M548" s="1509"/>
      <c r="N548" s="1509"/>
    </row>
    <row r="549" spans="1:14" hidden="1">
      <c r="A549" s="1824"/>
      <c r="B549" s="695" t="s">
        <v>2232</v>
      </c>
      <c r="C549" s="782"/>
      <c r="D549" s="200"/>
      <c r="E549" s="376"/>
      <c r="F549" s="376"/>
      <c r="G549" s="376">
        <v>1</v>
      </c>
      <c r="H549" s="475">
        <f t="shared" si="16"/>
        <v>1</v>
      </c>
      <c r="I549" s="1509"/>
      <c r="J549" s="1509"/>
      <c r="K549" s="1509"/>
      <c r="L549" s="1509"/>
      <c r="M549" s="1509"/>
      <c r="N549" s="1509"/>
    </row>
    <row r="550" spans="1:14" hidden="1">
      <c r="A550" s="1824"/>
      <c r="B550" s="695" t="s">
        <v>2233</v>
      </c>
      <c r="C550" s="782"/>
      <c r="D550" s="200"/>
      <c r="E550" s="376"/>
      <c r="F550" s="376"/>
      <c r="G550" s="376">
        <v>1</v>
      </c>
      <c r="H550" s="475">
        <f t="shared" si="16"/>
        <v>1</v>
      </c>
      <c r="I550" s="1509"/>
      <c r="J550" s="1509"/>
      <c r="K550" s="1509"/>
      <c r="L550" s="1509"/>
      <c r="M550" s="1509"/>
      <c r="N550" s="1509"/>
    </row>
    <row r="551" spans="1:14" hidden="1">
      <c r="A551" s="1824"/>
      <c r="B551" s="695" t="s">
        <v>2432</v>
      </c>
      <c r="C551" s="782"/>
      <c r="D551" s="200"/>
      <c r="E551" s="376"/>
      <c r="F551" s="376"/>
      <c r="G551" s="376">
        <v>1</v>
      </c>
      <c r="H551" s="475">
        <f t="shared" si="16"/>
        <v>1</v>
      </c>
      <c r="I551" s="1509"/>
      <c r="J551" s="1509"/>
      <c r="K551" s="1509"/>
      <c r="L551" s="1509"/>
      <c r="M551" s="1509"/>
      <c r="N551" s="1509"/>
    </row>
    <row r="552" spans="1:14" hidden="1">
      <c r="A552" s="1824"/>
      <c r="B552" s="695" t="s">
        <v>2193</v>
      </c>
      <c r="C552" s="782"/>
      <c r="D552" s="200"/>
      <c r="E552" s="376"/>
      <c r="F552" s="376"/>
      <c r="G552" s="376">
        <v>1</v>
      </c>
      <c r="H552" s="475">
        <f t="shared" si="16"/>
        <v>1</v>
      </c>
      <c r="I552" s="1509"/>
      <c r="J552" s="1509"/>
      <c r="K552" s="1509"/>
      <c r="L552" s="1509"/>
      <c r="M552" s="1509"/>
      <c r="N552" s="1509"/>
    </row>
    <row r="553" spans="1:14" hidden="1">
      <c r="A553" s="1824"/>
      <c r="B553" s="695" t="s">
        <v>2433</v>
      </c>
      <c r="C553" s="782"/>
      <c r="D553" s="200"/>
      <c r="E553" s="376"/>
      <c r="F553" s="376"/>
      <c r="G553" s="376">
        <v>1</v>
      </c>
      <c r="H553" s="475">
        <f t="shared" si="16"/>
        <v>1</v>
      </c>
      <c r="I553" s="1509"/>
      <c r="J553" s="1509"/>
      <c r="K553" s="1509"/>
      <c r="L553" s="1509"/>
      <c r="M553" s="1509"/>
      <c r="N553" s="1509"/>
    </row>
    <row r="554" spans="1:14" hidden="1">
      <c r="A554" s="1824"/>
      <c r="B554" s="783" t="s">
        <v>2200</v>
      </c>
      <c r="C554" s="782"/>
      <c r="D554" s="200"/>
      <c r="E554" s="376"/>
      <c r="F554" s="376"/>
      <c r="G554" s="376"/>
      <c r="H554" s="475"/>
      <c r="I554" s="1509"/>
      <c r="J554" s="1509"/>
      <c r="K554" s="1509"/>
      <c r="L554" s="1509"/>
      <c r="M554" s="1509"/>
      <c r="N554" s="1509"/>
    </row>
    <row r="555" spans="1:14" hidden="1">
      <c r="A555" s="1824"/>
      <c r="B555" s="785" t="s">
        <v>2434</v>
      </c>
      <c r="C555" s="782"/>
      <c r="D555" s="200"/>
      <c r="E555" s="376"/>
      <c r="F555" s="376"/>
      <c r="G555" s="376">
        <v>9</v>
      </c>
      <c r="H555" s="475">
        <f>G555</f>
        <v>9</v>
      </c>
      <c r="I555" s="1509"/>
      <c r="J555" s="1509"/>
      <c r="K555" s="1509"/>
      <c r="L555" s="1509"/>
      <c r="M555" s="1509"/>
      <c r="N555" s="1509"/>
    </row>
    <row r="556" spans="1:14" hidden="1">
      <c r="A556" s="1824"/>
      <c r="B556" s="784"/>
      <c r="C556" s="782"/>
      <c r="D556" s="200"/>
      <c r="E556" s="376"/>
      <c r="F556" s="376"/>
      <c r="G556" s="376"/>
      <c r="H556" s="475"/>
      <c r="I556" s="1509"/>
      <c r="J556" s="1509"/>
      <c r="K556" s="1509"/>
      <c r="L556" s="1509"/>
      <c r="M556" s="1509"/>
      <c r="N556" s="1509"/>
    </row>
    <row r="557" spans="1:14" hidden="1">
      <c r="A557" s="1823" t="s">
        <v>2218</v>
      </c>
      <c r="B557" s="1823"/>
      <c r="C557" s="1823"/>
      <c r="D557" s="1823"/>
      <c r="E557" s="1823"/>
      <c r="F557" s="1823"/>
      <c r="G557" s="1823"/>
      <c r="H557" s="766">
        <f>SUM(H547:H556)</f>
        <v>16</v>
      </c>
      <c r="I557" s="1509"/>
      <c r="J557" s="1509"/>
      <c r="K557" s="1509"/>
      <c r="L557" s="1509"/>
      <c r="M557" s="1509"/>
      <c r="N557" s="1509"/>
    </row>
    <row r="558" spans="1:14" hidden="1">
      <c r="A558" s="1650" t="s">
        <v>2219</v>
      </c>
      <c r="B558" s="1650"/>
      <c r="C558" s="1650"/>
      <c r="D558" s="1650"/>
      <c r="E558" s="1650"/>
      <c r="F558" s="1650"/>
      <c r="G558" s="1650"/>
      <c r="H558" s="767">
        <v>0</v>
      </c>
      <c r="I558" s="1509"/>
      <c r="J558" s="1509"/>
      <c r="K558" s="1509"/>
      <c r="L558" s="1509"/>
      <c r="M558" s="1509"/>
      <c r="N558" s="1509"/>
    </row>
    <row r="559" spans="1:14" hidden="1">
      <c r="A559" s="1650" t="s">
        <v>2220</v>
      </c>
      <c r="B559" s="1650"/>
      <c r="C559" s="1650"/>
      <c r="D559" s="1650"/>
      <c r="E559" s="1650"/>
      <c r="F559" s="1650"/>
      <c r="G559" s="1650"/>
      <c r="H559" s="217">
        <f>H557-H558</f>
        <v>16</v>
      </c>
      <c r="I559" s="1509"/>
      <c r="J559" s="1509"/>
      <c r="K559" s="1509"/>
      <c r="L559" s="1509"/>
      <c r="M559" s="1509"/>
      <c r="N559" s="1509"/>
    </row>
    <row r="560" spans="1:14" ht="15" hidden="1" customHeight="1">
      <c r="A560" s="1820"/>
      <c r="B560" s="1820"/>
      <c r="C560" s="1820"/>
      <c r="D560" s="1820"/>
      <c r="E560" s="1820"/>
      <c r="F560" s="1820"/>
      <c r="G560" s="1820"/>
      <c r="H560" s="1820"/>
      <c r="I560" s="1820"/>
      <c r="J560" s="1820"/>
      <c r="K560" s="1820"/>
      <c r="L560" s="1820"/>
      <c r="M560" s="1820"/>
      <c r="N560" s="1820"/>
    </row>
    <row r="561" spans="1:14" ht="15" hidden="1" customHeight="1">
      <c r="A561" s="1080" t="s">
        <v>2435</v>
      </c>
      <c r="B561" s="1821" t="s">
        <v>588</v>
      </c>
      <c r="C561" s="1821"/>
      <c r="D561" s="1821"/>
      <c r="E561" s="1821"/>
      <c r="F561" s="1821"/>
      <c r="G561" s="1821"/>
      <c r="H561" s="1821"/>
      <c r="I561" s="1821"/>
      <c r="J561" s="1821"/>
      <c r="K561" s="761" t="s">
        <v>2329</v>
      </c>
      <c r="L561" s="1822">
        <v>2</v>
      </c>
      <c r="M561" s="1822"/>
      <c r="N561" s="762">
        <f>L561-H568</f>
        <v>0</v>
      </c>
    </row>
    <row r="562" spans="1:14" hidden="1">
      <c r="A562" s="1797"/>
      <c r="B562" s="1797"/>
      <c r="C562" s="772"/>
      <c r="D562" s="281" t="s">
        <v>2183</v>
      </c>
      <c r="E562" s="631" t="s">
        <v>2184</v>
      </c>
      <c r="F562" s="281" t="s">
        <v>2185</v>
      </c>
      <c r="G562" s="281" t="s">
        <v>2186</v>
      </c>
      <c r="H562" s="1823" t="s">
        <v>476</v>
      </c>
      <c r="I562" s="1509"/>
      <c r="J562" s="1509"/>
      <c r="K562" s="1509"/>
      <c r="L562" s="1509"/>
      <c r="M562" s="1509"/>
      <c r="N562" s="1509"/>
    </row>
    <row r="563" spans="1:14" hidden="1">
      <c r="A563" s="1797"/>
      <c r="B563" s="1797"/>
      <c r="C563" s="555" t="s">
        <v>2382</v>
      </c>
      <c r="D563" s="375" t="s">
        <v>2187</v>
      </c>
      <c r="E563" s="1312" t="s">
        <v>2188</v>
      </c>
      <c r="F563" s="375" t="s">
        <v>2189</v>
      </c>
      <c r="G563" s="375" t="s">
        <v>2190</v>
      </c>
      <c r="H563" s="1823"/>
      <c r="I563" s="1509"/>
      <c r="J563" s="1509"/>
      <c r="K563" s="1509"/>
      <c r="L563" s="1509"/>
      <c r="M563" s="1509"/>
      <c r="N563" s="1509"/>
    </row>
    <row r="564" spans="1:14" hidden="1">
      <c r="A564" s="1824" t="s">
        <v>2238</v>
      </c>
      <c r="B564" s="783" t="s">
        <v>2192</v>
      </c>
      <c r="C564" s="783"/>
      <c r="D564" s="200"/>
      <c r="E564" s="376"/>
      <c r="F564" s="376"/>
      <c r="G564" s="376"/>
      <c r="H564" s="475"/>
      <c r="I564" s="1509"/>
      <c r="J564" s="1509"/>
      <c r="K564" s="1509"/>
      <c r="L564" s="1509"/>
      <c r="M564" s="1509"/>
      <c r="N564" s="1509"/>
    </row>
    <row r="565" spans="1:14" hidden="1">
      <c r="A565" s="1824"/>
      <c r="B565" s="695" t="s">
        <v>2436</v>
      </c>
      <c r="C565" s="782"/>
      <c r="D565" s="200"/>
      <c r="E565" s="376"/>
      <c r="F565" s="376"/>
      <c r="G565" s="376">
        <v>1</v>
      </c>
      <c r="H565" s="475">
        <f>G565</f>
        <v>1</v>
      </c>
      <c r="I565" s="1509"/>
      <c r="J565" s="1509"/>
      <c r="K565" s="1509"/>
      <c r="L565" s="1509"/>
      <c r="M565" s="1509"/>
      <c r="N565" s="1509"/>
    </row>
    <row r="566" spans="1:14" hidden="1">
      <c r="A566" s="1824"/>
      <c r="B566" s="695" t="s">
        <v>2193</v>
      </c>
      <c r="C566" s="782"/>
      <c r="D566" s="200"/>
      <c r="E566" s="376"/>
      <c r="F566" s="376"/>
      <c r="G566" s="376">
        <v>1</v>
      </c>
      <c r="H566" s="475">
        <f>G566</f>
        <v>1</v>
      </c>
      <c r="I566" s="1509"/>
      <c r="J566" s="1509"/>
      <c r="K566" s="1509"/>
      <c r="L566" s="1509"/>
      <c r="M566" s="1509"/>
      <c r="N566" s="1509"/>
    </row>
    <row r="567" spans="1:14" hidden="1">
      <c r="A567" s="1824"/>
      <c r="B567" s="695"/>
      <c r="C567" s="782"/>
      <c r="D567" s="200"/>
      <c r="E567" s="376"/>
      <c r="F567" s="376"/>
      <c r="G567" s="376"/>
      <c r="H567" s="475"/>
      <c r="I567" s="1509"/>
      <c r="J567" s="1509"/>
      <c r="K567" s="1509"/>
      <c r="L567" s="1509"/>
      <c r="M567" s="1509"/>
      <c r="N567" s="1509"/>
    </row>
    <row r="568" spans="1:14" hidden="1">
      <c r="A568" s="1823" t="s">
        <v>2218</v>
      </c>
      <c r="B568" s="1823"/>
      <c r="C568" s="1823"/>
      <c r="D568" s="1823"/>
      <c r="E568" s="1823"/>
      <c r="F568" s="1823"/>
      <c r="G568" s="1823"/>
      <c r="H568" s="766">
        <f>SUM(H564:H567)</f>
        <v>2</v>
      </c>
      <c r="I568" s="1509"/>
      <c r="J568" s="1509"/>
      <c r="K568" s="1509"/>
      <c r="L568" s="1509"/>
      <c r="M568" s="1509"/>
      <c r="N568" s="1509"/>
    </row>
    <row r="569" spans="1:14" hidden="1">
      <c r="A569" s="1650" t="s">
        <v>2219</v>
      </c>
      <c r="B569" s="1650"/>
      <c r="C569" s="1650"/>
      <c r="D569" s="1650"/>
      <c r="E569" s="1650"/>
      <c r="F569" s="1650"/>
      <c r="G569" s="1650"/>
      <c r="H569" s="767">
        <v>0</v>
      </c>
      <c r="I569" s="1509"/>
      <c r="J569" s="1509"/>
      <c r="K569" s="1509"/>
      <c r="L569" s="1509"/>
      <c r="M569" s="1509"/>
      <c r="N569" s="1509"/>
    </row>
    <row r="570" spans="1:14" hidden="1">
      <c r="A570" s="1650" t="s">
        <v>2220</v>
      </c>
      <c r="B570" s="1650"/>
      <c r="C570" s="1650"/>
      <c r="D570" s="1650"/>
      <c r="E570" s="1650"/>
      <c r="F570" s="1650"/>
      <c r="G570" s="1650"/>
      <c r="H570" s="217">
        <f>H568-H569</f>
        <v>2</v>
      </c>
      <c r="I570" s="1509"/>
      <c r="J570" s="1509"/>
      <c r="K570" s="1509"/>
      <c r="L570" s="1509"/>
      <c r="M570" s="1509"/>
      <c r="N570" s="1509"/>
    </row>
    <row r="571" spans="1:14" ht="15" hidden="1" customHeight="1">
      <c r="A571" s="1820"/>
      <c r="B571" s="1820"/>
      <c r="C571" s="1820"/>
      <c r="D571" s="1820"/>
      <c r="E571" s="1820"/>
      <c r="F571" s="1820"/>
      <c r="G571" s="1820"/>
      <c r="H571" s="1820"/>
      <c r="I571" s="1820"/>
      <c r="J571" s="1820"/>
      <c r="K571" s="1820"/>
      <c r="L571" s="1820"/>
      <c r="M571" s="1820"/>
      <c r="N571" s="1820"/>
    </row>
    <row r="572" spans="1:14" ht="15" hidden="1" customHeight="1">
      <c r="A572" s="1080" t="s">
        <v>2437</v>
      </c>
      <c r="B572" s="1821" t="s">
        <v>591</v>
      </c>
      <c r="C572" s="1821"/>
      <c r="D572" s="1821"/>
      <c r="E572" s="1821"/>
      <c r="F572" s="1821"/>
      <c r="G572" s="1821"/>
      <c r="H572" s="1821"/>
      <c r="I572" s="1821"/>
      <c r="J572" s="1821"/>
      <c r="K572" s="761" t="s">
        <v>2222</v>
      </c>
      <c r="L572" s="1822">
        <v>351.35</v>
      </c>
      <c r="M572" s="1822"/>
      <c r="N572" s="762">
        <f>L572-H606</f>
        <v>0</v>
      </c>
    </row>
    <row r="573" spans="1:14" hidden="1">
      <c r="A573" s="1797"/>
      <c r="B573" s="1797"/>
      <c r="C573" s="772"/>
      <c r="D573" s="281" t="s">
        <v>2183</v>
      </c>
      <c r="E573" s="631" t="s">
        <v>2184</v>
      </c>
      <c r="F573" s="281" t="s">
        <v>2185</v>
      </c>
      <c r="G573" s="281" t="s">
        <v>2186</v>
      </c>
      <c r="H573" s="1823" t="s">
        <v>476</v>
      </c>
      <c r="I573" s="1509"/>
      <c r="J573" s="1509"/>
      <c r="K573" s="1509"/>
      <c r="L573" s="1509"/>
      <c r="M573" s="1509"/>
      <c r="N573" s="1509"/>
    </row>
    <row r="574" spans="1:14" hidden="1">
      <c r="A574" s="1797"/>
      <c r="B574" s="1797"/>
      <c r="C574" s="555" t="s">
        <v>2382</v>
      </c>
      <c r="D574" s="375" t="s">
        <v>2187</v>
      </c>
      <c r="E574" s="1312" t="s">
        <v>2188</v>
      </c>
      <c r="F574" s="375" t="s">
        <v>2189</v>
      </c>
      <c r="G574" s="375" t="s">
        <v>2190</v>
      </c>
      <c r="H574" s="1823"/>
      <c r="I574" s="1509"/>
      <c r="J574" s="1509"/>
      <c r="K574" s="1509"/>
      <c r="L574" s="1509"/>
      <c r="M574" s="1509"/>
      <c r="N574" s="1509"/>
    </row>
    <row r="575" spans="1:14" hidden="1">
      <c r="A575" s="1824" t="s">
        <v>2238</v>
      </c>
      <c r="B575" s="783" t="s">
        <v>2192</v>
      </c>
      <c r="C575" s="783"/>
      <c r="D575" s="200"/>
      <c r="E575" s="376"/>
      <c r="F575" s="376"/>
      <c r="G575" s="376"/>
      <c r="H575" s="475"/>
      <c r="I575" s="1509"/>
      <c r="J575" s="1509"/>
      <c r="K575" s="1509"/>
      <c r="L575" s="1509"/>
      <c r="M575" s="1509"/>
      <c r="N575" s="1509"/>
    </row>
    <row r="576" spans="1:14" hidden="1">
      <c r="A576" s="1824"/>
      <c r="B576" s="695" t="s">
        <v>2338</v>
      </c>
      <c r="C576" s="375">
        <v>4.16</v>
      </c>
      <c r="D576" s="200"/>
      <c r="E576" s="376"/>
      <c r="F576" s="376"/>
      <c r="G576" s="376"/>
      <c r="H576" s="475">
        <f t="shared" ref="H576:H590" si="17">C576</f>
        <v>4.16</v>
      </c>
      <c r="I576" s="1509"/>
      <c r="J576" s="1509"/>
      <c r="K576" s="1509"/>
      <c r="L576" s="1509"/>
      <c r="M576" s="1509"/>
      <c r="N576" s="1509"/>
    </row>
    <row r="577" spans="1:14" hidden="1">
      <c r="A577" s="1824"/>
      <c r="B577" s="695" t="s">
        <v>2339</v>
      </c>
      <c r="C577" s="375">
        <v>4.12</v>
      </c>
      <c r="D577" s="200"/>
      <c r="E577" s="376"/>
      <c r="F577" s="376"/>
      <c r="G577" s="376"/>
      <c r="H577" s="475">
        <f t="shared" si="17"/>
        <v>4.12</v>
      </c>
      <c r="I577" s="1509"/>
      <c r="J577" s="1509"/>
      <c r="K577" s="1509"/>
      <c r="L577" s="1509"/>
      <c r="M577" s="1509"/>
      <c r="N577" s="1509"/>
    </row>
    <row r="578" spans="1:14" hidden="1">
      <c r="A578" s="1824"/>
      <c r="B578" s="695" t="s">
        <v>2438</v>
      </c>
      <c r="C578" s="375">
        <v>16.059999999999999</v>
      </c>
      <c r="D578" s="200"/>
      <c r="E578" s="376"/>
      <c r="F578" s="376"/>
      <c r="G578" s="376"/>
      <c r="H578" s="475">
        <f t="shared" si="17"/>
        <v>16.059999999999999</v>
      </c>
      <c r="I578" s="1509"/>
      <c r="J578" s="1509"/>
      <c r="K578" s="1509"/>
      <c r="L578" s="1509"/>
      <c r="M578" s="1509"/>
      <c r="N578" s="1509"/>
    </row>
    <row r="579" spans="1:14" hidden="1">
      <c r="A579" s="1824"/>
      <c r="B579" s="695" t="s">
        <v>2232</v>
      </c>
      <c r="C579" s="375">
        <v>15.68</v>
      </c>
      <c r="D579" s="200"/>
      <c r="E579" s="376"/>
      <c r="F579" s="376"/>
      <c r="G579" s="376"/>
      <c r="H579" s="475">
        <f t="shared" si="17"/>
        <v>15.68</v>
      </c>
      <c r="I579" s="1509"/>
      <c r="J579" s="1509"/>
      <c r="K579" s="1509"/>
      <c r="L579" s="1509"/>
      <c r="M579" s="1509"/>
      <c r="N579" s="1509"/>
    </row>
    <row r="580" spans="1:14" hidden="1">
      <c r="A580" s="1824"/>
      <c r="B580" s="695" t="s">
        <v>2233</v>
      </c>
      <c r="C580" s="375">
        <v>15.64</v>
      </c>
      <c r="D580" s="200"/>
      <c r="E580" s="376"/>
      <c r="F580" s="376"/>
      <c r="G580" s="376"/>
      <c r="H580" s="475">
        <f t="shared" si="17"/>
        <v>15.64</v>
      </c>
      <c r="I580" s="1509"/>
      <c r="J580" s="1509"/>
      <c r="K580" s="1509"/>
      <c r="L580" s="1509"/>
      <c r="M580" s="1509"/>
      <c r="N580" s="1509"/>
    </row>
    <row r="581" spans="1:14" hidden="1">
      <c r="A581" s="1824"/>
      <c r="B581" s="695" t="s">
        <v>2432</v>
      </c>
      <c r="C581" s="375">
        <v>15</v>
      </c>
      <c r="D581" s="200"/>
      <c r="E581" s="376"/>
      <c r="F581" s="376"/>
      <c r="G581" s="376"/>
      <c r="H581" s="475">
        <f t="shared" si="17"/>
        <v>15</v>
      </c>
      <c r="I581" s="1509"/>
      <c r="J581" s="1509"/>
      <c r="K581" s="1509"/>
      <c r="L581" s="1509"/>
      <c r="M581" s="1509"/>
      <c r="N581" s="1509"/>
    </row>
    <row r="582" spans="1:14" hidden="1">
      <c r="A582" s="1824"/>
      <c r="B582" s="695" t="s">
        <v>2337</v>
      </c>
      <c r="C582" s="375">
        <v>4.38</v>
      </c>
      <c r="D582" s="200"/>
      <c r="E582" s="376"/>
      <c r="F582" s="376"/>
      <c r="G582" s="376"/>
      <c r="H582" s="475">
        <f t="shared" si="17"/>
        <v>4.38</v>
      </c>
      <c r="I582" s="1509"/>
      <c r="J582" s="1509"/>
      <c r="K582" s="1509"/>
      <c r="L582" s="1509"/>
      <c r="M582" s="1509"/>
      <c r="N582" s="1509"/>
    </row>
    <row r="583" spans="1:14" hidden="1">
      <c r="A583" s="1824"/>
      <c r="B583" s="695" t="s">
        <v>2349</v>
      </c>
      <c r="C583" s="375">
        <v>5.68</v>
      </c>
      <c r="D583" s="200"/>
      <c r="E583" s="376"/>
      <c r="F583" s="376"/>
      <c r="G583" s="376"/>
      <c r="H583" s="475">
        <f t="shared" si="17"/>
        <v>5.68</v>
      </c>
      <c r="I583" s="1509"/>
      <c r="J583" s="1509"/>
      <c r="K583" s="1509"/>
      <c r="L583" s="1509"/>
      <c r="M583" s="1509"/>
      <c r="N583" s="1509"/>
    </row>
    <row r="584" spans="1:14" hidden="1">
      <c r="A584" s="1824"/>
      <c r="B584" s="695" t="s">
        <v>2439</v>
      </c>
      <c r="C584" s="375">
        <f>7.42+4.1</f>
        <v>11.52</v>
      </c>
      <c r="D584" s="200"/>
      <c r="E584" s="376"/>
      <c r="F584" s="376"/>
      <c r="G584" s="376"/>
      <c r="H584" s="475">
        <f t="shared" si="17"/>
        <v>11.52</v>
      </c>
      <c r="I584" s="1509"/>
      <c r="J584" s="1509"/>
      <c r="K584" s="1509"/>
      <c r="L584" s="1509"/>
      <c r="M584" s="1509"/>
      <c r="N584" s="1509"/>
    </row>
    <row r="585" spans="1:14" hidden="1">
      <c r="A585" s="1824"/>
      <c r="B585" s="695" t="s">
        <v>2436</v>
      </c>
      <c r="C585" s="375">
        <v>10.029999999999999</v>
      </c>
      <c r="D585" s="200"/>
      <c r="E585" s="376"/>
      <c r="F585" s="376"/>
      <c r="G585" s="376"/>
      <c r="H585" s="475">
        <f t="shared" si="17"/>
        <v>10.029999999999999</v>
      </c>
      <c r="I585" s="1509"/>
      <c r="J585" s="1509"/>
      <c r="K585" s="1509"/>
      <c r="L585" s="1509"/>
      <c r="M585" s="1509"/>
      <c r="N585" s="1509"/>
    </row>
    <row r="586" spans="1:14" hidden="1">
      <c r="A586" s="1824"/>
      <c r="B586" s="695" t="s">
        <v>2193</v>
      </c>
      <c r="C586" s="375">
        <f>5.26+9.93</f>
        <v>15.19</v>
      </c>
      <c r="D586" s="200"/>
      <c r="E586" s="376"/>
      <c r="F586" s="376"/>
      <c r="G586" s="376"/>
      <c r="H586" s="475">
        <f t="shared" si="17"/>
        <v>15.19</v>
      </c>
      <c r="I586" s="1509"/>
      <c r="J586" s="1509"/>
      <c r="K586" s="1509"/>
      <c r="L586" s="1509"/>
      <c r="M586" s="1509"/>
      <c r="N586" s="1509"/>
    </row>
    <row r="587" spans="1:14" hidden="1">
      <c r="A587" s="1824"/>
      <c r="B587" s="695" t="s">
        <v>2440</v>
      </c>
      <c r="C587" s="375">
        <v>2.63</v>
      </c>
      <c r="D587" s="200"/>
      <c r="E587" s="376"/>
      <c r="F587" s="376"/>
      <c r="G587" s="376"/>
      <c r="H587" s="475">
        <f t="shared" si="17"/>
        <v>2.63</v>
      </c>
      <c r="I587" s="1509"/>
      <c r="J587" s="1509"/>
      <c r="K587" s="1509"/>
      <c r="L587" s="1509"/>
      <c r="M587" s="1509"/>
      <c r="N587" s="1509"/>
    </row>
    <row r="588" spans="1:14" hidden="1">
      <c r="A588" s="1824"/>
      <c r="B588" s="695" t="s">
        <v>2441</v>
      </c>
      <c r="C588" s="375">
        <v>2.63</v>
      </c>
      <c r="D588" s="200"/>
      <c r="E588" s="376"/>
      <c r="F588" s="376"/>
      <c r="G588" s="376"/>
      <c r="H588" s="475">
        <f t="shared" si="17"/>
        <v>2.63</v>
      </c>
      <c r="I588" s="1509"/>
      <c r="J588" s="1509"/>
      <c r="K588" s="1509"/>
      <c r="L588" s="1509"/>
      <c r="M588" s="1509"/>
      <c r="N588" s="1509"/>
    </row>
    <row r="589" spans="1:14" hidden="1">
      <c r="A589" s="1824"/>
      <c r="B589" s="695" t="s">
        <v>2442</v>
      </c>
      <c r="C589" s="375">
        <f>5.14+9.85</f>
        <v>14.989999999999998</v>
      </c>
      <c r="D589" s="200"/>
      <c r="E589" s="376"/>
      <c r="F589" s="376"/>
      <c r="G589" s="376"/>
      <c r="H589" s="475">
        <f t="shared" si="17"/>
        <v>14.989999999999998</v>
      </c>
      <c r="I589" s="1509"/>
      <c r="J589" s="1509"/>
      <c r="K589" s="1509"/>
      <c r="L589" s="1509"/>
      <c r="M589" s="1509"/>
      <c r="N589" s="1509"/>
    </row>
    <row r="590" spans="1:14" hidden="1">
      <c r="A590" s="1824"/>
      <c r="B590" s="695" t="s">
        <v>2433</v>
      </c>
      <c r="C590" s="375">
        <v>12.64</v>
      </c>
      <c r="D590" s="200"/>
      <c r="E590" s="376"/>
      <c r="F590" s="376"/>
      <c r="G590" s="376"/>
      <c r="H590" s="475">
        <f t="shared" si="17"/>
        <v>12.64</v>
      </c>
      <c r="I590" s="1509"/>
      <c r="J590" s="1509"/>
      <c r="K590" s="1509"/>
      <c r="L590" s="1509"/>
      <c r="M590" s="1509"/>
      <c r="N590" s="1509"/>
    </row>
    <row r="591" spans="1:14" hidden="1">
      <c r="A591" s="1824"/>
      <c r="B591" s="783" t="s">
        <v>2200</v>
      </c>
      <c r="C591" s="782"/>
      <c r="D591" s="200"/>
      <c r="E591" s="376"/>
      <c r="F591" s="376"/>
      <c r="G591" s="376"/>
      <c r="H591" s="475"/>
      <c r="I591" s="1509"/>
      <c r="J591" s="1509"/>
      <c r="K591" s="1509"/>
      <c r="L591" s="1509"/>
      <c r="M591" s="1509"/>
      <c r="N591" s="1509"/>
    </row>
    <row r="592" spans="1:14" hidden="1">
      <c r="A592" s="1824"/>
      <c r="B592" s="695" t="s">
        <v>2409</v>
      </c>
      <c r="C592" s="375">
        <v>27.3</v>
      </c>
      <c r="D592" s="200"/>
      <c r="E592" s="376"/>
      <c r="F592" s="376"/>
      <c r="G592" s="376"/>
      <c r="H592" s="475">
        <f t="shared" ref="H592:H604" si="18">C592</f>
        <v>27.3</v>
      </c>
      <c r="I592" s="1509"/>
      <c r="J592" s="1509"/>
      <c r="K592" s="1509"/>
      <c r="L592" s="1509"/>
      <c r="M592" s="1509"/>
      <c r="N592" s="1509"/>
    </row>
    <row r="593" spans="1:14" hidden="1">
      <c r="A593" s="1824"/>
      <c r="B593" s="695" t="s">
        <v>2338</v>
      </c>
      <c r="C593" s="375">
        <v>5.08</v>
      </c>
      <c r="D593" s="200"/>
      <c r="E593" s="376"/>
      <c r="F593" s="376"/>
      <c r="G593" s="376"/>
      <c r="H593" s="475">
        <f t="shared" si="18"/>
        <v>5.08</v>
      </c>
      <c r="I593" s="1509"/>
      <c r="J593" s="1509"/>
      <c r="K593" s="1509"/>
      <c r="L593" s="1509"/>
      <c r="M593" s="1509"/>
      <c r="N593" s="1509"/>
    </row>
    <row r="594" spans="1:14" hidden="1">
      <c r="A594" s="1824"/>
      <c r="B594" s="695" t="s">
        <v>2339</v>
      </c>
      <c r="C594" s="375">
        <v>4.9000000000000004</v>
      </c>
      <c r="D594" s="200"/>
      <c r="E594" s="376"/>
      <c r="F594" s="376"/>
      <c r="G594" s="376"/>
      <c r="H594" s="475">
        <f t="shared" si="18"/>
        <v>4.9000000000000004</v>
      </c>
      <c r="I594" s="1509"/>
      <c r="J594" s="1509"/>
      <c r="K594" s="1509"/>
      <c r="L594" s="1509"/>
      <c r="M594" s="1509"/>
      <c r="N594" s="1509"/>
    </row>
    <row r="595" spans="1:14" hidden="1">
      <c r="A595" s="1824"/>
      <c r="B595" s="695" t="s">
        <v>2410</v>
      </c>
      <c r="C595" s="375">
        <v>19.61</v>
      </c>
      <c r="D595" s="200"/>
      <c r="E595" s="376"/>
      <c r="F595" s="376"/>
      <c r="G595" s="376"/>
      <c r="H595" s="475">
        <f t="shared" si="18"/>
        <v>19.61</v>
      </c>
      <c r="I595" s="1509"/>
      <c r="J595" s="1509"/>
      <c r="K595" s="1509"/>
      <c r="L595" s="1509"/>
      <c r="M595" s="1509"/>
      <c r="N595" s="1509"/>
    </row>
    <row r="596" spans="1:14" hidden="1">
      <c r="A596" s="1824"/>
      <c r="B596" s="695" t="s">
        <v>2411</v>
      </c>
      <c r="C596" s="375">
        <v>19.52</v>
      </c>
      <c r="D596" s="200"/>
      <c r="E596" s="376"/>
      <c r="F596" s="376"/>
      <c r="G596" s="376"/>
      <c r="H596" s="475">
        <f t="shared" si="18"/>
        <v>19.52</v>
      </c>
      <c r="I596" s="1509"/>
      <c r="J596" s="1509"/>
      <c r="K596" s="1509"/>
      <c r="L596" s="1509"/>
      <c r="M596" s="1509"/>
      <c r="N596" s="1509"/>
    </row>
    <row r="597" spans="1:14" hidden="1">
      <c r="A597" s="1824"/>
      <c r="B597" s="695" t="s">
        <v>2412</v>
      </c>
      <c r="C597" s="375">
        <v>19.350000000000001</v>
      </c>
      <c r="D597" s="200"/>
      <c r="E597" s="376"/>
      <c r="F597" s="376"/>
      <c r="G597" s="376"/>
      <c r="H597" s="475">
        <f t="shared" si="18"/>
        <v>19.350000000000001</v>
      </c>
      <c r="I597" s="1509"/>
      <c r="J597" s="1509"/>
      <c r="K597" s="1509"/>
      <c r="L597" s="1509"/>
      <c r="M597" s="1509"/>
      <c r="N597" s="1509"/>
    </row>
    <row r="598" spans="1:14" hidden="1">
      <c r="A598" s="1824"/>
      <c r="B598" s="695" t="s">
        <v>2413</v>
      </c>
      <c r="C598" s="375">
        <v>19.73</v>
      </c>
      <c r="D598" s="200"/>
      <c r="E598" s="376"/>
      <c r="F598" s="376"/>
      <c r="G598" s="376"/>
      <c r="H598" s="475">
        <f t="shared" si="18"/>
        <v>19.73</v>
      </c>
      <c r="I598" s="1509"/>
      <c r="J598" s="1509"/>
      <c r="K598" s="1509"/>
      <c r="L598" s="1509"/>
      <c r="M598" s="1509"/>
      <c r="N598" s="1509"/>
    </row>
    <row r="599" spans="1:14" hidden="1">
      <c r="A599" s="1824"/>
      <c r="B599" s="695" t="s">
        <v>2414</v>
      </c>
      <c r="C599" s="375">
        <v>18.899999999999999</v>
      </c>
      <c r="D599" s="200"/>
      <c r="E599" s="376"/>
      <c r="F599" s="376"/>
      <c r="G599" s="376"/>
      <c r="H599" s="475">
        <f t="shared" si="18"/>
        <v>18.899999999999999</v>
      </c>
      <c r="I599" s="1509"/>
      <c r="J599" s="1509"/>
      <c r="K599" s="1509"/>
      <c r="L599" s="1509"/>
      <c r="M599" s="1509"/>
      <c r="N599" s="1509"/>
    </row>
    <row r="600" spans="1:14" hidden="1">
      <c r="A600" s="1824"/>
      <c r="B600" s="695" t="s">
        <v>2415</v>
      </c>
      <c r="C600" s="375">
        <v>19.350000000000001</v>
      </c>
      <c r="D600" s="200"/>
      <c r="E600" s="376"/>
      <c r="F600" s="376"/>
      <c r="G600" s="376"/>
      <c r="H600" s="475">
        <f t="shared" si="18"/>
        <v>19.350000000000001</v>
      </c>
      <c r="I600" s="1509"/>
      <c r="J600" s="1509"/>
      <c r="K600" s="1509"/>
      <c r="L600" s="1509"/>
      <c r="M600" s="1509"/>
      <c r="N600" s="1509"/>
    </row>
    <row r="601" spans="1:14" hidden="1">
      <c r="A601" s="1824"/>
      <c r="B601" s="695" t="s">
        <v>2443</v>
      </c>
      <c r="C601" s="375">
        <f>20.06+1.64</f>
        <v>21.7</v>
      </c>
      <c r="D601" s="200"/>
      <c r="E601" s="376"/>
      <c r="F601" s="376"/>
      <c r="G601" s="376"/>
      <c r="H601" s="475">
        <f t="shared" si="18"/>
        <v>21.7</v>
      </c>
      <c r="I601" s="1509"/>
      <c r="J601" s="1509"/>
      <c r="K601" s="1509"/>
      <c r="L601" s="1509"/>
      <c r="M601" s="1509"/>
      <c r="N601" s="1509"/>
    </row>
    <row r="602" spans="1:14" hidden="1">
      <c r="A602" s="1824"/>
      <c r="B602" s="695" t="s">
        <v>2444</v>
      </c>
      <c r="C602" s="375">
        <f>19.86+1.98</f>
        <v>21.84</v>
      </c>
      <c r="D602" s="200"/>
      <c r="E602" s="376"/>
      <c r="F602" s="376"/>
      <c r="G602" s="376"/>
      <c r="H602" s="475">
        <f t="shared" si="18"/>
        <v>21.84</v>
      </c>
      <c r="I602" s="1509"/>
      <c r="J602" s="1509"/>
      <c r="K602" s="1509"/>
      <c r="L602" s="1509"/>
      <c r="M602" s="1509"/>
      <c r="N602" s="1509"/>
    </row>
    <row r="603" spans="1:14" hidden="1">
      <c r="A603" s="1824"/>
      <c r="B603" s="695" t="s">
        <v>2343</v>
      </c>
      <c r="C603" s="375">
        <v>2.11</v>
      </c>
      <c r="D603" s="200"/>
      <c r="E603" s="376"/>
      <c r="F603" s="376"/>
      <c r="G603" s="376"/>
      <c r="H603" s="475">
        <f t="shared" si="18"/>
        <v>2.11</v>
      </c>
      <c r="I603" s="1509"/>
      <c r="J603" s="1509"/>
      <c r="K603" s="1509"/>
      <c r="L603" s="1509"/>
      <c r="M603" s="1509"/>
      <c r="N603" s="1509"/>
    </row>
    <row r="604" spans="1:14" hidden="1">
      <c r="A604" s="1824"/>
      <c r="B604" s="695" t="s">
        <v>2445</v>
      </c>
      <c r="C604" s="375">
        <v>1.61</v>
      </c>
      <c r="D604" s="200"/>
      <c r="E604" s="376"/>
      <c r="F604" s="376"/>
      <c r="G604" s="376"/>
      <c r="H604" s="475">
        <f t="shared" si="18"/>
        <v>1.61</v>
      </c>
      <c r="I604" s="1509"/>
      <c r="J604" s="1509"/>
      <c r="K604" s="1509"/>
      <c r="L604" s="1509"/>
      <c r="M604" s="1509"/>
      <c r="N604" s="1509"/>
    </row>
    <row r="605" spans="1:14" hidden="1">
      <c r="A605" s="1824"/>
      <c r="B605" s="695"/>
      <c r="C605" s="782"/>
      <c r="D605" s="200"/>
      <c r="E605" s="376"/>
      <c r="F605" s="376"/>
      <c r="G605" s="376"/>
      <c r="H605" s="475"/>
      <c r="I605" s="1509"/>
      <c r="J605" s="1509"/>
      <c r="K605" s="1509"/>
      <c r="L605" s="1509"/>
      <c r="M605" s="1509"/>
      <c r="N605" s="1509"/>
    </row>
    <row r="606" spans="1:14" hidden="1">
      <c r="A606" s="1823" t="s">
        <v>2218</v>
      </c>
      <c r="B606" s="1823"/>
      <c r="C606" s="1823"/>
      <c r="D606" s="1823"/>
      <c r="E606" s="1823"/>
      <c r="F606" s="1823"/>
      <c r="G606" s="1823"/>
      <c r="H606" s="766">
        <f>SUM(H575:H605)</f>
        <v>351.35</v>
      </c>
      <c r="I606" s="1509"/>
      <c r="J606" s="1509"/>
      <c r="K606" s="1509"/>
      <c r="L606" s="1509"/>
      <c r="M606" s="1509"/>
      <c r="N606" s="1509"/>
    </row>
    <row r="607" spans="1:14" hidden="1">
      <c r="A607" s="1650" t="s">
        <v>2219</v>
      </c>
      <c r="B607" s="1650"/>
      <c r="C607" s="1650"/>
      <c r="D607" s="1650"/>
      <c r="E607" s="1650"/>
      <c r="F607" s="1650"/>
      <c r="G607" s="1650"/>
      <c r="H607" s="767">
        <v>0</v>
      </c>
      <c r="I607" s="1509"/>
      <c r="J607" s="1509"/>
      <c r="K607" s="1509"/>
      <c r="L607" s="1509"/>
      <c r="M607" s="1509"/>
      <c r="N607" s="1509"/>
    </row>
    <row r="608" spans="1:14" ht="15.75" hidden="1" thickBot="1">
      <c r="A608" s="1650" t="s">
        <v>2220</v>
      </c>
      <c r="B608" s="1650"/>
      <c r="C608" s="1650"/>
      <c r="D608" s="1650"/>
      <c r="E608" s="1650"/>
      <c r="F608" s="1650"/>
      <c r="G608" s="1650"/>
      <c r="H608" s="217">
        <f>H606-H607</f>
        <v>351.35</v>
      </c>
      <c r="I608" s="1509"/>
      <c r="J608" s="1509"/>
      <c r="K608" s="1509"/>
      <c r="L608" s="1509"/>
      <c r="M608" s="1509"/>
      <c r="N608" s="1509"/>
    </row>
    <row r="609" spans="1:15" ht="27.6" hidden="1" customHeight="1">
      <c r="A609" s="1084" t="s">
        <v>3160</v>
      </c>
      <c r="B609" s="1494" t="s">
        <v>487</v>
      </c>
      <c r="C609" s="1495"/>
      <c r="D609" s="1495"/>
      <c r="E609" s="1495"/>
      <c r="F609" s="1495"/>
      <c r="G609" s="1495"/>
      <c r="H609" s="1495"/>
      <c r="I609" s="1495"/>
      <c r="J609" s="1496"/>
      <c r="K609" s="196" t="s">
        <v>2222</v>
      </c>
      <c r="L609" s="1497">
        <f>'27ª MEDIÇÃO '!F38</f>
        <v>566.15</v>
      </c>
      <c r="M609" s="1498"/>
      <c r="N609" s="197">
        <f>L609-H649</f>
        <v>-4.2999999999437932E-3</v>
      </c>
    </row>
    <row r="610" spans="1:15" hidden="1">
      <c r="A610" s="1790"/>
      <c r="B610" s="1500"/>
      <c r="C610" s="805"/>
      <c r="D610" s="340" t="s">
        <v>2183</v>
      </c>
      <c r="E610" s="839" t="s">
        <v>2184</v>
      </c>
      <c r="F610" s="340" t="s">
        <v>2185</v>
      </c>
      <c r="G610" s="340" t="s">
        <v>2186</v>
      </c>
      <c r="H610" s="1816" t="s">
        <v>476</v>
      </c>
      <c r="I610" s="1506"/>
      <c r="J610" s="1506"/>
      <c r="K610" s="1506"/>
      <c r="L610" s="1506"/>
      <c r="M610" s="1506"/>
      <c r="N610" s="1507"/>
    </row>
    <row r="611" spans="1:15" hidden="1">
      <c r="A611" s="1791"/>
      <c r="B611" s="1502"/>
      <c r="C611" s="806" t="s">
        <v>3163</v>
      </c>
      <c r="D611" s="97" t="s">
        <v>3161</v>
      </c>
      <c r="E611" s="97" t="s">
        <v>3162</v>
      </c>
      <c r="F611" s="292"/>
      <c r="G611" s="361"/>
      <c r="H611" s="1817"/>
      <c r="I611" s="1509"/>
      <c r="J611" s="1509"/>
      <c r="K611" s="1509"/>
      <c r="L611" s="1509"/>
      <c r="M611" s="1509"/>
      <c r="N611" s="1510"/>
    </row>
    <row r="612" spans="1:15" hidden="1">
      <c r="A612" s="1818" t="s">
        <v>3158</v>
      </c>
      <c r="B612" s="791" t="s">
        <v>2192</v>
      </c>
      <c r="C612" s="790"/>
      <c r="D612" s="558"/>
      <c r="E612" s="558"/>
      <c r="F612" s="375"/>
      <c r="G612" s="556"/>
      <c r="H612" s="797"/>
      <c r="I612" s="1509"/>
      <c r="J612" s="1509"/>
      <c r="K612" s="1509"/>
      <c r="L612" s="1509"/>
      <c r="M612" s="1509"/>
      <c r="N612" s="1510"/>
      <c r="O612" s="897"/>
    </row>
    <row r="613" spans="1:15" hidden="1">
      <c r="A613" s="1818"/>
      <c r="B613" s="798" t="s">
        <v>3164</v>
      </c>
      <c r="C613" s="786"/>
      <c r="D613" s="317">
        <v>18.100000000000001</v>
      </c>
      <c r="E613" s="1315">
        <v>2.9</v>
      </c>
      <c r="F613" s="317"/>
      <c r="G613" s="317"/>
      <c r="H613" s="792">
        <f>D613*E613</f>
        <v>52.49</v>
      </c>
      <c r="I613" s="1509"/>
      <c r="J613" s="1509"/>
      <c r="K613" s="1509"/>
      <c r="L613" s="1509"/>
      <c r="M613" s="1509"/>
      <c r="N613" s="1510"/>
    </row>
    <row r="614" spans="1:15" hidden="1">
      <c r="A614" s="1818"/>
      <c r="B614" s="799" t="s">
        <v>3053</v>
      </c>
      <c r="C614" s="787" t="s">
        <v>2389</v>
      </c>
      <c r="D614" s="788">
        <v>2.36</v>
      </c>
      <c r="E614" s="1316">
        <v>2.1</v>
      </c>
      <c r="F614" s="788">
        <v>1</v>
      </c>
      <c r="G614" s="788"/>
      <c r="H614" s="793">
        <f>(-(D614*E614)+2)*F614</f>
        <v>-2.9559999999999995</v>
      </c>
      <c r="I614" s="1509"/>
      <c r="J614" s="1509"/>
      <c r="K614" s="1509"/>
      <c r="L614" s="1509"/>
      <c r="M614" s="1509"/>
      <c r="N614" s="1510"/>
    </row>
    <row r="615" spans="1:15" hidden="1">
      <c r="A615" s="1818"/>
      <c r="B615" s="800" t="s">
        <v>3165</v>
      </c>
      <c r="C615" s="354"/>
      <c r="D615" s="789">
        <v>5.1100000000000003</v>
      </c>
      <c r="E615" s="1317">
        <v>2.9</v>
      </c>
      <c r="F615" s="341"/>
      <c r="G615" s="341"/>
      <c r="H615" s="792">
        <f>D615*E615</f>
        <v>14.819000000000001</v>
      </c>
      <c r="I615" s="1509"/>
      <c r="J615" s="1509"/>
      <c r="K615" s="1509"/>
      <c r="L615" s="1509"/>
      <c r="M615" s="1509"/>
      <c r="N615" s="1510"/>
    </row>
    <row r="616" spans="1:15" hidden="1">
      <c r="A616" s="1818"/>
      <c r="B616" s="389"/>
      <c r="C616" s="354"/>
      <c r="D616" s="198"/>
      <c r="E616" s="341"/>
      <c r="F616" s="341"/>
      <c r="G616" s="341"/>
      <c r="H616" s="564"/>
      <c r="I616" s="1509"/>
      <c r="J616" s="1509"/>
      <c r="K616" s="1509"/>
      <c r="L616" s="1509"/>
      <c r="M616" s="1509"/>
      <c r="N616" s="1510"/>
    </row>
    <row r="617" spans="1:15" hidden="1">
      <c r="A617" s="1818"/>
      <c r="B617" s="791" t="s">
        <v>2200</v>
      </c>
      <c r="C617" s="354"/>
      <c r="D617" s="198"/>
      <c r="E617" s="341"/>
      <c r="F617" s="341"/>
      <c r="G617" s="341"/>
      <c r="H617" s="564"/>
      <c r="I617" s="1509"/>
      <c r="J617" s="1509"/>
      <c r="K617" s="1509"/>
      <c r="L617" s="1509"/>
      <c r="M617" s="1509"/>
      <c r="N617" s="1510"/>
      <c r="O617" s="897"/>
    </row>
    <row r="618" spans="1:15" hidden="1">
      <c r="A618" s="1818"/>
      <c r="B618" s="801" t="s">
        <v>3164</v>
      </c>
      <c r="C618" s="786"/>
      <c r="D618" s="317">
        <v>18.100000000000001</v>
      </c>
      <c r="E618" s="1315">
        <v>2.9</v>
      </c>
      <c r="F618" s="317"/>
      <c r="G618" s="317"/>
      <c r="H618" s="792">
        <f>D618*E618</f>
        <v>52.49</v>
      </c>
      <c r="I618" s="1509"/>
      <c r="J618" s="1509"/>
      <c r="K618" s="1509"/>
      <c r="L618" s="1509"/>
      <c r="M618" s="1509"/>
      <c r="N618" s="1510"/>
    </row>
    <row r="619" spans="1:15" hidden="1">
      <c r="A619" s="1818"/>
      <c r="B619" s="802" t="s">
        <v>3053</v>
      </c>
      <c r="C619" s="787" t="s">
        <v>2389</v>
      </c>
      <c r="D619" s="788">
        <v>2.36</v>
      </c>
      <c r="E619" s="1316">
        <v>2.1</v>
      </c>
      <c r="F619" s="788">
        <v>1</v>
      </c>
      <c r="G619" s="788"/>
      <c r="H619" s="793">
        <f>(-(D619*E619)+2)*F619</f>
        <v>-2.9559999999999995</v>
      </c>
      <c r="I619" s="1509"/>
      <c r="J619" s="1509"/>
      <c r="K619" s="1509"/>
      <c r="L619" s="1509"/>
      <c r="M619" s="1509"/>
      <c r="N619" s="1510"/>
    </row>
    <row r="620" spans="1:15" hidden="1">
      <c r="A620" s="1818"/>
      <c r="B620" s="803" t="s">
        <v>2342</v>
      </c>
      <c r="C620" s="354"/>
      <c r="D620" s="317">
        <v>5.88</v>
      </c>
      <c r="E620" s="1315">
        <v>2.9</v>
      </c>
      <c r="F620" s="317"/>
      <c r="G620" s="317"/>
      <c r="H620" s="792">
        <f>D620*E620</f>
        <v>17.052</v>
      </c>
      <c r="I620" s="1509"/>
      <c r="J620" s="1509"/>
      <c r="K620" s="1509"/>
      <c r="L620" s="1509"/>
      <c r="M620" s="1509"/>
      <c r="N620" s="1510"/>
    </row>
    <row r="621" spans="1:15" hidden="1">
      <c r="A621" s="1818"/>
      <c r="B621" s="803" t="s">
        <v>2407</v>
      </c>
      <c r="C621" s="354"/>
      <c r="D621" s="317">
        <v>6.98</v>
      </c>
      <c r="E621" s="1315">
        <v>2.9</v>
      </c>
      <c r="F621" s="317"/>
      <c r="G621" s="317"/>
      <c r="H621" s="792">
        <f>D621*E621</f>
        <v>20.242000000000001</v>
      </c>
      <c r="I621" s="1509"/>
      <c r="J621" s="1509"/>
      <c r="K621" s="1509"/>
      <c r="L621" s="1509"/>
      <c r="M621" s="1509"/>
      <c r="N621" s="1510"/>
    </row>
    <row r="622" spans="1:15" hidden="1">
      <c r="A622" s="1818"/>
      <c r="B622" s="803" t="s">
        <v>2343</v>
      </c>
      <c r="C622" s="354"/>
      <c r="D622" s="317">
        <v>5.85</v>
      </c>
      <c r="E622" s="1315">
        <v>2.9</v>
      </c>
      <c r="F622" s="317"/>
      <c r="G622" s="317"/>
      <c r="H622" s="792">
        <f>D622*E622</f>
        <v>16.965</v>
      </c>
      <c r="I622" s="1509"/>
      <c r="J622" s="1509"/>
      <c r="K622" s="1509"/>
      <c r="L622" s="1509"/>
      <c r="M622" s="1509"/>
      <c r="N622" s="1510"/>
    </row>
    <row r="623" spans="1:15" hidden="1">
      <c r="A623" s="1819"/>
      <c r="B623" s="804" t="s">
        <v>2344</v>
      </c>
      <c r="C623" s="794"/>
      <c r="D623" s="795">
        <v>5.8</v>
      </c>
      <c r="E623" s="1318">
        <v>2.9</v>
      </c>
      <c r="F623" s="795"/>
      <c r="G623" s="795"/>
      <c r="H623" s="796">
        <f>D623*E623</f>
        <v>16.82</v>
      </c>
      <c r="I623" s="1509"/>
      <c r="J623" s="1509"/>
      <c r="K623" s="1509"/>
      <c r="L623" s="1509"/>
      <c r="M623" s="1509"/>
      <c r="N623" s="1510"/>
    </row>
    <row r="624" spans="1:15" hidden="1">
      <c r="A624" s="1818" t="s">
        <v>3217</v>
      </c>
      <c r="B624" s="791" t="s">
        <v>2192</v>
      </c>
      <c r="C624" s="790"/>
      <c r="D624" s="558"/>
      <c r="E624" s="558"/>
      <c r="F624" s="375"/>
      <c r="G624" s="556"/>
      <c r="H624" s="797"/>
      <c r="I624" s="1509"/>
      <c r="J624" s="1509"/>
      <c r="K624" s="1509"/>
      <c r="L624" s="1509"/>
      <c r="M624" s="1509"/>
      <c r="N624" s="1510"/>
    </row>
    <row r="625" spans="1:14" hidden="1">
      <c r="A625" s="1818"/>
      <c r="B625" s="798" t="s">
        <v>3220</v>
      </c>
      <c r="C625" s="787"/>
      <c r="D625" s="317">
        <v>14.51</v>
      </c>
      <c r="E625" s="1315">
        <v>2.9</v>
      </c>
      <c r="F625" s="788"/>
      <c r="G625" s="788"/>
      <c r="H625" s="792">
        <f>D625*E625</f>
        <v>42.079000000000001</v>
      </c>
      <c r="I625" s="1509"/>
      <c r="J625" s="1509"/>
      <c r="K625" s="1509"/>
      <c r="L625" s="1509"/>
      <c r="M625" s="1509"/>
      <c r="N625" s="1510"/>
    </row>
    <row r="626" spans="1:14" hidden="1">
      <c r="A626" s="1818"/>
      <c r="B626" s="798" t="s">
        <v>3221</v>
      </c>
      <c r="C626" s="354"/>
      <c r="D626" s="789">
        <v>3.48</v>
      </c>
      <c r="E626" s="1317">
        <v>5.63</v>
      </c>
      <c r="F626" s="341"/>
      <c r="G626" s="341"/>
      <c r="H626" s="792">
        <f>D626*E626</f>
        <v>19.592399999999998</v>
      </c>
      <c r="I626" s="1509"/>
      <c r="J626" s="1509"/>
      <c r="K626" s="1509"/>
      <c r="L626" s="1509"/>
      <c r="M626" s="1509"/>
      <c r="N626" s="1510"/>
    </row>
    <row r="627" spans="1:14" hidden="1">
      <c r="A627" s="1818"/>
      <c r="B627" s="798" t="s">
        <v>3222</v>
      </c>
      <c r="C627" s="354"/>
      <c r="D627" s="789">
        <v>10.01</v>
      </c>
      <c r="E627" s="1317">
        <v>2.9</v>
      </c>
      <c r="F627" s="341"/>
      <c r="G627" s="341"/>
      <c r="H627" s="792">
        <f>D627*E627</f>
        <v>29.029</v>
      </c>
      <c r="I627" s="1509"/>
      <c r="J627" s="1509"/>
      <c r="K627" s="1509"/>
      <c r="L627" s="1509"/>
      <c r="M627" s="1509"/>
      <c r="N627" s="1510"/>
    </row>
    <row r="628" spans="1:14" hidden="1">
      <c r="A628" s="1818"/>
      <c r="B628" s="798" t="s">
        <v>2193</v>
      </c>
      <c r="C628" s="354"/>
      <c r="D628" s="789">
        <v>11.05</v>
      </c>
      <c r="E628" s="1317">
        <v>2.9</v>
      </c>
      <c r="F628" s="341"/>
      <c r="G628" s="341"/>
      <c r="H628" s="792">
        <f>D628*E628</f>
        <v>32.045000000000002</v>
      </c>
      <c r="I628" s="1509"/>
      <c r="J628" s="1509"/>
      <c r="K628" s="1509"/>
      <c r="L628" s="1509"/>
      <c r="M628" s="1509"/>
      <c r="N628" s="1510"/>
    </row>
    <row r="629" spans="1:14" hidden="1">
      <c r="A629" s="1818"/>
      <c r="B629" s="798"/>
      <c r="C629" s="886"/>
      <c r="D629" s="789"/>
      <c r="E629" s="1317"/>
      <c r="F629" s="376"/>
      <c r="G629" s="376"/>
      <c r="H629" s="792"/>
      <c r="I629" s="1509"/>
      <c r="J629" s="1509"/>
      <c r="K629" s="1509"/>
      <c r="L629" s="1509"/>
      <c r="M629" s="1509"/>
      <c r="N629" s="1510"/>
    </row>
    <row r="630" spans="1:14" hidden="1">
      <c r="A630" s="1818"/>
      <c r="B630" s="885" t="s">
        <v>2200</v>
      </c>
      <c r="C630" s="786"/>
      <c r="D630" s="317"/>
      <c r="E630" s="1315"/>
      <c r="F630" s="317"/>
      <c r="G630" s="317"/>
      <c r="H630" s="792"/>
      <c r="I630" s="1509"/>
      <c r="J630" s="1509"/>
      <c r="K630" s="1509"/>
      <c r="L630" s="1509"/>
      <c r="M630" s="1509"/>
      <c r="N630" s="1510"/>
    </row>
    <row r="631" spans="1:14" hidden="1">
      <c r="A631" s="1818"/>
      <c r="B631" s="803" t="s">
        <v>3220</v>
      </c>
      <c r="C631" s="354"/>
      <c r="D631" s="317">
        <v>14.51</v>
      </c>
      <c r="E631" s="1315">
        <v>2.9</v>
      </c>
      <c r="F631" s="317"/>
      <c r="G631" s="317"/>
      <c r="H631" s="792">
        <f>D631*E631</f>
        <v>42.079000000000001</v>
      </c>
      <c r="I631" s="1509"/>
      <c r="J631" s="1509"/>
      <c r="K631" s="1509"/>
      <c r="L631" s="1509"/>
      <c r="M631" s="1509"/>
      <c r="N631" s="1510"/>
    </row>
    <row r="632" spans="1:14" hidden="1">
      <c r="A632" s="1819"/>
      <c r="B632" s="804"/>
      <c r="C632" s="794"/>
      <c r="D632" s="795"/>
      <c r="E632" s="1318"/>
      <c r="F632" s="795"/>
      <c r="G632" s="795"/>
      <c r="H632" s="796">
        <f>D632*E632</f>
        <v>0</v>
      </c>
      <c r="I632" s="1509"/>
      <c r="J632" s="1509"/>
      <c r="K632" s="1509"/>
      <c r="L632" s="1509"/>
      <c r="M632" s="1509"/>
      <c r="N632" s="1510"/>
    </row>
    <row r="633" spans="1:14" hidden="1">
      <c r="A633" s="1818" t="s">
        <v>3294</v>
      </c>
      <c r="B633" s="791" t="s">
        <v>2192</v>
      </c>
      <c r="C633" s="790"/>
      <c r="D633" s="558"/>
      <c r="E633" s="558"/>
      <c r="F633" s="375"/>
      <c r="G633" s="556"/>
      <c r="H633" s="797"/>
      <c r="I633" s="1509"/>
      <c r="J633" s="1509"/>
      <c r="K633" s="1509"/>
      <c r="L633" s="1509"/>
      <c r="M633" s="1509"/>
      <c r="N633" s="1510"/>
    </row>
    <row r="634" spans="1:14" hidden="1">
      <c r="A634" s="1818"/>
      <c r="B634" s="798" t="s">
        <v>3295</v>
      </c>
      <c r="C634" s="787"/>
      <c r="D634" s="317">
        <v>18.32</v>
      </c>
      <c r="E634" s="1315">
        <v>2.9</v>
      </c>
      <c r="F634" s="788"/>
      <c r="G634" s="788"/>
      <c r="H634" s="792">
        <f>D634*E634</f>
        <v>53.128</v>
      </c>
      <c r="I634" s="1509"/>
      <c r="J634" s="1509"/>
      <c r="K634" s="1509"/>
      <c r="L634" s="1509"/>
      <c r="M634" s="1509"/>
      <c r="N634" s="1510"/>
    </row>
    <row r="635" spans="1:14" hidden="1">
      <c r="A635" s="1818"/>
      <c r="B635" s="798" t="s">
        <v>3296</v>
      </c>
      <c r="C635" s="354"/>
      <c r="D635" s="789">
        <v>13.37</v>
      </c>
      <c r="E635" s="1317">
        <v>2.9</v>
      </c>
      <c r="F635" s="341"/>
      <c r="G635" s="341"/>
      <c r="H635" s="792">
        <f>D635*E635</f>
        <v>38.772999999999996</v>
      </c>
      <c r="I635" s="1509"/>
      <c r="J635" s="1509"/>
      <c r="K635" s="1509"/>
      <c r="L635" s="1509"/>
      <c r="M635" s="1509"/>
      <c r="N635" s="1510"/>
    </row>
    <row r="636" spans="1:14" hidden="1">
      <c r="A636" s="1818"/>
      <c r="B636" s="802" t="s">
        <v>3053</v>
      </c>
      <c r="C636" s="787" t="s">
        <v>2259</v>
      </c>
      <c r="D636" s="788">
        <v>11.7</v>
      </c>
      <c r="E636" s="1316">
        <v>1.2</v>
      </c>
      <c r="F636" s="788">
        <v>1</v>
      </c>
      <c r="G636" s="788"/>
      <c r="H636" s="793">
        <f>(-(D636*E636)+2)*F636</f>
        <v>-12.04</v>
      </c>
      <c r="I636" s="1509"/>
      <c r="J636" s="1509"/>
      <c r="K636" s="1509"/>
      <c r="L636" s="1509"/>
      <c r="M636" s="1509"/>
      <c r="N636" s="1510"/>
    </row>
    <row r="637" spans="1:14" hidden="1">
      <c r="A637" s="1818"/>
      <c r="B637" s="798"/>
      <c r="C637" s="886"/>
      <c r="D637" s="789"/>
      <c r="E637" s="1317"/>
      <c r="F637" s="376"/>
      <c r="G637" s="376"/>
      <c r="H637" s="792"/>
      <c r="I637" s="1509"/>
      <c r="J637" s="1509"/>
      <c r="K637" s="1509"/>
      <c r="L637" s="1509"/>
      <c r="M637" s="1509"/>
      <c r="N637" s="1510"/>
    </row>
    <row r="638" spans="1:14" hidden="1">
      <c r="A638" s="1818"/>
      <c r="B638" s="885" t="s">
        <v>2200</v>
      </c>
      <c r="C638" s="786"/>
      <c r="D638" s="317"/>
      <c r="E638" s="1315"/>
      <c r="F638" s="317"/>
      <c r="G638" s="317"/>
      <c r="H638" s="792"/>
      <c r="I638" s="1509"/>
      <c r="J638" s="1509"/>
      <c r="K638" s="1509"/>
      <c r="L638" s="1509"/>
      <c r="M638" s="1509"/>
      <c r="N638" s="1510"/>
    </row>
    <row r="639" spans="1:14" hidden="1">
      <c r="A639" s="1818"/>
      <c r="B639" s="801" t="s">
        <v>3297</v>
      </c>
      <c r="C639" s="786"/>
      <c r="D639" s="317">
        <v>18.32</v>
      </c>
      <c r="E639" s="1315">
        <v>2.9</v>
      </c>
      <c r="F639" s="317"/>
      <c r="G639" s="317"/>
      <c r="H639" s="792">
        <f>D639*E639</f>
        <v>53.128</v>
      </c>
      <c r="I639" s="1509"/>
      <c r="J639" s="1509"/>
      <c r="K639" s="1509"/>
      <c r="L639" s="1509"/>
      <c r="M639" s="1509"/>
      <c r="N639" s="1510"/>
    </row>
    <row r="640" spans="1:14" hidden="1">
      <c r="A640" s="1818"/>
      <c r="B640" s="802" t="s">
        <v>3053</v>
      </c>
      <c r="C640" s="787" t="s">
        <v>2251</v>
      </c>
      <c r="D640" s="788">
        <v>10.8</v>
      </c>
      <c r="E640" s="1316">
        <v>1.2</v>
      </c>
      <c r="F640" s="788">
        <v>2</v>
      </c>
      <c r="G640" s="788"/>
      <c r="H640" s="793">
        <f>(-(D640*E640)+2)*F640</f>
        <v>-21.92</v>
      </c>
      <c r="I640" s="1509"/>
      <c r="J640" s="1509"/>
      <c r="K640" s="1509"/>
      <c r="L640" s="1509"/>
      <c r="M640" s="1509"/>
      <c r="N640" s="1510"/>
    </row>
    <row r="641" spans="1:14" hidden="1">
      <c r="A641" s="1818"/>
      <c r="B641" s="801" t="s">
        <v>3296</v>
      </c>
      <c r="C641" s="786"/>
      <c r="D641" s="317">
        <v>13.37</v>
      </c>
      <c r="E641" s="1315">
        <v>2.9</v>
      </c>
      <c r="F641" s="317"/>
      <c r="G641" s="317"/>
      <c r="H641" s="792">
        <f>D641*E641</f>
        <v>38.772999999999996</v>
      </c>
      <c r="I641" s="1509"/>
      <c r="J641" s="1509"/>
      <c r="K641" s="1509"/>
      <c r="L641" s="1509"/>
      <c r="M641" s="1509"/>
      <c r="N641" s="1510"/>
    </row>
    <row r="642" spans="1:14" hidden="1">
      <c r="A642" s="1818"/>
      <c r="B642" s="802" t="s">
        <v>3053</v>
      </c>
      <c r="C642" s="787" t="s">
        <v>2251</v>
      </c>
      <c r="D642" s="788">
        <v>10.8</v>
      </c>
      <c r="E642" s="1316">
        <v>1.2</v>
      </c>
      <c r="F642" s="788">
        <v>2</v>
      </c>
      <c r="G642" s="788"/>
      <c r="H642" s="793">
        <f>(-(D642*E642)+2)*F642</f>
        <v>-21.92</v>
      </c>
      <c r="I642" s="1509"/>
      <c r="J642" s="1509"/>
      <c r="K642" s="1509"/>
      <c r="L642" s="1509"/>
      <c r="M642" s="1509"/>
      <c r="N642" s="1510"/>
    </row>
    <row r="643" spans="1:14" hidden="1">
      <c r="A643" s="1819"/>
      <c r="B643" s="804"/>
      <c r="C643" s="794"/>
      <c r="D643" s="795"/>
      <c r="E643" s="1318"/>
      <c r="F643" s="795"/>
      <c r="G643" s="795"/>
      <c r="H643" s="796">
        <f>D643*E643</f>
        <v>0</v>
      </c>
      <c r="I643" s="1509"/>
      <c r="J643" s="1509"/>
      <c r="K643" s="1509"/>
      <c r="L643" s="1509"/>
      <c r="M643" s="1509"/>
      <c r="N643" s="1510"/>
    </row>
    <row r="644" spans="1:14" hidden="1">
      <c r="A644" s="1818" t="s">
        <v>3364</v>
      </c>
      <c r="B644" s="791" t="s">
        <v>2192</v>
      </c>
      <c r="C644" s="790"/>
      <c r="D644" s="558"/>
      <c r="E644" s="558"/>
      <c r="F644" s="375"/>
      <c r="G644" s="556"/>
      <c r="H644" s="797"/>
      <c r="I644" s="1509"/>
      <c r="J644" s="1509"/>
      <c r="K644" s="1509"/>
      <c r="L644" s="1509"/>
      <c r="M644" s="1509"/>
      <c r="N644" s="1510"/>
    </row>
    <row r="645" spans="1:14" hidden="1">
      <c r="A645" s="1818"/>
      <c r="B645" s="798" t="s">
        <v>3365</v>
      </c>
      <c r="C645" s="354"/>
      <c r="D645" s="789">
        <v>17.13</v>
      </c>
      <c r="E645" s="1317">
        <v>5.63</v>
      </c>
      <c r="F645" s="341"/>
      <c r="G645" s="341"/>
      <c r="H645" s="792">
        <f>D645*E645</f>
        <v>96.44189999999999</v>
      </c>
      <c r="I645" s="1509"/>
      <c r="J645" s="1509"/>
      <c r="K645" s="1509"/>
      <c r="L645" s="1509"/>
      <c r="M645" s="1509"/>
      <c r="N645" s="1510"/>
    </row>
    <row r="646" spans="1:14" hidden="1">
      <c r="A646" s="1818"/>
      <c r="B646" s="802" t="s">
        <v>3053</v>
      </c>
      <c r="C646" s="787" t="s">
        <v>3358</v>
      </c>
      <c r="D646" s="788">
        <v>4</v>
      </c>
      <c r="E646" s="1316">
        <v>2.5</v>
      </c>
      <c r="F646" s="788">
        <v>1</v>
      </c>
      <c r="G646" s="788"/>
      <c r="H646" s="793">
        <f>(-(D646*E646)+2)*F646</f>
        <v>-8</v>
      </c>
      <c r="I646" s="1509"/>
      <c r="J646" s="1509"/>
      <c r="K646" s="1509"/>
      <c r="L646" s="1509"/>
      <c r="M646" s="1509"/>
      <c r="N646" s="1510"/>
    </row>
    <row r="647" spans="1:14" hidden="1">
      <c r="A647" s="1818"/>
      <c r="B647" s="798"/>
      <c r="C647" s="886"/>
      <c r="D647" s="789"/>
      <c r="E647" s="1317"/>
      <c r="F647" s="376"/>
      <c r="G647" s="376"/>
      <c r="H647" s="792"/>
      <c r="I647" s="1509"/>
      <c r="J647" s="1509"/>
      <c r="K647" s="1509"/>
      <c r="L647" s="1509"/>
      <c r="M647" s="1509"/>
      <c r="N647" s="1510"/>
    </row>
    <row r="648" spans="1:14" hidden="1">
      <c r="A648" s="1819"/>
      <c r="B648" s="804"/>
      <c r="C648" s="794"/>
      <c r="D648" s="795"/>
      <c r="E648" s="1318"/>
      <c r="F648" s="795"/>
      <c r="G648" s="795"/>
      <c r="H648" s="796"/>
      <c r="I648" s="1509"/>
      <c r="J648" s="1509"/>
      <c r="K648" s="1509"/>
      <c r="L648" s="1509"/>
      <c r="M648" s="1509"/>
      <c r="N648" s="1510"/>
    </row>
    <row r="649" spans="1:14" hidden="1">
      <c r="A649" s="1608" t="s">
        <v>2218</v>
      </c>
      <c r="B649" s="1609"/>
      <c r="C649" s="1609"/>
      <c r="D649" s="1609"/>
      <c r="E649" s="1609"/>
      <c r="F649" s="1609"/>
      <c r="G649" s="1610"/>
      <c r="H649" s="271">
        <f>SUM(H613:H648)</f>
        <v>566.15429999999992</v>
      </c>
      <c r="I649" s="1509"/>
      <c r="J649" s="1509"/>
      <c r="K649" s="1509"/>
      <c r="L649" s="1509"/>
      <c r="M649" s="1509"/>
      <c r="N649" s="1510"/>
    </row>
    <row r="650" spans="1:14" hidden="1">
      <c r="A650" s="1519" t="s">
        <v>2219</v>
      </c>
      <c r="B650" s="1517"/>
      <c r="C650" s="1517"/>
      <c r="D650" s="1517"/>
      <c r="E650" s="1517"/>
      <c r="F650" s="1517"/>
      <c r="G650" s="1518"/>
      <c r="H650" s="320">
        <f>SUM(H612:H648)</f>
        <v>566.15429999999992</v>
      </c>
      <c r="I650" s="1509"/>
      <c r="J650" s="1509"/>
      <c r="K650" s="1509"/>
      <c r="L650" s="1509"/>
      <c r="M650" s="1509"/>
      <c r="N650" s="1510"/>
    </row>
    <row r="651" spans="1:14" ht="15.75" hidden="1" thickBot="1">
      <c r="A651" s="1520" t="s">
        <v>2220</v>
      </c>
      <c r="B651" s="1521"/>
      <c r="C651" s="1521"/>
      <c r="D651" s="1521"/>
      <c r="E651" s="1521"/>
      <c r="F651" s="1521"/>
      <c r="G651" s="1522"/>
      <c r="H651" s="269">
        <f>H649-H650</f>
        <v>0</v>
      </c>
      <c r="I651" s="1512"/>
      <c r="J651" s="1512"/>
      <c r="K651" s="1512"/>
      <c r="L651" s="1512"/>
      <c r="M651" s="1512"/>
      <c r="N651" s="1513"/>
    </row>
    <row r="652" spans="1:14" ht="15" hidden="1" customHeight="1">
      <c r="A652" s="278"/>
      <c r="B652" s="278"/>
      <c r="C652" s="278"/>
      <c r="D652" s="281"/>
      <c r="E652" s="1319"/>
      <c r="F652" s="278"/>
      <c r="G652" s="278"/>
      <c r="H652" s="217"/>
      <c r="I652" s="279"/>
      <c r="J652" s="279"/>
      <c r="K652" s="279"/>
      <c r="L652" s="279"/>
      <c r="M652" s="279"/>
      <c r="N652" s="279"/>
    </row>
    <row r="653" spans="1:14" ht="15" hidden="1" customHeight="1" thickBot="1">
      <c r="A653" s="1748"/>
      <c r="B653" s="1749"/>
      <c r="C653" s="1749"/>
      <c r="D653" s="1749"/>
      <c r="E653" s="1749"/>
      <c r="F653" s="1749"/>
      <c r="G653" s="1749"/>
      <c r="H653" s="1749"/>
      <c r="I653" s="1749"/>
      <c r="J653" s="1749"/>
      <c r="K653" s="1749"/>
      <c r="L653" s="1749"/>
      <c r="M653" s="1749"/>
      <c r="N653" s="1786"/>
    </row>
    <row r="654" spans="1:14" ht="15" hidden="1" customHeight="1">
      <c r="A654" s="1085" t="s">
        <v>2446</v>
      </c>
      <c r="B654" s="1494" t="s">
        <v>11</v>
      </c>
      <c r="C654" s="1495"/>
      <c r="D654" s="1495"/>
      <c r="E654" s="1495"/>
      <c r="F654" s="1495"/>
      <c r="G654" s="1495"/>
      <c r="H654" s="1495"/>
      <c r="I654" s="1495"/>
      <c r="J654" s="1496"/>
      <c r="K654" s="196" t="s">
        <v>2222</v>
      </c>
      <c r="L654" s="1497">
        <v>466.23</v>
      </c>
      <c r="M654" s="1498"/>
      <c r="N654" s="197">
        <f>L654-H682</f>
        <v>-3.0999999999039574E-3</v>
      </c>
    </row>
    <row r="655" spans="1:14" hidden="1">
      <c r="A655" s="1499"/>
      <c r="B655" s="1811"/>
      <c r="C655" s="352"/>
      <c r="D655" s="340" t="s">
        <v>2183</v>
      </c>
      <c r="E655" s="839" t="s">
        <v>2184</v>
      </c>
      <c r="F655" s="340" t="s">
        <v>2185</v>
      </c>
      <c r="G655" s="340" t="s">
        <v>2186</v>
      </c>
      <c r="H655" s="1778" t="s">
        <v>476</v>
      </c>
      <c r="I655" s="1543"/>
      <c r="J655" s="1543"/>
      <c r="K655" s="1543"/>
      <c r="L655" s="1543"/>
      <c r="M655" s="1543"/>
      <c r="N655" s="1566"/>
    </row>
    <row r="656" spans="1:14" ht="36" hidden="1">
      <c r="A656" s="1787"/>
      <c r="B656" s="1812"/>
      <c r="C656" s="353" t="s">
        <v>2382</v>
      </c>
      <c r="D656" s="292" t="s">
        <v>2187</v>
      </c>
      <c r="E656" s="901" t="s">
        <v>2188</v>
      </c>
      <c r="F656" s="292" t="s">
        <v>2189</v>
      </c>
      <c r="G656" s="361" t="s">
        <v>2447</v>
      </c>
      <c r="H656" s="1789"/>
      <c r="I656" s="1543"/>
      <c r="J656" s="1543"/>
      <c r="K656" s="1543"/>
      <c r="L656" s="1543"/>
      <c r="M656" s="1543"/>
      <c r="N656" s="1566"/>
    </row>
    <row r="657" spans="1:14" hidden="1">
      <c r="A657" s="1813" t="s">
        <v>2238</v>
      </c>
      <c r="B657" s="358" t="s">
        <v>2192</v>
      </c>
      <c r="C657" s="359"/>
      <c r="D657" s="198"/>
      <c r="E657" s="341"/>
      <c r="F657" s="341"/>
      <c r="G657" s="341"/>
      <c r="H657" s="347"/>
      <c r="I657" s="1567"/>
      <c r="J657" s="1543"/>
      <c r="K657" s="1543"/>
      <c r="L657" s="1543"/>
      <c r="M657" s="1543"/>
      <c r="N657" s="1566"/>
    </row>
    <row r="658" spans="1:14" hidden="1">
      <c r="A658" s="1793"/>
      <c r="B658" s="360" t="s">
        <v>2448</v>
      </c>
      <c r="C658" s="354"/>
      <c r="D658" s="198">
        <v>4.4000000000000004</v>
      </c>
      <c r="E658" s="341">
        <v>3.13</v>
      </c>
      <c r="F658" s="341"/>
      <c r="G658" s="341">
        <f>-0.6*2.1</f>
        <v>-1.26</v>
      </c>
      <c r="H658" s="347">
        <f t="shared" ref="H658:H669" si="19">D658*E658+G658</f>
        <v>12.512</v>
      </c>
      <c r="I658" s="1567"/>
      <c r="J658" s="1543"/>
      <c r="K658" s="1543"/>
      <c r="L658" s="1543"/>
      <c r="M658" s="1543"/>
      <c r="N658" s="1566"/>
    </row>
    <row r="659" spans="1:14" hidden="1">
      <c r="A659" s="1793"/>
      <c r="B659" s="360" t="s">
        <v>2449</v>
      </c>
      <c r="C659" s="354"/>
      <c r="D659" s="198">
        <v>4.0599999999999996</v>
      </c>
      <c r="E659" s="341">
        <v>3.13</v>
      </c>
      <c r="F659" s="341"/>
      <c r="G659" s="341">
        <f>-0.6*2.1</f>
        <v>-1.26</v>
      </c>
      <c r="H659" s="347">
        <f t="shared" si="19"/>
        <v>11.447799999999999</v>
      </c>
      <c r="I659" s="1567"/>
      <c r="J659" s="1543"/>
      <c r="K659" s="1543"/>
      <c r="L659" s="1543"/>
      <c r="M659" s="1543"/>
      <c r="N659" s="1566"/>
    </row>
    <row r="660" spans="1:14" hidden="1">
      <c r="A660" s="1793"/>
      <c r="B660" s="360" t="s">
        <v>2450</v>
      </c>
      <c r="C660" s="354"/>
      <c r="D660" s="198">
        <v>13.73</v>
      </c>
      <c r="E660" s="341">
        <v>3.13</v>
      </c>
      <c r="F660" s="341"/>
      <c r="G660" s="341">
        <f>-0.6*2.1*2-0.8*2.1</f>
        <v>-4.2</v>
      </c>
      <c r="H660" s="347">
        <f t="shared" si="19"/>
        <v>38.774899999999995</v>
      </c>
      <c r="I660" s="1567"/>
      <c r="J660" s="1543"/>
      <c r="K660" s="1543"/>
      <c r="L660" s="1543"/>
      <c r="M660" s="1543"/>
      <c r="N660" s="1566"/>
    </row>
    <row r="661" spans="1:14" hidden="1">
      <c r="A661" s="1793"/>
      <c r="B661" s="360" t="s">
        <v>2451</v>
      </c>
      <c r="C661" s="354"/>
      <c r="D661" s="198">
        <v>7.79</v>
      </c>
      <c r="E661" s="341">
        <v>3.13</v>
      </c>
      <c r="F661" s="341"/>
      <c r="G661" s="341">
        <f>-0.6*2.1</f>
        <v>-1.26</v>
      </c>
      <c r="H661" s="347">
        <f t="shared" si="19"/>
        <v>23.122699999999998</v>
      </c>
      <c r="I661" s="1567"/>
      <c r="J661" s="1543"/>
      <c r="K661" s="1543"/>
      <c r="L661" s="1543"/>
      <c r="M661" s="1543"/>
      <c r="N661" s="1566"/>
    </row>
    <row r="662" spans="1:14" hidden="1">
      <c r="A662" s="1793"/>
      <c r="B662" s="360" t="s">
        <v>2452</v>
      </c>
      <c r="C662" s="354"/>
      <c r="D662" s="198">
        <v>7.43</v>
      </c>
      <c r="E662" s="341">
        <v>3.13</v>
      </c>
      <c r="F662" s="341"/>
      <c r="G662" s="341">
        <f>-0.6*2.1-0.6*0.8</f>
        <v>-1.74</v>
      </c>
      <c r="H662" s="347">
        <f t="shared" si="19"/>
        <v>21.515899999999998</v>
      </c>
      <c r="I662" s="1567"/>
      <c r="J662" s="1543"/>
      <c r="K662" s="1543"/>
      <c r="L662" s="1543"/>
      <c r="M662" s="1543"/>
      <c r="N662" s="1566"/>
    </row>
    <row r="663" spans="1:14" hidden="1">
      <c r="A663" s="1793"/>
      <c r="B663" s="360" t="s">
        <v>2453</v>
      </c>
      <c r="C663" s="354"/>
      <c r="D663" s="198">
        <v>10.76</v>
      </c>
      <c r="E663" s="341">
        <v>3.13</v>
      </c>
      <c r="F663" s="341"/>
      <c r="G663" s="341">
        <f>-0.8*2.1</f>
        <v>-1.6800000000000002</v>
      </c>
      <c r="H663" s="347">
        <f t="shared" si="19"/>
        <v>31.998799999999996</v>
      </c>
      <c r="I663" s="1567"/>
      <c r="J663" s="1543"/>
      <c r="K663" s="1543"/>
      <c r="L663" s="1543"/>
      <c r="M663" s="1543"/>
      <c r="N663" s="1566"/>
    </row>
    <row r="664" spans="1:14" hidden="1">
      <c r="A664" s="1793"/>
      <c r="B664" s="360" t="s">
        <v>2454</v>
      </c>
      <c r="C664" s="354"/>
      <c r="D664" s="198">
        <v>11.01</v>
      </c>
      <c r="E664" s="341">
        <v>3.13</v>
      </c>
      <c r="F664" s="341"/>
      <c r="G664" s="341">
        <f>-0.8*2.1</f>
        <v>-1.6800000000000002</v>
      </c>
      <c r="H664" s="347">
        <f t="shared" si="19"/>
        <v>32.781300000000002</v>
      </c>
      <c r="I664" s="1567"/>
      <c r="J664" s="1543"/>
      <c r="K664" s="1543"/>
      <c r="L664" s="1543"/>
      <c r="M664" s="1543"/>
      <c r="N664" s="1566"/>
    </row>
    <row r="665" spans="1:14" hidden="1">
      <c r="A665" s="1793"/>
      <c r="B665" s="360" t="s">
        <v>2455</v>
      </c>
      <c r="C665" s="354"/>
      <c r="D665" s="198">
        <v>8.2200000000000006</v>
      </c>
      <c r="E665" s="341">
        <v>3.13</v>
      </c>
      <c r="F665" s="341"/>
      <c r="G665" s="341">
        <f>-0.8*2.1</f>
        <v>-1.6800000000000002</v>
      </c>
      <c r="H665" s="347">
        <f t="shared" si="19"/>
        <v>24.0486</v>
      </c>
      <c r="I665" s="1567"/>
      <c r="J665" s="1543"/>
      <c r="K665" s="1543"/>
      <c r="L665" s="1543"/>
      <c r="M665" s="1543"/>
      <c r="N665" s="1566"/>
    </row>
    <row r="666" spans="1:14" hidden="1">
      <c r="A666" s="1793"/>
      <c r="B666" s="360" t="s">
        <v>2342</v>
      </c>
      <c r="C666" s="354"/>
      <c r="D666" s="198">
        <v>7.56</v>
      </c>
      <c r="E666" s="341">
        <v>3.13</v>
      </c>
      <c r="F666" s="341"/>
      <c r="G666" s="341">
        <f>-1.6*0.8</f>
        <v>-1.2800000000000002</v>
      </c>
      <c r="H666" s="347">
        <f t="shared" si="19"/>
        <v>22.382799999999996</v>
      </c>
      <c r="I666" s="1567"/>
      <c r="J666" s="1543"/>
      <c r="K666" s="1543"/>
      <c r="L666" s="1543"/>
      <c r="M666" s="1543"/>
      <c r="N666" s="1566"/>
    </row>
    <row r="667" spans="1:14" hidden="1">
      <c r="A667" s="1793"/>
      <c r="B667" s="360" t="s">
        <v>2344</v>
      </c>
      <c r="C667" s="354"/>
      <c r="D667" s="198">
        <v>5.4</v>
      </c>
      <c r="E667" s="341">
        <v>3.13</v>
      </c>
      <c r="F667" s="341"/>
      <c r="G667" s="341">
        <f>-0.6*2.1-0.8*0.8</f>
        <v>-1.9000000000000001</v>
      </c>
      <c r="H667" s="347">
        <f t="shared" si="19"/>
        <v>15.002000000000001</v>
      </c>
      <c r="I667" s="1567"/>
      <c r="J667" s="1543"/>
      <c r="K667" s="1543"/>
      <c r="L667" s="1543"/>
      <c r="M667" s="1543"/>
      <c r="N667" s="1566"/>
    </row>
    <row r="668" spans="1:14" hidden="1">
      <c r="A668" s="1793"/>
      <c r="B668" s="360" t="s">
        <v>2456</v>
      </c>
      <c r="C668" s="354"/>
      <c r="D668" s="198">
        <v>7.7</v>
      </c>
      <c r="E668" s="341">
        <v>3.13</v>
      </c>
      <c r="F668" s="341"/>
      <c r="G668" s="341">
        <f>-0.9*2.1-0.8*0.8</f>
        <v>-2.5300000000000002</v>
      </c>
      <c r="H668" s="347">
        <f t="shared" si="19"/>
        <v>21.570999999999998</v>
      </c>
      <c r="I668" s="1567"/>
      <c r="J668" s="1543"/>
      <c r="K668" s="1543"/>
      <c r="L668" s="1543"/>
      <c r="M668" s="1543"/>
      <c r="N668" s="1566"/>
    </row>
    <row r="669" spans="1:14" hidden="1">
      <c r="A669" s="1793"/>
      <c r="B669" s="360" t="s">
        <v>2457</v>
      </c>
      <c r="C669" s="354"/>
      <c r="D669" s="198">
        <v>7.65</v>
      </c>
      <c r="E669" s="341">
        <v>3.13</v>
      </c>
      <c r="F669" s="341"/>
      <c r="G669" s="341">
        <f>-0.9*2.1-0.8*0.8</f>
        <v>-2.5300000000000002</v>
      </c>
      <c r="H669" s="347">
        <f t="shared" si="19"/>
        <v>21.4145</v>
      </c>
      <c r="I669" s="1567"/>
      <c r="J669" s="1543"/>
      <c r="K669" s="1543"/>
      <c r="L669" s="1543"/>
      <c r="M669" s="1543"/>
      <c r="N669" s="1566"/>
    </row>
    <row r="670" spans="1:14" hidden="1">
      <c r="A670" s="1793"/>
      <c r="B670" s="358" t="s">
        <v>2200</v>
      </c>
      <c r="C670" s="357"/>
      <c r="D670" s="198"/>
      <c r="E670" s="341"/>
      <c r="F670" s="341"/>
      <c r="G670" s="341"/>
      <c r="H670" s="347"/>
      <c r="I670" s="1567"/>
      <c r="J670" s="1543"/>
      <c r="K670" s="1543"/>
      <c r="L670" s="1543"/>
      <c r="M670" s="1543"/>
      <c r="N670" s="1566"/>
    </row>
    <row r="671" spans="1:14" hidden="1">
      <c r="A671" s="1793"/>
      <c r="B671" s="360" t="s">
        <v>2458</v>
      </c>
      <c r="C671" s="354"/>
      <c r="D671" s="198">
        <v>9.2799999999999994</v>
      </c>
      <c r="E671" s="341">
        <v>2.83</v>
      </c>
      <c r="F671" s="341"/>
      <c r="G671" s="341">
        <f>-0.9*2.1-0.8*0.8</f>
        <v>-2.5300000000000002</v>
      </c>
      <c r="H671" s="347">
        <f t="shared" ref="H671:H678" si="20">D671*E671+G671</f>
        <v>23.732399999999998</v>
      </c>
      <c r="I671" s="1567"/>
      <c r="J671" s="1543"/>
      <c r="K671" s="1543"/>
      <c r="L671" s="1543"/>
      <c r="M671" s="1543"/>
      <c r="N671" s="1566"/>
    </row>
    <row r="672" spans="1:14" hidden="1">
      <c r="A672" s="1793"/>
      <c r="B672" s="360" t="s">
        <v>2459</v>
      </c>
      <c r="C672" s="354"/>
      <c r="D672" s="198">
        <v>8.93</v>
      </c>
      <c r="E672" s="341">
        <v>2.83</v>
      </c>
      <c r="F672" s="341"/>
      <c r="G672" s="341">
        <f>-0.9*2.1-0.8*0.8</f>
        <v>-2.5300000000000002</v>
      </c>
      <c r="H672" s="347">
        <f t="shared" si="20"/>
        <v>22.741899999999998</v>
      </c>
      <c r="I672" s="1567"/>
      <c r="J672" s="1543"/>
      <c r="K672" s="1543"/>
      <c r="L672" s="1543"/>
      <c r="M672" s="1543"/>
      <c r="N672" s="1566"/>
    </row>
    <row r="673" spans="1:14" hidden="1">
      <c r="A673" s="1793"/>
      <c r="B673" s="360" t="s">
        <v>2344</v>
      </c>
      <c r="C673" s="354"/>
      <c r="D673" s="198">
        <v>5.8</v>
      </c>
      <c r="E673" s="341">
        <v>2.83</v>
      </c>
      <c r="F673" s="341"/>
      <c r="G673" s="341">
        <f>-0.6*2.1-0.8*0.8</f>
        <v>-1.9000000000000001</v>
      </c>
      <c r="H673" s="347">
        <f t="shared" si="20"/>
        <v>14.514000000000001</v>
      </c>
      <c r="I673" s="1567"/>
      <c r="J673" s="1543"/>
      <c r="K673" s="1543"/>
      <c r="L673" s="1543"/>
      <c r="M673" s="1543"/>
      <c r="N673" s="1566"/>
    </row>
    <row r="674" spans="1:14" hidden="1">
      <c r="A674" s="1793"/>
      <c r="B674" s="360" t="s">
        <v>2342</v>
      </c>
      <c r="C674" s="354"/>
      <c r="D674" s="198">
        <v>15.96</v>
      </c>
      <c r="E674" s="341">
        <v>2.83</v>
      </c>
      <c r="F674" s="341"/>
      <c r="G674" s="341">
        <f>-0.6*2.1-0.8*2.1-2.04</f>
        <v>-4.9800000000000004</v>
      </c>
      <c r="H674" s="347">
        <f t="shared" si="20"/>
        <v>40.186800000000005</v>
      </c>
      <c r="I674" s="1567"/>
      <c r="J674" s="1543"/>
      <c r="K674" s="1543"/>
      <c r="L674" s="1543"/>
      <c r="M674" s="1543"/>
      <c r="N674" s="1566"/>
    </row>
    <row r="675" spans="1:14" hidden="1">
      <c r="A675" s="1793"/>
      <c r="B675" s="360" t="s">
        <v>2460</v>
      </c>
      <c r="C675" s="354"/>
      <c r="D675" s="198">
        <v>6.27</v>
      </c>
      <c r="E675" s="341">
        <v>2.83</v>
      </c>
      <c r="F675" s="341"/>
      <c r="G675" s="341">
        <f>-0.6*2.1-0.55*0.8</f>
        <v>-1.7000000000000002</v>
      </c>
      <c r="H675" s="347">
        <f t="shared" si="20"/>
        <v>16.0441</v>
      </c>
      <c r="I675" s="1567"/>
      <c r="J675" s="1543"/>
      <c r="K675" s="1543"/>
      <c r="L675" s="1543"/>
      <c r="M675" s="1543"/>
      <c r="N675" s="1566"/>
    </row>
    <row r="676" spans="1:14" hidden="1">
      <c r="A676" s="1793"/>
      <c r="B676" s="360" t="s">
        <v>2338</v>
      </c>
      <c r="C676" s="354"/>
      <c r="D676" s="198">
        <v>7.74</v>
      </c>
      <c r="E676" s="341">
        <v>2.83</v>
      </c>
      <c r="F676" s="341"/>
      <c r="G676" s="341">
        <f>-0.9*2.1-0.8*0.8</f>
        <v>-2.5300000000000002</v>
      </c>
      <c r="H676" s="347">
        <f t="shared" si="20"/>
        <v>19.374199999999998</v>
      </c>
      <c r="I676" s="1567"/>
      <c r="J676" s="1543"/>
      <c r="K676" s="1543"/>
      <c r="L676" s="1543"/>
      <c r="M676" s="1543"/>
      <c r="N676" s="1566"/>
    </row>
    <row r="677" spans="1:14" hidden="1">
      <c r="A677" s="1793"/>
      <c r="B677" s="360" t="s">
        <v>2339</v>
      </c>
      <c r="C677" s="354"/>
      <c r="D677" s="198">
        <v>10.01</v>
      </c>
      <c r="E677" s="341">
        <v>2.83</v>
      </c>
      <c r="F677" s="341"/>
      <c r="G677" s="341">
        <f>-0.9*2.1-0.8*0.8</f>
        <v>-2.5300000000000002</v>
      </c>
      <c r="H677" s="347">
        <f t="shared" si="20"/>
        <v>25.798299999999998</v>
      </c>
      <c r="I677" s="1567"/>
      <c r="J677" s="1543"/>
      <c r="K677" s="1543"/>
      <c r="L677" s="1543"/>
      <c r="M677" s="1543"/>
      <c r="N677" s="1566"/>
    </row>
    <row r="678" spans="1:14" hidden="1">
      <c r="A678" s="1793"/>
      <c r="B678" s="362" t="s">
        <v>2461</v>
      </c>
      <c r="C678" s="363"/>
      <c r="D678" s="199">
        <v>5.49</v>
      </c>
      <c r="E678" s="351">
        <v>2.83</v>
      </c>
      <c r="F678" s="351"/>
      <c r="G678" s="351">
        <f>-0.6*2.1</f>
        <v>-1.26</v>
      </c>
      <c r="H678" s="364">
        <f t="shared" si="20"/>
        <v>14.276700000000002</v>
      </c>
      <c r="I678" s="1567"/>
      <c r="J678" s="1543"/>
      <c r="K678" s="1543"/>
      <c r="L678" s="1543"/>
      <c r="M678" s="1543"/>
      <c r="N678" s="1566"/>
    </row>
    <row r="679" spans="1:14" hidden="1">
      <c r="A679" s="1814" t="s">
        <v>2268</v>
      </c>
      <c r="B679" s="365" t="s">
        <v>2192</v>
      </c>
      <c r="C679" s="292"/>
      <c r="D679" s="198"/>
      <c r="E679" s="341"/>
      <c r="F679" s="341"/>
      <c r="G679" s="341"/>
      <c r="H679" s="342"/>
      <c r="I679" s="1567"/>
      <c r="J679" s="1543"/>
      <c r="K679" s="1543"/>
      <c r="L679" s="1543"/>
      <c r="M679" s="1543"/>
      <c r="N679" s="1566"/>
    </row>
    <row r="680" spans="1:14" hidden="1">
      <c r="A680" s="1815"/>
      <c r="B680" s="290" t="s">
        <v>2462</v>
      </c>
      <c r="C680" s="292"/>
      <c r="D680" s="198">
        <v>6.66</v>
      </c>
      <c r="E680" s="341">
        <v>2.14</v>
      </c>
      <c r="F680" s="341"/>
      <c r="G680" s="341">
        <v>-1.26</v>
      </c>
      <c r="H680" s="342">
        <f>D680*E680+G680</f>
        <v>12.992400000000002</v>
      </c>
      <c r="I680" s="1567"/>
      <c r="J680" s="1543"/>
      <c r="K680" s="1543"/>
      <c r="L680" s="1543"/>
      <c r="M680" s="1543"/>
      <c r="N680" s="1566"/>
    </row>
    <row r="681" spans="1:14" hidden="1">
      <c r="A681" s="1086"/>
      <c r="B681" s="365"/>
      <c r="C681" s="292"/>
      <c r="D681" s="198"/>
      <c r="E681" s="341"/>
      <c r="F681" s="341"/>
      <c r="G681" s="341"/>
      <c r="H681" s="342"/>
      <c r="I681" s="1567"/>
      <c r="J681" s="1543"/>
      <c r="K681" s="1543"/>
      <c r="L681" s="1543"/>
      <c r="M681" s="1543"/>
      <c r="N681" s="1566"/>
    </row>
    <row r="682" spans="1:14" hidden="1">
      <c r="A682" s="1577" t="s">
        <v>2218</v>
      </c>
      <c r="B682" s="1542"/>
      <c r="C682" s="1542"/>
      <c r="D682" s="1542"/>
      <c r="E682" s="1542"/>
      <c r="F682" s="1542"/>
      <c r="G682" s="1542"/>
      <c r="H682" s="271">
        <f>SUM(H657:H681)</f>
        <v>466.23309999999992</v>
      </c>
      <c r="I682" s="1567"/>
      <c r="J682" s="1543"/>
      <c r="K682" s="1543"/>
      <c r="L682" s="1543"/>
      <c r="M682" s="1543"/>
      <c r="N682" s="1566"/>
    </row>
    <row r="683" spans="1:14" hidden="1">
      <c r="A683" s="1519" t="s">
        <v>2219</v>
      </c>
      <c r="B683" s="1517"/>
      <c r="C683" s="1517"/>
      <c r="D683" s="1551"/>
      <c r="E683" s="1551"/>
      <c r="F683" s="1551"/>
      <c r="G683" s="1552"/>
      <c r="H683" s="272">
        <v>453.24</v>
      </c>
      <c r="I683" s="1543"/>
      <c r="J683" s="1543"/>
      <c r="K683" s="1543"/>
      <c r="L683" s="1543"/>
      <c r="M683" s="1543"/>
      <c r="N683" s="1566"/>
    </row>
    <row r="684" spans="1:14" ht="15.75" hidden="1" thickBot="1">
      <c r="A684" s="1520" t="s">
        <v>2220</v>
      </c>
      <c r="B684" s="1521"/>
      <c r="C684" s="1521"/>
      <c r="D684" s="1521"/>
      <c r="E684" s="1521"/>
      <c r="F684" s="1521"/>
      <c r="G684" s="1522"/>
      <c r="H684" s="216">
        <f>H682-H683</f>
        <v>12.993099999999913</v>
      </c>
      <c r="I684" s="1568"/>
      <c r="J684" s="1568"/>
      <c r="K684" s="1568"/>
      <c r="L684" s="1568"/>
      <c r="M684" s="1568"/>
      <c r="N684" s="1569"/>
    </row>
    <row r="685" spans="1:14" ht="15" hidden="1" customHeight="1" thickBot="1">
      <c r="A685" s="1635"/>
      <c r="B685" s="1636"/>
      <c r="C685" s="1636"/>
      <c r="D685" s="1636"/>
      <c r="E685" s="1636"/>
      <c r="F685" s="1636"/>
      <c r="G685" s="1636"/>
      <c r="H685" s="1636"/>
      <c r="I685" s="1636"/>
      <c r="J685" s="1636"/>
      <c r="K685" s="1636"/>
      <c r="L685" s="1636"/>
      <c r="M685" s="1636"/>
      <c r="N685" s="1637"/>
    </row>
    <row r="686" spans="1:14" ht="15" hidden="1" customHeight="1">
      <c r="A686" s="1085" t="s">
        <v>2463</v>
      </c>
      <c r="B686" s="1494" t="s">
        <v>596</v>
      </c>
      <c r="C686" s="1495"/>
      <c r="D686" s="1495"/>
      <c r="E686" s="1495"/>
      <c r="F686" s="1495"/>
      <c r="G686" s="1495"/>
      <c r="H686" s="1495"/>
      <c r="I686" s="1495"/>
      <c r="J686" s="1496"/>
      <c r="K686" s="196" t="s">
        <v>2222</v>
      </c>
      <c r="L686" s="1497">
        <v>135.77000000000001</v>
      </c>
      <c r="M686" s="1498"/>
      <c r="N686" s="197">
        <f>L686-H694</f>
        <v>0</v>
      </c>
    </row>
    <row r="687" spans="1:14" hidden="1">
      <c r="A687" s="1499"/>
      <c r="B687" s="1811"/>
      <c r="C687" s="352"/>
      <c r="D687" s="340" t="s">
        <v>2183</v>
      </c>
      <c r="E687" s="839" t="s">
        <v>2184</v>
      </c>
      <c r="F687" s="340" t="s">
        <v>2185</v>
      </c>
      <c r="G687" s="340" t="s">
        <v>2186</v>
      </c>
      <c r="H687" s="1778" t="s">
        <v>476</v>
      </c>
      <c r="I687" s="1543"/>
      <c r="J687" s="1543"/>
      <c r="K687" s="1543"/>
      <c r="L687" s="1543"/>
      <c r="M687" s="1543"/>
      <c r="N687" s="1566"/>
    </row>
    <row r="688" spans="1:14" hidden="1">
      <c r="A688" s="1787"/>
      <c r="B688" s="1812"/>
      <c r="C688" s="353" t="s">
        <v>2382</v>
      </c>
      <c r="D688" s="292" t="s">
        <v>2187</v>
      </c>
      <c r="E688" s="901" t="s">
        <v>2188</v>
      </c>
      <c r="F688" s="292" t="s">
        <v>2189</v>
      </c>
      <c r="G688" s="361"/>
      <c r="H688" s="1789"/>
      <c r="I688" s="1543"/>
      <c r="J688" s="1543"/>
      <c r="K688" s="1543"/>
      <c r="L688" s="1543"/>
      <c r="M688" s="1543"/>
      <c r="N688" s="1566"/>
    </row>
    <row r="689" spans="1:14" hidden="1">
      <c r="A689" s="1813" t="s">
        <v>2238</v>
      </c>
      <c r="B689" s="358" t="s">
        <v>2192</v>
      </c>
      <c r="C689" s="359"/>
      <c r="D689" s="198"/>
      <c r="E689" s="341"/>
      <c r="F689" s="341"/>
      <c r="G689" s="341"/>
      <c r="H689" s="347"/>
      <c r="I689" s="1567"/>
      <c r="J689" s="1543"/>
      <c r="K689" s="1543"/>
      <c r="L689" s="1543"/>
      <c r="M689" s="1543"/>
      <c r="N689" s="1566"/>
    </row>
    <row r="690" spans="1:14" hidden="1">
      <c r="A690" s="1793"/>
      <c r="B690" s="360" t="s">
        <v>2464</v>
      </c>
      <c r="C690" s="354">
        <v>23.04</v>
      </c>
      <c r="D690" s="198"/>
      <c r="E690" s="341"/>
      <c r="F690" s="341"/>
      <c r="G690" s="341"/>
      <c r="H690" s="347">
        <f>C690</f>
        <v>23.04</v>
      </c>
      <c r="I690" s="1567"/>
      <c r="J690" s="1543"/>
      <c r="K690" s="1543"/>
      <c r="L690" s="1543"/>
      <c r="M690" s="1543"/>
      <c r="N690" s="1566"/>
    </row>
    <row r="691" spans="1:14" hidden="1">
      <c r="A691" s="1793"/>
      <c r="B691" s="360" t="s">
        <v>2379</v>
      </c>
      <c r="C691" s="354">
        <v>112.73</v>
      </c>
      <c r="D691" s="198"/>
      <c r="E691" s="341"/>
      <c r="F691" s="341"/>
      <c r="G691" s="341"/>
      <c r="H691" s="347">
        <f>C691</f>
        <v>112.73</v>
      </c>
      <c r="I691" s="1567"/>
      <c r="J691" s="1543"/>
      <c r="K691" s="1543"/>
      <c r="L691" s="1543"/>
      <c r="M691" s="1543"/>
      <c r="N691" s="1566"/>
    </row>
    <row r="692" spans="1:14" hidden="1">
      <c r="A692" s="1793"/>
      <c r="B692" s="360"/>
      <c r="C692" s="354"/>
      <c r="D692" s="198"/>
      <c r="E692" s="341"/>
      <c r="F692" s="341"/>
      <c r="G692" s="341"/>
      <c r="H692" s="347"/>
      <c r="I692" s="1567"/>
      <c r="J692" s="1543"/>
      <c r="K692" s="1543"/>
      <c r="L692" s="1543"/>
      <c r="M692" s="1543"/>
      <c r="N692" s="1566"/>
    </row>
    <row r="693" spans="1:14" hidden="1">
      <c r="A693" s="1793"/>
      <c r="B693" s="360"/>
      <c r="C693" s="354"/>
      <c r="D693" s="198"/>
      <c r="E693" s="341"/>
      <c r="F693" s="341"/>
      <c r="G693" s="341"/>
      <c r="H693" s="347"/>
      <c r="I693" s="1567"/>
      <c r="J693" s="1543"/>
      <c r="K693" s="1543"/>
      <c r="L693" s="1543"/>
      <c r="M693" s="1543"/>
      <c r="N693" s="1566"/>
    </row>
    <row r="694" spans="1:14" hidden="1">
      <c r="A694" s="1577" t="s">
        <v>2218</v>
      </c>
      <c r="B694" s="1542"/>
      <c r="C694" s="1542"/>
      <c r="D694" s="1542"/>
      <c r="E694" s="1542"/>
      <c r="F694" s="1542"/>
      <c r="G694" s="1542"/>
      <c r="H694" s="271">
        <f>SUM(H689:H693)</f>
        <v>135.77000000000001</v>
      </c>
      <c r="I694" s="1567"/>
      <c r="J694" s="1543"/>
      <c r="K694" s="1543"/>
      <c r="L694" s="1543"/>
      <c r="M694" s="1543"/>
      <c r="N694" s="1566"/>
    </row>
    <row r="695" spans="1:14" hidden="1">
      <c r="A695" s="1519" t="s">
        <v>2219</v>
      </c>
      <c r="B695" s="1517"/>
      <c r="C695" s="1517"/>
      <c r="D695" s="1551"/>
      <c r="E695" s="1551"/>
      <c r="F695" s="1551"/>
      <c r="G695" s="1552"/>
      <c r="H695" s="272">
        <v>0</v>
      </c>
      <c r="I695" s="1543"/>
      <c r="J695" s="1543"/>
      <c r="K695" s="1543"/>
      <c r="L695" s="1543"/>
      <c r="M695" s="1543"/>
      <c r="N695" s="1566"/>
    </row>
    <row r="696" spans="1:14" ht="15.75" hidden="1" thickBot="1">
      <c r="A696" s="1520" t="s">
        <v>2220</v>
      </c>
      <c r="B696" s="1521"/>
      <c r="C696" s="1521"/>
      <c r="D696" s="1521"/>
      <c r="E696" s="1521"/>
      <c r="F696" s="1521"/>
      <c r="G696" s="1522"/>
      <c r="H696" s="216">
        <f>H694-H695</f>
        <v>135.77000000000001</v>
      </c>
      <c r="I696" s="1568"/>
      <c r="J696" s="1568"/>
      <c r="K696" s="1568"/>
      <c r="L696" s="1568"/>
      <c r="M696" s="1568"/>
      <c r="N696" s="1569"/>
    </row>
    <row r="697" spans="1:14" ht="15" hidden="1" customHeight="1" thickBot="1">
      <c r="A697" s="1635"/>
      <c r="B697" s="1636"/>
      <c r="C697" s="1636"/>
      <c r="D697" s="1636"/>
      <c r="E697" s="1636"/>
      <c r="F697" s="1636"/>
      <c r="G697" s="1636"/>
      <c r="H697" s="1636"/>
      <c r="I697" s="1636"/>
      <c r="J697" s="1636"/>
      <c r="K697" s="1636"/>
      <c r="L697" s="1636"/>
      <c r="M697" s="1636"/>
      <c r="N697" s="1637"/>
    </row>
    <row r="698" spans="1:14" ht="15" hidden="1" customHeight="1">
      <c r="A698" s="1085" t="s">
        <v>2465</v>
      </c>
      <c r="B698" s="1494" t="s">
        <v>599</v>
      </c>
      <c r="C698" s="1495"/>
      <c r="D698" s="1495"/>
      <c r="E698" s="1495"/>
      <c r="F698" s="1495"/>
      <c r="G698" s="1495"/>
      <c r="H698" s="1495"/>
      <c r="I698" s="1495"/>
      <c r="J698" s="1496"/>
      <c r="K698" s="196" t="s">
        <v>2466</v>
      </c>
      <c r="L698" s="1497">
        <v>1</v>
      </c>
      <c r="M698" s="1498"/>
      <c r="N698" s="197">
        <f>L698-H706</f>
        <v>0</v>
      </c>
    </row>
    <row r="699" spans="1:14" hidden="1">
      <c r="A699" s="1499"/>
      <c r="B699" s="1811"/>
      <c r="C699" s="352"/>
      <c r="D699" s="340" t="s">
        <v>2183</v>
      </c>
      <c r="E699" s="839" t="s">
        <v>2184</v>
      </c>
      <c r="F699" s="340" t="s">
        <v>2185</v>
      </c>
      <c r="G699" s="340" t="s">
        <v>2186</v>
      </c>
      <c r="H699" s="1778" t="s">
        <v>476</v>
      </c>
      <c r="I699" s="1543"/>
      <c r="J699" s="1543"/>
      <c r="K699" s="1543"/>
      <c r="L699" s="1543"/>
      <c r="M699" s="1543"/>
      <c r="N699" s="1566"/>
    </row>
    <row r="700" spans="1:14" hidden="1">
      <c r="A700" s="1787"/>
      <c r="B700" s="1812"/>
      <c r="C700" s="353" t="s">
        <v>2382</v>
      </c>
      <c r="D700" s="292" t="s">
        <v>2187</v>
      </c>
      <c r="E700" s="901" t="s">
        <v>2188</v>
      </c>
      <c r="F700" s="292" t="s">
        <v>2189</v>
      </c>
      <c r="G700" s="361" t="s">
        <v>2190</v>
      </c>
      <c r="H700" s="1789"/>
      <c r="I700" s="1543"/>
      <c r="J700" s="1543"/>
      <c r="K700" s="1543"/>
      <c r="L700" s="1543"/>
      <c r="M700" s="1543"/>
      <c r="N700" s="1566"/>
    </row>
    <row r="701" spans="1:14" hidden="1">
      <c r="A701" s="1813" t="s">
        <v>2238</v>
      </c>
      <c r="B701" s="358" t="s">
        <v>2192</v>
      </c>
      <c r="C701" s="359"/>
      <c r="D701" s="198"/>
      <c r="E701" s="341"/>
      <c r="F701" s="341"/>
      <c r="G701" s="341"/>
      <c r="H701" s="347"/>
      <c r="I701" s="1567"/>
      <c r="J701" s="1543"/>
      <c r="K701" s="1543"/>
      <c r="L701" s="1543"/>
      <c r="M701" s="1543"/>
      <c r="N701" s="1566"/>
    </row>
    <row r="702" spans="1:14" hidden="1">
      <c r="A702" s="1793"/>
      <c r="B702" s="360" t="s">
        <v>2467</v>
      </c>
      <c r="C702" s="354"/>
      <c r="D702" s="198"/>
      <c r="E702" s="341"/>
      <c r="F702" s="341"/>
      <c r="G702" s="341">
        <v>1</v>
      </c>
      <c r="H702" s="347">
        <f>G702</f>
        <v>1</v>
      </c>
      <c r="I702" s="1567"/>
      <c r="J702" s="1543"/>
      <c r="K702" s="1543"/>
      <c r="L702" s="1543"/>
      <c r="M702" s="1543"/>
      <c r="N702" s="1566"/>
    </row>
    <row r="703" spans="1:14" hidden="1">
      <c r="A703" s="1793"/>
      <c r="B703" s="360"/>
      <c r="C703" s="354"/>
      <c r="D703" s="198"/>
      <c r="E703" s="341"/>
      <c r="F703" s="341"/>
      <c r="G703" s="341"/>
      <c r="H703" s="347"/>
      <c r="I703" s="1567"/>
      <c r="J703" s="1543"/>
      <c r="K703" s="1543"/>
      <c r="L703" s="1543"/>
      <c r="M703" s="1543"/>
      <c r="N703" s="1566"/>
    </row>
    <row r="704" spans="1:14" hidden="1">
      <c r="A704" s="1793"/>
      <c r="B704" s="360"/>
      <c r="C704" s="354"/>
      <c r="D704" s="198"/>
      <c r="E704" s="341"/>
      <c r="F704" s="341"/>
      <c r="G704" s="341"/>
      <c r="H704" s="347"/>
      <c r="I704" s="1567"/>
      <c r="J704" s="1543"/>
      <c r="K704" s="1543"/>
      <c r="L704" s="1543"/>
      <c r="M704" s="1543"/>
      <c r="N704" s="1566"/>
    </row>
    <row r="705" spans="1:14" hidden="1">
      <c r="A705" s="1793"/>
      <c r="B705" s="360"/>
      <c r="C705" s="354"/>
      <c r="D705" s="198"/>
      <c r="E705" s="341"/>
      <c r="F705" s="341"/>
      <c r="G705" s="341"/>
      <c r="H705" s="347"/>
      <c r="I705" s="1567"/>
      <c r="J705" s="1543"/>
      <c r="K705" s="1543"/>
      <c r="L705" s="1543"/>
      <c r="M705" s="1543"/>
      <c r="N705" s="1566"/>
    </row>
    <row r="706" spans="1:14" hidden="1">
      <c r="A706" s="1577" t="s">
        <v>2218</v>
      </c>
      <c r="B706" s="1542"/>
      <c r="C706" s="1542"/>
      <c r="D706" s="1542"/>
      <c r="E706" s="1542"/>
      <c r="F706" s="1542"/>
      <c r="G706" s="1542"/>
      <c r="H706" s="271">
        <f>SUM(H701:H705)</f>
        <v>1</v>
      </c>
      <c r="I706" s="1567"/>
      <c r="J706" s="1543"/>
      <c r="K706" s="1543"/>
      <c r="L706" s="1543"/>
      <c r="M706" s="1543"/>
      <c r="N706" s="1566"/>
    </row>
    <row r="707" spans="1:14" hidden="1">
      <c r="A707" s="1519" t="s">
        <v>2219</v>
      </c>
      <c r="B707" s="1517"/>
      <c r="C707" s="1517"/>
      <c r="D707" s="1551"/>
      <c r="E707" s="1551"/>
      <c r="F707" s="1551"/>
      <c r="G707" s="1552"/>
      <c r="H707" s="272">
        <v>0</v>
      </c>
      <c r="I707" s="1543"/>
      <c r="J707" s="1543"/>
      <c r="K707" s="1543"/>
      <c r="L707" s="1543"/>
      <c r="M707" s="1543"/>
      <c r="N707" s="1566"/>
    </row>
    <row r="708" spans="1:14" ht="15.75" hidden="1" thickBot="1">
      <c r="A708" s="1520" t="s">
        <v>2220</v>
      </c>
      <c r="B708" s="1521"/>
      <c r="C708" s="1521"/>
      <c r="D708" s="1521"/>
      <c r="E708" s="1521"/>
      <c r="F708" s="1521"/>
      <c r="G708" s="1522"/>
      <c r="H708" s="216">
        <f>H706-H707</f>
        <v>1</v>
      </c>
      <c r="I708" s="1568"/>
      <c r="J708" s="1568"/>
      <c r="K708" s="1568"/>
      <c r="L708" s="1568"/>
      <c r="M708" s="1568"/>
      <c r="N708" s="1569"/>
    </row>
    <row r="709" spans="1:14" ht="15" hidden="1" customHeight="1" thickBot="1">
      <c r="A709" s="1635"/>
      <c r="B709" s="1636"/>
      <c r="C709" s="1636"/>
      <c r="D709" s="1636"/>
      <c r="E709" s="1636"/>
      <c r="F709" s="1636"/>
      <c r="G709" s="1636"/>
      <c r="H709" s="1636"/>
      <c r="I709" s="1636"/>
      <c r="J709" s="1636"/>
      <c r="K709" s="1636"/>
      <c r="L709" s="1636"/>
      <c r="M709" s="1636"/>
      <c r="N709" s="1637"/>
    </row>
    <row r="710" spans="1:14" ht="15" hidden="1" customHeight="1">
      <c r="A710" s="1085" t="s">
        <v>2468</v>
      </c>
      <c r="B710" s="1494" t="s">
        <v>2469</v>
      </c>
      <c r="C710" s="1495"/>
      <c r="D710" s="1495"/>
      <c r="E710" s="1495"/>
      <c r="F710" s="1495"/>
      <c r="G710" s="1495"/>
      <c r="H710" s="1495"/>
      <c r="I710" s="1495"/>
      <c r="J710" s="1496"/>
      <c r="K710" s="196" t="s">
        <v>2466</v>
      </c>
      <c r="L710" s="1497">
        <v>1</v>
      </c>
      <c r="M710" s="1498"/>
      <c r="N710" s="197">
        <f>L710-H717</f>
        <v>0</v>
      </c>
    </row>
    <row r="711" spans="1:14" hidden="1">
      <c r="A711" s="1499"/>
      <c r="B711" s="1500"/>
      <c r="C711" s="352"/>
      <c r="D711" s="340" t="s">
        <v>2183</v>
      </c>
      <c r="E711" s="839" t="s">
        <v>2184</v>
      </c>
      <c r="F711" s="340" t="s">
        <v>2185</v>
      </c>
      <c r="G711" s="340" t="s">
        <v>2186</v>
      </c>
      <c r="H711" s="1778" t="s">
        <v>476</v>
      </c>
      <c r="I711" s="1543"/>
      <c r="J711" s="1543"/>
      <c r="K711" s="1543"/>
      <c r="L711" s="1543"/>
      <c r="M711" s="1543"/>
      <c r="N711" s="1566"/>
    </row>
    <row r="712" spans="1:14" hidden="1">
      <c r="A712" s="1787"/>
      <c r="B712" s="1788"/>
      <c r="C712" s="353" t="s">
        <v>2382</v>
      </c>
      <c r="D712" s="292" t="s">
        <v>2187</v>
      </c>
      <c r="E712" s="901" t="s">
        <v>2188</v>
      </c>
      <c r="F712" s="292" t="s">
        <v>2189</v>
      </c>
      <c r="G712" s="361" t="s">
        <v>2190</v>
      </c>
      <c r="H712" s="1789"/>
      <c r="I712" s="1543"/>
      <c r="J712" s="1543"/>
      <c r="K712" s="1543"/>
      <c r="L712" s="1543"/>
      <c r="M712" s="1543"/>
      <c r="N712" s="1566"/>
    </row>
    <row r="713" spans="1:14" hidden="1">
      <c r="A713" s="1793" t="s">
        <v>2238</v>
      </c>
      <c r="B713" s="360" t="s">
        <v>2470</v>
      </c>
      <c r="C713" s="354"/>
      <c r="D713" s="198"/>
      <c r="E713" s="341"/>
      <c r="F713" s="341"/>
      <c r="G713" s="341">
        <v>1</v>
      </c>
      <c r="H713" s="347">
        <f>G713</f>
        <v>1</v>
      </c>
      <c r="I713" s="1567"/>
      <c r="J713" s="1543"/>
      <c r="K713" s="1543"/>
      <c r="L713" s="1543"/>
      <c r="M713" s="1543"/>
      <c r="N713" s="1566"/>
    </row>
    <row r="714" spans="1:14" hidden="1">
      <c r="A714" s="1793"/>
      <c r="B714" s="360"/>
      <c r="C714" s="354"/>
      <c r="D714" s="198"/>
      <c r="E714" s="341"/>
      <c r="F714" s="341"/>
      <c r="G714" s="341"/>
      <c r="H714" s="347"/>
      <c r="I714" s="1567"/>
      <c r="J714" s="1543"/>
      <c r="K714" s="1543"/>
      <c r="L714" s="1543"/>
      <c r="M714" s="1543"/>
      <c r="N714" s="1566"/>
    </row>
    <row r="715" spans="1:14" hidden="1">
      <c r="A715" s="1793"/>
      <c r="B715" s="360"/>
      <c r="C715" s="354"/>
      <c r="D715" s="198"/>
      <c r="E715" s="341"/>
      <c r="F715" s="341"/>
      <c r="G715" s="341"/>
      <c r="H715" s="347"/>
      <c r="I715" s="1567"/>
      <c r="J715" s="1543"/>
      <c r="K715" s="1543"/>
      <c r="L715" s="1543"/>
      <c r="M715" s="1543"/>
      <c r="N715" s="1566"/>
    </row>
    <row r="716" spans="1:14" hidden="1">
      <c r="A716" s="1793"/>
      <c r="B716" s="360"/>
      <c r="C716" s="354"/>
      <c r="D716" s="198"/>
      <c r="E716" s="341"/>
      <c r="F716" s="341"/>
      <c r="G716" s="341"/>
      <c r="H716" s="347"/>
      <c r="I716" s="1567"/>
      <c r="J716" s="1543"/>
      <c r="K716" s="1543"/>
      <c r="L716" s="1543"/>
      <c r="M716" s="1543"/>
      <c r="N716" s="1566"/>
    </row>
    <row r="717" spans="1:14" hidden="1">
      <c r="A717" s="1577" t="s">
        <v>2218</v>
      </c>
      <c r="B717" s="1542"/>
      <c r="C717" s="1542"/>
      <c r="D717" s="1542"/>
      <c r="E717" s="1542"/>
      <c r="F717" s="1542"/>
      <c r="G717" s="1542"/>
      <c r="H717" s="271">
        <f>SUM(H713:H716)</f>
        <v>1</v>
      </c>
      <c r="I717" s="1567"/>
      <c r="J717" s="1543"/>
      <c r="K717" s="1543"/>
      <c r="L717" s="1543"/>
      <c r="M717" s="1543"/>
      <c r="N717" s="1566"/>
    </row>
    <row r="718" spans="1:14" hidden="1">
      <c r="A718" s="1519" t="s">
        <v>2219</v>
      </c>
      <c r="B718" s="1517"/>
      <c r="C718" s="1517"/>
      <c r="D718" s="1551"/>
      <c r="E718" s="1551"/>
      <c r="F718" s="1551"/>
      <c r="G718" s="1552"/>
      <c r="H718" s="272">
        <v>0</v>
      </c>
      <c r="I718" s="1543"/>
      <c r="J718" s="1543"/>
      <c r="K718" s="1543"/>
      <c r="L718" s="1543"/>
      <c r="M718" s="1543"/>
      <c r="N718" s="1566"/>
    </row>
    <row r="719" spans="1:14" ht="15.75" hidden="1" thickBot="1">
      <c r="A719" s="1520" t="s">
        <v>2220</v>
      </c>
      <c r="B719" s="1521"/>
      <c r="C719" s="1521"/>
      <c r="D719" s="1521"/>
      <c r="E719" s="1521"/>
      <c r="F719" s="1521"/>
      <c r="G719" s="1522"/>
      <c r="H719" s="216">
        <f>H717-H718</f>
        <v>1</v>
      </c>
      <c r="I719" s="1568"/>
      <c r="J719" s="1568"/>
      <c r="K719" s="1568"/>
      <c r="L719" s="1568"/>
      <c r="M719" s="1568"/>
      <c r="N719" s="1569"/>
    </row>
    <row r="720" spans="1:14" ht="15" hidden="1" customHeight="1" thickBot="1">
      <c r="A720" s="1635"/>
      <c r="B720" s="1636"/>
      <c r="C720" s="1636"/>
      <c r="D720" s="1636"/>
      <c r="E720" s="1636"/>
      <c r="F720" s="1636"/>
      <c r="G720" s="1636"/>
      <c r="H720" s="1636"/>
      <c r="I720" s="1636"/>
      <c r="J720" s="1636"/>
      <c r="K720" s="1636"/>
      <c r="L720" s="1636"/>
      <c r="M720" s="1636"/>
      <c r="N720" s="1637"/>
    </row>
    <row r="721" spans="1:14" ht="15" customHeight="1">
      <c r="A721" s="1085" t="s">
        <v>2471</v>
      </c>
      <c r="B721" s="1494" t="s">
        <v>2472</v>
      </c>
      <c r="C721" s="1495"/>
      <c r="D721" s="1495"/>
      <c r="E721" s="1495"/>
      <c r="F721" s="1495"/>
      <c r="G721" s="1495"/>
      <c r="H721" s="1495"/>
      <c r="I721" s="1495"/>
      <c r="J721" s="1496"/>
      <c r="K721" s="196" t="s">
        <v>2222</v>
      </c>
      <c r="L721" s="1497">
        <v>852.92</v>
      </c>
      <c r="M721" s="1498"/>
      <c r="N721" s="197">
        <v>0</v>
      </c>
    </row>
    <row r="722" spans="1:14">
      <c r="A722" s="1499"/>
      <c r="B722" s="1500"/>
      <c r="C722" s="352"/>
      <c r="D722" s="340" t="s">
        <v>2183</v>
      </c>
      <c r="E722" s="839" t="s">
        <v>2184</v>
      </c>
      <c r="F722" s="340" t="s">
        <v>2185</v>
      </c>
      <c r="G722" s="340" t="s">
        <v>2186</v>
      </c>
      <c r="H722" s="1778" t="s">
        <v>476</v>
      </c>
      <c r="I722" s="1543"/>
      <c r="J722" s="1543"/>
      <c r="K722" s="1543"/>
      <c r="L722" s="1543"/>
      <c r="M722" s="1543"/>
      <c r="N722" s="1566"/>
    </row>
    <row r="723" spans="1:14">
      <c r="A723" s="1787"/>
      <c r="B723" s="1788"/>
      <c r="C723" s="353" t="s">
        <v>2382</v>
      </c>
      <c r="D723" s="292" t="s">
        <v>2187</v>
      </c>
      <c r="E723" s="901" t="s">
        <v>2188</v>
      </c>
      <c r="F723" s="292" t="s">
        <v>2189</v>
      </c>
      <c r="G723" s="361" t="s">
        <v>2190</v>
      </c>
      <c r="H723" s="1789"/>
      <c r="I723" s="1543"/>
      <c r="J723" s="1543"/>
      <c r="K723" s="1543"/>
      <c r="L723" s="1543"/>
      <c r="M723" s="1543"/>
      <c r="N723" s="1566"/>
    </row>
    <row r="724" spans="1:14">
      <c r="A724" s="1087" t="s">
        <v>2238</v>
      </c>
      <c r="B724" s="360" t="s">
        <v>2470</v>
      </c>
      <c r="C724" s="354">
        <v>708.62</v>
      </c>
      <c r="D724" s="198"/>
      <c r="E724" s="341"/>
      <c r="F724" s="341"/>
      <c r="G724" s="341"/>
      <c r="H724" s="347">
        <f>C724</f>
        <v>708.62</v>
      </c>
      <c r="I724" s="1567"/>
      <c r="J724" s="1543"/>
      <c r="K724" s="1543"/>
      <c r="L724" s="1543"/>
      <c r="M724" s="1543"/>
      <c r="N724" s="1566"/>
    </row>
    <row r="725" spans="1:14">
      <c r="A725" s="1809" t="s">
        <v>3728</v>
      </c>
      <c r="B725" s="1056" t="s">
        <v>2914</v>
      </c>
      <c r="C725" s="1060"/>
      <c r="D725" s="1060"/>
      <c r="E725" s="1060"/>
      <c r="F725" s="341"/>
      <c r="G725" s="341"/>
      <c r="H725" s="1060"/>
      <c r="I725" s="1567"/>
      <c r="J725" s="1543"/>
      <c r="K725" s="1543"/>
      <c r="L725" s="1543"/>
      <c r="M725" s="1543"/>
      <c r="N725" s="1566"/>
    </row>
    <row r="726" spans="1:14">
      <c r="A726" s="1809"/>
      <c r="B726" s="1053" t="s">
        <v>3718</v>
      </c>
      <c r="C726" s="1059">
        <v>5.0999999999999996</v>
      </c>
      <c r="D726" s="1062">
        <v>2</v>
      </c>
      <c r="E726" s="1059">
        <v>0.15</v>
      </c>
      <c r="F726" s="341"/>
      <c r="G726" s="341"/>
      <c r="H726" s="1062">
        <v>10.199999999999999</v>
      </c>
      <c r="I726" s="1567"/>
      <c r="J726" s="1543"/>
      <c r="K726" s="1543"/>
      <c r="L726" s="1543"/>
      <c r="M726" s="1543"/>
      <c r="N726" s="1566"/>
    </row>
    <row r="727" spans="1:14">
      <c r="A727" s="1809"/>
      <c r="B727" s="1053" t="s">
        <v>3719</v>
      </c>
      <c r="C727" s="1059">
        <v>3.14</v>
      </c>
      <c r="D727" s="1062">
        <v>2</v>
      </c>
      <c r="E727" s="1059">
        <v>0.15</v>
      </c>
      <c r="F727" s="341"/>
      <c r="G727" s="341"/>
      <c r="H727" s="1062">
        <v>6.28</v>
      </c>
      <c r="I727" s="1567"/>
      <c r="J727" s="1543"/>
      <c r="K727" s="1543"/>
      <c r="L727" s="1543"/>
      <c r="M727" s="1543"/>
      <c r="N727" s="1566"/>
    </row>
    <row r="728" spans="1:14">
      <c r="A728" s="1809"/>
      <c r="B728" s="1053" t="s">
        <v>3095</v>
      </c>
      <c r="C728" s="1059">
        <v>3.9899999999999998</v>
      </c>
      <c r="D728" s="1062">
        <v>1.8</v>
      </c>
      <c r="E728" s="1059">
        <v>0.15</v>
      </c>
      <c r="F728" s="341"/>
      <c r="G728" s="341"/>
      <c r="H728" s="1062">
        <v>7.1819999999999995</v>
      </c>
      <c r="I728" s="1567"/>
      <c r="J728" s="1543"/>
      <c r="K728" s="1543"/>
      <c r="L728" s="1543"/>
      <c r="M728" s="1543"/>
      <c r="N728" s="1566"/>
    </row>
    <row r="729" spans="1:14">
      <c r="A729" s="1809"/>
      <c r="B729" s="1054" t="s">
        <v>3720</v>
      </c>
      <c r="C729" s="1059">
        <v>3.4999999999999996</v>
      </c>
      <c r="D729" s="1062">
        <v>3.13</v>
      </c>
      <c r="E729" s="1059">
        <v>0.15</v>
      </c>
      <c r="F729" s="341"/>
      <c r="G729" s="341"/>
      <c r="H729" s="1062">
        <v>10.954999999999998</v>
      </c>
      <c r="I729" s="1567"/>
      <c r="J729" s="1543"/>
      <c r="K729" s="1543"/>
      <c r="L729" s="1543"/>
      <c r="M729" s="1543"/>
      <c r="N729" s="1566"/>
    </row>
    <row r="730" spans="1:14">
      <c r="A730" s="1809"/>
      <c r="B730" s="1057" t="s">
        <v>3524</v>
      </c>
      <c r="C730" s="1061"/>
      <c r="D730" s="1061"/>
      <c r="E730" s="1061"/>
      <c r="F730" s="341"/>
      <c r="G730" s="341"/>
      <c r="H730" s="1061"/>
      <c r="I730" s="1567"/>
      <c r="J730" s="1543"/>
      <c r="K730" s="1543"/>
      <c r="L730" s="1543"/>
      <c r="M730" s="1543"/>
      <c r="N730" s="1566"/>
    </row>
    <row r="731" spans="1:14" ht="38.25">
      <c r="A731" s="1809"/>
      <c r="B731" s="1055" t="s">
        <v>3721</v>
      </c>
      <c r="C731" s="1063">
        <v>3.0399999999999996</v>
      </c>
      <c r="D731" s="1059">
        <v>2.9</v>
      </c>
      <c r="E731" s="1059">
        <v>0.15</v>
      </c>
      <c r="F731" s="341"/>
      <c r="G731" s="341"/>
      <c r="H731" s="1062">
        <v>8.8159999999999989</v>
      </c>
      <c r="I731" s="1567"/>
      <c r="J731" s="1543"/>
      <c r="K731" s="1543"/>
      <c r="L731" s="1543"/>
      <c r="M731" s="1543"/>
      <c r="N731" s="1566"/>
    </row>
    <row r="732" spans="1:14" ht="38.25">
      <c r="A732" s="1809"/>
      <c r="B732" s="1055" t="s">
        <v>3722</v>
      </c>
      <c r="C732" s="1063">
        <v>1.1000000000000001</v>
      </c>
      <c r="D732" s="1059">
        <v>2.9</v>
      </c>
      <c r="E732" s="1059">
        <v>0.15</v>
      </c>
      <c r="F732" s="341"/>
      <c r="G732" s="341"/>
      <c r="H732" s="1062">
        <v>3.19</v>
      </c>
      <c r="I732" s="1567"/>
      <c r="J732" s="1543"/>
      <c r="K732" s="1543"/>
      <c r="L732" s="1543"/>
      <c r="M732" s="1543"/>
      <c r="N732" s="1566"/>
    </row>
    <row r="733" spans="1:14">
      <c r="A733" s="1809"/>
      <c r="B733" s="1808" t="s">
        <v>3723</v>
      </c>
      <c r="C733" s="1063">
        <v>2.25</v>
      </c>
      <c r="D733" s="1059">
        <v>2.9</v>
      </c>
      <c r="E733" s="1059">
        <v>0.15</v>
      </c>
      <c r="F733" s="341"/>
      <c r="G733" s="341"/>
      <c r="H733" s="1062">
        <v>6.5249999999999995</v>
      </c>
      <c r="I733" s="1567"/>
      <c r="J733" s="1543"/>
      <c r="K733" s="1543"/>
      <c r="L733" s="1543"/>
      <c r="M733" s="1543"/>
      <c r="N733" s="1566"/>
    </row>
    <row r="734" spans="1:14">
      <c r="A734" s="1809"/>
      <c r="B734" s="1808"/>
      <c r="C734" s="1063">
        <v>2.23</v>
      </c>
      <c r="D734" s="1059">
        <v>2.9</v>
      </c>
      <c r="E734" s="1059">
        <v>0.15</v>
      </c>
      <c r="F734" s="341"/>
      <c r="G734" s="341"/>
      <c r="H734" s="1062">
        <v>6.4669999999999996</v>
      </c>
      <c r="I734" s="1567"/>
      <c r="J734" s="1543"/>
      <c r="K734" s="1543"/>
      <c r="L734" s="1543"/>
      <c r="M734" s="1543"/>
      <c r="N734" s="1566"/>
    </row>
    <row r="735" spans="1:14" ht="25.5">
      <c r="A735" s="1809"/>
      <c r="B735" s="1055" t="s">
        <v>3724</v>
      </c>
      <c r="C735" s="1063">
        <v>1.8</v>
      </c>
      <c r="D735" s="1059">
        <v>2.9</v>
      </c>
      <c r="E735" s="1059">
        <v>0.15</v>
      </c>
      <c r="F735" s="341"/>
      <c r="G735" s="341"/>
      <c r="H735" s="1062">
        <v>5.22</v>
      </c>
      <c r="I735" s="1567"/>
      <c r="J735" s="1543"/>
      <c r="K735" s="1543"/>
      <c r="L735" s="1543"/>
      <c r="M735" s="1543"/>
      <c r="N735" s="1566"/>
    </row>
    <row r="736" spans="1:14" ht="25.5">
      <c r="A736" s="1809"/>
      <c r="B736" s="1055" t="s">
        <v>3724</v>
      </c>
      <c r="C736" s="1063">
        <v>1.8</v>
      </c>
      <c r="D736" s="1059">
        <v>2.9</v>
      </c>
      <c r="E736" s="1059">
        <v>0.15</v>
      </c>
      <c r="F736" s="341"/>
      <c r="G736" s="341"/>
      <c r="H736" s="1062">
        <v>5.22</v>
      </c>
      <c r="I736" s="1567"/>
      <c r="J736" s="1543"/>
      <c r="K736" s="1543"/>
      <c r="L736" s="1543"/>
      <c r="M736" s="1543"/>
      <c r="N736" s="1566"/>
    </row>
    <row r="737" spans="1:14" ht="25.5">
      <c r="A737" s="1809"/>
      <c r="B737" s="1053" t="s">
        <v>3725</v>
      </c>
      <c r="C737" s="1059">
        <v>4.8</v>
      </c>
      <c r="D737" s="1062">
        <v>1.85</v>
      </c>
      <c r="E737" s="1059">
        <v>0.15</v>
      </c>
      <c r="F737" s="341"/>
      <c r="G737" s="341"/>
      <c r="H737" s="1062">
        <v>8.8800000000000008</v>
      </c>
      <c r="I737" s="1567"/>
      <c r="J737" s="1543"/>
      <c r="K737" s="1543"/>
      <c r="L737" s="1543"/>
      <c r="M737" s="1543"/>
      <c r="N737" s="1566"/>
    </row>
    <row r="738" spans="1:14">
      <c r="A738" s="1809"/>
      <c r="B738" s="1058" t="s">
        <v>3726</v>
      </c>
      <c r="C738" s="1064">
        <v>20</v>
      </c>
      <c r="D738" s="1065">
        <v>3.1</v>
      </c>
      <c r="E738" s="1064">
        <v>0.15</v>
      </c>
      <c r="F738" s="341"/>
      <c r="G738" s="341"/>
      <c r="H738" s="1062">
        <v>62</v>
      </c>
      <c r="I738" s="1567"/>
      <c r="J738" s="1543"/>
      <c r="K738" s="1543"/>
      <c r="L738" s="1543"/>
      <c r="M738" s="1543"/>
      <c r="N738" s="1566"/>
    </row>
    <row r="739" spans="1:14" ht="25.5">
      <c r="A739" s="1810"/>
      <c r="B739" s="1058" t="s">
        <v>3727</v>
      </c>
      <c r="C739" s="1064">
        <v>0.8</v>
      </c>
      <c r="D739" s="1065">
        <v>2.1</v>
      </c>
      <c r="E739" s="1064">
        <v>0.15</v>
      </c>
      <c r="F739" s="341"/>
      <c r="G739" s="341"/>
      <c r="H739" s="1062">
        <v>1.6800000000000002</v>
      </c>
      <c r="I739" s="1567"/>
      <c r="J739" s="1543"/>
      <c r="K739" s="1543"/>
      <c r="L739" s="1543"/>
      <c r="M739" s="1543"/>
      <c r="N739" s="1566"/>
    </row>
    <row r="740" spans="1:14">
      <c r="A740" s="1577" t="s">
        <v>2218</v>
      </c>
      <c r="B740" s="1542"/>
      <c r="C740" s="1542"/>
      <c r="D740" s="1542"/>
      <c r="E740" s="1542"/>
      <c r="F740" s="1542"/>
      <c r="G740" s="1542"/>
      <c r="H740" s="271">
        <f>SUM(H724:H739)</f>
        <v>851.23500000000013</v>
      </c>
      <c r="I740" s="1567"/>
      <c r="J740" s="1543"/>
      <c r="K740" s="1543"/>
      <c r="L740" s="1543"/>
      <c r="M740" s="1543"/>
      <c r="N740" s="1566"/>
    </row>
    <row r="741" spans="1:14">
      <c r="A741" s="1519" t="s">
        <v>2219</v>
      </c>
      <c r="B741" s="1517"/>
      <c r="C741" s="1517"/>
      <c r="D741" s="1551"/>
      <c r="E741" s="1551"/>
      <c r="F741" s="1551"/>
      <c r="G741" s="1552"/>
      <c r="H741" s="272">
        <f>H724</f>
        <v>708.62</v>
      </c>
      <c r="I741" s="1543"/>
      <c r="J741" s="1543"/>
      <c r="K741" s="1543"/>
      <c r="L741" s="1543"/>
      <c r="M741" s="1543"/>
      <c r="N741" s="1566"/>
    </row>
    <row r="742" spans="1:14" ht="15.75" thickBot="1">
      <c r="A742" s="1520" t="s">
        <v>2220</v>
      </c>
      <c r="B742" s="1521"/>
      <c r="C742" s="1521"/>
      <c r="D742" s="1521"/>
      <c r="E742" s="1521"/>
      <c r="F742" s="1521"/>
      <c r="G742" s="1522"/>
      <c r="H742" s="216">
        <v>144.30000000000001</v>
      </c>
      <c r="I742" s="1568"/>
      <c r="J742" s="1568"/>
      <c r="K742" s="1568"/>
      <c r="L742" s="1568"/>
      <c r="M742" s="1568"/>
      <c r="N742" s="1569"/>
    </row>
    <row r="743" spans="1:14" ht="15" customHeight="1" thickBot="1">
      <c r="A743" s="1635"/>
      <c r="B743" s="1636"/>
      <c r="C743" s="1636"/>
      <c r="D743" s="1636"/>
      <c r="E743" s="1636"/>
      <c r="F743" s="1636"/>
      <c r="G743" s="1636"/>
      <c r="H743" s="1636"/>
      <c r="I743" s="1636"/>
      <c r="J743" s="1636"/>
      <c r="K743" s="1636"/>
      <c r="L743" s="1636"/>
      <c r="M743" s="1636"/>
      <c r="N743" s="1637"/>
    </row>
    <row r="744" spans="1:14" ht="15" hidden="1" customHeight="1">
      <c r="A744" s="1085" t="s">
        <v>2473</v>
      </c>
      <c r="B744" s="1494" t="s">
        <v>608</v>
      </c>
      <c r="C744" s="1495"/>
      <c r="D744" s="1495"/>
      <c r="E744" s="1495"/>
      <c r="F744" s="1495"/>
      <c r="G744" s="1495"/>
      <c r="H744" s="1495"/>
      <c r="I744" s="1495"/>
      <c r="J744" s="1496"/>
      <c r="K744" s="196" t="s">
        <v>2222</v>
      </c>
      <c r="L744" s="1497">
        <v>986.13</v>
      </c>
      <c r="M744" s="1498"/>
      <c r="N744" s="197" t="s">
        <v>2474</v>
      </c>
    </row>
    <row r="745" spans="1:14" hidden="1">
      <c r="A745" s="1541"/>
      <c r="B745" s="1541"/>
      <c r="C745" s="366"/>
      <c r="D745" s="367" t="s">
        <v>2183</v>
      </c>
      <c r="E745" s="1320" t="s">
        <v>2184</v>
      </c>
      <c r="F745" s="367" t="s">
        <v>2185</v>
      </c>
      <c r="G745" s="367" t="s">
        <v>2186</v>
      </c>
      <c r="H745" s="1542" t="s">
        <v>476</v>
      </c>
      <c r="I745" s="1543"/>
      <c r="J745" s="1543"/>
      <c r="K745" s="1543"/>
      <c r="L745" s="1543"/>
      <c r="M745" s="1543"/>
      <c r="N745" s="1566"/>
    </row>
    <row r="746" spans="1:14" hidden="1">
      <c r="A746" s="1541"/>
      <c r="B746" s="1541"/>
      <c r="C746" s="368" t="s">
        <v>2382</v>
      </c>
      <c r="D746" s="369" t="s">
        <v>2187</v>
      </c>
      <c r="E746" s="529" t="s">
        <v>2188</v>
      </c>
      <c r="F746" s="369" t="s">
        <v>2189</v>
      </c>
      <c r="G746" s="370" t="s">
        <v>2190</v>
      </c>
      <c r="H746" s="1542"/>
      <c r="I746" s="1543"/>
      <c r="J746" s="1543"/>
      <c r="K746" s="1543"/>
      <c r="L746" s="1543"/>
      <c r="M746" s="1543"/>
      <c r="N746" s="1566"/>
    </row>
    <row r="747" spans="1:14" hidden="1">
      <c r="A747" s="1536" t="s">
        <v>2238</v>
      </c>
      <c r="B747" s="360" t="s">
        <v>2475</v>
      </c>
      <c r="C747" s="354"/>
      <c r="D747" s="350">
        <v>21</v>
      </c>
      <c r="E747" s="350"/>
      <c r="F747" s="350">
        <v>9</v>
      </c>
      <c r="G747" s="350"/>
      <c r="H747" s="371">
        <f>D747*F747</f>
        <v>189</v>
      </c>
      <c r="I747" s="1567"/>
      <c r="J747" s="1543"/>
      <c r="K747" s="1543"/>
      <c r="L747" s="1543"/>
      <c r="M747" s="1543"/>
      <c r="N747" s="1566"/>
    </row>
    <row r="748" spans="1:14" hidden="1">
      <c r="A748" s="1536"/>
      <c r="B748" s="372"/>
      <c r="C748" s="354"/>
      <c r="D748" s="198"/>
      <c r="E748" s="341"/>
      <c r="F748" s="341"/>
      <c r="G748" s="341"/>
      <c r="H748" s="347"/>
      <c r="I748" s="1567"/>
      <c r="J748" s="1543"/>
      <c r="K748" s="1543"/>
      <c r="L748" s="1543"/>
      <c r="M748" s="1543"/>
      <c r="N748" s="1566"/>
    </row>
    <row r="749" spans="1:14" hidden="1">
      <c r="A749" s="1536"/>
      <c r="B749" s="373"/>
      <c r="C749" s="354"/>
      <c r="D749" s="198"/>
      <c r="E749" s="341"/>
      <c r="F749" s="341"/>
      <c r="G749" s="341"/>
      <c r="H749" s="347"/>
      <c r="I749" s="1567"/>
      <c r="J749" s="1543"/>
      <c r="K749" s="1543"/>
      <c r="L749" s="1543"/>
      <c r="M749" s="1543"/>
      <c r="N749" s="1566"/>
    </row>
    <row r="750" spans="1:14" hidden="1">
      <c r="A750" s="1536"/>
      <c r="B750" s="373"/>
      <c r="C750" s="354"/>
      <c r="D750" s="198"/>
      <c r="E750" s="341"/>
      <c r="F750" s="341"/>
      <c r="G750" s="341"/>
      <c r="H750" s="347"/>
      <c r="I750" s="1567"/>
      <c r="J750" s="1543"/>
      <c r="K750" s="1543"/>
      <c r="L750" s="1543"/>
      <c r="M750" s="1543"/>
      <c r="N750" s="1566"/>
    </row>
    <row r="751" spans="1:14" hidden="1">
      <c r="A751" s="1088"/>
      <c r="B751" s="373"/>
      <c r="C751" s="354"/>
      <c r="D751" s="198"/>
      <c r="E751" s="341"/>
      <c r="F751" s="341"/>
      <c r="G751" s="341"/>
      <c r="H751" s="347"/>
      <c r="I751" s="1567"/>
      <c r="J751" s="1543"/>
      <c r="K751" s="1543"/>
      <c r="L751" s="1543"/>
      <c r="M751" s="1543"/>
      <c r="N751" s="1566"/>
    </row>
    <row r="752" spans="1:14" hidden="1">
      <c r="A752" s="1536" t="s">
        <v>2476</v>
      </c>
      <c r="B752" s="373" t="s">
        <v>2477</v>
      </c>
      <c r="C752" s="354">
        <v>797.13</v>
      </c>
      <c r="D752" s="198"/>
      <c r="E752" s="341"/>
      <c r="F752" s="341"/>
      <c r="G752" s="341"/>
      <c r="H752" s="347">
        <f>C752</f>
        <v>797.13</v>
      </c>
      <c r="I752" s="1567"/>
      <c r="J752" s="1543"/>
      <c r="K752" s="1543"/>
      <c r="L752" s="1543"/>
      <c r="M752" s="1543"/>
      <c r="N752" s="1566"/>
    </row>
    <row r="753" spans="1:14" hidden="1">
      <c r="A753" s="1536"/>
      <c r="B753" s="373"/>
      <c r="C753" s="354"/>
      <c r="D753" s="198"/>
      <c r="E753" s="341"/>
      <c r="F753" s="341"/>
      <c r="G753" s="341"/>
      <c r="H753" s="347"/>
      <c r="I753" s="1567"/>
      <c r="J753" s="1543"/>
      <c r="K753" s="1543"/>
      <c r="L753" s="1543"/>
      <c r="M753" s="1543"/>
      <c r="N753" s="1566"/>
    </row>
    <row r="754" spans="1:14" hidden="1">
      <c r="A754" s="1536"/>
      <c r="B754" s="373"/>
      <c r="C754" s="354"/>
      <c r="D754" s="198"/>
      <c r="E754" s="341"/>
      <c r="F754" s="341"/>
      <c r="G754" s="341"/>
      <c r="H754" s="347"/>
      <c r="I754" s="1567"/>
      <c r="J754" s="1543"/>
      <c r="K754" s="1543"/>
      <c r="L754" s="1543"/>
      <c r="M754" s="1543"/>
      <c r="N754" s="1566"/>
    </row>
    <row r="755" spans="1:14" hidden="1">
      <c r="A755" s="1536"/>
      <c r="B755" s="373"/>
      <c r="C755" s="354"/>
      <c r="D755" s="198"/>
      <c r="E755" s="341"/>
      <c r="F755" s="341"/>
      <c r="G755" s="341"/>
      <c r="H755" s="347"/>
      <c r="I755" s="1567"/>
      <c r="J755" s="1543"/>
      <c r="K755" s="1543"/>
      <c r="L755" s="1543"/>
      <c r="M755" s="1543"/>
      <c r="N755" s="1566"/>
    </row>
    <row r="756" spans="1:14" hidden="1">
      <c r="A756" s="1089"/>
      <c r="B756" s="374"/>
      <c r="C756" s="375"/>
      <c r="D756" s="200"/>
      <c r="E756" s="376"/>
      <c r="F756" s="376"/>
      <c r="G756" s="376"/>
      <c r="H756" s="377"/>
      <c r="I756" s="1567"/>
      <c r="J756" s="1543"/>
      <c r="K756" s="1543"/>
      <c r="L756" s="1543"/>
      <c r="M756" s="1543"/>
      <c r="N756" s="1566"/>
    </row>
    <row r="757" spans="1:14" hidden="1">
      <c r="A757" s="1577" t="s">
        <v>2218</v>
      </c>
      <c r="B757" s="1542"/>
      <c r="C757" s="1542"/>
      <c r="D757" s="1542"/>
      <c r="E757" s="1542"/>
      <c r="F757" s="1542"/>
      <c r="G757" s="1542"/>
      <c r="H757" s="271">
        <f>SUM(H747:H756)</f>
        <v>986.13</v>
      </c>
      <c r="I757" s="1567"/>
      <c r="J757" s="1543"/>
      <c r="K757" s="1543"/>
      <c r="L757" s="1543"/>
      <c r="M757" s="1543"/>
      <c r="N757" s="1566"/>
    </row>
    <row r="758" spans="1:14" hidden="1">
      <c r="A758" s="1519" t="s">
        <v>2219</v>
      </c>
      <c r="B758" s="1517"/>
      <c r="C758" s="1517"/>
      <c r="D758" s="1551"/>
      <c r="E758" s="1551"/>
      <c r="F758" s="1551"/>
      <c r="G758" s="1552"/>
      <c r="H758" s="272">
        <v>189</v>
      </c>
      <c r="I758" s="1543"/>
      <c r="J758" s="1543"/>
      <c r="K758" s="1543"/>
      <c r="L758" s="1543"/>
      <c r="M758" s="1543"/>
      <c r="N758" s="1566"/>
    </row>
    <row r="759" spans="1:14" ht="15.75" hidden="1" thickBot="1">
      <c r="A759" s="1520" t="s">
        <v>2220</v>
      </c>
      <c r="B759" s="1521"/>
      <c r="C759" s="1521"/>
      <c r="D759" s="1521"/>
      <c r="E759" s="1521"/>
      <c r="F759" s="1521"/>
      <c r="G759" s="1522"/>
      <c r="H759" s="216">
        <f>H757-H758</f>
        <v>797.13</v>
      </c>
      <c r="I759" s="1568"/>
      <c r="J759" s="1568"/>
      <c r="K759" s="1568"/>
      <c r="L759" s="1568"/>
      <c r="M759" s="1568"/>
      <c r="N759" s="1569"/>
    </row>
    <row r="760" spans="1:14" ht="15" hidden="1" customHeight="1" thickBot="1">
      <c r="A760" s="1635"/>
      <c r="B760" s="1636"/>
      <c r="C760" s="1636"/>
      <c r="D760" s="1636"/>
      <c r="E760" s="1636"/>
      <c r="F760" s="1636"/>
      <c r="G760" s="1636"/>
      <c r="H760" s="1636"/>
      <c r="I760" s="1636"/>
      <c r="J760" s="1636"/>
      <c r="K760" s="1636"/>
      <c r="L760" s="1636"/>
      <c r="M760" s="1636"/>
      <c r="N760" s="1637"/>
    </row>
    <row r="761" spans="1:14" ht="15" hidden="1" customHeight="1">
      <c r="A761" s="1085" t="s">
        <v>2478</v>
      </c>
      <c r="B761" s="1494" t="s">
        <v>611</v>
      </c>
      <c r="C761" s="1495"/>
      <c r="D761" s="1495"/>
      <c r="E761" s="1495"/>
      <c r="F761" s="1495"/>
      <c r="G761" s="1495"/>
      <c r="H761" s="1495"/>
      <c r="I761" s="1495"/>
      <c r="J761" s="1496"/>
      <c r="K761" s="196" t="s">
        <v>2329</v>
      </c>
      <c r="L761" s="1497">
        <v>1</v>
      </c>
      <c r="M761" s="1498"/>
      <c r="N761" s="197">
        <f>L761-H775</f>
        <v>0</v>
      </c>
    </row>
    <row r="762" spans="1:14" hidden="1">
      <c r="A762" s="1541"/>
      <c r="B762" s="1541"/>
      <c r="C762" s="366"/>
      <c r="D762" s="367" t="s">
        <v>2183</v>
      </c>
      <c r="E762" s="1320" t="s">
        <v>2184</v>
      </c>
      <c r="F762" s="367" t="s">
        <v>2185</v>
      </c>
      <c r="G762" s="367" t="s">
        <v>2186</v>
      </c>
      <c r="H762" s="1542" t="s">
        <v>476</v>
      </c>
      <c r="I762" s="1543"/>
      <c r="J762" s="1543"/>
      <c r="K762" s="1543"/>
      <c r="L762" s="1543"/>
      <c r="M762" s="1543"/>
      <c r="N762" s="1566"/>
    </row>
    <row r="763" spans="1:14" ht="15.75" hidden="1" thickBot="1">
      <c r="A763" s="1694"/>
      <c r="B763" s="1541"/>
      <c r="C763" s="368" t="s">
        <v>2479</v>
      </c>
      <c r="D763" s="369" t="s">
        <v>2187</v>
      </c>
      <c r="E763" s="529" t="s">
        <v>2188</v>
      </c>
      <c r="F763" s="369" t="s">
        <v>2189</v>
      </c>
      <c r="G763" s="370" t="s">
        <v>2480</v>
      </c>
      <c r="H763" s="1542"/>
      <c r="I763" s="1543"/>
      <c r="J763" s="1543"/>
      <c r="K763" s="1543"/>
      <c r="L763" s="1543"/>
      <c r="M763" s="1543"/>
      <c r="N763" s="1566"/>
    </row>
    <row r="764" spans="1:14" ht="72" hidden="1">
      <c r="A764" s="1805" t="s">
        <v>2268</v>
      </c>
      <c r="B764" s="378" t="s">
        <v>2481</v>
      </c>
      <c r="C764" s="369">
        <v>0.14000000000000001</v>
      </c>
      <c r="D764" s="218"/>
      <c r="E764" s="379"/>
      <c r="F764" s="379"/>
      <c r="G764" s="379">
        <v>3</v>
      </c>
      <c r="H764" s="380">
        <f>C764</f>
        <v>0.14000000000000001</v>
      </c>
      <c r="I764" s="1567"/>
      <c r="J764" s="1543"/>
      <c r="K764" s="1543"/>
      <c r="L764" s="1543"/>
      <c r="M764" s="1543"/>
      <c r="N764" s="1566"/>
    </row>
    <row r="765" spans="1:14" ht="15.75" hidden="1" thickBot="1">
      <c r="A765" s="1806"/>
      <c r="B765" s="378" t="s">
        <v>2482</v>
      </c>
      <c r="C765" s="369">
        <v>0.23</v>
      </c>
      <c r="D765" s="218"/>
      <c r="E765" s="379"/>
      <c r="F765" s="379"/>
      <c r="G765" s="379">
        <v>5</v>
      </c>
      <c r="H765" s="380">
        <f>C765</f>
        <v>0.23</v>
      </c>
      <c r="I765" s="1567"/>
      <c r="J765" s="1543"/>
      <c r="K765" s="1543"/>
      <c r="L765" s="1543"/>
      <c r="M765" s="1543"/>
      <c r="N765" s="1566"/>
    </row>
    <row r="766" spans="1:14" ht="15.75" hidden="1" thickBot="1">
      <c r="A766" s="1090"/>
      <c r="B766" s="381"/>
      <c r="C766" s="369"/>
      <c r="D766" s="218"/>
      <c r="E766" s="379"/>
      <c r="F766" s="379"/>
      <c r="G766" s="379"/>
      <c r="H766" s="380"/>
      <c r="I766" s="1567"/>
      <c r="J766" s="1543"/>
      <c r="K766" s="1543"/>
      <c r="L766" s="1543"/>
      <c r="M766" s="1543"/>
      <c r="N766" s="1566"/>
    </row>
    <row r="767" spans="1:14" ht="60" hidden="1">
      <c r="A767" s="1805" t="s">
        <v>2476</v>
      </c>
      <c r="B767" s="378" t="s">
        <v>2483</v>
      </c>
      <c r="C767" s="369">
        <v>0.14000000000000001</v>
      </c>
      <c r="D767" s="218"/>
      <c r="E767" s="379"/>
      <c r="F767" s="379"/>
      <c r="G767" s="379">
        <v>3</v>
      </c>
      <c r="H767" s="380">
        <f>C767</f>
        <v>0.14000000000000001</v>
      </c>
      <c r="I767" s="1567"/>
      <c r="J767" s="1543"/>
      <c r="K767" s="1543"/>
      <c r="L767" s="1543"/>
      <c r="M767" s="1543"/>
      <c r="N767" s="1566"/>
    </row>
    <row r="768" spans="1:14" ht="24" hidden="1">
      <c r="A768" s="1807"/>
      <c r="B768" s="378" t="s">
        <v>2484</v>
      </c>
      <c r="C768" s="369">
        <v>0.14000000000000001</v>
      </c>
      <c r="D768" s="218"/>
      <c r="E768" s="379"/>
      <c r="F768" s="379"/>
      <c r="G768" s="379">
        <v>3</v>
      </c>
      <c r="H768" s="380">
        <f>C768</f>
        <v>0.14000000000000001</v>
      </c>
      <c r="I768" s="1567"/>
      <c r="J768" s="1543"/>
      <c r="K768" s="1543"/>
      <c r="L768" s="1543"/>
      <c r="M768" s="1543"/>
      <c r="N768" s="1566"/>
    </row>
    <row r="769" spans="1:14" ht="15.75" hidden="1" thickBot="1">
      <c r="A769" s="1806"/>
      <c r="B769" s="378" t="s">
        <v>2485</v>
      </c>
      <c r="C769" s="369">
        <v>0.23</v>
      </c>
      <c r="D769" s="218"/>
      <c r="E769" s="379"/>
      <c r="F769" s="379"/>
      <c r="G769" s="379">
        <v>3</v>
      </c>
      <c r="H769" s="380">
        <f>C769</f>
        <v>0.23</v>
      </c>
      <c r="I769" s="1567"/>
      <c r="J769" s="1543"/>
      <c r="K769" s="1543"/>
      <c r="L769" s="1543"/>
      <c r="M769" s="1543"/>
      <c r="N769" s="1566"/>
    </row>
    <row r="770" spans="1:14" ht="15.75" hidden="1" thickBot="1">
      <c r="A770" s="1091"/>
      <c r="B770" s="381"/>
      <c r="C770" s="369"/>
      <c r="D770" s="218"/>
      <c r="E770" s="379"/>
      <c r="F770" s="379"/>
      <c r="G770" s="379"/>
      <c r="H770" s="380"/>
      <c r="I770" s="1567"/>
      <c r="J770" s="1543"/>
      <c r="K770" s="1543"/>
      <c r="L770" s="1543"/>
      <c r="M770" s="1543"/>
      <c r="N770" s="1566"/>
    </row>
    <row r="771" spans="1:14" hidden="1">
      <c r="A771" s="1805" t="s">
        <v>2662</v>
      </c>
      <c r="B771" s="378"/>
      <c r="C771" s="369"/>
      <c r="D771" s="218"/>
      <c r="E771" s="379"/>
      <c r="F771" s="379"/>
      <c r="G771" s="379"/>
      <c r="H771" s="380"/>
      <c r="I771" s="1567"/>
      <c r="J771" s="1543"/>
      <c r="K771" s="1543"/>
      <c r="L771" s="1543"/>
      <c r="M771" s="1543"/>
      <c r="N771" s="1566"/>
    </row>
    <row r="772" spans="1:14" hidden="1">
      <c r="A772" s="1807"/>
      <c r="B772" s="378" t="s">
        <v>2730</v>
      </c>
      <c r="C772" s="369">
        <v>0.12</v>
      </c>
      <c r="D772" s="218"/>
      <c r="E772" s="379"/>
      <c r="F772" s="379"/>
      <c r="G772" s="379"/>
      <c r="H772" s="380">
        <f>C772</f>
        <v>0.12</v>
      </c>
      <c r="I772" s="1567"/>
      <c r="J772" s="1543"/>
      <c r="K772" s="1543"/>
      <c r="L772" s="1543"/>
      <c r="M772" s="1543"/>
      <c r="N772" s="1566"/>
    </row>
    <row r="773" spans="1:14" ht="15.75" hidden="1" thickBot="1">
      <c r="A773" s="1806"/>
      <c r="B773" s="378"/>
      <c r="C773" s="369"/>
      <c r="D773" s="218"/>
      <c r="E773" s="379"/>
      <c r="F773" s="379"/>
      <c r="G773" s="379"/>
      <c r="H773" s="380"/>
      <c r="I773" s="1567"/>
      <c r="J773" s="1543"/>
      <c r="K773" s="1543"/>
      <c r="L773" s="1543"/>
      <c r="M773" s="1543"/>
      <c r="N773" s="1566"/>
    </row>
    <row r="774" spans="1:14" hidden="1">
      <c r="A774" s="1092"/>
      <c r="B774" s="381"/>
      <c r="C774" s="369"/>
      <c r="D774" s="218"/>
      <c r="E774" s="379"/>
      <c r="F774" s="379"/>
      <c r="G774" s="379"/>
      <c r="H774" s="380"/>
      <c r="I774" s="1567"/>
      <c r="J774" s="1543"/>
      <c r="K774" s="1543"/>
      <c r="L774" s="1543"/>
      <c r="M774" s="1543"/>
      <c r="N774" s="1566"/>
    </row>
    <row r="775" spans="1:14" hidden="1">
      <c r="A775" s="1577" t="s">
        <v>2218</v>
      </c>
      <c r="B775" s="1542"/>
      <c r="C775" s="1542"/>
      <c r="D775" s="1542"/>
      <c r="E775" s="1542"/>
      <c r="F775" s="1542"/>
      <c r="G775" s="1542"/>
      <c r="H775" s="271">
        <f>SUM(H764:H774)</f>
        <v>1</v>
      </c>
      <c r="I775" s="1567"/>
      <c r="J775" s="1543"/>
      <c r="K775" s="1543"/>
      <c r="L775" s="1543"/>
      <c r="M775" s="1543"/>
      <c r="N775" s="1566"/>
    </row>
    <row r="776" spans="1:14" hidden="1">
      <c r="A776" s="1519" t="s">
        <v>2219</v>
      </c>
      <c r="B776" s="1517"/>
      <c r="C776" s="1517"/>
      <c r="D776" s="1551"/>
      <c r="E776" s="1551"/>
      <c r="F776" s="1551"/>
      <c r="G776" s="1552"/>
      <c r="H776" s="272">
        <v>0.88</v>
      </c>
      <c r="I776" s="1543"/>
      <c r="J776" s="1543"/>
      <c r="K776" s="1543"/>
      <c r="L776" s="1543"/>
      <c r="M776" s="1543"/>
      <c r="N776" s="1566"/>
    </row>
    <row r="777" spans="1:14" ht="15.75" hidden="1" thickBot="1">
      <c r="A777" s="1520" t="s">
        <v>2220</v>
      </c>
      <c r="B777" s="1521"/>
      <c r="C777" s="1521"/>
      <c r="D777" s="1521"/>
      <c r="E777" s="1521"/>
      <c r="F777" s="1521"/>
      <c r="G777" s="1522"/>
      <c r="H777" s="216">
        <f>H775-H776</f>
        <v>0.12</v>
      </c>
      <c r="I777" s="1568"/>
      <c r="J777" s="1568"/>
      <c r="K777" s="1568"/>
      <c r="L777" s="1568"/>
      <c r="M777" s="1568"/>
      <c r="N777" s="1569"/>
    </row>
    <row r="778" spans="1:14" ht="15.75" hidden="1" thickBot="1">
      <c r="A778" s="1802"/>
      <c r="B778" s="1803"/>
      <c r="C778" s="1803"/>
      <c r="D778" s="1803"/>
      <c r="E778" s="1803"/>
      <c r="F778" s="1803"/>
      <c r="G778" s="1803"/>
      <c r="H778" s="1803"/>
      <c r="I778" s="1803"/>
      <c r="J778" s="1803"/>
      <c r="K778" s="1803"/>
      <c r="L778" s="1803"/>
      <c r="M778" s="1803"/>
      <c r="N778" s="1804"/>
    </row>
    <row r="779" spans="1:14" ht="15" hidden="1" customHeight="1">
      <c r="A779" s="1085" t="s">
        <v>2486</v>
      </c>
      <c r="B779" s="1494" t="s">
        <v>616</v>
      </c>
      <c r="C779" s="1495"/>
      <c r="D779" s="1495"/>
      <c r="E779" s="1495"/>
      <c r="F779" s="1495"/>
      <c r="G779" s="1495"/>
      <c r="H779" s="1495"/>
      <c r="I779" s="1495"/>
      <c r="J779" s="1496"/>
      <c r="K779" s="196" t="s">
        <v>617</v>
      </c>
      <c r="L779" s="1497">
        <f>'27ª MEDIÇÃO '!F49</f>
        <v>156.30000000000001</v>
      </c>
      <c r="M779" s="1498"/>
      <c r="N779" s="197">
        <f>L779-H789</f>
        <v>5.4983999999990374E-2</v>
      </c>
    </row>
    <row r="780" spans="1:14" hidden="1">
      <c r="A780" s="1499"/>
      <c r="B780" s="1500"/>
      <c r="C780" s="352"/>
      <c r="D780" s="340" t="s">
        <v>2183</v>
      </c>
      <c r="E780" s="839" t="s">
        <v>2184</v>
      </c>
      <c r="F780" s="340" t="s">
        <v>2185</v>
      </c>
      <c r="G780" s="340" t="s">
        <v>2186</v>
      </c>
      <c r="H780" s="1778" t="s">
        <v>476</v>
      </c>
      <c r="I780" s="1796"/>
      <c r="J780" s="1796"/>
      <c r="K780" s="1796"/>
      <c r="L780" s="1796"/>
      <c r="M780" s="1796"/>
      <c r="N780" s="1796"/>
    </row>
    <row r="781" spans="1:14" hidden="1">
      <c r="A781" s="1787"/>
      <c r="B781" s="1788"/>
      <c r="C781" s="353" t="s">
        <v>2487</v>
      </c>
      <c r="D781" s="292" t="s">
        <v>2488</v>
      </c>
      <c r="E781" s="901" t="s">
        <v>2190</v>
      </c>
      <c r="F781" s="292"/>
      <c r="G781" s="361" t="s">
        <v>2489</v>
      </c>
      <c r="H781" s="1789"/>
      <c r="I781" s="1797"/>
      <c r="J781" s="1797"/>
      <c r="K781" s="1797"/>
      <c r="L781" s="1797"/>
      <c r="M781" s="1797"/>
      <c r="N781" s="1797"/>
    </row>
    <row r="782" spans="1:14" ht="23.45" hidden="1" customHeight="1">
      <c r="A782" s="367"/>
      <c r="B782" s="382" t="s">
        <v>2490</v>
      </c>
      <c r="C782" s="368">
        <v>37.6</v>
      </c>
      <c r="D782" s="368">
        <f>C782/1000</f>
        <v>3.7600000000000001E-2</v>
      </c>
      <c r="E782" s="572">
        <v>16</v>
      </c>
      <c r="F782" s="368"/>
      <c r="G782" s="368">
        <v>30</v>
      </c>
      <c r="H782" s="383">
        <f>D782*E782*G782</f>
        <v>18.048000000000002</v>
      </c>
      <c r="I782" s="1797"/>
      <c r="J782" s="1797"/>
      <c r="K782" s="1797"/>
      <c r="L782" s="1797"/>
      <c r="M782" s="1797"/>
      <c r="N782" s="1797"/>
    </row>
    <row r="783" spans="1:14" hidden="1">
      <c r="A783" s="367"/>
      <c r="B783" s="384"/>
      <c r="C783" s="368"/>
      <c r="D783" s="368"/>
      <c r="E783" s="572"/>
      <c r="F783" s="368"/>
      <c r="G783" s="368"/>
      <c r="H783" s="385"/>
      <c r="I783" s="1797"/>
      <c r="J783" s="1797"/>
      <c r="K783" s="1797"/>
      <c r="L783" s="1797"/>
      <c r="M783" s="1797"/>
      <c r="N783" s="1797"/>
    </row>
    <row r="784" spans="1:14" ht="24" hidden="1">
      <c r="A784" s="367"/>
      <c r="B784" s="386" t="s">
        <v>2491</v>
      </c>
      <c r="C784" s="368" t="s">
        <v>2492</v>
      </c>
      <c r="D784" s="368" t="s">
        <v>2493</v>
      </c>
      <c r="E784" s="572" t="s">
        <v>2494</v>
      </c>
      <c r="F784" s="368" t="s">
        <v>2495</v>
      </c>
      <c r="G784" s="368" t="s">
        <v>2489</v>
      </c>
      <c r="H784" s="385"/>
      <c r="I784" s="1797"/>
      <c r="J784" s="1797"/>
      <c r="K784" s="1797"/>
      <c r="L784" s="1797"/>
      <c r="M784" s="1797"/>
      <c r="N784" s="1797"/>
    </row>
    <row r="785" spans="1:14" hidden="1">
      <c r="A785" s="367"/>
      <c r="B785" s="387" t="s">
        <v>2496</v>
      </c>
      <c r="C785" s="368">
        <v>2.77</v>
      </c>
      <c r="D785" s="368">
        <v>186.84</v>
      </c>
      <c r="E785" s="572">
        <f>C785*D785/1000</f>
        <v>0.51754679999999997</v>
      </c>
      <c r="F785" s="368">
        <v>4</v>
      </c>
      <c r="G785" s="368">
        <v>30</v>
      </c>
      <c r="H785" s="383">
        <f>E785*G785*F785</f>
        <v>62.105615999999998</v>
      </c>
      <c r="I785" s="1797"/>
      <c r="J785" s="1797"/>
      <c r="K785" s="1797"/>
      <c r="L785" s="1797"/>
      <c r="M785" s="1797"/>
      <c r="N785" s="1797"/>
    </row>
    <row r="786" spans="1:14" hidden="1">
      <c r="A786" s="367"/>
      <c r="B786" s="387" t="s">
        <v>2497</v>
      </c>
      <c r="C786" s="368">
        <v>3.85</v>
      </c>
      <c r="D786" s="368">
        <v>164.7</v>
      </c>
      <c r="E786" s="572">
        <f>C786*D786/1000</f>
        <v>0.63409500000000008</v>
      </c>
      <c r="F786" s="368">
        <v>4</v>
      </c>
      <c r="G786" s="368">
        <v>30</v>
      </c>
      <c r="H786" s="383">
        <f>E786*G786*F786</f>
        <v>76.091400000000007</v>
      </c>
      <c r="I786" s="1797"/>
      <c r="J786" s="1797"/>
      <c r="K786" s="1797"/>
      <c r="L786" s="1797"/>
      <c r="M786" s="1797"/>
      <c r="N786" s="1797"/>
    </row>
    <row r="787" spans="1:14" hidden="1">
      <c r="A787" s="367"/>
      <c r="B787" s="384"/>
      <c r="C787" s="368"/>
      <c r="D787" s="368"/>
      <c r="E787" s="572"/>
      <c r="F787" s="368"/>
      <c r="G787" s="368"/>
      <c r="H787" s="385"/>
      <c r="I787" s="1797"/>
      <c r="J787" s="1797"/>
      <c r="K787" s="1797"/>
      <c r="L787" s="1797"/>
      <c r="M787" s="1797"/>
      <c r="N787" s="1797"/>
    </row>
    <row r="788" spans="1:14" hidden="1">
      <c r="A788" s="367"/>
      <c r="B788" s="1799" t="s">
        <v>2498</v>
      </c>
      <c r="C788" s="1800"/>
      <c r="D788" s="1800"/>
      <c r="E788" s="1800"/>
      <c r="F788" s="1800"/>
      <c r="G788" s="1801"/>
      <c r="H788" s="383">
        <f>SUM(H782:H786)</f>
        <v>156.24501600000002</v>
      </c>
      <c r="I788" s="1797"/>
      <c r="J788" s="1797"/>
      <c r="K788" s="1797"/>
      <c r="L788" s="1797"/>
      <c r="M788" s="1797"/>
      <c r="N788" s="1797"/>
    </row>
    <row r="789" spans="1:14" hidden="1">
      <c r="A789" s="1577" t="s">
        <v>2218</v>
      </c>
      <c r="B789" s="1542"/>
      <c r="C789" s="1542"/>
      <c r="D789" s="1542"/>
      <c r="E789" s="1542"/>
      <c r="F789" s="1542"/>
      <c r="G789" s="1542"/>
      <c r="H789" s="271">
        <f>SUM(H782:H786)</f>
        <v>156.24501600000002</v>
      </c>
      <c r="I789" s="1797"/>
      <c r="J789" s="1797"/>
      <c r="K789" s="1797"/>
      <c r="L789" s="1797"/>
      <c r="M789" s="1797"/>
      <c r="N789" s="1797"/>
    </row>
    <row r="790" spans="1:14" hidden="1">
      <c r="A790" s="1519" t="s">
        <v>2219</v>
      </c>
      <c r="B790" s="1517"/>
      <c r="C790" s="1517"/>
      <c r="D790" s="1551"/>
      <c r="E790" s="1551"/>
      <c r="F790" s="1551"/>
      <c r="G790" s="1552"/>
      <c r="H790" s="272">
        <v>0</v>
      </c>
      <c r="I790" s="1797"/>
      <c r="J790" s="1797"/>
      <c r="K790" s="1797"/>
      <c r="L790" s="1797"/>
      <c r="M790" s="1797"/>
      <c r="N790" s="1797"/>
    </row>
    <row r="791" spans="1:14" hidden="1">
      <c r="A791" s="1558" t="s">
        <v>2220</v>
      </c>
      <c r="B791" s="1559"/>
      <c r="C791" s="1559"/>
      <c r="D791" s="1559"/>
      <c r="E791" s="1559"/>
      <c r="F791" s="1559"/>
      <c r="G791" s="1560"/>
      <c r="H791" s="220">
        <f>H789-H790</f>
        <v>156.24501600000002</v>
      </c>
      <c r="I791" s="1798"/>
      <c r="J791" s="1798"/>
      <c r="K791" s="1798"/>
      <c r="L791" s="1798"/>
      <c r="M791" s="1798"/>
      <c r="N791" s="1798"/>
    </row>
    <row r="792" spans="1:14">
      <c r="A792" s="1794"/>
      <c r="B792" s="1794"/>
      <c r="C792" s="1794"/>
      <c r="D792" s="1794"/>
      <c r="E792" s="1794"/>
      <c r="F792" s="1794"/>
      <c r="G792" s="1794"/>
      <c r="H792" s="1794"/>
      <c r="I792" s="1794"/>
      <c r="J792" s="1794"/>
      <c r="K792" s="1794"/>
      <c r="L792" s="1794"/>
      <c r="M792" s="1794"/>
      <c r="N792" s="1794"/>
    </row>
    <row r="793" spans="1:14" ht="31.9" customHeight="1">
      <c r="A793" s="1093" t="s">
        <v>2499</v>
      </c>
      <c r="B793" s="1561" t="s">
        <v>2500</v>
      </c>
      <c r="C793" s="1562"/>
      <c r="D793" s="1562"/>
      <c r="E793" s="1562"/>
      <c r="F793" s="1562"/>
      <c r="G793" s="1562"/>
      <c r="H793" s="1562"/>
      <c r="I793" s="1562"/>
      <c r="J793" s="1563"/>
      <c r="K793" s="264" t="s">
        <v>2182</v>
      </c>
      <c r="L793" s="1564">
        <v>611.41</v>
      </c>
      <c r="M793" s="1565"/>
      <c r="N793" s="265">
        <v>0</v>
      </c>
    </row>
    <row r="794" spans="1:14">
      <c r="A794" s="1541"/>
      <c r="B794" s="1541"/>
      <c r="C794" s="366"/>
      <c r="D794" s="367" t="s">
        <v>2183</v>
      </c>
      <c r="E794" s="1320" t="s">
        <v>2184</v>
      </c>
      <c r="F794" s="367" t="s">
        <v>2185</v>
      </c>
      <c r="G794" s="367" t="s">
        <v>2186</v>
      </c>
      <c r="H794" s="1542" t="s">
        <v>476</v>
      </c>
      <c r="I794" s="1543"/>
      <c r="J794" s="1543"/>
      <c r="K794" s="1543"/>
      <c r="L794" s="1543"/>
      <c r="M794" s="1543"/>
      <c r="N794" s="1566"/>
    </row>
    <row r="795" spans="1:14" ht="24">
      <c r="A795" s="1541"/>
      <c r="B795" s="1541"/>
      <c r="C795" s="368" t="s">
        <v>2501</v>
      </c>
      <c r="D795" s="369" t="s">
        <v>2187</v>
      </c>
      <c r="E795" s="529" t="s">
        <v>2502</v>
      </c>
      <c r="F795" s="369" t="s">
        <v>2503</v>
      </c>
      <c r="G795" s="370" t="s">
        <v>2504</v>
      </c>
      <c r="H795" s="1542"/>
      <c r="I795" s="1543"/>
      <c r="J795" s="1543"/>
      <c r="K795" s="1543"/>
      <c r="L795" s="1543"/>
      <c r="M795" s="1543"/>
      <c r="N795" s="1566"/>
    </row>
    <row r="796" spans="1:14">
      <c r="A796" s="1544" t="s">
        <v>2238</v>
      </c>
      <c r="B796" s="388" t="s">
        <v>2505</v>
      </c>
      <c r="C796" s="354"/>
      <c r="D796" s="201"/>
      <c r="E796" s="350"/>
      <c r="F796" s="350"/>
      <c r="G796" s="350"/>
      <c r="H796" s="371"/>
      <c r="I796" s="1567"/>
      <c r="J796" s="1543"/>
      <c r="K796" s="1543"/>
      <c r="L796" s="1543"/>
      <c r="M796" s="1543"/>
      <c r="N796" s="1566"/>
    </row>
    <row r="797" spans="1:14">
      <c r="A797" s="1544"/>
      <c r="B797" s="389" t="s">
        <v>60</v>
      </c>
      <c r="C797" s="354">
        <f>41.45</f>
        <v>41.45</v>
      </c>
      <c r="D797" s="198"/>
      <c r="E797" s="341"/>
      <c r="F797" s="341"/>
      <c r="G797" s="341">
        <v>1.3</v>
      </c>
      <c r="H797" s="347">
        <f>C797*G797</f>
        <v>53.885000000000005</v>
      </c>
      <c r="I797" s="1567"/>
      <c r="J797" s="1543"/>
      <c r="K797" s="1543"/>
      <c r="L797" s="1543"/>
      <c r="M797" s="1543"/>
      <c r="N797" s="1566"/>
    </row>
    <row r="798" spans="1:14" ht="36">
      <c r="A798" s="1544"/>
      <c r="B798" s="389" t="s">
        <v>537</v>
      </c>
      <c r="C798" s="354"/>
      <c r="D798" s="198"/>
      <c r="E798" s="341">
        <v>411.77</v>
      </c>
      <c r="F798" s="341">
        <v>0.09</v>
      </c>
      <c r="G798" s="341">
        <v>1.3</v>
      </c>
      <c r="H798" s="347">
        <f t="shared" ref="H798:H807" si="21">E798*F798*G798</f>
        <v>48.17709</v>
      </c>
      <c r="I798" s="1567"/>
      <c r="J798" s="1543"/>
      <c r="K798" s="1543"/>
      <c r="L798" s="1543"/>
      <c r="M798" s="1543"/>
      <c r="N798" s="1566"/>
    </row>
    <row r="799" spans="1:14" ht="24">
      <c r="A799" s="1544"/>
      <c r="B799" s="389" t="s">
        <v>57</v>
      </c>
      <c r="C799" s="354"/>
      <c r="D799" s="198"/>
      <c r="E799" s="341">
        <v>122.48</v>
      </c>
      <c r="F799" s="341">
        <v>0.05</v>
      </c>
      <c r="G799" s="341">
        <v>1</v>
      </c>
      <c r="H799" s="347">
        <f t="shared" si="21"/>
        <v>6.1240000000000006</v>
      </c>
      <c r="I799" s="1567"/>
      <c r="J799" s="1543"/>
      <c r="K799" s="1543"/>
      <c r="L799" s="1543"/>
      <c r="M799" s="1543"/>
      <c r="N799" s="1566"/>
    </row>
    <row r="800" spans="1:14">
      <c r="A800" s="1544"/>
      <c r="B800" s="389" t="s">
        <v>541</v>
      </c>
      <c r="C800" s="354"/>
      <c r="D800" s="198"/>
      <c r="E800" s="341">
        <v>74.81</v>
      </c>
      <c r="F800" s="341">
        <v>0.01</v>
      </c>
      <c r="G800" s="341">
        <v>1.3</v>
      </c>
      <c r="H800" s="347">
        <f t="shared" si="21"/>
        <v>0.97253000000000001</v>
      </c>
      <c r="I800" s="1567"/>
      <c r="J800" s="1543"/>
      <c r="K800" s="1543"/>
      <c r="L800" s="1543"/>
      <c r="M800" s="1543"/>
      <c r="N800" s="1566"/>
    </row>
    <row r="801" spans="1:14" ht="24">
      <c r="A801" s="1544"/>
      <c r="B801" s="389" t="s">
        <v>529</v>
      </c>
      <c r="C801" s="354"/>
      <c r="D801" s="198"/>
      <c r="E801" s="341">
        <v>46.38</v>
      </c>
      <c r="F801" s="341">
        <v>0.12</v>
      </c>
      <c r="G801" s="341">
        <v>1.3</v>
      </c>
      <c r="H801" s="347">
        <f t="shared" si="21"/>
        <v>7.2352800000000004</v>
      </c>
      <c r="I801" s="1567"/>
      <c r="J801" s="1543"/>
      <c r="K801" s="1543"/>
      <c r="L801" s="1543"/>
      <c r="M801" s="1543"/>
      <c r="N801" s="1566"/>
    </row>
    <row r="802" spans="1:14" ht="24">
      <c r="A802" s="1544"/>
      <c r="B802" s="389" t="s">
        <v>562</v>
      </c>
      <c r="C802" s="354"/>
      <c r="D802" s="198"/>
      <c r="E802" s="341">
        <v>408.64</v>
      </c>
      <c r="F802" s="341">
        <v>0.04</v>
      </c>
      <c r="G802" s="341">
        <v>1.3</v>
      </c>
      <c r="H802" s="347">
        <f t="shared" si="21"/>
        <v>21.249280000000002</v>
      </c>
      <c r="I802" s="1567"/>
      <c r="J802" s="1543"/>
      <c r="K802" s="1543"/>
      <c r="L802" s="1543"/>
      <c r="M802" s="1543"/>
      <c r="N802" s="1566"/>
    </row>
    <row r="803" spans="1:14" ht="48">
      <c r="A803" s="1544"/>
      <c r="B803" s="389" t="s">
        <v>565</v>
      </c>
      <c r="C803" s="354"/>
      <c r="D803" s="198"/>
      <c r="E803" s="341">
        <v>408.64</v>
      </c>
      <c r="F803" s="341">
        <v>0.15</v>
      </c>
      <c r="G803" s="341">
        <v>1.3</v>
      </c>
      <c r="H803" s="347">
        <f t="shared" si="21"/>
        <v>79.684799999999996</v>
      </c>
      <c r="I803" s="1567"/>
      <c r="J803" s="1543"/>
      <c r="K803" s="1543"/>
      <c r="L803" s="1543"/>
      <c r="M803" s="1543"/>
      <c r="N803" s="1566"/>
    </row>
    <row r="804" spans="1:14" ht="36">
      <c r="A804" s="1544"/>
      <c r="B804" s="389" t="s">
        <v>531</v>
      </c>
      <c r="C804" s="354"/>
      <c r="D804" s="198"/>
      <c r="E804" s="341">
        <v>114.02</v>
      </c>
      <c r="F804" s="341">
        <v>0.05</v>
      </c>
      <c r="G804" s="341">
        <v>1.3</v>
      </c>
      <c r="H804" s="347">
        <f t="shared" si="21"/>
        <v>7.4113000000000007</v>
      </c>
      <c r="I804" s="1567"/>
      <c r="J804" s="1543"/>
      <c r="K804" s="1543"/>
      <c r="L804" s="1543"/>
      <c r="M804" s="1543"/>
      <c r="N804" s="1566"/>
    </row>
    <row r="805" spans="1:14">
      <c r="A805" s="1544"/>
      <c r="B805" s="389" t="s">
        <v>480</v>
      </c>
      <c r="C805" s="354"/>
      <c r="D805" s="198"/>
      <c r="E805" s="341">
        <v>406.93</v>
      </c>
      <c r="F805" s="341">
        <v>0.05</v>
      </c>
      <c r="G805" s="341">
        <v>1.3</v>
      </c>
      <c r="H805" s="347">
        <f t="shared" si="21"/>
        <v>26.450450000000004</v>
      </c>
      <c r="I805" s="1567"/>
      <c r="J805" s="1543"/>
      <c r="K805" s="1543"/>
      <c r="L805" s="1543"/>
      <c r="M805" s="1543"/>
      <c r="N805" s="1566"/>
    </row>
    <row r="806" spans="1:14">
      <c r="A806" s="1544"/>
      <c r="B806" s="389" t="s">
        <v>591</v>
      </c>
      <c r="C806" s="354"/>
      <c r="D806" s="198"/>
      <c r="E806" s="341">
        <v>351.35</v>
      </c>
      <c r="F806" s="341">
        <v>0.05</v>
      </c>
      <c r="G806" s="341">
        <v>1.3</v>
      </c>
      <c r="H806" s="347">
        <f t="shared" si="21"/>
        <v>22.837750000000003</v>
      </c>
      <c r="I806" s="1567"/>
      <c r="J806" s="1543"/>
      <c r="K806" s="1543"/>
      <c r="L806" s="1543"/>
      <c r="M806" s="1543"/>
      <c r="N806" s="1566"/>
    </row>
    <row r="807" spans="1:14">
      <c r="A807" s="1544"/>
      <c r="B807" s="389" t="s">
        <v>11</v>
      </c>
      <c r="C807" s="354"/>
      <c r="D807" s="198"/>
      <c r="E807" s="341">
        <v>453.24</v>
      </c>
      <c r="F807" s="341">
        <v>0.05</v>
      </c>
      <c r="G807" s="341">
        <v>1.3</v>
      </c>
      <c r="H807" s="347">
        <f t="shared" si="21"/>
        <v>29.460600000000003</v>
      </c>
      <c r="I807" s="1567"/>
      <c r="J807" s="1543"/>
      <c r="K807" s="1543"/>
      <c r="L807" s="1543"/>
      <c r="M807" s="1543"/>
      <c r="N807" s="1566"/>
    </row>
    <row r="808" spans="1:14">
      <c r="A808" s="1544" t="s">
        <v>2268</v>
      </c>
      <c r="B808" s="389" t="s">
        <v>60</v>
      </c>
      <c r="C808" s="354">
        <v>60.7</v>
      </c>
      <c r="D808" s="198"/>
      <c r="E808" s="341"/>
      <c r="F808" s="341"/>
      <c r="G808" s="341">
        <v>1.3</v>
      </c>
      <c r="H808" s="347">
        <f>C808*G808</f>
        <v>78.910000000000011</v>
      </c>
      <c r="I808" s="1567"/>
      <c r="J808" s="1543"/>
      <c r="K808" s="1543"/>
      <c r="L808" s="1543"/>
      <c r="M808" s="1543"/>
      <c r="N808" s="1566"/>
    </row>
    <row r="809" spans="1:14" ht="24">
      <c r="A809" s="1544"/>
      <c r="B809" s="389" t="s">
        <v>57</v>
      </c>
      <c r="C809" s="354"/>
      <c r="D809" s="198"/>
      <c r="E809" s="341">
        <v>2.4300000000000002</v>
      </c>
      <c r="F809" s="341">
        <v>0.05</v>
      </c>
      <c r="G809" s="341">
        <v>1.3</v>
      </c>
      <c r="H809" s="347">
        <f>E809*F809*G809</f>
        <v>0.15795000000000001</v>
      </c>
      <c r="I809" s="1567"/>
      <c r="J809" s="1543"/>
      <c r="K809" s="1543"/>
      <c r="L809" s="1543"/>
      <c r="M809" s="1543"/>
      <c r="N809" s="1566"/>
    </row>
    <row r="810" spans="1:14" ht="24">
      <c r="A810" s="1544"/>
      <c r="B810" s="389" t="s">
        <v>482</v>
      </c>
      <c r="C810" s="354">
        <v>36.99</v>
      </c>
      <c r="D810" s="198"/>
      <c r="E810" s="341"/>
      <c r="F810" s="341"/>
      <c r="G810" s="341">
        <v>1.3</v>
      </c>
      <c r="H810" s="347">
        <f>C810*G810</f>
        <v>48.087000000000003</v>
      </c>
      <c r="I810" s="1567"/>
      <c r="J810" s="1543"/>
      <c r="K810" s="1543"/>
      <c r="L810" s="1543"/>
      <c r="M810" s="1543"/>
      <c r="N810" s="1566"/>
    </row>
    <row r="811" spans="1:14">
      <c r="A811" s="1544"/>
      <c r="B811" s="389" t="s">
        <v>2506</v>
      </c>
      <c r="C811" s="354"/>
      <c r="D811" s="198"/>
      <c r="E811" s="341">
        <v>158.78</v>
      </c>
      <c r="F811" s="341">
        <v>0.06</v>
      </c>
      <c r="G811" s="341">
        <v>1.3</v>
      </c>
      <c r="H811" s="347">
        <f>E811*F811*G811</f>
        <v>12.384840000000001</v>
      </c>
      <c r="I811" s="1567"/>
      <c r="J811" s="1543"/>
      <c r="K811" s="1543"/>
      <c r="L811" s="1543"/>
      <c r="M811" s="1543"/>
      <c r="N811" s="1566"/>
    </row>
    <row r="812" spans="1:14" ht="24">
      <c r="A812" s="1544"/>
      <c r="B812" s="389" t="s">
        <v>2507</v>
      </c>
      <c r="C812" s="354">
        <v>1.5</v>
      </c>
      <c r="D812" s="198"/>
      <c r="E812" s="341"/>
      <c r="F812" s="341"/>
      <c r="G812" s="341">
        <v>1.3</v>
      </c>
      <c r="H812" s="347">
        <f>C812*G812</f>
        <v>1.9500000000000002</v>
      </c>
      <c r="I812" s="1567"/>
      <c r="J812" s="1543"/>
      <c r="K812" s="1543"/>
      <c r="L812" s="1543"/>
      <c r="M812" s="1543"/>
      <c r="N812" s="1566"/>
    </row>
    <row r="813" spans="1:14" ht="24">
      <c r="A813" s="1544"/>
      <c r="B813" s="390" t="s">
        <v>530</v>
      </c>
      <c r="C813" s="363">
        <v>74.31</v>
      </c>
      <c r="D813" s="199"/>
      <c r="E813" s="351"/>
      <c r="F813" s="351"/>
      <c r="G813" s="351">
        <v>1.3</v>
      </c>
      <c r="H813" s="364">
        <f>C813*G813</f>
        <v>96.603000000000009</v>
      </c>
      <c r="I813" s="1567"/>
      <c r="J813" s="1543"/>
      <c r="K813" s="1543"/>
      <c r="L813" s="1543"/>
      <c r="M813" s="1543"/>
      <c r="N813" s="1566"/>
    </row>
    <row r="814" spans="1:14">
      <c r="A814" s="1544" t="s">
        <v>2662</v>
      </c>
      <c r="B814" s="391"/>
      <c r="C814" s="292"/>
      <c r="D814" s="198"/>
      <c r="E814" s="341"/>
      <c r="F814" s="341"/>
      <c r="G814" s="341"/>
      <c r="H814" s="347"/>
      <c r="I814" s="1567"/>
      <c r="J814" s="1543"/>
      <c r="K814" s="1543"/>
      <c r="L814" s="1543"/>
      <c r="M814" s="1543"/>
      <c r="N814" s="1566"/>
    </row>
    <row r="815" spans="1:14" ht="24">
      <c r="A815" s="1544"/>
      <c r="B815" s="391" t="s">
        <v>2731</v>
      </c>
      <c r="C815" s="292">
        <v>17.986000000000001</v>
      </c>
      <c r="D815" s="198"/>
      <c r="E815" s="341"/>
      <c r="F815" s="341"/>
      <c r="G815" s="341">
        <v>1.3</v>
      </c>
      <c r="H815" s="347">
        <f>C815*G815</f>
        <v>23.381800000000002</v>
      </c>
      <c r="I815" s="1567"/>
      <c r="J815" s="1543"/>
      <c r="K815" s="1543"/>
      <c r="L815" s="1543"/>
      <c r="M815" s="1543"/>
      <c r="N815" s="1566"/>
    </row>
    <row r="816" spans="1:14">
      <c r="A816" s="1544"/>
      <c r="B816" s="391"/>
      <c r="C816" s="292"/>
      <c r="D816" s="198"/>
      <c r="E816" s="341"/>
      <c r="F816" s="341"/>
      <c r="G816" s="341"/>
      <c r="H816" s="347"/>
      <c r="I816" s="1567"/>
      <c r="J816" s="1543"/>
      <c r="K816" s="1543"/>
      <c r="L816" s="1543"/>
      <c r="M816" s="1543"/>
      <c r="N816" s="1566"/>
    </row>
    <row r="817" spans="1:14">
      <c r="A817" s="1094" t="s">
        <v>3158</v>
      </c>
      <c r="B817" s="808" t="s">
        <v>3166</v>
      </c>
      <c r="C817" s="287"/>
      <c r="D817" s="202"/>
      <c r="E817" s="346"/>
      <c r="F817" s="346"/>
      <c r="G817" s="346"/>
      <c r="H817" s="403">
        <v>23.38</v>
      </c>
      <c r="I817" s="1567"/>
      <c r="J817" s="1543"/>
      <c r="K817" s="1543"/>
      <c r="L817" s="1543"/>
      <c r="M817" s="1543"/>
      <c r="N817" s="1566"/>
    </row>
    <row r="818" spans="1:14">
      <c r="A818" s="1514" t="s">
        <v>3728</v>
      </c>
      <c r="B818" s="1056" t="s">
        <v>2914</v>
      </c>
      <c r="C818" s="692"/>
      <c r="D818" s="1060"/>
      <c r="E818" s="1060"/>
      <c r="F818" s="1060"/>
      <c r="G818" s="693"/>
      <c r="H818" s="1060"/>
      <c r="I818" s="1567"/>
      <c r="J818" s="1543"/>
      <c r="K818" s="1543"/>
      <c r="L818" s="1543"/>
      <c r="M818" s="1543"/>
      <c r="N818" s="1566"/>
    </row>
    <row r="819" spans="1:14">
      <c r="A819" s="1523"/>
      <c r="B819" s="1053" t="s">
        <v>3718</v>
      </c>
      <c r="C819" s="692"/>
      <c r="D819" s="1068">
        <v>5.0999999999999996</v>
      </c>
      <c r="E819" s="1069">
        <v>2</v>
      </c>
      <c r="F819" s="1059">
        <v>0.15</v>
      </c>
      <c r="G819" s="693"/>
      <c r="H819" s="1062">
        <v>1.5299999999999998</v>
      </c>
      <c r="I819" s="1567"/>
      <c r="J819" s="1543"/>
      <c r="K819" s="1543"/>
      <c r="L819" s="1543"/>
      <c r="M819" s="1543"/>
      <c r="N819" s="1566"/>
    </row>
    <row r="820" spans="1:14">
      <c r="A820" s="1523"/>
      <c r="B820" s="1053" t="s">
        <v>3719</v>
      </c>
      <c r="C820" s="692"/>
      <c r="D820" s="1068">
        <v>3.14</v>
      </c>
      <c r="E820" s="1069">
        <v>2</v>
      </c>
      <c r="F820" s="1068">
        <v>0.15</v>
      </c>
      <c r="G820" s="693"/>
      <c r="H820" s="1062">
        <v>0.94199999999999995</v>
      </c>
      <c r="I820" s="1567"/>
      <c r="J820" s="1543"/>
      <c r="K820" s="1543"/>
      <c r="L820" s="1543"/>
      <c r="M820" s="1543"/>
      <c r="N820" s="1566"/>
    </row>
    <row r="821" spans="1:14">
      <c r="A821" s="1523"/>
      <c r="B821" s="1053" t="s">
        <v>3095</v>
      </c>
      <c r="C821" s="692"/>
      <c r="D821" s="1068">
        <v>3.9899999999999998</v>
      </c>
      <c r="E821" s="1069">
        <v>1.8</v>
      </c>
      <c r="F821" s="1068">
        <v>0.15</v>
      </c>
      <c r="G821" s="693"/>
      <c r="H821" s="1068">
        <v>1.0772999999999999</v>
      </c>
      <c r="I821" s="1567"/>
      <c r="J821" s="1543"/>
      <c r="K821" s="1543"/>
      <c r="L821" s="1543"/>
      <c r="M821" s="1543"/>
      <c r="N821" s="1566"/>
    </row>
    <row r="822" spans="1:14">
      <c r="A822" s="1523"/>
      <c r="B822" s="1054" t="s">
        <v>3720</v>
      </c>
      <c r="C822" s="692"/>
      <c r="D822" s="1068">
        <v>3.4999999999999996</v>
      </c>
      <c r="E822" s="1069">
        <v>3.13</v>
      </c>
      <c r="F822" s="1059">
        <v>0.15</v>
      </c>
      <c r="G822" s="693"/>
      <c r="H822" s="1068">
        <v>1.6432499999999997</v>
      </c>
      <c r="I822" s="1567"/>
      <c r="J822" s="1543"/>
      <c r="K822" s="1543"/>
      <c r="L822" s="1543"/>
      <c r="M822" s="1543"/>
      <c r="N822" s="1566"/>
    </row>
    <row r="823" spans="1:14">
      <c r="A823" s="1523"/>
      <c r="B823" s="1057" t="s">
        <v>3524</v>
      </c>
      <c r="C823" s="692"/>
      <c r="D823" s="1061"/>
      <c r="E823" s="1061"/>
      <c r="F823" s="1061"/>
      <c r="G823" s="693"/>
      <c r="H823" s="1061"/>
      <c r="I823" s="1567"/>
      <c r="J823" s="1543"/>
      <c r="K823" s="1543"/>
      <c r="L823" s="1543"/>
      <c r="M823" s="1543"/>
      <c r="N823" s="1566"/>
    </row>
    <row r="824" spans="1:14" ht="38.25">
      <c r="A824" s="1523"/>
      <c r="B824" s="1066" t="s">
        <v>3721</v>
      </c>
      <c r="C824" s="692"/>
      <c r="D824" s="1070">
        <v>3.0399999999999996</v>
      </c>
      <c r="E824" s="1059">
        <v>2.9</v>
      </c>
      <c r="F824" s="1059">
        <v>0.15</v>
      </c>
      <c r="G824" s="693"/>
      <c r="H824" s="1062">
        <v>1.3223999999999998</v>
      </c>
      <c r="I824" s="1567"/>
      <c r="J824" s="1543"/>
      <c r="K824" s="1543"/>
      <c r="L824" s="1543"/>
      <c r="M824" s="1543"/>
      <c r="N824" s="1566"/>
    </row>
    <row r="825" spans="1:14" ht="38.25">
      <c r="A825" s="1523"/>
      <c r="B825" s="1066" t="s">
        <v>3722</v>
      </c>
      <c r="C825" s="692"/>
      <c r="D825" s="1070">
        <v>1.1000000000000001</v>
      </c>
      <c r="E825" s="1059">
        <v>2.9</v>
      </c>
      <c r="F825" s="1059">
        <v>0.15</v>
      </c>
      <c r="G825" s="693"/>
      <c r="H825" s="1062">
        <v>0.47849999999999998</v>
      </c>
      <c r="I825" s="1567"/>
      <c r="J825" s="1543"/>
      <c r="K825" s="1543"/>
      <c r="L825" s="1543"/>
      <c r="M825" s="1543"/>
      <c r="N825" s="1566"/>
    </row>
    <row r="826" spans="1:14">
      <c r="A826" s="1523"/>
      <c r="B826" s="1795" t="s">
        <v>3723</v>
      </c>
      <c r="C826" s="692"/>
      <c r="D826" s="1070">
        <v>2.25</v>
      </c>
      <c r="E826" s="1059">
        <v>2.9</v>
      </c>
      <c r="F826" s="1059">
        <v>0.15</v>
      </c>
      <c r="G826" s="693"/>
      <c r="H826" s="1062">
        <v>0.9787499999999999</v>
      </c>
      <c r="I826" s="1567"/>
      <c r="J826" s="1543"/>
      <c r="K826" s="1543"/>
      <c r="L826" s="1543"/>
      <c r="M826" s="1543"/>
      <c r="N826" s="1566"/>
    </row>
    <row r="827" spans="1:14">
      <c r="A827" s="1523"/>
      <c r="B827" s="1795"/>
      <c r="C827" s="692"/>
      <c r="D827" s="1070">
        <v>2.23</v>
      </c>
      <c r="E827" s="1059">
        <v>2.9</v>
      </c>
      <c r="F827" s="1059">
        <v>0.15</v>
      </c>
      <c r="G827" s="693"/>
      <c r="H827" s="1062">
        <v>0.97004999999999986</v>
      </c>
      <c r="I827" s="1567"/>
      <c r="J827" s="1543"/>
      <c r="K827" s="1543"/>
      <c r="L827" s="1543"/>
      <c r="M827" s="1543"/>
      <c r="N827" s="1566"/>
    </row>
    <row r="828" spans="1:14" ht="25.5">
      <c r="A828" s="1523"/>
      <c r="B828" s="1066" t="s">
        <v>3724</v>
      </c>
      <c r="C828" s="692"/>
      <c r="D828" s="1070">
        <v>1.8</v>
      </c>
      <c r="E828" s="1059">
        <v>2.9</v>
      </c>
      <c r="F828" s="1059">
        <v>0.15</v>
      </c>
      <c r="G828" s="693"/>
      <c r="H828" s="1062">
        <v>0.78299999999999992</v>
      </c>
      <c r="I828" s="1567"/>
      <c r="J828" s="1543"/>
      <c r="K828" s="1543"/>
      <c r="L828" s="1543"/>
      <c r="M828" s="1543"/>
      <c r="N828" s="1566"/>
    </row>
    <row r="829" spans="1:14" ht="25.5">
      <c r="A829" s="1523"/>
      <c r="B829" s="1066" t="s">
        <v>3724</v>
      </c>
      <c r="C829" s="692"/>
      <c r="D829" s="1070">
        <v>1.8</v>
      </c>
      <c r="E829" s="1059">
        <v>2.9</v>
      </c>
      <c r="F829" s="1059">
        <v>0.15</v>
      </c>
      <c r="G829" s="693"/>
      <c r="H829" s="1062">
        <v>0.78299999999999992</v>
      </c>
      <c r="I829" s="1567"/>
      <c r="J829" s="1543"/>
      <c r="K829" s="1543"/>
      <c r="L829" s="1543"/>
      <c r="M829" s="1543"/>
      <c r="N829" s="1566"/>
    </row>
    <row r="830" spans="1:14" ht="25.5">
      <c r="A830" s="1523"/>
      <c r="B830" s="1053" t="s">
        <v>3725</v>
      </c>
      <c r="C830" s="692"/>
      <c r="D830" s="1068">
        <v>4.8</v>
      </c>
      <c r="E830" s="1069">
        <v>1.85</v>
      </c>
      <c r="F830" s="1059">
        <v>0.15</v>
      </c>
      <c r="G830" s="693"/>
      <c r="H830" s="1062">
        <v>1.3320000000000001</v>
      </c>
      <c r="I830" s="1567"/>
      <c r="J830" s="1543"/>
      <c r="K830" s="1543"/>
      <c r="L830" s="1543"/>
      <c r="M830" s="1543"/>
      <c r="N830" s="1566"/>
    </row>
    <row r="831" spans="1:14">
      <c r="A831" s="1523"/>
      <c r="B831" s="1058" t="s">
        <v>3726</v>
      </c>
      <c r="C831" s="692"/>
      <c r="D831" s="1064">
        <v>20</v>
      </c>
      <c r="E831" s="1065">
        <v>3.1</v>
      </c>
      <c r="F831" s="1064">
        <v>0.15</v>
      </c>
      <c r="G831" s="693"/>
      <c r="H831" s="1062">
        <v>9.2999999999999989</v>
      </c>
      <c r="I831" s="1567"/>
      <c r="J831" s="1543"/>
      <c r="K831" s="1543"/>
      <c r="L831" s="1543"/>
      <c r="M831" s="1543"/>
      <c r="N831" s="1566"/>
    </row>
    <row r="832" spans="1:14" ht="25.5">
      <c r="A832" s="1523"/>
      <c r="B832" s="1058" t="s">
        <v>3727</v>
      </c>
      <c r="C832" s="692"/>
      <c r="D832" s="1064">
        <v>0.8</v>
      </c>
      <c r="E832" s="1065">
        <v>2.1</v>
      </c>
      <c r="F832" s="1064">
        <v>0.15</v>
      </c>
      <c r="G832" s="693"/>
      <c r="H832" s="1062">
        <v>0.252</v>
      </c>
      <c r="I832" s="1567"/>
      <c r="J832" s="1543"/>
      <c r="K832" s="1543"/>
      <c r="L832" s="1543"/>
      <c r="M832" s="1543"/>
      <c r="N832" s="1566"/>
    </row>
    <row r="833" spans="1:14">
      <c r="A833" s="1515"/>
      <c r="B833" s="1052"/>
      <c r="C833" s="692"/>
      <c r="D833" s="919"/>
      <c r="E833" s="693"/>
      <c r="F833" s="693"/>
      <c r="G833" s="693"/>
      <c r="H833" s="371"/>
      <c r="I833" s="1567"/>
      <c r="J833" s="1543"/>
      <c r="K833" s="1543"/>
      <c r="L833" s="1543"/>
      <c r="M833" s="1543"/>
      <c r="N833" s="1566"/>
    </row>
    <row r="834" spans="1:14">
      <c r="A834" s="1577" t="s">
        <v>2218</v>
      </c>
      <c r="B834" s="1542"/>
      <c r="C834" s="1542"/>
      <c r="D834" s="1542"/>
      <c r="E834" s="1542"/>
      <c r="F834" s="1542"/>
      <c r="G834" s="1542"/>
      <c r="H834" s="271">
        <f>SUM(H796:H833)</f>
        <v>609.7349200000001</v>
      </c>
      <c r="I834" s="1567"/>
      <c r="J834" s="1543"/>
      <c r="K834" s="1543"/>
      <c r="L834" s="1543"/>
      <c r="M834" s="1543"/>
      <c r="N834" s="1566"/>
    </row>
    <row r="835" spans="1:14">
      <c r="A835" s="1519" t="s">
        <v>2219</v>
      </c>
      <c r="B835" s="1517"/>
      <c r="C835" s="1517"/>
      <c r="D835" s="1551"/>
      <c r="E835" s="1551"/>
      <c r="F835" s="1551"/>
      <c r="G835" s="1552"/>
      <c r="H835" s="272">
        <f>SUM(H796:H817)</f>
        <v>588.34267000000011</v>
      </c>
      <c r="I835" s="1543"/>
      <c r="J835" s="1543"/>
      <c r="K835" s="1543"/>
      <c r="L835" s="1543"/>
      <c r="M835" s="1543"/>
      <c r="N835" s="1566"/>
    </row>
    <row r="836" spans="1:14" ht="15.75" thickBot="1">
      <c r="A836" s="1520" t="s">
        <v>2220</v>
      </c>
      <c r="B836" s="1521"/>
      <c r="C836" s="1521"/>
      <c r="D836" s="1521"/>
      <c r="E836" s="1521"/>
      <c r="F836" s="1521"/>
      <c r="G836" s="1522"/>
      <c r="H836" s="216">
        <v>23.07</v>
      </c>
      <c r="I836" s="1568"/>
      <c r="J836" s="1568"/>
      <c r="K836" s="1568"/>
      <c r="L836" s="1568"/>
      <c r="M836" s="1568"/>
      <c r="N836" s="1569"/>
    </row>
    <row r="837" spans="1:14" ht="15" customHeight="1" thickBot="1">
      <c r="A837" s="1635"/>
      <c r="B837" s="1636"/>
      <c r="C837" s="1636"/>
      <c r="D837" s="1636"/>
      <c r="E837" s="1636"/>
      <c r="F837" s="1636"/>
      <c r="G837" s="1636"/>
      <c r="H837" s="1636"/>
      <c r="I837" s="1636"/>
      <c r="J837" s="1636"/>
      <c r="K837" s="1636"/>
      <c r="L837" s="1636"/>
      <c r="M837" s="1636"/>
      <c r="N837" s="1637"/>
    </row>
    <row r="838" spans="1:14" ht="15" hidden="1" customHeight="1">
      <c r="A838" s="1085" t="s">
        <v>2508</v>
      </c>
      <c r="B838" s="1494" t="s">
        <v>623</v>
      </c>
      <c r="C838" s="1495"/>
      <c r="D838" s="1495"/>
      <c r="E838" s="1495"/>
      <c r="F838" s="1495"/>
      <c r="G838" s="1495"/>
      <c r="H838" s="1495"/>
      <c r="I838" s="1495"/>
      <c r="J838" s="1496"/>
      <c r="K838" s="196" t="s">
        <v>2222</v>
      </c>
      <c r="L838" s="1497">
        <v>8</v>
      </c>
      <c r="M838" s="1498"/>
      <c r="N838" s="197">
        <f>L838-H845</f>
        <v>0</v>
      </c>
    </row>
    <row r="839" spans="1:14" ht="15" hidden="1" customHeight="1">
      <c r="A839" s="1499"/>
      <c r="B839" s="1500"/>
      <c r="C839" s="352"/>
      <c r="D839" s="340" t="s">
        <v>2183</v>
      </c>
      <c r="E839" s="839" t="s">
        <v>2184</v>
      </c>
      <c r="F839" s="340" t="s">
        <v>2185</v>
      </c>
      <c r="G839" s="340" t="s">
        <v>2186</v>
      </c>
      <c r="H839" s="1778" t="s">
        <v>476</v>
      </c>
      <c r="I839" s="1543"/>
      <c r="J839" s="1543"/>
      <c r="K839" s="1543"/>
      <c r="L839" s="1543"/>
      <c r="M839" s="1543"/>
      <c r="N839" s="1566"/>
    </row>
    <row r="840" spans="1:14" ht="15" hidden="1" customHeight="1">
      <c r="A840" s="1787"/>
      <c r="B840" s="1788"/>
      <c r="C840" s="353" t="s">
        <v>2382</v>
      </c>
      <c r="D840" s="292" t="s">
        <v>2187</v>
      </c>
      <c r="E840" s="901" t="s">
        <v>2188</v>
      </c>
      <c r="F840" s="292" t="s">
        <v>2189</v>
      </c>
      <c r="G840" s="361" t="s">
        <v>2190</v>
      </c>
      <c r="H840" s="1789"/>
      <c r="I840" s="1543"/>
      <c r="J840" s="1543"/>
      <c r="K840" s="1543"/>
      <c r="L840" s="1543"/>
      <c r="M840" s="1543"/>
      <c r="N840" s="1566"/>
    </row>
    <row r="841" spans="1:14" ht="15" hidden="1" customHeight="1">
      <c r="A841" s="1536" t="s">
        <v>2211</v>
      </c>
      <c r="B841" s="360" t="s">
        <v>2509</v>
      </c>
      <c r="C841" s="354"/>
      <c r="D841" s="198">
        <v>4</v>
      </c>
      <c r="E841" s="341">
        <v>2</v>
      </c>
      <c r="F841" s="341"/>
      <c r="G841" s="341"/>
      <c r="H841" s="347">
        <f>D841*E841</f>
        <v>8</v>
      </c>
      <c r="I841" s="1567"/>
      <c r="J841" s="1543"/>
      <c r="K841" s="1543"/>
      <c r="L841" s="1543"/>
      <c r="M841" s="1543"/>
      <c r="N841" s="1566"/>
    </row>
    <row r="842" spans="1:14" ht="15" hidden="1" customHeight="1">
      <c r="A842" s="1536"/>
      <c r="B842" s="360"/>
      <c r="C842" s="354"/>
      <c r="D842" s="198"/>
      <c r="E842" s="341"/>
      <c r="F842" s="341"/>
      <c r="G842" s="341"/>
      <c r="H842" s="347"/>
      <c r="I842" s="1567"/>
      <c r="J842" s="1543"/>
      <c r="K842" s="1543"/>
      <c r="L842" s="1543"/>
      <c r="M842" s="1543"/>
      <c r="N842" s="1566"/>
    </row>
    <row r="843" spans="1:14" ht="15" hidden="1" customHeight="1">
      <c r="A843" s="1536"/>
      <c r="B843" s="360"/>
      <c r="C843" s="354"/>
      <c r="D843" s="198"/>
      <c r="E843" s="341"/>
      <c r="F843" s="341"/>
      <c r="G843" s="341"/>
      <c r="H843" s="347"/>
      <c r="I843" s="1567"/>
      <c r="J843" s="1543"/>
      <c r="K843" s="1543"/>
      <c r="L843" s="1543"/>
      <c r="M843" s="1543"/>
      <c r="N843" s="1566"/>
    </row>
    <row r="844" spans="1:14" ht="15" hidden="1" customHeight="1">
      <c r="A844" s="1536"/>
      <c r="B844" s="360"/>
      <c r="C844" s="354"/>
      <c r="D844" s="198"/>
      <c r="E844" s="341"/>
      <c r="F844" s="341"/>
      <c r="G844" s="341"/>
      <c r="H844" s="347"/>
      <c r="I844" s="1567"/>
      <c r="J844" s="1543"/>
      <c r="K844" s="1543"/>
      <c r="L844" s="1543"/>
      <c r="M844" s="1543"/>
      <c r="N844" s="1566"/>
    </row>
    <row r="845" spans="1:14" ht="15" hidden="1" customHeight="1">
      <c r="A845" s="1577" t="s">
        <v>2218</v>
      </c>
      <c r="B845" s="1542"/>
      <c r="C845" s="1542"/>
      <c r="D845" s="1542"/>
      <c r="E845" s="1542"/>
      <c r="F845" s="1542"/>
      <c r="G845" s="1542"/>
      <c r="H845" s="271">
        <f>SUM(H841:H844)</f>
        <v>8</v>
      </c>
      <c r="I845" s="1567"/>
      <c r="J845" s="1543"/>
      <c r="K845" s="1543"/>
      <c r="L845" s="1543"/>
      <c r="M845" s="1543"/>
      <c r="N845" s="1566"/>
    </row>
    <row r="846" spans="1:14" ht="15" hidden="1" customHeight="1">
      <c r="A846" s="1519" t="s">
        <v>2219</v>
      </c>
      <c r="B846" s="1517"/>
      <c r="C846" s="1517"/>
      <c r="D846" s="1551"/>
      <c r="E846" s="1551"/>
      <c r="F846" s="1551"/>
      <c r="G846" s="1552"/>
      <c r="H846" s="272">
        <v>0</v>
      </c>
      <c r="I846" s="1543"/>
      <c r="J846" s="1543"/>
      <c r="K846" s="1543"/>
      <c r="L846" s="1543"/>
      <c r="M846" s="1543"/>
      <c r="N846" s="1566"/>
    </row>
    <row r="847" spans="1:14" ht="15" hidden="1" customHeight="1" thickBot="1">
      <c r="A847" s="1520" t="s">
        <v>2220</v>
      </c>
      <c r="B847" s="1521"/>
      <c r="C847" s="1521"/>
      <c r="D847" s="1521"/>
      <c r="E847" s="1521"/>
      <c r="F847" s="1521"/>
      <c r="G847" s="1522"/>
      <c r="H847" s="216">
        <f>H845-H846</f>
        <v>8</v>
      </c>
      <c r="I847" s="1568"/>
      <c r="J847" s="1568"/>
      <c r="K847" s="1568"/>
      <c r="L847" s="1568"/>
      <c r="M847" s="1568"/>
      <c r="N847" s="1569"/>
    </row>
    <row r="848" spans="1:14" ht="15" hidden="1" customHeight="1" thickBot="1">
      <c r="A848" s="1635"/>
      <c r="B848" s="1636"/>
      <c r="C848" s="1636"/>
      <c r="D848" s="1636"/>
      <c r="E848" s="1636"/>
      <c r="F848" s="1636"/>
      <c r="G848" s="1636"/>
      <c r="H848" s="1636"/>
      <c r="I848" s="1636"/>
      <c r="J848" s="1636"/>
      <c r="K848" s="1636"/>
      <c r="L848" s="1636"/>
      <c r="M848" s="1636"/>
      <c r="N848" s="1637"/>
    </row>
    <row r="849" spans="1:14" ht="30" customHeight="1">
      <c r="A849" s="1085" t="s">
        <v>2510</v>
      </c>
      <c r="B849" s="1494" t="s">
        <v>2511</v>
      </c>
      <c r="C849" s="1495"/>
      <c r="D849" s="1495"/>
      <c r="E849" s="1495"/>
      <c r="F849" s="1495"/>
      <c r="G849" s="1495"/>
      <c r="H849" s="1495"/>
      <c r="I849" s="1495"/>
      <c r="J849" s="1496"/>
      <c r="K849" s="196" t="s">
        <v>44</v>
      </c>
      <c r="L849" s="1497">
        <v>50.18</v>
      </c>
      <c r="M849" s="1498"/>
      <c r="N849" s="197">
        <f>L849-H856</f>
        <v>-21.740000000000002</v>
      </c>
    </row>
    <row r="850" spans="1:14">
      <c r="A850" s="1499"/>
      <c r="B850" s="1500"/>
      <c r="C850" s="352"/>
      <c r="D850" s="340" t="s">
        <v>2183</v>
      </c>
      <c r="E850" s="839" t="s">
        <v>2184</v>
      </c>
      <c r="F850" s="340" t="s">
        <v>2185</v>
      </c>
      <c r="G850" s="340" t="s">
        <v>2186</v>
      </c>
      <c r="H850" s="1778" t="s">
        <v>476</v>
      </c>
      <c r="I850" s="1543"/>
      <c r="J850" s="1543"/>
      <c r="K850" s="1543"/>
      <c r="L850" s="1543"/>
      <c r="M850" s="1543"/>
      <c r="N850" s="1566"/>
    </row>
    <row r="851" spans="1:14">
      <c r="A851" s="1787"/>
      <c r="B851" s="1788"/>
      <c r="C851" s="353" t="s">
        <v>2382</v>
      </c>
      <c r="D851" s="292" t="s">
        <v>2187</v>
      </c>
      <c r="E851" s="901" t="s">
        <v>2188</v>
      </c>
      <c r="F851" s="292" t="s">
        <v>2189</v>
      </c>
      <c r="G851" s="361" t="s">
        <v>2190</v>
      </c>
      <c r="H851" s="1789"/>
      <c r="I851" s="1543"/>
      <c r="J851" s="1543"/>
      <c r="K851" s="1543"/>
      <c r="L851" s="1543"/>
      <c r="M851" s="1543"/>
      <c r="N851" s="1566"/>
    </row>
    <row r="852" spans="1:14">
      <c r="A852" s="1087"/>
      <c r="B852" s="393" t="s">
        <v>2512</v>
      </c>
      <c r="C852" s="354"/>
      <c r="D852" s="198">
        <v>60</v>
      </c>
      <c r="E852" s="341"/>
      <c r="F852" s="341"/>
      <c r="G852" s="341"/>
      <c r="H852" s="347">
        <f>D852</f>
        <v>60</v>
      </c>
      <c r="I852" s="1567"/>
      <c r="J852" s="1543"/>
      <c r="K852" s="1543"/>
      <c r="L852" s="1543"/>
      <c r="M852" s="1543"/>
      <c r="N852" s="1566"/>
    </row>
    <row r="853" spans="1:14">
      <c r="A853" s="1087" t="s">
        <v>3728</v>
      </c>
      <c r="B853" s="393" t="s">
        <v>2512</v>
      </c>
      <c r="C853" s="354"/>
      <c r="D853" s="198">
        <v>11.92</v>
      </c>
      <c r="E853" s="341"/>
      <c r="F853" s="341"/>
      <c r="G853" s="341"/>
      <c r="H853" s="347">
        <f>D853</f>
        <v>11.92</v>
      </c>
      <c r="I853" s="1567"/>
      <c r="J853" s="1543"/>
      <c r="K853" s="1543"/>
      <c r="L853" s="1543"/>
      <c r="M853" s="1543"/>
      <c r="N853" s="1566"/>
    </row>
    <row r="854" spans="1:14">
      <c r="A854" s="1087"/>
      <c r="B854" s="360"/>
      <c r="C854" s="354"/>
      <c r="D854" s="198"/>
      <c r="E854" s="341"/>
      <c r="F854" s="341"/>
      <c r="G854" s="341"/>
      <c r="H854" s="347"/>
      <c r="I854" s="1567"/>
      <c r="J854" s="1543"/>
      <c r="K854" s="1543"/>
      <c r="L854" s="1543"/>
      <c r="M854" s="1543"/>
      <c r="N854" s="1566"/>
    </row>
    <row r="855" spans="1:14">
      <c r="A855" s="1087"/>
      <c r="B855" s="360"/>
      <c r="C855" s="354"/>
      <c r="D855" s="198"/>
      <c r="E855" s="341"/>
      <c r="F855" s="341"/>
      <c r="G855" s="341"/>
      <c r="H855" s="347"/>
      <c r="I855" s="1567"/>
      <c r="J855" s="1543"/>
      <c r="K855" s="1543"/>
      <c r="L855" s="1543"/>
      <c r="M855" s="1543"/>
      <c r="N855" s="1566"/>
    </row>
    <row r="856" spans="1:14">
      <c r="A856" s="1577" t="s">
        <v>2218</v>
      </c>
      <c r="B856" s="1542"/>
      <c r="C856" s="1542"/>
      <c r="D856" s="1542"/>
      <c r="E856" s="1542"/>
      <c r="F856" s="1542"/>
      <c r="G856" s="1542"/>
      <c r="H856" s="271">
        <f>SUM(H852:H855)</f>
        <v>71.92</v>
      </c>
      <c r="I856" s="1567"/>
      <c r="J856" s="1543"/>
      <c r="K856" s="1543"/>
      <c r="L856" s="1543"/>
      <c r="M856" s="1543"/>
      <c r="N856" s="1566"/>
    </row>
    <row r="857" spans="1:14">
      <c r="A857" s="1519" t="s">
        <v>2219</v>
      </c>
      <c r="B857" s="1517"/>
      <c r="C857" s="1517"/>
      <c r="D857" s="1551"/>
      <c r="E857" s="1551"/>
      <c r="F857" s="1551"/>
      <c r="G857" s="1552"/>
      <c r="H857" s="272">
        <f>H852</f>
        <v>60</v>
      </c>
      <c r="I857" s="1543"/>
      <c r="J857" s="1543"/>
      <c r="K857" s="1543"/>
      <c r="L857" s="1543"/>
      <c r="M857" s="1543"/>
      <c r="N857" s="1566"/>
    </row>
    <row r="858" spans="1:14" ht="15.75" thickBot="1">
      <c r="A858" s="1520" t="s">
        <v>2220</v>
      </c>
      <c r="B858" s="1521"/>
      <c r="C858" s="1521"/>
      <c r="D858" s="1521"/>
      <c r="E858" s="1521"/>
      <c r="F858" s="1521"/>
      <c r="G858" s="1522"/>
      <c r="H858" s="216">
        <f>H856-H857</f>
        <v>11.920000000000002</v>
      </c>
      <c r="I858" s="1568"/>
      <c r="J858" s="1568"/>
      <c r="K858" s="1568"/>
      <c r="L858" s="1568"/>
      <c r="M858" s="1568"/>
      <c r="N858" s="1569"/>
    </row>
    <row r="859" spans="1:14" ht="15" customHeight="1" thickBot="1">
      <c r="A859" s="1635"/>
      <c r="B859" s="1636"/>
      <c r="C859" s="1636"/>
      <c r="D859" s="1636"/>
      <c r="E859" s="1636"/>
      <c r="F859" s="1636"/>
      <c r="G859" s="1636"/>
      <c r="H859" s="1636"/>
      <c r="I859" s="1636"/>
      <c r="J859" s="1636"/>
      <c r="K859" s="1636"/>
      <c r="L859" s="1636"/>
      <c r="M859" s="1636"/>
      <c r="N859" s="1637"/>
    </row>
    <row r="860" spans="1:14" ht="15" customHeight="1" thickBot="1">
      <c r="A860" s="1095"/>
      <c r="B860" s="394"/>
      <c r="C860" s="394"/>
      <c r="D860" s="394"/>
      <c r="E860" s="1321"/>
      <c r="F860" s="394"/>
      <c r="G860" s="394"/>
      <c r="H860" s="395"/>
      <c r="I860" s="394"/>
      <c r="J860" s="394"/>
      <c r="K860" s="394"/>
      <c r="L860" s="394"/>
      <c r="M860" s="394"/>
      <c r="N860" s="396"/>
    </row>
    <row r="861" spans="1:14" ht="15" customHeight="1">
      <c r="A861" s="1085" t="s">
        <v>2513</v>
      </c>
      <c r="B861" s="1494" t="s">
        <v>629</v>
      </c>
      <c r="C861" s="1495"/>
      <c r="D861" s="1495"/>
      <c r="E861" s="1495"/>
      <c r="F861" s="1495"/>
      <c r="G861" s="1495"/>
      <c r="H861" s="1495"/>
      <c r="I861" s="1495"/>
      <c r="J861" s="1496"/>
      <c r="K861" s="196" t="s">
        <v>44</v>
      </c>
      <c r="L861" s="1497">
        <v>30.05</v>
      </c>
      <c r="M861" s="1498"/>
      <c r="N861" s="197">
        <f>L861-H868</f>
        <v>18.05</v>
      </c>
    </row>
    <row r="862" spans="1:14">
      <c r="A862" s="1499"/>
      <c r="B862" s="1500"/>
      <c r="C862" s="352"/>
      <c r="D862" s="340" t="s">
        <v>2183</v>
      </c>
      <c r="E862" s="839" t="s">
        <v>2184</v>
      </c>
      <c r="F862" s="340" t="s">
        <v>2185</v>
      </c>
      <c r="G862" s="340" t="s">
        <v>2186</v>
      </c>
      <c r="H862" s="1778" t="s">
        <v>476</v>
      </c>
      <c r="I862" s="1543"/>
      <c r="J862" s="1543"/>
      <c r="K862" s="1543"/>
      <c r="L862" s="1543"/>
      <c r="M862" s="1543"/>
      <c r="N862" s="1566"/>
    </row>
    <row r="863" spans="1:14">
      <c r="A863" s="1787"/>
      <c r="B863" s="1788"/>
      <c r="C863" s="353" t="s">
        <v>2382</v>
      </c>
      <c r="D863" s="292" t="s">
        <v>2187</v>
      </c>
      <c r="E863" s="901" t="s">
        <v>2188</v>
      </c>
      <c r="F863" s="292" t="s">
        <v>2189</v>
      </c>
      <c r="G863" s="361" t="s">
        <v>2190</v>
      </c>
      <c r="H863" s="1789"/>
      <c r="I863" s="1543"/>
      <c r="J863" s="1543"/>
      <c r="K863" s="1543"/>
      <c r="L863" s="1543"/>
      <c r="M863" s="1543"/>
      <c r="N863" s="1566"/>
    </row>
    <row r="864" spans="1:14">
      <c r="A864" s="1536" t="s">
        <v>2211</v>
      </c>
      <c r="B864" s="397" t="s">
        <v>2514</v>
      </c>
      <c r="C864" s="354"/>
      <c r="D864" s="198">
        <v>6</v>
      </c>
      <c r="E864" s="341">
        <v>2</v>
      </c>
      <c r="F864" s="341"/>
      <c r="G864" s="341"/>
      <c r="H864" s="347">
        <f>D864*E864</f>
        <v>12</v>
      </c>
      <c r="I864" s="1567"/>
      <c r="J864" s="1543"/>
      <c r="K864" s="1543"/>
      <c r="L864" s="1543"/>
      <c r="M864" s="1543"/>
      <c r="N864" s="1566"/>
    </row>
    <row r="865" spans="1:14">
      <c r="A865" s="1536"/>
      <c r="B865" s="360"/>
      <c r="C865" s="354"/>
      <c r="D865" s="198"/>
      <c r="E865" s="341"/>
      <c r="F865" s="341"/>
      <c r="G865" s="341"/>
      <c r="H865" s="347"/>
      <c r="I865" s="1567"/>
      <c r="J865" s="1543"/>
      <c r="K865" s="1543"/>
      <c r="L865" s="1543"/>
      <c r="M865" s="1543"/>
      <c r="N865" s="1566"/>
    </row>
    <row r="866" spans="1:14">
      <c r="A866" s="1536"/>
      <c r="B866" s="360"/>
      <c r="C866" s="354"/>
      <c r="D866" s="198"/>
      <c r="E866" s="341"/>
      <c r="F866" s="341"/>
      <c r="G866" s="341"/>
      <c r="H866" s="347"/>
      <c r="I866" s="1567"/>
      <c r="J866" s="1543"/>
      <c r="K866" s="1543"/>
      <c r="L866" s="1543"/>
      <c r="M866" s="1543"/>
      <c r="N866" s="1566"/>
    </row>
    <row r="867" spans="1:14">
      <c r="A867" s="1536"/>
      <c r="B867" s="360"/>
      <c r="C867" s="354"/>
      <c r="D867" s="198"/>
      <c r="E867" s="341"/>
      <c r="F867" s="341"/>
      <c r="G867" s="341"/>
      <c r="H867" s="347"/>
      <c r="I867" s="1567"/>
      <c r="J867" s="1543"/>
      <c r="K867" s="1543"/>
      <c r="L867" s="1543"/>
      <c r="M867" s="1543"/>
      <c r="N867" s="1566"/>
    </row>
    <row r="868" spans="1:14">
      <c r="A868" s="1577" t="s">
        <v>2218</v>
      </c>
      <c r="B868" s="1542"/>
      <c r="C868" s="1542"/>
      <c r="D868" s="1542"/>
      <c r="E868" s="1542"/>
      <c r="F868" s="1542"/>
      <c r="G868" s="1542"/>
      <c r="H868" s="271">
        <f>SUM(H864:H867)</f>
        <v>12</v>
      </c>
      <c r="I868" s="1567"/>
      <c r="J868" s="1543"/>
      <c r="K868" s="1543"/>
      <c r="L868" s="1543"/>
      <c r="M868" s="1543"/>
      <c r="N868" s="1566"/>
    </row>
    <row r="869" spans="1:14">
      <c r="A869" s="1519" t="s">
        <v>2219</v>
      </c>
      <c r="B869" s="1517"/>
      <c r="C869" s="1517"/>
      <c r="D869" s="1551"/>
      <c r="E869" s="1551"/>
      <c r="F869" s="1551"/>
      <c r="G869" s="1552"/>
      <c r="H869" s="272">
        <v>0</v>
      </c>
      <c r="I869" s="1543"/>
      <c r="J869" s="1543"/>
      <c r="K869" s="1543"/>
      <c r="L869" s="1543"/>
      <c r="M869" s="1543"/>
      <c r="N869" s="1566"/>
    </row>
    <row r="870" spans="1:14" ht="15.75" thickBot="1">
      <c r="A870" s="1520" t="s">
        <v>2220</v>
      </c>
      <c r="B870" s="1521"/>
      <c r="C870" s="1521"/>
      <c r="D870" s="1521"/>
      <c r="E870" s="1521"/>
      <c r="F870" s="1521"/>
      <c r="G870" s="1522"/>
      <c r="H870" s="216">
        <f>H868-H869</f>
        <v>12</v>
      </c>
      <c r="I870" s="1568"/>
      <c r="J870" s="1568"/>
      <c r="K870" s="1568"/>
      <c r="L870" s="1568"/>
      <c r="M870" s="1568"/>
      <c r="N870" s="1569"/>
    </row>
    <row r="871" spans="1:14" ht="15" customHeight="1" thickBot="1">
      <c r="A871" s="1780"/>
      <c r="B871" s="1781"/>
      <c r="C871" s="1781"/>
      <c r="D871" s="1781"/>
      <c r="E871" s="1781"/>
      <c r="F871" s="1781"/>
      <c r="G871" s="1781"/>
      <c r="H871" s="1781"/>
      <c r="I871" s="1781"/>
      <c r="J871" s="1781"/>
      <c r="K871" s="1781"/>
      <c r="L871" s="1781"/>
      <c r="M871" s="1781"/>
      <c r="N871" s="1782"/>
    </row>
    <row r="872" spans="1:14" ht="15" customHeight="1" thickBot="1">
      <c r="A872" s="1096"/>
      <c r="B872" s="398"/>
      <c r="C872" s="398"/>
      <c r="D872" s="398"/>
      <c r="E872" s="1322"/>
      <c r="F872" s="398"/>
      <c r="G872" s="398"/>
      <c r="H872" s="398"/>
      <c r="I872" s="398"/>
      <c r="J872" s="398"/>
      <c r="K872" s="398"/>
      <c r="L872" s="398"/>
      <c r="M872" s="398"/>
      <c r="N872" s="399"/>
    </row>
    <row r="873" spans="1:14" ht="15" customHeight="1">
      <c r="A873" s="1085" t="s">
        <v>2515</v>
      </c>
      <c r="B873" s="1494" t="s">
        <v>632</v>
      </c>
      <c r="C873" s="1495"/>
      <c r="D873" s="1495"/>
      <c r="E873" s="1495"/>
      <c r="F873" s="1495"/>
      <c r="G873" s="1495"/>
      <c r="H873" s="1495"/>
      <c r="I873" s="1495"/>
      <c r="J873" s="1496"/>
      <c r="K873" s="196" t="s">
        <v>44</v>
      </c>
      <c r="L873" s="1497">
        <f>'[8]BMS  5ª medição'!G56</f>
        <v>60.1</v>
      </c>
      <c r="M873" s="1498"/>
      <c r="N873" s="258">
        <f>L873-H890</f>
        <v>9.18</v>
      </c>
    </row>
    <row r="874" spans="1:14">
      <c r="A874" s="1790"/>
      <c r="B874" s="1500"/>
      <c r="C874" s="352"/>
      <c r="D874" s="340" t="s">
        <v>2183</v>
      </c>
      <c r="E874" s="839" t="s">
        <v>2184</v>
      </c>
      <c r="F874" s="340" t="s">
        <v>2185</v>
      </c>
      <c r="G874" s="340" t="s">
        <v>2186</v>
      </c>
      <c r="H874" s="1778" t="s">
        <v>476</v>
      </c>
      <c r="I874" s="1543"/>
      <c r="J874" s="1543"/>
      <c r="K874" s="1543"/>
      <c r="L874" s="1543"/>
      <c r="M874" s="1543"/>
      <c r="N874" s="1566"/>
    </row>
    <row r="875" spans="1:14">
      <c r="A875" s="1791"/>
      <c r="B875" s="1502"/>
      <c r="C875" s="400" t="s">
        <v>2382</v>
      </c>
      <c r="D875" s="294" t="s">
        <v>2187</v>
      </c>
      <c r="E875" s="1214" t="s">
        <v>2188</v>
      </c>
      <c r="F875" s="294" t="s">
        <v>2189</v>
      </c>
      <c r="G875" s="401" t="s">
        <v>2190</v>
      </c>
      <c r="H875" s="1792"/>
      <c r="I875" s="1543"/>
      <c r="J875" s="1543"/>
      <c r="K875" s="1543"/>
      <c r="L875" s="1543"/>
      <c r="M875" s="1543"/>
      <c r="N875" s="1566"/>
    </row>
    <row r="876" spans="1:14">
      <c r="A876" s="1544" t="s">
        <v>2268</v>
      </c>
      <c r="B876" s="402" t="s">
        <v>2884</v>
      </c>
      <c r="C876" s="341"/>
      <c r="D876" s="341">
        <f>0.7+2.1+1.1</f>
        <v>3.9</v>
      </c>
      <c r="E876" s="341"/>
      <c r="F876" s="341"/>
      <c r="G876" s="341"/>
      <c r="H876" s="403">
        <f>D876</f>
        <v>3.9</v>
      </c>
      <c r="I876" s="1567"/>
      <c r="J876" s="1543"/>
      <c r="K876" s="1543"/>
      <c r="L876" s="1543"/>
      <c r="M876" s="1543"/>
      <c r="N876" s="1566"/>
    </row>
    <row r="877" spans="1:14">
      <c r="A877" s="1544"/>
      <c r="B877" s="373" t="s">
        <v>2885</v>
      </c>
      <c r="C877" s="341"/>
      <c r="D877" s="341">
        <f>3.12+1.5+1.5+1.2</f>
        <v>7.32</v>
      </c>
      <c r="E877" s="341"/>
      <c r="F877" s="341"/>
      <c r="G877" s="341"/>
      <c r="H877" s="347">
        <f>D877</f>
        <v>7.32</v>
      </c>
      <c r="I877" s="1567"/>
      <c r="J877" s="1543"/>
      <c r="K877" s="1543"/>
      <c r="L877" s="1543"/>
      <c r="M877" s="1543"/>
      <c r="N877" s="1566"/>
    </row>
    <row r="878" spans="1:14">
      <c r="A878" s="1544"/>
      <c r="B878" s="373"/>
      <c r="C878" s="341"/>
      <c r="D878" s="341"/>
      <c r="E878" s="341"/>
      <c r="F878" s="341"/>
      <c r="G878" s="341"/>
      <c r="H878" s="347"/>
      <c r="I878" s="1567"/>
      <c r="J878" s="1543"/>
      <c r="K878" s="1543"/>
      <c r="L878" s="1543"/>
      <c r="M878" s="1543"/>
      <c r="N878" s="1566"/>
    </row>
    <row r="879" spans="1:14">
      <c r="A879" s="1544"/>
      <c r="B879" s="373"/>
      <c r="C879" s="341"/>
      <c r="D879" s="341"/>
      <c r="E879" s="341"/>
      <c r="F879" s="341"/>
      <c r="G879" s="341"/>
      <c r="H879" s="347"/>
      <c r="I879" s="1567"/>
      <c r="J879" s="1543"/>
      <c r="K879" s="1543"/>
      <c r="L879" s="1543"/>
      <c r="M879" s="1543"/>
      <c r="N879" s="1566"/>
    </row>
    <row r="880" spans="1:14" ht="24">
      <c r="A880" s="1544" t="s">
        <v>2749</v>
      </c>
      <c r="B880" s="404" t="s">
        <v>2886</v>
      </c>
      <c r="C880" s="341"/>
      <c r="D880" s="341"/>
      <c r="E880" s="341"/>
      <c r="F880" s="341"/>
      <c r="G880" s="341"/>
      <c r="H880" s="371"/>
      <c r="I880" s="1567"/>
      <c r="J880" s="1543"/>
      <c r="K880" s="1543"/>
      <c r="L880" s="1543"/>
      <c r="M880" s="1543"/>
      <c r="N880" s="1566"/>
    </row>
    <row r="881" spans="1:14">
      <c r="A881" s="1544"/>
      <c r="B881" s="405" t="s">
        <v>2884</v>
      </c>
      <c r="C881" s="341"/>
      <c r="D881" s="341">
        <f>0.7+2.1+1.1</f>
        <v>3.9</v>
      </c>
      <c r="E881" s="341"/>
      <c r="F881" s="341"/>
      <c r="G881" s="341"/>
      <c r="H881" s="371">
        <f>D881</f>
        <v>3.9</v>
      </c>
      <c r="I881" s="1567"/>
      <c r="J881" s="1543"/>
      <c r="K881" s="1543"/>
      <c r="L881" s="1543"/>
      <c r="M881" s="1543"/>
      <c r="N881" s="1566"/>
    </row>
    <row r="882" spans="1:14">
      <c r="A882" s="1544"/>
      <c r="B882" s="406" t="s">
        <v>2885</v>
      </c>
      <c r="C882" s="341"/>
      <c r="D882" s="341">
        <f>3.12+1.5+1.5+1.2</f>
        <v>7.32</v>
      </c>
      <c r="E882" s="341"/>
      <c r="F882" s="341"/>
      <c r="G882" s="341"/>
      <c r="H882" s="371">
        <f>D882</f>
        <v>7.32</v>
      </c>
      <c r="I882" s="1567"/>
      <c r="J882" s="1543"/>
      <c r="K882" s="1543"/>
      <c r="L882" s="1543"/>
      <c r="M882" s="1543"/>
      <c r="N882" s="1566"/>
    </row>
    <row r="883" spans="1:14">
      <c r="A883" s="1544"/>
      <c r="B883" s="406" t="s">
        <v>2887</v>
      </c>
      <c r="C883" s="341"/>
      <c r="D883" s="341">
        <v>1</v>
      </c>
      <c r="E883" s="341"/>
      <c r="F883" s="341"/>
      <c r="G883" s="341"/>
      <c r="H883" s="371">
        <f>D883</f>
        <v>1</v>
      </c>
      <c r="I883" s="1567"/>
      <c r="J883" s="1543"/>
      <c r="K883" s="1543"/>
      <c r="L883" s="1543"/>
      <c r="M883" s="1543"/>
      <c r="N883" s="1566"/>
    </row>
    <row r="884" spans="1:14">
      <c r="A884" s="1544"/>
      <c r="B884" s="406" t="s">
        <v>2888</v>
      </c>
      <c r="C884" s="341"/>
      <c r="D884" s="341">
        <v>5</v>
      </c>
      <c r="E884" s="341"/>
      <c r="F884" s="341"/>
      <c r="G884" s="341"/>
      <c r="H884" s="371">
        <f>D884</f>
        <v>5</v>
      </c>
      <c r="I884" s="1567"/>
      <c r="J884" s="1543"/>
      <c r="K884" s="1543"/>
      <c r="L884" s="1543"/>
      <c r="M884" s="1543"/>
      <c r="N884" s="1566"/>
    </row>
    <row r="885" spans="1:14">
      <c r="A885" s="1544" t="s">
        <v>2843</v>
      </c>
      <c r="B885" s="406"/>
      <c r="C885" s="341"/>
      <c r="D885" s="341"/>
      <c r="E885" s="341"/>
      <c r="F885" s="341"/>
      <c r="G885" s="341"/>
      <c r="H885" s="371"/>
      <c r="I885" s="1567"/>
      <c r="J885" s="1543"/>
      <c r="K885" s="1543"/>
      <c r="L885" s="1543"/>
      <c r="M885" s="1543"/>
      <c r="N885" s="1566"/>
    </row>
    <row r="886" spans="1:14">
      <c r="A886" s="1544"/>
      <c r="B886" s="406" t="s">
        <v>2889</v>
      </c>
      <c r="C886" s="341"/>
      <c r="D886" s="341">
        <v>5.58</v>
      </c>
      <c r="E886" s="341"/>
      <c r="F886" s="341"/>
      <c r="G886" s="341"/>
      <c r="H886" s="371">
        <f>D886</f>
        <v>5.58</v>
      </c>
      <c r="I886" s="1567"/>
      <c r="J886" s="1543"/>
      <c r="K886" s="1543"/>
      <c r="L886" s="1543"/>
      <c r="M886" s="1543"/>
      <c r="N886" s="1566"/>
    </row>
    <row r="887" spans="1:14">
      <c r="A887" s="1544"/>
      <c r="B887" s="406" t="s">
        <v>2890</v>
      </c>
      <c r="C887" s="341"/>
      <c r="D887" s="341">
        <v>9</v>
      </c>
      <c r="E887" s="341"/>
      <c r="F887" s="341"/>
      <c r="G887" s="341"/>
      <c r="H887" s="371">
        <f>D887</f>
        <v>9</v>
      </c>
      <c r="I887" s="1567"/>
      <c r="J887" s="1543"/>
      <c r="K887" s="1543"/>
      <c r="L887" s="1543"/>
      <c r="M887" s="1543"/>
      <c r="N887" s="1566"/>
    </row>
    <row r="888" spans="1:14">
      <c r="A888" s="1544"/>
      <c r="B888" s="406" t="s">
        <v>2891</v>
      </c>
      <c r="C888" s="341"/>
      <c r="D888" s="341"/>
      <c r="E888" s="341"/>
      <c r="F888" s="341"/>
      <c r="G888" s="341"/>
      <c r="H888" s="371">
        <v>7.9</v>
      </c>
      <c r="I888" s="1567"/>
      <c r="J888" s="1543"/>
      <c r="K888" s="1543"/>
      <c r="L888" s="1543"/>
      <c r="M888" s="1543"/>
      <c r="N888" s="1566"/>
    </row>
    <row r="889" spans="1:14">
      <c r="A889" s="1544"/>
      <c r="B889" s="406"/>
      <c r="C889" s="341"/>
      <c r="D889" s="341"/>
      <c r="E889" s="341"/>
      <c r="F889" s="341"/>
      <c r="G889" s="341"/>
      <c r="H889" s="371"/>
      <c r="I889" s="1567"/>
      <c r="J889" s="1543"/>
      <c r="K889" s="1543"/>
      <c r="L889" s="1543"/>
      <c r="M889" s="1543"/>
      <c r="N889" s="1566"/>
    </row>
    <row r="890" spans="1:14">
      <c r="A890" s="1577" t="s">
        <v>2218</v>
      </c>
      <c r="B890" s="1542"/>
      <c r="C890" s="1542"/>
      <c r="D890" s="1542"/>
      <c r="E890" s="1542"/>
      <c r="F890" s="1542"/>
      <c r="G890" s="1542"/>
      <c r="H890" s="271">
        <f>SUM(H876:H889)</f>
        <v>50.92</v>
      </c>
      <c r="I890" s="1567"/>
      <c r="J890" s="1543"/>
      <c r="K890" s="1543"/>
      <c r="L890" s="1543"/>
      <c r="M890" s="1543"/>
      <c r="N890" s="1566"/>
    </row>
    <row r="891" spans="1:14">
      <c r="A891" s="1519" t="s">
        <v>2219</v>
      </c>
      <c r="B891" s="1517"/>
      <c r="C891" s="1517"/>
      <c r="D891" s="1551"/>
      <c r="E891" s="1551"/>
      <c r="F891" s="1551"/>
      <c r="G891" s="1552"/>
      <c r="H891" s="271">
        <v>28.44</v>
      </c>
      <c r="I891" s="1543"/>
      <c r="J891" s="1543"/>
      <c r="K891" s="1543"/>
      <c r="L891" s="1543"/>
      <c r="M891" s="1543"/>
      <c r="N891" s="1566"/>
    </row>
    <row r="892" spans="1:14" ht="15.75" thickBot="1">
      <c r="A892" s="1520" t="s">
        <v>2220</v>
      </c>
      <c r="B892" s="1521"/>
      <c r="C892" s="1521"/>
      <c r="D892" s="1521"/>
      <c r="E892" s="1521"/>
      <c r="F892" s="1521"/>
      <c r="G892" s="1522"/>
      <c r="H892" s="216">
        <f>H890-H891</f>
        <v>22.48</v>
      </c>
      <c r="I892" s="1568"/>
      <c r="J892" s="1568"/>
      <c r="K892" s="1568"/>
      <c r="L892" s="1568"/>
      <c r="M892" s="1568"/>
      <c r="N892" s="1569"/>
    </row>
    <row r="893" spans="1:14" ht="14.25" customHeight="1" thickBot="1">
      <c r="A893" s="1635"/>
      <c r="B893" s="1636"/>
      <c r="C893" s="1636"/>
      <c r="D893" s="1636"/>
      <c r="E893" s="1636"/>
      <c r="F893" s="1636"/>
      <c r="G893" s="1636"/>
      <c r="H893" s="1636"/>
      <c r="I893" s="1636"/>
      <c r="J893" s="1636"/>
      <c r="K893" s="1636"/>
      <c r="L893" s="1636"/>
      <c r="M893" s="1636"/>
      <c r="N893" s="1637"/>
    </row>
    <row r="894" spans="1:14" ht="30" customHeight="1">
      <c r="A894" s="1085" t="s">
        <v>2516</v>
      </c>
      <c r="B894" s="1494" t="s">
        <v>2892</v>
      </c>
      <c r="C894" s="1495"/>
      <c r="D894" s="1495"/>
      <c r="E894" s="1495"/>
      <c r="F894" s="1495"/>
      <c r="G894" s="1495"/>
      <c r="H894" s="1495"/>
      <c r="I894" s="1495"/>
      <c r="J894" s="1496"/>
      <c r="K894" s="196" t="s">
        <v>612</v>
      </c>
      <c r="L894" s="1497">
        <f>'[8]BMS  5ª medição'!G58</f>
        <v>14</v>
      </c>
      <c r="M894" s="1498"/>
      <c r="N894" s="197">
        <f>L894-H917</f>
        <v>-5</v>
      </c>
    </row>
    <row r="895" spans="1:14">
      <c r="A895" s="1541"/>
      <c r="B895" s="1541"/>
      <c r="C895" s="366"/>
      <c r="D895" s="367" t="s">
        <v>2183</v>
      </c>
      <c r="E895" s="1320" t="s">
        <v>2184</v>
      </c>
      <c r="F895" s="367" t="s">
        <v>2185</v>
      </c>
      <c r="G895" s="367" t="s">
        <v>2186</v>
      </c>
      <c r="H895" s="1542" t="s">
        <v>476</v>
      </c>
      <c r="I895" s="1543"/>
      <c r="J895" s="1543"/>
      <c r="K895" s="1543"/>
      <c r="L895" s="1543"/>
      <c r="M895" s="1543"/>
      <c r="N895" s="1566"/>
    </row>
    <row r="896" spans="1:14">
      <c r="A896" s="1541"/>
      <c r="B896" s="1541"/>
      <c r="C896" s="368" t="s">
        <v>2382</v>
      </c>
      <c r="D896" s="369" t="s">
        <v>2187</v>
      </c>
      <c r="E896" s="529" t="s">
        <v>2188</v>
      </c>
      <c r="F896" s="369" t="s">
        <v>2189</v>
      </c>
      <c r="G896" s="370" t="s">
        <v>2190</v>
      </c>
      <c r="H896" s="1542"/>
      <c r="I896" s="1543"/>
      <c r="J896" s="1543"/>
      <c r="K896" s="1543"/>
      <c r="L896" s="1543"/>
      <c r="M896" s="1543"/>
      <c r="N896" s="1566"/>
    </row>
    <row r="897" spans="1:14">
      <c r="A897" s="1097" t="s">
        <v>2238</v>
      </c>
      <c r="B897" s="360" t="s">
        <v>2893</v>
      </c>
      <c r="C897" s="341"/>
      <c r="D897" s="341"/>
      <c r="E897" s="341"/>
      <c r="F897" s="341"/>
      <c r="G897" s="341">
        <v>1</v>
      </c>
      <c r="H897" s="371">
        <f t="shared" ref="H897:H904" si="22">G897</f>
        <v>1</v>
      </c>
      <c r="I897" s="1567"/>
      <c r="J897" s="1543"/>
      <c r="K897" s="1543"/>
      <c r="L897" s="1543"/>
      <c r="M897" s="1543"/>
      <c r="N897" s="1566"/>
    </row>
    <row r="898" spans="1:14">
      <c r="A898" s="1098" t="s">
        <v>2268</v>
      </c>
      <c r="B898" s="389" t="s">
        <v>2893</v>
      </c>
      <c r="C898" s="341"/>
      <c r="D898" s="341"/>
      <c r="E898" s="341"/>
      <c r="F898" s="341"/>
      <c r="G898" s="341">
        <v>1</v>
      </c>
      <c r="H898" s="347">
        <f t="shared" si="22"/>
        <v>1</v>
      </c>
      <c r="I898" s="1567"/>
      <c r="J898" s="1543"/>
      <c r="K898" s="1543"/>
      <c r="L898" s="1543"/>
      <c r="M898" s="1543"/>
      <c r="N898" s="1566"/>
    </row>
    <row r="899" spans="1:14">
      <c r="A899" s="1098" t="s">
        <v>2476</v>
      </c>
      <c r="B899" s="389" t="s">
        <v>2893</v>
      </c>
      <c r="C899" s="341"/>
      <c r="D899" s="341"/>
      <c r="E899" s="341"/>
      <c r="F899" s="341"/>
      <c r="G899" s="341">
        <v>1</v>
      </c>
      <c r="H899" s="347">
        <f t="shared" si="22"/>
        <v>1</v>
      </c>
      <c r="I899" s="1567"/>
      <c r="J899" s="1543"/>
      <c r="K899" s="1543"/>
      <c r="L899" s="1543"/>
      <c r="M899" s="1543"/>
      <c r="N899" s="1566"/>
    </row>
    <row r="900" spans="1:14">
      <c r="A900" s="1098" t="s">
        <v>2662</v>
      </c>
      <c r="B900" s="389" t="s">
        <v>2893</v>
      </c>
      <c r="C900" s="341"/>
      <c r="D900" s="341"/>
      <c r="E900" s="341"/>
      <c r="F900" s="341"/>
      <c r="G900" s="341">
        <v>1</v>
      </c>
      <c r="H900" s="347">
        <f t="shared" si="22"/>
        <v>1</v>
      </c>
      <c r="I900" s="1567"/>
      <c r="J900" s="1543"/>
      <c r="K900" s="1543"/>
      <c r="L900" s="1543"/>
      <c r="M900" s="1543"/>
      <c r="N900" s="1566"/>
    </row>
    <row r="901" spans="1:14">
      <c r="A901" s="1098" t="s">
        <v>2749</v>
      </c>
      <c r="B901" s="389" t="s">
        <v>2893</v>
      </c>
      <c r="C901" s="341"/>
      <c r="D901" s="341"/>
      <c r="E901" s="341"/>
      <c r="F901" s="341"/>
      <c r="G901" s="341">
        <v>1</v>
      </c>
      <c r="H901" s="347">
        <f t="shared" si="22"/>
        <v>1</v>
      </c>
      <c r="I901" s="1567"/>
      <c r="J901" s="1543"/>
      <c r="K901" s="1543"/>
      <c r="L901" s="1543"/>
      <c r="M901" s="1543"/>
      <c r="N901" s="1566"/>
    </row>
    <row r="902" spans="1:14">
      <c r="A902" s="1098" t="s">
        <v>2843</v>
      </c>
      <c r="B902" s="389" t="s">
        <v>2893</v>
      </c>
      <c r="C902" s="341"/>
      <c r="D902" s="341"/>
      <c r="E902" s="341"/>
      <c r="F902" s="341"/>
      <c r="G902" s="341">
        <v>1</v>
      </c>
      <c r="H902" s="347">
        <f t="shared" si="22"/>
        <v>1</v>
      </c>
      <c r="I902" s="1567"/>
      <c r="J902" s="1543"/>
      <c r="K902" s="1543"/>
      <c r="L902" s="1543"/>
      <c r="M902" s="1543"/>
      <c r="N902" s="1566"/>
    </row>
    <row r="903" spans="1:14">
      <c r="A903" s="1098" t="s">
        <v>2895</v>
      </c>
      <c r="B903" s="389" t="s">
        <v>2893</v>
      </c>
      <c r="C903" s="341"/>
      <c r="D903" s="341"/>
      <c r="E903" s="341"/>
      <c r="F903" s="341"/>
      <c r="G903" s="341">
        <v>1</v>
      </c>
      <c r="H903" s="347">
        <f t="shared" si="22"/>
        <v>1</v>
      </c>
      <c r="I903" s="1567"/>
      <c r="J903" s="1543"/>
      <c r="K903" s="1543"/>
      <c r="L903" s="1543"/>
      <c r="M903" s="1543"/>
      <c r="N903" s="1566"/>
    </row>
    <row r="904" spans="1:14">
      <c r="A904" s="1098" t="s">
        <v>2942</v>
      </c>
      <c r="B904" s="389" t="s">
        <v>2893</v>
      </c>
      <c r="C904" s="341"/>
      <c r="D904" s="341"/>
      <c r="E904" s="341"/>
      <c r="F904" s="341"/>
      <c r="G904" s="341">
        <v>1</v>
      </c>
      <c r="H904" s="347">
        <f t="shared" si="22"/>
        <v>1</v>
      </c>
      <c r="I904" s="1567"/>
      <c r="J904" s="1543"/>
      <c r="K904" s="1543"/>
      <c r="L904" s="1543"/>
      <c r="M904" s="1543"/>
      <c r="N904" s="1566"/>
    </row>
    <row r="905" spans="1:14">
      <c r="A905" s="1098" t="s">
        <v>2997</v>
      </c>
      <c r="B905" s="389" t="s">
        <v>2893</v>
      </c>
      <c r="C905" s="341"/>
      <c r="D905" s="341"/>
      <c r="E905" s="341"/>
      <c r="F905" s="341"/>
      <c r="G905" s="341">
        <v>2</v>
      </c>
      <c r="H905" s="347">
        <v>2</v>
      </c>
      <c r="I905" s="1567"/>
      <c r="J905" s="1543"/>
      <c r="K905" s="1543"/>
      <c r="L905" s="1543"/>
      <c r="M905" s="1543"/>
      <c r="N905" s="1566"/>
    </row>
    <row r="906" spans="1:14">
      <c r="A906" s="1098" t="s">
        <v>3158</v>
      </c>
      <c r="B906" s="389" t="s">
        <v>2893</v>
      </c>
      <c r="C906" s="341"/>
      <c r="D906" s="341"/>
      <c r="E906" s="341"/>
      <c r="F906" s="341"/>
      <c r="G906" s="341">
        <v>1</v>
      </c>
      <c r="H906" s="347">
        <v>1</v>
      </c>
      <c r="I906" s="1567"/>
      <c r="J906" s="1543"/>
      <c r="K906" s="1543"/>
      <c r="L906" s="1543"/>
      <c r="M906" s="1543"/>
      <c r="N906" s="1566"/>
    </row>
    <row r="907" spans="1:14">
      <c r="A907" s="1098" t="s">
        <v>3217</v>
      </c>
      <c r="B907" s="389" t="s">
        <v>2893</v>
      </c>
      <c r="C907" s="341"/>
      <c r="D907" s="341"/>
      <c r="E907" s="341"/>
      <c r="F907" s="341"/>
      <c r="G907" s="341">
        <v>1</v>
      </c>
      <c r="H907" s="347">
        <v>1</v>
      </c>
      <c r="I907" s="1567"/>
      <c r="J907" s="1543"/>
      <c r="K907" s="1543"/>
      <c r="L907" s="1543"/>
      <c r="M907" s="1543"/>
      <c r="N907" s="1566"/>
    </row>
    <row r="908" spans="1:14">
      <c r="A908" s="1098" t="s">
        <v>3294</v>
      </c>
      <c r="B908" s="389" t="s">
        <v>2893</v>
      </c>
      <c r="C908" s="341"/>
      <c r="D908" s="341"/>
      <c r="E908" s="341"/>
      <c r="F908" s="341"/>
      <c r="G908" s="341">
        <v>1</v>
      </c>
      <c r="H908" s="347">
        <v>1</v>
      </c>
      <c r="I908" s="1567"/>
      <c r="J908" s="1543"/>
      <c r="K908" s="1543"/>
      <c r="L908" s="1543"/>
      <c r="M908" s="1543"/>
      <c r="N908" s="1566"/>
    </row>
    <row r="909" spans="1:14">
      <c r="A909" s="1098" t="s">
        <v>3364</v>
      </c>
      <c r="B909" s="389" t="s">
        <v>2893</v>
      </c>
      <c r="C909" s="341"/>
      <c r="D909" s="341"/>
      <c r="E909" s="341"/>
      <c r="F909" s="341"/>
      <c r="G909" s="341">
        <v>1</v>
      </c>
      <c r="H909" s="347">
        <v>1</v>
      </c>
      <c r="I909" s="1567"/>
      <c r="J909" s="1543"/>
      <c r="K909" s="1543"/>
      <c r="L909" s="1543"/>
      <c r="M909" s="1543"/>
      <c r="N909" s="1566"/>
    </row>
    <row r="910" spans="1:14">
      <c r="A910" s="1523" t="s">
        <v>3728</v>
      </c>
      <c r="B910" s="389" t="s">
        <v>3734</v>
      </c>
      <c r="C910" s="341"/>
      <c r="D910" s="341"/>
      <c r="E910" s="341"/>
      <c r="F910" s="341"/>
      <c r="G910" s="341">
        <v>1</v>
      </c>
      <c r="H910" s="347">
        <v>1</v>
      </c>
      <c r="I910" s="1567"/>
      <c r="J910" s="1543"/>
      <c r="K910" s="1543"/>
      <c r="L910" s="1543"/>
      <c r="M910" s="1543"/>
      <c r="N910" s="1566"/>
    </row>
    <row r="911" spans="1:14">
      <c r="A911" s="1523"/>
      <c r="B911" s="389" t="s">
        <v>3735</v>
      </c>
      <c r="C911" s="341"/>
      <c r="D911" s="341"/>
      <c r="E911" s="341"/>
      <c r="F911" s="341"/>
      <c r="G911" s="341">
        <v>1</v>
      </c>
      <c r="H911" s="347">
        <v>1</v>
      </c>
      <c r="I911" s="1567"/>
      <c r="J911" s="1543"/>
      <c r="K911" s="1543"/>
      <c r="L911" s="1543"/>
      <c r="M911" s="1543"/>
      <c r="N911" s="1566"/>
    </row>
    <row r="912" spans="1:14">
      <c r="A912" s="1523"/>
      <c r="B912" s="389" t="s">
        <v>3736</v>
      </c>
      <c r="C912" s="341"/>
      <c r="D912" s="341"/>
      <c r="E912" s="341"/>
      <c r="F912" s="341"/>
      <c r="G912" s="341">
        <v>1</v>
      </c>
      <c r="H912" s="347">
        <v>1</v>
      </c>
      <c r="I912" s="1567"/>
      <c r="J912" s="1543"/>
      <c r="K912" s="1543"/>
      <c r="L912" s="1543"/>
      <c r="M912" s="1543"/>
      <c r="N912" s="1566"/>
    </row>
    <row r="913" spans="1:14">
      <c r="A913" s="1523"/>
      <c r="B913" s="389" t="s">
        <v>3737</v>
      </c>
      <c r="C913" s="341"/>
      <c r="D913" s="341"/>
      <c r="E913" s="341"/>
      <c r="F913" s="341"/>
      <c r="G913" s="341">
        <v>1</v>
      </c>
      <c r="H913" s="347">
        <v>1</v>
      </c>
      <c r="I913" s="1567"/>
      <c r="J913" s="1543"/>
      <c r="K913" s="1543"/>
      <c r="L913" s="1543"/>
      <c r="M913" s="1543"/>
      <c r="N913" s="1566"/>
    </row>
    <row r="914" spans="1:14">
      <c r="A914" s="1523"/>
      <c r="B914" s="389" t="s">
        <v>3738</v>
      </c>
      <c r="C914" s="341"/>
      <c r="D914" s="341"/>
      <c r="E914" s="341"/>
      <c r="F914" s="341"/>
      <c r="G914" s="341">
        <v>1</v>
      </c>
      <c r="H914" s="347">
        <v>1</v>
      </c>
      <c r="I914" s="1567"/>
      <c r="J914" s="1543"/>
      <c r="K914" s="1543"/>
      <c r="L914" s="1543"/>
      <c r="M914" s="1543"/>
      <c r="N914" s="1566"/>
    </row>
    <row r="915" spans="1:14">
      <c r="A915" s="1090"/>
      <c r="B915" s="389"/>
      <c r="C915" s="341"/>
      <c r="D915" s="341"/>
      <c r="E915" s="341"/>
      <c r="F915" s="341"/>
      <c r="G915" s="341"/>
      <c r="H915" s="347"/>
      <c r="I915" s="1567"/>
      <c r="J915" s="1543"/>
      <c r="K915" s="1543"/>
      <c r="L915" s="1543"/>
      <c r="M915" s="1543"/>
      <c r="N915" s="1566"/>
    </row>
    <row r="916" spans="1:14">
      <c r="A916" s="1090"/>
      <c r="B916" s="389"/>
      <c r="C916" s="341"/>
      <c r="D916" s="341"/>
      <c r="E916" s="341"/>
      <c r="F916" s="341"/>
      <c r="G916" s="341"/>
      <c r="H916" s="347"/>
      <c r="I916" s="1567"/>
      <c r="J916" s="1543"/>
      <c r="K916" s="1543"/>
      <c r="L916" s="1543"/>
      <c r="M916" s="1543"/>
      <c r="N916" s="1566"/>
    </row>
    <row r="917" spans="1:14">
      <c r="A917" s="1608" t="s">
        <v>2218</v>
      </c>
      <c r="B917" s="1609"/>
      <c r="C917" s="1609"/>
      <c r="D917" s="1609"/>
      <c r="E917" s="1609"/>
      <c r="F917" s="1609"/>
      <c r="G917" s="1610"/>
      <c r="H917" s="271">
        <f>SUM(H897:H916)</f>
        <v>19</v>
      </c>
      <c r="I917" s="1567"/>
      <c r="J917" s="1543"/>
      <c r="K917" s="1543"/>
      <c r="L917" s="1543"/>
      <c r="M917" s="1543"/>
      <c r="N917" s="1566"/>
    </row>
    <row r="918" spans="1:14">
      <c r="A918" s="1519" t="s">
        <v>2219</v>
      </c>
      <c r="B918" s="1517"/>
      <c r="C918" s="1517"/>
      <c r="D918" s="1517"/>
      <c r="E918" s="1517"/>
      <c r="F918" s="1517"/>
      <c r="G918" s="1518"/>
      <c r="H918" s="272">
        <f>SUM(H897:H909)</f>
        <v>14</v>
      </c>
      <c r="I918" s="1543"/>
      <c r="J918" s="1543"/>
      <c r="K918" s="1543"/>
      <c r="L918" s="1543"/>
      <c r="M918" s="1543"/>
      <c r="N918" s="1566"/>
    </row>
    <row r="919" spans="1:14" ht="15.75" thickBot="1">
      <c r="A919" s="1520" t="s">
        <v>2220</v>
      </c>
      <c r="B919" s="1521"/>
      <c r="C919" s="1521"/>
      <c r="D919" s="1521"/>
      <c r="E919" s="1521"/>
      <c r="F919" s="1521"/>
      <c r="G919" s="1522"/>
      <c r="H919" s="216">
        <f>H917-H918</f>
        <v>5</v>
      </c>
      <c r="I919" s="1568"/>
      <c r="J919" s="1568"/>
      <c r="K919" s="1568"/>
      <c r="L919" s="1568"/>
      <c r="M919" s="1568"/>
      <c r="N919" s="1569"/>
    </row>
    <row r="920" spans="1:14" ht="14.25" customHeight="1" thickBot="1">
      <c r="A920" s="1635"/>
      <c r="B920" s="1636"/>
      <c r="C920" s="1636"/>
      <c r="D920" s="1636"/>
      <c r="E920" s="1636"/>
      <c r="F920" s="1636"/>
      <c r="G920" s="1636"/>
      <c r="H920" s="1636"/>
      <c r="I920" s="1636"/>
      <c r="J920" s="1636"/>
      <c r="K920" s="1636"/>
      <c r="L920" s="1636"/>
      <c r="M920" s="1636"/>
      <c r="N920" s="1637"/>
    </row>
    <row r="921" spans="1:14" ht="30" customHeight="1">
      <c r="A921" s="1085" t="s">
        <v>2517</v>
      </c>
      <c r="B921" s="1494" t="s">
        <v>2894</v>
      </c>
      <c r="C921" s="1495"/>
      <c r="D921" s="1495"/>
      <c r="E921" s="1495"/>
      <c r="F921" s="1495"/>
      <c r="G921" s="1495"/>
      <c r="H921" s="1495"/>
      <c r="I921" s="1495"/>
      <c r="J921" s="1496"/>
      <c r="K921" s="196" t="s">
        <v>612</v>
      </c>
      <c r="L921" s="1497">
        <v>14</v>
      </c>
      <c r="M921" s="1498"/>
      <c r="N921" s="197">
        <f>L921-H942</f>
        <v>-5</v>
      </c>
    </row>
    <row r="922" spans="1:14">
      <c r="A922" s="1554"/>
      <c r="B922" s="1541"/>
      <c r="C922" s="366"/>
      <c r="D922" s="367" t="s">
        <v>2183</v>
      </c>
      <c r="E922" s="1320" t="s">
        <v>2184</v>
      </c>
      <c r="F922" s="367" t="s">
        <v>2185</v>
      </c>
      <c r="G922" s="367" t="s">
        <v>2186</v>
      </c>
      <c r="H922" s="1542" t="s">
        <v>476</v>
      </c>
      <c r="I922" s="1543"/>
      <c r="J922" s="1543"/>
      <c r="K922" s="1543"/>
      <c r="L922" s="1543"/>
      <c r="M922" s="1543"/>
      <c r="N922" s="1566"/>
    </row>
    <row r="923" spans="1:14">
      <c r="A923" s="1554"/>
      <c r="B923" s="1541"/>
      <c r="C923" s="368" t="s">
        <v>2382</v>
      </c>
      <c r="D923" s="369" t="s">
        <v>2187</v>
      </c>
      <c r="E923" s="529" t="s">
        <v>2188</v>
      </c>
      <c r="F923" s="369" t="s">
        <v>2189</v>
      </c>
      <c r="G923" s="370" t="s">
        <v>2190</v>
      </c>
      <c r="H923" s="1542"/>
      <c r="I923" s="1543"/>
      <c r="J923" s="1543"/>
      <c r="K923" s="1543"/>
      <c r="L923" s="1543"/>
      <c r="M923" s="1543"/>
      <c r="N923" s="1566"/>
    </row>
    <row r="924" spans="1:14">
      <c r="A924" s="1097" t="s">
        <v>2238</v>
      </c>
      <c r="B924" s="360" t="s">
        <v>2893</v>
      </c>
      <c r="C924" s="341"/>
      <c r="D924" s="341"/>
      <c r="E924" s="341"/>
      <c r="F924" s="341"/>
      <c r="G924" s="341">
        <v>1</v>
      </c>
      <c r="H924" s="371">
        <f t="shared" ref="H924:H931" si="23">G924</f>
        <v>1</v>
      </c>
      <c r="I924" s="1567"/>
      <c r="J924" s="1543"/>
      <c r="K924" s="1543"/>
      <c r="L924" s="1543"/>
      <c r="M924" s="1543"/>
      <c r="N924" s="1566"/>
    </row>
    <row r="925" spans="1:14">
      <c r="A925" s="1098" t="s">
        <v>2268</v>
      </c>
      <c r="B925" s="389" t="s">
        <v>2893</v>
      </c>
      <c r="C925" s="341"/>
      <c r="D925" s="341"/>
      <c r="E925" s="341"/>
      <c r="F925" s="341"/>
      <c r="G925" s="341">
        <v>1</v>
      </c>
      <c r="H925" s="347">
        <f t="shared" si="23"/>
        <v>1</v>
      </c>
      <c r="I925" s="1567"/>
      <c r="J925" s="1543"/>
      <c r="K925" s="1543"/>
      <c r="L925" s="1543"/>
      <c r="M925" s="1543"/>
      <c r="N925" s="1566"/>
    </row>
    <row r="926" spans="1:14">
      <c r="A926" s="1098" t="s">
        <v>2476</v>
      </c>
      <c r="B926" s="389" t="s">
        <v>2893</v>
      </c>
      <c r="C926" s="341"/>
      <c r="D926" s="341"/>
      <c r="E926" s="341"/>
      <c r="F926" s="341"/>
      <c r="G926" s="341">
        <v>1</v>
      </c>
      <c r="H926" s="347">
        <f t="shared" si="23"/>
        <v>1</v>
      </c>
      <c r="I926" s="1567"/>
      <c r="J926" s="1543"/>
      <c r="K926" s="1543"/>
      <c r="L926" s="1543"/>
      <c r="M926" s="1543"/>
      <c r="N926" s="1566"/>
    </row>
    <row r="927" spans="1:14">
      <c r="A927" s="1098" t="s">
        <v>2662</v>
      </c>
      <c r="B927" s="389" t="s">
        <v>2893</v>
      </c>
      <c r="C927" s="341"/>
      <c r="D927" s="341"/>
      <c r="E927" s="341"/>
      <c r="F927" s="341"/>
      <c r="G927" s="341">
        <v>1</v>
      </c>
      <c r="H927" s="347">
        <f t="shared" si="23"/>
        <v>1</v>
      </c>
      <c r="I927" s="1567"/>
      <c r="J927" s="1543"/>
      <c r="K927" s="1543"/>
      <c r="L927" s="1543"/>
      <c r="M927" s="1543"/>
      <c r="N927" s="1566"/>
    </row>
    <row r="928" spans="1:14">
      <c r="A928" s="1098" t="s">
        <v>2749</v>
      </c>
      <c r="B928" s="389" t="s">
        <v>2893</v>
      </c>
      <c r="C928" s="341"/>
      <c r="D928" s="341"/>
      <c r="E928" s="341"/>
      <c r="F928" s="341"/>
      <c r="G928" s="341">
        <v>1</v>
      </c>
      <c r="H928" s="347">
        <f t="shared" si="23"/>
        <v>1</v>
      </c>
      <c r="I928" s="1567"/>
      <c r="J928" s="1543"/>
      <c r="K928" s="1543"/>
      <c r="L928" s="1543"/>
      <c r="M928" s="1543"/>
      <c r="N928" s="1566"/>
    </row>
    <row r="929" spans="1:14">
      <c r="A929" s="1098" t="s">
        <v>2843</v>
      </c>
      <c r="B929" s="389" t="s">
        <v>2893</v>
      </c>
      <c r="C929" s="341"/>
      <c r="D929" s="341"/>
      <c r="E929" s="341"/>
      <c r="F929" s="341"/>
      <c r="G929" s="341">
        <v>1</v>
      </c>
      <c r="H929" s="347">
        <f t="shared" si="23"/>
        <v>1</v>
      </c>
      <c r="I929" s="1567"/>
      <c r="J929" s="1543"/>
      <c r="K929" s="1543"/>
      <c r="L929" s="1543"/>
      <c r="M929" s="1543"/>
      <c r="N929" s="1566"/>
    </row>
    <row r="930" spans="1:14">
      <c r="A930" s="1098" t="s">
        <v>2895</v>
      </c>
      <c r="B930" s="389" t="s">
        <v>2893</v>
      </c>
      <c r="C930" s="341"/>
      <c r="D930" s="341"/>
      <c r="E930" s="341"/>
      <c r="F930" s="341"/>
      <c r="G930" s="341">
        <v>1</v>
      </c>
      <c r="H930" s="347">
        <f t="shared" si="23"/>
        <v>1</v>
      </c>
      <c r="I930" s="1567"/>
      <c r="J930" s="1543"/>
      <c r="K930" s="1543"/>
      <c r="L930" s="1543"/>
      <c r="M930" s="1543"/>
      <c r="N930" s="1566"/>
    </row>
    <row r="931" spans="1:14">
      <c r="A931" s="1098" t="s">
        <v>2942</v>
      </c>
      <c r="B931" s="389" t="s">
        <v>2893</v>
      </c>
      <c r="C931" s="341"/>
      <c r="D931" s="341"/>
      <c r="E931" s="341"/>
      <c r="F931" s="341"/>
      <c r="G931" s="341">
        <v>1</v>
      </c>
      <c r="H931" s="347">
        <f t="shared" si="23"/>
        <v>1</v>
      </c>
      <c r="I931" s="1567"/>
      <c r="J931" s="1543"/>
      <c r="K931" s="1543"/>
      <c r="L931" s="1543"/>
      <c r="M931" s="1543"/>
      <c r="N931" s="1566"/>
    </row>
    <row r="932" spans="1:14">
      <c r="A932" s="1098" t="s">
        <v>2997</v>
      </c>
      <c r="B932" s="389" t="s">
        <v>2893</v>
      </c>
      <c r="C932" s="341"/>
      <c r="D932" s="341"/>
      <c r="E932" s="341"/>
      <c r="F932" s="341"/>
      <c r="G932" s="341">
        <v>2</v>
      </c>
      <c r="H932" s="347">
        <v>2</v>
      </c>
      <c r="I932" s="1567"/>
      <c r="J932" s="1543"/>
      <c r="K932" s="1543"/>
      <c r="L932" s="1543"/>
      <c r="M932" s="1543"/>
      <c r="N932" s="1566"/>
    </row>
    <row r="933" spans="1:14">
      <c r="A933" s="1098" t="s">
        <v>3158</v>
      </c>
      <c r="B933" s="389" t="s">
        <v>2893</v>
      </c>
      <c r="C933" s="341"/>
      <c r="D933" s="341"/>
      <c r="E933" s="341"/>
      <c r="F933" s="341"/>
      <c r="G933" s="341">
        <v>1</v>
      </c>
      <c r="H933" s="347">
        <v>1</v>
      </c>
      <c r="I933" s="1567"/>
      <c r="J933" s="1543"/>
      <c r="K933" s="1543"/>
      <c r="L933" s="1543"/>
      <c r="M933" s="1543"/>
      <c r="N933" s="1566"/>
    </row>
    <row r="934" spans="1:14">
      <c r="A934" s="1098" t="s">
        <v>3217</v>
      </c>
      <c r="B934" s="389" t="s">
        <v>2893</v>
      </c>
      <c r="C934" s="341"/>
      <c r="D934" s="341"/>
      <c r="E934" s="341"/>
      <c r="F934" s="341"/>
      <c r="G934" s="341">
        <v>1</v>
      </c>
      <c r="H934" s="347">
        <v>1</v>
      </c>
      <c r="I934" s="1567"/>
      <c r="J934" s="1543"/>
      <c r="K934" s="1543"/>
      <c r="L934" s="1543"/>
      <c r="M934" s="1543"/>
      <c r="N934" s="1566"/>
    </row>
    <row r="935" spans="1:14">
      <c r="A935" s="1098" t="s">
        <v>3294</v>
      </c>
      <c r="B935" s="389" t="s">
        <v>2893</v>
      </c>
      <c r="C935" s="341"/>
      <c r="D935" s="341"/>
      <c r="E935" s="341"/>
      <c r="F935" s="341"/>
      <c r="G935" s="341">
        <v>1</v>
      </c>
      <c r="H935" s="347">
        <v>1</v>
      </c>
      <c r="I935" s="1567"/>
      <c r="J935" s="1543"/>
      <c r="K935" s="1543"/>
      <c r="L935" s="1543"/>
      <c r="M935" s="1543"/>
      <c r="N935" s="1566"/>
    </row>
    <row r="936" spans="1:14">
      <c r="A936" s="1098" t="s">
        <v>3364</v>
      </c>
      <c r="B936" s="389" t="s">
        <v>2893</v>
      </c>
      <c r="C936" s="341"/>
      <c r="D936" s="341"/>
      <c r="E936" s="341"/>
      <c r="F936" s="341"/>
      <c r="G936" s="341">
        <v>1</v>
      </c>
      <c r="H936" s="347">
        <v>1</v>
      </c>
      <c r="I936" s="1567"/>
      <c r="J936" s="1543"/>
      <c r="K936" s="1543"/>
      <c r="L936" s="1543"/>
      <c r="M936" s="1543"/>
      <c r="N936" s="1566"/>
    </row>
    <row r="937" spans="1:14">
      <c r="A937" s="1523" t="s">
        <v>3728</v>
      </c>
      <c r="B937" s="389" t="s">
        <v>3734</v>
      </c>
      <c r="C937" s="341"/>
      <c r="D937" s="341"/>
      <c r="E937" s="341"/>
      <c r="F937" s="341"/>
      <c r="G937" s="341">
        <v>1</v>
      </c>
      <c r="H937" s="347">
        <v>1</v>
      </c>
      <c r="I937" s="1567"/>
      <c r="J937" s="1543"/>
      <c r="K937" s="1543"/>
      <c r="L937" s="1543"/>
      <c r="M937" s="1543"/>
      <c r="N937" s="1566"/>
    </row>
    <row r="938" spans="1:14">
      <c r="A938" s="1523"/>
      <c r="B938" s="389" t="s">
        <v>3735</v>
      </c>
      <c r="C938" s="341"/>
      <c r="D938" s="341"/>
      <c r="E938" s="341"/>
      <c r="F938" s="341"/>
      <c r="G938" s="341">
        <v>1</v>
      </c>
      <c r="H938" s="347">
        <v>1</v>
      </c>
      <c r="I938" s="1567"/>
      <c r="J938" s="1543"/>
      <c r="K938" s="1543"/>
      <c r="L938" s="1543"/>
      <c r="M938" s="1543"/>
      <c r="N938" s="1566"/>
    </row>
    <row r="939" spans="1:14">
      <c r="A939" s="1523"/>
      <c r="B939" s="389" t="s">
        <v>3736</v>
      </c>
      <c r="C939" s="341"/>
      <c r="D939" s="341"/>
      <c r="E939" s="341"/>
      <c r="F939" s="341"/>
      <c r="G939" s="341">
        <v>1</v>
      </c>
      <c r="H939" s="347">
        <v>1</v>
      </c>
      <c r="I939" s="1567"/>
      <c r="J939" s="1543"/>
      <c r="K939" s="1543"/>
      <c r="L939" s="1543"/>
      <c r="M939" s="1543"/>
      <c r="N939" s="1566"/>
    </row>
    <row r="940" spans="1:14">
      <c r="A940" s="1523"/>
      <c r="B940" s="389" t="s">
        <v>3737</v>
      </c>
      <c r="C940" s="341"/>
      <c r="D940" s="341"/>
      <c r="E940" s="341"/>
      <c r="F940" s="341"/>
      <c r="G940" s="341">
        <v>1</v>
      </c>
      <c r="H940" s="347">
        <v>1</v>
      </c>
      <c r="I940" s="1567"/>
      <c r="J940" s="1543"/>
      <c r="K940" s="1543"/>
      <c r="L940" s="1543"/>
      <c r="M940" s="1543"/>
      <c r="N940" s="1566"/>
    </row>
    <row r="941" spans="1:14">
      <c r="A941" s="1523"/>
      <c r="B941" s="389" t="s">
        <v>3738</v>
      </c>
      <c r="C941" s="341"/>
      <c r="D941" s="341"/>
      <c r="E941" s="341"/>
      <c r="F941" s="341"/>
      <c r="G941" s="341">
        <v>1</v>
      </c>
      <c r="H941" s="347">
        <v>1</v>
      </c>
      <c r="I941" s="1567"/>
      <c r="J941" s="1543"/>
      <c r="K941" s="1543"/>
      <c r="L941" s="1543"/>
      <c r="M941" s="1543"/>
      <c r="N941" s="1566"/>
    </row>
    <row r="942" spans="1:14">
      <c r="A942" s="1608" t="s">
        <v>2218</v>
      </c>
      <c r="B942" s="1609"/>
      <c r="C942" s="1609"/>
      <c r="D942" s="1609"/>
      <c r="E942" s="1609"/>
      <c r="F942" s="1609"/>
      <c r="G942" s="1610"/>
      <c r="H942" s="271">
        <f>SUM(H924:H941)</f>
        <v>19</v>
      </c>
      <c r="I942" s="1567"/>
      <c r="J942" s="1543"/>
      <c r="K942" s="1543"/>
      <c r="L942" s="1543"/>
      <c r="M942" s="1543"/>
      <c r="N942" s="1566"/>
    </row>
    <row r="943" spans="1:14">
      <c r="A943" s="1519" t="s">
        <v>2219</v>
      </c>
      <c r="B943" s="1517"/>
      <c r="C943" s="1517"/>
      <c r="D943" s="1551"/>
      <c r="E943" s="1551"/>
      <c r="F943" s="1551"/>
      <c r="G943" s="1552"/>
      <c r="H943" s="272">
        <f>SUM(H924:H936)</f>
        <v>14</v>
      </c>
      <c r="I943" s="1543"/>
      <c r="J943" s="1543"/>
      <c r="K943" s="1543"/>
      <c r="L943" s="1543"/>
      <c r="M943" s="1543"/>
      <c r="N943" s="1566"/>
    </row>
    <row r="944" spans="1:14" ht="15.75" thickBot="1">
      <c r="A944" s="1520" t="s">
        <v>2220</v>
      </c>
      <c r="B944" s="1521"/>
      <c r="C944" s="1521"/>
      <c r="D944" s="1521"/>
      <c r="E944" s="1521"/>
      <c r="F944" s="1521"/>
      <c r="G944" s="1522"/>
      <c r="H944" s="216">
        <f>H942-H943</f>
        <v>5</v>
      </c>
      <c r="I944" s="1568"/>
      <c r="J944" s="1568"/>
      <c r="K944" s="1568"/>
      <c r="L944" s="1568"/>
      <c r="M944" s="1568"/>
      <c r="N944" s="1569"/>
    </row>
    <row r="945" spans="1:14" ht="7.5" customHeight="1" thickBot="1">
      <c r="A945" s="1635"/>
      <c r="B945" s="1636"/>
      <c r="C945" s="1636"/>
      <c r="D945" s="1636"/>
      <c r="E945" s="1636"/>
      <c r="F945" s="1636"/>
      <c r="G945" s="1636"/>
      <c r="H945" s="1636"/>
      <c r="I945" s="1636"/>
      <c r="J945" s="1636"/>
      <c r="K945" s="1636"/>
      <c r="L945" s="1636"/>
      <c r="M945" s="1636"/>
      <c r="N945" s="1637"/>
    </row>
    <row r="946" spans="1:14" ht="30" customHeight="1">
      <c r="A946" s="1085" t="s">
        <v>2518</v>
      </c>
      <c r="B946" s="1494" t="s">
        <v>2519</v>
      </c>
      <c r="C946" s="1495"/>
      <c r="D946" s="1495"/>
      <c r="E946" s="1495"/>
      <c r="F946" s="1495"/>
      <c r="G946" s="1495"/>
      <c r="H946" s="1495"/>
      <c r="I946" s="1495"/>
      <c r="J946" s="1496"/>
      <c r="K946" s="196" t="s">
        <v>612</v>
      </c>
      <c r="L946" s="1497">
        <v>14</v>
      </c>
      <c r="M946" s="1498"/>
      <c r="N946" s="197">
        <f>L946-H967</f>
        <v>-5</v>
      </c>
    </row>
    <row r="947" spans="1:14">
      <c r="A947" s="1554"/>
      <c r="B947" s="1541"/>
      <c r="C947" s="366"/>
      <c r="D947" s="367" t="s">
        <v>2183</v>
      </c>
      <c r="E947" s="1320" t="s">
        <v>2184</v>
      </c>
      <c r="F947" s="367" t="s">
        <v>2185</v>
      </c>
      <c r="G947" s="367" t="s">
        <v>2186</v>
      </c>
      <c r="H947" s="1542" t="s">
        <v>476</v>
      </c>
      <c r="I947" s="1543"/>
      <c r="J947" s="1543"/>
      <c r="K947" s="1543"/>
      <c r="L947" s="1543"/>
      <c r="M947" s="1543"/>
      <c r="N947" s="1566"/>
    </row>
    <row r="948" spans="1:14">
      <c r="A948" s="1554"/>
      <c r="B948" s="1541"/>
      <c r="C948" s="368" t="s">
        <v>2382</v>
      </c>
      <c r="D948" s="369" t="s">
        <v>2187</v>
      </c>
      <c r="E948" s="529" t="s">
        <v>2188</v>
      </c>
      <c r="F948" s="369" t="s">
        <v>2189</v>
      </c>
      <c r="G948" s="370" t="s">
        <v>2190</v>
      </c>
      <c r="H948" s="1542"/>
      <c r="I948" s="1543"/>
      <c r="J948" s="1543"/>
      <c r="K948" s="1543"/>
      <c r="L948" s="1543"/>
      <c r="M948" s="1543"/>
      <c r="N948" s="1566"/>
    </row>
    <row r="949" spans="1:14">
      <c r="A949" s="1097" t="s">
        <v>2238</v>
      </c>
      <c r="B949" s="360" t="s">
        <v>2893</v>
      </c>
      <c r="C949" s="341"/>
      <c r="D949" s="341"/>
      <c r="E949" s="341"/>
      <c r="F949" s="341"/>
      <c r="G949" s="341">
        <v>1</v>
      </c>
      <c r="H949" s="371">
        <f t="shared" ref="H949:H956" si="24">G949</f>
        <v>1</v>
      </c>
      <c r="I949" s="1567"/>
      <c r="J949" s="1543"/>
      <c r="K949" s="1543"/>
      <c r="L949" s="1543"/>
      <c r="M949" s="1543"/>
      <c r="N949" s="1566"/>
    </row>
    <row r="950" spans="1:14">
      <c r="A950" s="1098" t="s">
        <v>2268</v>
      </c>
      <c r="B950" s="389" t="s">
        <v>2893</v>
      </c>
      <c r="C950" s="341"/>
      <c r="D950" s="341"/>
      <c r="E950" s="341"/>
      <c r="F950" s="341"/>
      <c r="G950" s="341">
        <v>1</v>
      </c>
      <c r="H950" s="347">
        <f t="shared" si="24"/>
        <v>1</v>
      </c>
      <c r="I950" s="1567"/>
      <c r="J950" s="1543"/>
      <c r="K950" s="1543"/>
      <c r="L950" s="1543"/>
      <c r="M950" s="1543"/>
      <c r="N950" s="1566"/>
    </row>
    <row r="951" spans="1:14">
      <c r="A951" s="1098" t="s">
        <v>2476</v>
      </c>
      <c r="B951" s="389" t="s">
        <v>2893</v>
      </c>
      <c r="C951" s="341"/>
      <c r="D951" s="341"/>
      <c r="E951" s="341"/>
      <c r="F951" s="341"/>
      <c r="G951" s="341">
        <v>1</v>
      </c>
      <c r="H951" s="347">
        <f t="shared" si="24"/>
        <v>1</v>
      </c>
      <c r="I951" s="1567"/>
      <c r="J951" s="1543"/>
      <c r="K951" s="1543"/>
      <c r="L951" s="1543"/>
      <c r="M951" s="1543"/>
      <c r="N951" s="1566"/>
    </row>
    <row r="952" spans="1:14">
      <c r="A952" s="1098" t="s">
        <v>2662</v>
      </c>
      <c r="B952" s="389" t="s">
        <v>2893</v>
      </c>
      <c r="C952" s="341"/>
      <c r="D952" s="341"/>
      <c r="E952" s="341"/>
      <c r="F952" s="341"/>
      <c r="G952" s="341">
        <v>1</v>
      </c>
      <c r="H952" s="347">
        <f t="shared" si="24"/>
        <v>1</v>
      </c>
      <c r="I952" s="1567"/>
      <c r="J952" s="1543"/>
      <c r="K952" s="1543"/>
      <c r="L952" s="1543"/>
      <c r="M952" s="1543"/>
      <c r="N952" s="1566"/>
    </row>
    <row r="953" spans="1:14">
      <c r="A953" s="1098" t="s">
        <v>2749</v>
      </c>
      <c r="B953" s="389" t="s">
        <v>2893</v>
      </c>
      <c r="C953" s="341"/>
      <c r="D953" s="341"/>
      <c r="E953" s="341"/>
      <c r="F953" s="341"/>
      <c r="G953" s="341">
        <v>1</v>
      </c>
      <c r="H953" s="347">
        <f t="shared" si="24"/>
        <v>1</v>
      </c>
      <c r="I953" s="1567"/>
      <c r="J953" s="1543"/>
      <c r="K953" s="1543"/>
      <c r="L953" s="1543"/>
      <c r="M953" s="1543"/>
      <c r="N953" s="1566"/>
    </row>
    <row r="954" spans="1:14">
      <c r="A954" s="1098" t="s">
        <v>2843</v>
      </c>
      <c r="B954" s="389" t="s">
        <v>2893</v>
      </c>
      <c r="C954" s="341"/>
      <c r="D954" s="341"/>
      <c r="E954" s="341"/>
      <c r="F954" s="341"/>
      <c r="G954" s="341">
        <v>1</v>
      </c>
      <c r="H954" s="347">
        <f t="shared" si="24"/>
        <v>1</v>
      </c>
      <c r="I954" s="1567"/>
      <c r="J954" s="1543"/>
      <c r="K954" s="1543"/>
      <c r="L954" s="1543"/>
      <c r="M954" s="1543"/>
      <c r="N954" s="1566"/>
    </row>
    <row r="955" spans="1:14">
      <c r="A955" s="1098" t="s">
        <v>2895</v>
      </c>
      <c r="B955" s="389" t="s">
        <v>2893</v>
      </c>
      <c r="C955" s="341"/>
      <c r="D955" s="341"/>
      <c r="E955" s="341"/>
      <c r="F955" s="341"/>
      <c r="G955" s="341">
        <v>1</v>
      </c>
      <c r="H955" s="347">
        <f t="shared" si="24"/>
        <v>1</v>
      </c>
      <c r="I955" s="1567"/>
      <c r="J955" s="1543"/>
      <c r="K955" s="1543"/>
      <c r="L955" s="1543"/>
      <c r="M955" s="1543"/>
      <c r="N955" s="1566"/>
    </row>
    <row r="956" spans="1:14">
      <c r="A956" s="1098" t="s">
        <v>2942</v>
      </c>
      <c r="B956" s="389" t="s">
        <v>2893</v>
      </c>
      <c r="C956" s="341"/>
      <c r="D956" s="341"/>
      <c r="E956" s="341"/>
      <c r="F956" s="341"/>
      <c r="G956" s="341">
        <v>1</v>
      </c>
      <c r="H956" s="347">
        <f t="shared" si="24"/>
        <v>1</v>
      </c>
      <c r="I956" s="1567"/>
      <c r="J956" s="1543"/>
      <c r="K956" s="1543"/>
      <c r="L956" s="1543"/>
      <c r="M956" s="1543"/>
      <c r="N956" s="1566"/>
    </row>
    <row r="957" spans="1:14">
      <c r="A957" s="1098" t="s">
        <v>2997</v>
      </c>
      <c r="B957" s="389" t="s">
        <v>2893</v>
      </c>
      <c r="C957" s="341"/>
      <c r="D957" s="341"/>
      <c r="E957" s="341"/>
      <c r="F957" s="341"/>
      <c r="G957" s="341">
        <v>2</v>
      </c>
      <c r="H957" s="347">
        <v>2</v>
      </c>
      <c r="I957" s="1567"/>
      <c r="J957" s="1543"/>
      <c r="K957" s="1543"/>
      <c r="L957" s="1543"/>
      <c r="M957" s="1543"/>
      <c r="N957" s="1566"/>
    </row>
    <row r="958" spans="1:14">
      <c r="A958" s="1098" t="s">
        <v>3158</v>
      </c>
      <c r="B958" s="389" t="s">
        <v>2893</v>
      </c>
      <c r="C958" s="341"/>
      <c r="D958" s="341"/>
      <c r="E958" s="341"/>
      <c r="F958" s="341"/>
      <c r="G958" s="341">
        <v>1</v>
      </c>
      <c r="H958" s="347">
        <v>1</v>
      </c>
      <c r="I958" s="1567"/>
      <c r="J958" s="1543"/>
      <c r="K958" s="1543"/>
      <c r="L958" s="1543"/>
      <c r="M958" s="1543"/>
      <c r="N958" s="1566"/>
    </row>
    <row r="959" spans="1:14">
      <c r="A959" s="1098" t="s">
        <v>3217</v>
      </c>
      <c r="B959" s="389" t="s">
        <v>2893</v>
      </c>
      <c r="C959" s="341"/>
      <c r="D959" s="341"/>
      <c r="E959" s="341"/>
      <c r="F959" s="341"/>
      <c r="G959" s="341">
        <v>1</v>
      </c>
      <c r="H959" s="347">
        <v>1</v>
      </c>
      <c r="I959" s="1567"/>
      <c r="J959" s="1543"/>
      <c r="K959" s="1543"/>
      <c r="L959" s="1543"/>
      <c r="M959" s="1543"/>
      <c r="N959" s="1566"/>
    </row>
    <row r="960" spans="1:14">
      <c r="A960" s="1098" t="s">
        <v>3294</v>
      </c>
      <c r="B960" s="389" t="s">
        <v>2893</v>
      </c>
      <c r="C960" s="341"/>
      <c r="D960" s="341"/>
      <c r="E960" s="341"/>
      <c r="F960" s="341"/>
      <c r="G960" s="341">
        <v>1</v>
      </c>
      <c r="H960" s="347">
        <v>1</v>
      </c>
      <c r="I960" s="1567"/>
      <c r="J960" s="1543"/>
      <c r="K960" s="1543"/>
      <c r="L960" s="1543"/>
      <c r="M960" s="1543"/>
      <c r="N960" s="1566"/>
    </row>
    <row r="961" spans="1:14">
      <c r="A961" s="1098" t="s">
        <v>3364</v>
      </c>
      <c r="B961" s="389" t="s">
        <v>2893</v>
      </c>
      <c r="C961" s="341"/>
      <c r="D961" s="341"/>
      <c r="E961" s="341"/>
      <c r="F961" s="341"/>
      <c r="G961" s="341">
        <v>1</v>
      </c>
      <c r="H961" s="347">
        <v>1</v>
      </c>
      <c r="I961" s="1567"/>
      <c r="J961" s="1543"/>
      <c r="K961" s="1543"/>
      <c r="L961" s="1543"/>
      <c r="M961" s="1543"/>
      <c r="N961" s="1566"/>
    </row>
    <row r="962" spans="1:14">
      <c r="A962" s="1523" t="s">
        <v>3728</v>
      </c>
      <c r="B962" s="389" t="s">
        <v>3734</v>
      </c>
      <c r="C962" s="341"/>
      <c r="D962" s="341"/>
      <c r="E962" s="341"/>
      <c r="F962" s="341"/>
      <c r="G962" s="341">
        <v>1</v>
      </c>
      <c r="H962" s="347">
        <v>1</v>
      </c>
      <c r="I962" s="1567"/>
      <c r="J962" s="1543"/>
      <c r="K962" s="1543"/>
      <c r="L962" s="1543"/>
      <c r="M962" s="1543"/>
      <c r="N962" s="1566"/>
    </row>
    <row r="963" spans="1:14">
      <c r="A963" s="1523"/>
      <c r="B963" s="389" t="s">
        <v>3735</v>
      </c>
      <c r="C963" s="341"/>
      <c r="D963" s="341"/>
      <c r="E963" s="341"/>
      <c r="F963" s="341"/>
      <c r="G963" s="341">
        <v>1</v>
      </c>
      <c r="H963" s="347">
        <v>1</v>
      </c>
      <c r="I963" s="1567"/>
      <c r="J963" s="1543"/>
      <c r="K963" s="1543"/>
      <c r="L963" s="1543"/>
      <c r="M963" s="1543"/>
      <c r="N963" s="1566"/>
    </row>
    <row r="964" spans="1:14">
      <c r="A964" s="1523"/>
      <c r="B964" s="389" t="s">
        <v>3736</v>
      </c>
      <c r="C964" s="341"/>
      <c r="D964" s="341"/>
      <c r="E964" s="341"/>
      <c r="F964" s="341"/>
      <c r="G964" s="341">
        <v>1</v>
      </c>
      <c r="H964" s="347">
        <v>1</v>
      </c>
      <c r="I964" s="1567"/>
      <c r="J964" s="1543"/>
      <c r="K964" s="1543"/>
      <c r="L964" s="1543"/>
      <c r="M964" s="1543"/>
      <c r="N964" s="1566"/>
    </row>
    <row r="965" spans="1:14">
      <c r="A965" s="1523"/>
      <c r="B965" s="389" t="s">
        <v>3737</v>
      </c>
      <c r="C965" s="341"/>
      <c r="D965" s="341"/>
      <c r="E965" s="341"/>
      <c r="F965" s="341"/>
      <c r="G965" s="341">
        <v>1</v>
      </c>
      <c r="H965" s="347">
        <v>1</v>
      </c>
      <c r="I965" s="1567"/>
      <c r="J965" s="1543"/>
      <c r="K965" s="1543"/>
      <c r="L965" s="1543"/>
      <c r="M965" s="1543"/>
      <c r="N965" s="1566"/>
    </row>
    <row r="966" spans="1:14">
      <c r="A966" s="1523"/>
      <c r="B966" s="389" t="s">
        <v>3738</v>
      </c>
      <c r="C966" s="341"/>
      <c r="D966" s="341"/>
      <c r="E966" s="341"/>
      <c r="F966" s="341"/>
      <c r="G966" s="341">
        <v>1</v>
      </c>
      <c r="H966" s="347">
        <v>1</v>
      </c>
      <c r="I966" s="1567"/>
      <c r="J966" s="1543"/>
      <c r="K966" s="1543"/>
      <c r="L966" s="1543"/>
      <c r="M966" s="1543"/>
      <c r="N966" s="1566"/>
    </row>
    <row r="967" spans="1:14">
      <c r="A967" s="1577" t="s">
        <v>2218</v>
      </c>
      <c r="B967" s="1542"/>
      <c r="C967" s="1542"/>
      <c r="D967" s="1542"/>
      <c r="E967" s="1542"/>
      <c r="F967" s="1542"/>
      <c r="G967" s="1542"/>
      <c r="H967" s="271">
        <f>SUM(H949:H966)</f>
        <v>19</v>
      </c>
      <c r="I967" s="1567"/>
      <c r="J967" s="1543"/>
      <c r="K967" s="1543"/>
      <c r="L967" s="1543"/>
      <c r="M967" s="1543"/>
      <c r="N967" s="1566"/>
    </row>
    <row r="968" spans="1:14">
      <c r="A968" s="1519" t="s">
        <v>2219</v>
      </c>
      <c r="B968" s="1517"/>
      <c r="C968" s="1517"/>
      <c r="D968" s="1551"/>
      <c r="E968" s="1551"/>
      <c r="F968" s="1551"/>
      <c r="G968" s="1552"/>
      <c r="H968" s="272">
        <f>SUM(H949:H961)</f>
        <v>14</v>
      </c>
      <c r="I968" s="1543"/>
      <c r="J968" s="1543"/>
      <c r="K968" s="1543"/>
      <c r="L968" s="1543"/>
      <c r="M968" s="1543"/>
      <c r="N968" s="1566"/>
    </row>
    <row r="969" spans="1:14" ht="15.75" thickBot="1">
      <c r="A969" s="1520" t="s">
        <v>2220</v>
      </c>
      <c r="B969" s="1521"/>
      <c r="C969" s="1521"/>
      <c r="D969" s="1521"/>
      <c r="E969" s="1521"/>
      <c r="F969" s="1521"/>
      <c r="G969" s="1522"/>
      <c r="H969" s="216">
        <f>H967-H968</f>
        <v>5</v>
      </c>
      <c r="I969" s="1568"/>
      <c r="J969" s="1568"/>
      <c r="K969" s="1568"/>
      <c r="L969" s="1568"/>
      <c r="M969" s="1568"/>
      <c r="N969" s="1569"/>
    </row>
    <row r="970" spans="1:14" ht="13.5" customHeight="1" thickBot="1">
      <c r="A970" s="1635"/>
      <c r="B970" s="1636"/>
      <c r="C970" s="1636"/>
      <c r="D970" s="1636"/>
      <c r="E970" s="1636"/>
      <c r="F970" s="1636"/>
      <c r="G970" s="1636"/>
      <c r="H970" s="1636"/>
      <c r="I970" s="1636"/>
      <c r="J970" s="1636"/>
      <c r="K970" s="1636"/>
      <c r="L970" s="1636"/>
      <c r="M970" s="1636"/>
      <c r="N970" s="1637"/>
    </row>
    <row r="971" spans="1:14" ht="30" customHeight="1">
      <c r="A971" s="1085" t="s">
        <v>2520</v>
      </c>
      <c r="B971" s="1494" t="s">
        <v>2521</v>
      </c>
      <c r="C971" s="1495"/>
      <c r="D971" s="1495"/>
      <c r="E971" s="1495"/>
      <c r="F971" s="1495"/>
      <c r="G971" s="1495"/>
      <c r="H971" s="1495"/>
      <c r="I971" s="1495"/>
      <c r="J971" s="1496"/>
      <c r="K971" s="196" t="s">
        <v>612</v>
      </c>
      <c r="L971" s="1497">
        <v>14</v>
      </c>
      <c r="M971" s="1498"/>
      <c r="N971" s="197">
        <f>L971-H992</f>
        <v>-5</v>
      </c>
    </row>
    <row r="972" spans="1:14">
      <c r="A972" s="1554"/>
      <c r="B972" s="1541"/>
      <c r="C972" s="366"/>
      <c r="D972" s="367" t="s">
        <v>2183</v>
      </c>
      <c r="E972" s="1320" t="s">
        <v>2184</v>
      </c>
      <c r="F972" s="367" t="s">
        <v>2185</v>
      </c>
      <c r="G972" s="367" t="s">
        <v>2186</v>
      </c>
      <c r="H972" s="1542" t="s">
        <v>476</v>
      </c>
      <c r="I972" s="1543"/>
      <c r="J972" s="1543"/>
      <c r="K972" s="1543"/>
      <c r="L972" s="1543"/>
      <c r="M972" s="1543"/>
      <c r="N972" s="1566"/>
    </row>
    <row r="973" spans="1:14">
      <c r="A973" s="1554"/>
      <c r="B973" s="1541"/>
      <c r="C973" s="368" t="s">
        <v>2382</v>
      </c>
      <c r="D973" s="369" t="s">
        <v>2187</v>
      </c>
      <c r="E973" s="529" t="s">
        <v>2188</v>
      </c>
      <c r="F973" s="369" t="s">
        <v>2189</v>
      </c>
      <c r="G973" s="370" t="s">
        <v>2522</v>
      </c>
      <c r="H973" s="1542"/>
      <c r="I973" s="1543"/>
      <c r="J973" s="1543"/>
      <c r="K973" s="1543"/>
      <c r="L973" s="1543"/>
      <c r="M973" s="1543"/>
      <c r="N973" s="1566"/>
    </row>
    <row r="974" spans="1:14">
      <c r="A974" s="1097" t="s">
        <v>2238</v>
      </c>
      <c r="B974" s="360" t="s">
        <v>2893</v>
      </c>
      <c r="C974" s="341"/>
      <c r="D974" s="341"/>
      <c r="E974" s="341"/>
      <c r="F974" s="341"/>
      <c r="G974" s="341">
        <v>1</v>
      </c>
      <c r="H974" s="371">
        <f t="shared" ref="H974:H981" si="25">G974</f>
        <v>1</v>
      </c>
      <c r="I974" s="1567"/>
      <c r="J974" s="1543"/>
      <c r="K974" s="1543"/>
      <c r="L974" s="1543"/>
      <c r="M974" s="1543"/>
      <c r="N974" s="1566"/>
    </row>
    <row r="975" spans="1:14">
      <c r="A975" s="1098" t="s">
        <v>2268</v>
      </c>
      <c r="B975" s="389" t="s">
        <v>2893</v>
      </c>
      <c r="C975" s="341"/>
      <c r="D975" s="341"/>
      <c r="E975" s="341"/>
      <c r="F975" s="341"/>
      <c r="G975" s="341">
        <v>1</v>
      </c>
      <c r="H975" s="347">
        <f t="shared" si="25"/>
        <v>1</v>
      </c>
      <c r="I975" s="1567"/>
      <c r="J975" s="1543"/>
      <c r="K975" s="1543"/>
      <c r="L975" s="1543"/>
      <c r="M975" s="1543"/>
      <c r="N975" s="1566"/>
    </row>
    <row r="976" spans="1:14">
      <c r="A976" s="1098" t="s">
        <v>2476</v>
      </c>
      <c r="B976" s="389" t="s">
        <v>2893</v>
      </c>
      <c r="C976" s="341"/>
      <c r="D976" s="341"/>
      <c r="E976" s="341"/>
      <c r="F976" s="341"/>
      <c r="G976" s="341">
        <v>1</v>
      </c>
      <c r="H976" s="347">
        <f t="shared" si="25"/>
        <v>1</v>
      </c>
      <c r="I976" s="1567"/>
      <c r="J976" s="1543"/>
      <c r="K976" s="1543"/>
      <c r="L976" s="1543"/>
      <c r="M976" s="1543"/>
      <c r="N976" s="1566"/>
    </row>
    <row r="977" spans="1:14">
      <c r="A977" s="1098" t="s">
        <v>2662</v>
      </c>
      <c r="B977" s="389" t="s">
        <v>2893</v>
      </c>
      <c r="C977" s="341"/>
      <c r="D977" s="341"/>
      <c r="E977" s="341"/>
      <c r="F977" s="341"/>
      <c r="G977" s="341">
        <v>1</v>
      </c>
      <c r="H977" s="347">
        <f t="shared" si="25"/>
        <v>1</v>
      </c>
      <c r="I977" s="1567"/>
      <c r="J977" s="1543"/>
      <c r="K977" s="1543"/>
      <c r="L977" s="1543"/>
      <c r="M977" s="1543"/>
      <c r="N977" s="1566"/>
    </row>
    <row r="978" spans="1:14">
      <c r="A978" s="1098" t="s">
        <v>2749</v>
      </c>
      <c r="B978" s="389" t="s">
        <v>2893</v>
      </c>
      <c r="C978" s="341"/>
      <c r="D978" s="341"/>
      <c r="E978" s="341"/>
      <c r="F978" s="341"/>
      <c r="G978" s="341">
        <v>1</v>
      </c>
      <c r="H978" s="347">
        <f t="shared" si="25"/>
        <v>1</v>
      </c>
      <c r="I978" s="1567"/>
      <c r="J978" s="1543"/>
      <c r="K978" s="1543"/>
      <c r="L978" s="1543"/>
      <c r="M978" s="1543"/>
      <c r="N978" s="1566"/>
    </row>
    <row r="979" spans="1:14">
      <c r="A979" s="1098" t="s">
        <v>2843</v>
      </c>
      <c r="B979" s="389" t="s">
        <v>2893</v>
      </c>
      <c r="C979" s="341"/>
      <c r="D979" s="341"/>
      <c r="E979" s="341"/>
      <c r="F979" s="341"/>
      <c r="G979" s="341">
        <v>1</v>
      </c>
      <c r="H979" s="347">
        <f t="shared" si="25"/>
        <v>1</v>
      </c>
      <c r="I979" s="1567"/>
      <c r="J979" s="1543"/>
      <c r="K979" s="1543"/>
      <c r="L979" s="1543"/>
      <c r="M979" s="1543"/>
      <c r="N979" s="1566"/>
    </row>
    <row r="980" spans="1:14">
      <c r="A980" s="1098" t="s">
        <v>2895</v>
      </c>
      <c r="B980" s="389" t="s">
        <v>2893</v>
      </c>
      <c r="C980" s="341"/>
      <c r="D980" s="341"/>
      <c r="E980" s="341"/>
      <c r="F980" s="341"/>
      <c r="G980" s="341">
        <v>1</v>
      </c>
      <c r="H980" s="347">
        <f t="shared" si="25"/>
        <v>1</v>
      </c>
      <c r="I980" s="1567"/>
      <c r="J980" s="1543"/>
      <c r="K980" s="1543"/>
      <c r="L980" s="1543"/>
      <c r="M980" s="1543"/>
      <c r="N980" s="1566"/>
    </row>
    <row r="981" spans="1:14">
      <c r="A981" s="1098" t="s">
        <v>2942</v>
      </c>
      <c r="B981" s="389" t="s">
        <v>2893</v>
      </c>
      <c r="C981" s="341"/>
      <c r="D981" s="341"/>
      <c r="E981" s="341"/>
      <c r="F981" s="341"/>
      <c r="G981" s="341">
        <v>1</v>
      </c>
      <c r="H981" s="347">
        <f t="shared" si="25"/>
        <v>1</v>
      </c>
      <c r="I981" s="1567"/>
      <c r="J981" s="1543"/>
      <c r="K981" s="1543"/>
      <c r="L981" s="1543"/>
      <c r="M981" s="1543"/>
      <c r="N981" s="1566"/>
    </row>
    <row r="982" spans="1:14">
      <c r="A982" s="1098" t="s">
        <v>2997</v>
      </c>
      <c r="B982" s="389" t="s">
        <v>2893</v>
      </c>
      <c r="C982" s="341"/>
      <c r="D982" s="341"/>
      <c r="E982" s="341"/>
      <c r="F982" s="341"/>
      <c r="G982" s="341">
        <v>2</v>
      </c>
      <c r="H982" s="347">
        <v>2</v>
      </c>
      <c r="I982" s="1567"/>
      <c r="J982" s="1543"/>
      <c r="K982" s="1543"/>
      <c r="L982" s="1543"/>
      <c r="M982" s="1543"/>
      <c r="N982" s="1566"/>
    </row>
    <row r="983" spans="1:14">
      <c r="A983" s="1098" t="s">
        <v>3158</v>
      </c>
      <c r="B983" s="389" t="s">
        <v>2893</v>
      </c>
      <c r="C983" s="341"/>
      <c r="D983" s="341"/>
      <c r="E983" s="341"/>
      <c r="F983" s="341"/>
      <c r="G983" s="341">
        <v>1</v>
      </c>
      <c r="H983" s="347">
        <v>1</v>
      </c>
      <c r="I983" s="1567"/>
      <c r="J983" s="1543"/>
      <c r="K983" s="1543"/>
      <c r="L983" s="1543"/>
      <c r="M983" s="1543"/>
      <c r="N983" s="1566"/>
    </row>
    <row r="984" spans="1:14">
      <c r="A984" s="1098" t="s">
        <v>3217</v>
      </c>
      <c r="B984" s="389" t="s">
        <v>2893</v>
      </c>
      <c r="C984" s="341"/>
      <c r="D984" s="341"/>
      <c r="E984" s="341"/>
      <c r="F984" s="341"/>
      <c r="G984" s="341">
        <v>1</v>
      </c>
      <c r="H984" s="347">
        <v>1</v>
      </c>
      <c r="I984" s="1567"/>
      <c r="J984" s="1543"/>
      <c r="K984" s="1543"/>
      <c r="L984" s="1543"/>
      <c r="M984" s="1543"/>
      <c r="N984" s="1566"/>
    </row>
    <row r="985" spans="1:14">
      <c r="A985" s="1098" t="s">
        <v>3294</v>
      </c>
      <c r="B985" s="389" t="s">
        <v>2893</v>
      </c>
      <c r="C985" s="341"/>
      <c r="D985" s="341"/>
      <c r="E985" s="341"/>
      <c r="F985" s="341"/>
      <c r="G985" s="341">
        <v>1</v>
      </c>
      <c r="H985" s="347">
        <v>1</v>
      </c>
      <c r="I985" s="1567"/>
      <c r="J985" s="1543"/>
      <c r="K985" s="1543"/>
      <c r="L985" s="1543"/>
      <c r="M985" s="1543"/>
      <c r="N985" s="1566"/>
    </row>
    <row r="986" spans="1:14">
      <c r="A986" s="1098" t="s">
        <v>3364</v>
      </c>
      <c r="B986" s="389" t="s">
        <v>2893</v>
      </c>
      <c r="C986" s="341"/>
      <c r="D986" s="341"/>
      <c r="E986" s="341"/>
      <c r="F986" s="341"/>
      <c r="G986" s="341">
        <v>1</v>
      </c>
      <c r="H986" s="347">
        <v>1</v>
      </c>
      <c r="I986" s="1567"/>
      <c r="J986" s="1543"/>
      <c r="K986" s="1543"/>
      <c r="L986" s="1543"/>
      <c r="M986" s="1543"/>
      <c r="N986" s="1566"/>
    </row>
    <row r="987" spans="1:14">
      <c r="A987" s="1523" t="s">
        <v>3728</v>
      </c>
      <c r="B987" s="389" t="s">
        <v>3734</v>
      </c>
      <c r="C987" s="341"/>
      <c r="D987" s="341"/>
      <c r="E987" s="341"/>
      <c r="F987" s="341"/>
      <c r="G987" s="341">
        <v>1</v>
      </c>
      <c r="H987" s="347">
        <v>1</v>
      </c>
      <c r="I987" s="1567"/>
      <c r="J987" s="1543"/>
      <c r="K987" s="1543"/>
      <c r="L987" s="1543"/>
      <c r="M987" s="1543"/>
      <c r="N987" s="1566"/>
    </row>
    <row r="988" spans="1:14">
      <c r="A988" s="1523"/>
      <c r="B988" s="389" t="s">
        <v>3735</v>
      </c>
      <c r="C988" s="341"/>
      <c r="D988" s="341"/>
      <c r="E988" s="341"/>
      <c r="F988" s="341"/>
      <c r="G988" s="341">
        <v>1</v>
      </c>
      <c r="H988" s="347">
        <v>1</v>
      </c>
      <c r="I988" s="1567"/>
      <c r="J988" s="1543"/>
      <c r="K988" s="1543"/>
      <c r="L988" s="1543"/>
      <c r="M988" s="1543"/>
      <c r="N988" s="1566"/>
    </row>
    <row r="989" spans="1:14">
      <c r="A989" s="1523"/>
      <c r="B989" s="389" t="s">
        <v>3736</v>
      </c>
      <c r="C989" s="341"/>
      <c r="D989" s="341"/>
      <c r="E989" s="341"/>
      <c r="F989" s="341"/>
      <c r="G989" s="341">
        <v>1</v>
      </c>
      <c r="H989" s="347">
        <v>1</v>
      </c>
      <c r="I989" s="1567"/>
      <c r="J989" s="1543"/>
      <c r="K989" s="1543"/>
      <c r="L989" s="1543"/>
      <c r="M989" s="1543"/>
      <c r="N989" s="1566"/>
    </row>
    <row r="990" spans="1:14">
      <c r="A990" s="1523"/>
      <c r="B990" s="389" t="s">
        <v>3737</v>
      </c>
      <c r="C990" s="341"/>
      <c r="D990" s="341"/>
      <c r="E990" s="341"/>
      <c r="F990" s="341"/>
      <c r="G990" s="341">
        <v>1</v>
      </c>
      <c r="H990" s="347">
        <v>1</v>
      </c>
      <c r="I990" s="1567"/>
      <c r="J990" s="1543"/>
      <c r="K990" s="1543"/>
      <c r="L990" s="1543"/>
      <c r="M990" s="1543"/>
      <c r="N990" s="1566"/>
    </row>
    <row r="991" spans="1:14">
      <c r="A991" s="1523"/>
      <c r="B991" s="389" t="s">
        <v>3738</v>
      </c>
      <c r="C991" s="341"/>
      <c r="D991" s="341"/>
      <c r="E991" s="341"/>
      <c r="F991" s="341"/>
      <c r="G991" s="341">
        <v>1</v>
      </c>
      <c r="H991" s="347">
        <v>1</v>
      </c>
      <c r="I991" s="1567"/>
      <c r="J991" s="1543"/>
      <c r="K991" s="1543"/>
      <c r="L991" s="1543"/>
      <c r="M991" s="1543"/>
      <c r="N991" s="1566"/>
    </row>
    <row r="992" spans="1:14">
      <c r="A992" s="1577" t="s">
        <v>2218</v>
      </c>
      <c r="B992" s="1542"/>
      <c r="C992" s="1542"/>
      <c r="D992" s="1542"/>
      <c r="E992" s="1542"/>
      <c r="F992" s="1542"/>
      <c r="G992" s="1542"/>
      <c r="H992" s="271">
        <f>SUM(H974:H991)</f>
        <v>19</v>
      </c>
      <c r="I992" s="1567"/>
      <c r="J992" s="1543"/>
      <c r="K992" s="1543"/>
      <c r="L992" s="1543"/>
      <c r="M992" s="1543"/>
      <c r="N992" s="1566"/>
    </row>
    <row r="993" spans="1:14">
      <c r="A993" s="1519" t="s">
        <v>2219</v>
      </c>
      <c r="B993" s="1517"/>
      <c r="C993" s="1517"/>
      <c r="D993" s="1551"/>
      <c r="E993" s="1551"/>
      <c r="F993" s="1551"/>
      <c r="G993" s="1552"/>
      <c r="H993" s="272">
        <f>SUM(H974:H986)</f>
        <v>14</v>
      </c>
      <c r="I993" s="1543"/>
      <c r="J993" s="1543"/>
      <c r="K993" s="1543"/>
      <c r="L993" s="1543"/>
      <c r="M993" s="1543"/>
      <c r="N993" s="1566"/>
    </row>
    <row r="994" spans="1:14" ht="15.75" thickBot="1">
      <c r="A994" s="1520" t="s">
        <v>2220</v>
      </c>
      <c r="B994" s="1521"/>
      <c r="C994" s="1521"/>
      <c r="D994" s="1521"/>
      <c r="E994" s="1521"/>
      <c r="F994" s="1521"/>
      <c r="G994" s="1522"/>
      <c r="H994" s="216">
        <f>H992-H993</f>
        <v>5</v>
      </c>
      <c r="I994" s="1568"/>
      <c r="J994" s="1568"/>
      <c r="K994" s="1568"/>
      <c r="L994" s="1568"/>
      <c r="M994" s="1568"/>
      <c r="N994" s="1569"/>
    </row>
    <row r="995" spans="1:14" ht="13.5" customHeight="1" thickBot="1">
      <c r="A995" s="1635"/>
      <c r="B995" s="1636"/>
      <c r="C995" s="1636"/>
      <c r="D995" s="1636"/>
      <c r="E995" s="1636"/>
      <c r="F995" s="1636"/>
      <c r="G995" s="1636"/>
      <c r="H995" s="1636"/>
      <c r="I995" s="1636"/>
      <c r="J995" s="1636"/>
      <c r="K995" s="1636"/>
      <c r="L995" s="1636"/>
      <c r="M995" s="1636"/>
      <c r="N995" s="1637"/>
    </row>
    <row r="996" spans="1:14" ht="15" customHeight="1">
      <c r="A996" s="1085" t="s">
        <v>2524</v>
      </c>
      <c r="B996" s="1494" t="s">
        <v>649</v>
      </c>
      <c r="C996" s="1495"/>
      <c r="D996" s="1495"/>
      <c r="E996" s="1495"/>
      <c r="F996" s="1495"/>
      <c r="G996" s="1495"/>
      <c r="H996" s="1495"/>
      <c r="I996" s="1495"/>
      <c r="J996" s="1496"/>
      <c r="K996" s="196" t="s">
        <v>2329</v>
      </c>
      <c r="L996" s="1497">
        <v>4</v>
      </c>
      <c r="M996" s="1498"/>
      <c r="N996" s="197">
        <f>L996-H1003</f>
        <v>0</v>
      </c>
    </row>
    <row r="997" spans="1:14">
      <c r="A997" s="1499"/>
      <c r="B997" s="1500"/>
      <c r="C997" s="352"/>
      <c r="D997" s="340" t="s">
        <v>2183</v>
      </c>
      <c r="E997" s="839" t="s">
        <v>2184</v>
      </c>
      <c r="F997" s="340" t="s">
        <v>2185</v>
      </c>
      <c r="G997" s="340" t="s">
        <v>2186</v>
      </c>
      <c r="H997" s="1778" t="s">
        <v>476</v>
      </c>
      <c r="I997" s="1543"/>
      <c r="J997" s="1543"/>
      <c r="K997" s="1543"/>
      <c r="L997" s="1543"/>
      <c r="M997" s="1543"/>
      <c r="N997" s="1566"/>
    </row>
    <row r="998" spans="1:14">
      <c r="A998" s="1787"/>
      <c r="B998" s="1788"/>
      <c r="C998" s="353" t="s">
        <v>2382</v>
      </c>
      <c r="D998" s="292" t="s">
        <v>2187</v>
      </c>
      <c r="E998" s="901" t="s">
        <v>2188</v>
      </c>
      <c r="F998" s="292" t="s">
        <v>2189</v>
      </c>
      <c r="G998" s="361" t="s">
        <v>2190</v>
      </c>
      <c r="H998" s="1789"/>
      <c r="I998" s="1543"/>
      <c r="J998" s="1543"/>
      <c r="K998" s="1543"/>
      <c r="L998" s="1543"/>
      <c r="M998" s="1543"/>
      <c r="N998" s="1566"/>
    </row>
    <row r="999" spans="1:14">
      <c r="A999" s="1087" t="s">
        <v>2191</v>
      </c>
      <c r="B999" s="360" t="s">
        <v>2525</v>
      </c>
      <c r="C999" s="354"/>
      <c r="D999" s="198"/>
      <c r="E999" s="341"/>
      <c r="F999" s="341"/>
      <c r="G999" s="341">
        <v>2</v>
      </c>
      <c r="H999" s="347">
        <f>G999</f>
        <v>2</v>
      </c>
      <c r="I999" s="1567"/>
      <c r="J999" s="1543"/>
      <c r="K999" s="1543"/>
      <c r="L999" s="1543"/>
      <c r="M999" s="1543"/>
      <c r="N999" s="1566"/>
    </row>
    <row r="1000" spans="1:14">
      <c r="A1000" s="1087" t="s">
        <v>4143</v>
      </c>
      <c r="B1000" s="360" t="s">
        <v>3847</v>
      </c>
      <c r="C1000" s="354"/>
      <c r="D1000" s="198"/>
      <c r="E1000" s="341"/>
      <c r="F1000" s="341"/>
      <c r="G1000" s="341">
        <v>2</v>
      </c>
      <c r="H1000" s="347">
        <f>G1000</f>
        <v>2</v>
      </c>
      <c r="I1000" s="1567"/>
      <c r="J1000" s="1543"/>
      <c r="K1000" s="1543"/>
      <c r="L1000" s="1543"/>
      <c r="M1000" s="1543"/>
      <c r="N1000" s="1566"/>
    </row>
    <row r="1001" spans="1:14">
      <c r="A1001" s="1087"/>
      <c r="B1001" s="360"/>
      <c r="C1001" s="354"/>
      <c r="D1001" s="198"/>
      <c r="E1001" s="341"/>
      <c r="F1001" s="341"/>
      <c r="G1001" s="341"/>
      <c r="H1001" s="347"/>
      <c r="I1001" s="1567"/>
      <c r="J1001" s="1543"/>
      <c r="K1001" s="1543"/>
      <c r="L1001" s="1543"/>
      <c r="M1001" s="1543"/>
      <c r="N1001" s="1566"/>
    </row>
    <row r="1002" spans="1:14">
      <c r="A1002" s="1087"/>
      <c r="B1002" s="360"/>
      <c r="C1002" s="354"/>
      <c r="D1002" s="198"/>
      <c r="E1002" s="341"/>
      <c r="F1002" s="341"/>
      <c r="G1002" s="341"/>
      <c r="H1002" s="347"/>
      <c r="I1002" s="1567"/>
      <c r="J1002" s="1543"/>
      <c r="K1002" s="1543"/>
      <c r="L1002" s="1543"/>
      <c r="M1002" s="1543"/>
      <c r="N1002" s="1566"/>
    </row>
    <row r="1003" spans="1:14">
      <c r="A1003" s="1577" t="s">
        <v>2218</v>
      </c>
      <c r="B1003" s="1542"/>
      <c r="C1003" s="1542"/>
      <c r="D1003" s="1542"/>
      <c r="E1003" s="1542"/>
      <c r="F1003" s="1542"/>
      <c r="G1003" s="1542"/>
      <c r="H1003" s="271">
        <f>SUM(H999:H1002)</f>
        <v>4</v>
      </c>
      <c r="I1003" s="1567"/>
      <c r="J1003" s="1543"/>
      <c r="K1003" s="1543"/>
      <c r="L1003" s="1543"/>
      <c r="M1003" s="1543"/>
      <c r="N1003" s="1566"/>
    </row>
    <row r="1004" spans="1:14">
      <c r="A1004" s="1519" t="s">
        <v>2219</v>
      </c>
      <c r="B1004" s="1517"/>
      <c r="C1004" s="1517"/>
      <c r="D1004" s="1551"/>
      <c r="E1004" s="1551"/>
      <c r="F1004" s="1551"/>
      <c r="G1004" s="1552"/>
      <c r="H1004" s="272">
        <v>2</v>
      </c>
      <c r="I1004" s="1543"/>
      <c r="J1004" s="1543"/>
      <c r="K1004" s="1543"/>
      <c r="L1004" s="1543"/>
      <c r="M1004" s="1543"/>
      <c r="N1004" s="1566"/>
    </row>
    <row r="1005" spans="1:14" ht="15.75" thickBot="1">
      <c r="A1005" s="1520" t="s">
        <v>2220</v>
      </c>
      <c r="B1005" s="1521"/>
      <c r="C1005" s="1521"/>
      <c r="D1005" s="1521"/>
      <c r="E1005" s="1521"/>
      <c r="F1005" s="1521"/>
      <c r="G1005" s="1522"/>
      <c r="H1005" s="216">
        <f>H1003-H1004</f>
        <v>2</v>
      </c>
      <c r="I1005" s="1568"/>
      <c r="J1005" s="1568"/>
      <c r="K1005" s="1568"/>
      <c r="L1005" s="1568"/>
      <c r="M1005" s="1568"/>
      <c r="N1005" s="1569"/>
    </row>
    <row r="1006" spans="1:14" ht="15" customHeight="1" thickBot="1">
      <c r="A1006" s="1635"/>
      <c r="B1006" s="1636"/>
      <c r="C1006" s="1636"/>
      <c r="D1006" s="1636"/>
      <c r="E1006" s="1636"/>
      <c r="F1006" s="1636"/>
      <c r="G1006" s="1636"/>
      <c r="H1006" s="1636"/>
      <c r="I1006" s="1636"/>
      <c r="J1006" s="1636"/>
      <c r="K1006" s="1636"/>
      <c r="L1006" s="1636"/>
      <c r="M1006" s="1636"/>
      <c r="N1006" s="1637"/>
    </row>
    <row r="1007" spans="1:14" ht="15" customHeight="1">
      <c r="A1007" s="1085" t="s">
        <v>2526</v>
      </c>
      <c r="B1007" s="1494" t="s">
        <v>652</v>
      </c>
      <c r="C1007" s="1495"/>
      <c r="D1007" s="1495"/>
      <c r="E1007" s="1495"/>
      <c r="F1007" s="1495"/>
      <c r="G1007" s="1495"/>
      <c r="H1007" s="1495"/>
      <c r="I1007" s="1495"/>
      <c r="J1007" s="1496"/>
      <c r="K1007" s="196" t="s">
        <v>44</v>
      </c>
      <c r="L1007" s="1497">
        <v>25</v>
      </c>
      <c r="M1007" s="1498"/>
      <c r="N1007" s="197">
        <f>L1007-H1014</f>
        <v>0</v>
      </c>
    </row>
    <row r="1008" spans="1:14">
      <c r="A1008" s="1499"/>
      <c r="B1008" s="1500"/>
      <c r="C1008" s="352"/>
      <c r="D1008" s="340" t="s">
        <v>2183</v>
      </c>
      <c r="E1008" s="839" t="s">
        <v>2184</v>
      </c>
      <c r="F1008" s="340" t="s">
        <v>2185</v>
      </c>
      <c r="G1008" s="340" t="s">
        <v>2186</v>
      </c>
      <c r="H1008" s="1778" t="s">
        <v>476</v>
      </c>
      <c r="I1008" s="1543"/>
      <c r="J1008" s="1543"/>
      <c r="K1008" s="1543"/>
      <c r="L1008" s="1543"/>
      <c r="M1008" s="1543"/>
      <c r="N1008" s="1566"/>
    </row>
    <row r="1009" spans="1:14">
      <c r="A1009" s="1787"/>
      <c r="B1009" s="1788"/>
      <c r="C1009" s="353" t="s">
        <v>2382</v>
      </c>
      <c r="D1009" s="292" t="s">
        <v>2187</v>
      </c>
      <c r="E1009" s="901" t="s">
        <v>2188</v>
      </c>
      <c r="F1009" s="292" t="s">
        <v>2189</v>
      </c>
      <c r="G1009" s="361" t="s">
        <v>2190</v>
      </c>
      <c r="H1009" s="1789"/>
      <c r="I1009" s="1543"/>
      <c r="J1009" s="1543"/>
      <c r="K1009" s="1543"/>
      <c r="L1009" s="1543"/>
      <c r="M1009" s="1543"/>
      <c r="N1009" s="1566"/>
    </row>
    <row r="1010" spans="1:14">
      <c r="A1010" s="1793" t="s">
        <v>2211</v>
      </c>
      <c r="B1010" s="360" t="s">
        <v>2527</v>
      </c>
      <c r="C1010" s="354"/>
      <c r="D1010" s="198">
        <v>25</v>
      </c>
      <c r="E1010" s="341"/>
      <c r="F1010" s="341"/>
      <c r="G1010" s="341"/>
      <c r="H1010" s="347">
        <f>D1010</f>
        <v>25</v>
      </c>
      <c r="I1010" s="1567"/>
      <c r="J1010" s="1543"/>
      <c r="K1010" s="1543"/>
      <c r="L1010" s="1543"/>
      <c r="M1010" s="1543"/>
      <c r="N1010" s="1566"/>
    </row>
    <row r="1011" spans="1:14">
      <c r="A1011" s="1793"/>
      <c r="B1011" s="360"/>
      <c r="C1011" s="354"/>
      <c r="D1011" s="198"/>
      <c r="E1011" s="341"/>
      <c r="F1011" s="341"/>
      <c r="G1011" s="341"/>
      <c r="H1011" s="347"/>
      <c r="I1011" s="1567"/>
      <c r="J1011" s="1543"/>
      <c r="K1011" s="1543"/>
      <c r="L1011" s="1543"/>
      <c r="M1011" s="1543"/>
      <c r="N1011" s="1566"/>
    </row>
    <row r="1012" spans="1:14">
      <c r="A1012" s="1793"/>
      <c r="B1012" s="360"/>
      <c r="C1012" s="354"/>
      <c r="D1012" s="198"/>
      <c r="E1012" s="341"/>
      <c r="F1012" s="341"/>
      <c r="G1012" s="341"/>
      <c r="H1012" s="347"/>
      <c r="I1012" s="1567"/>
      <c r="J1012" s="1543"/>
      <c r="K1012" s="1543"/>
      <c r="L1012" s="1543"/>
      <c r="M1012" s="1543"/>
      <c r="N1012" s="1566"/>
    </row>
    <row r="1013" spans="1:14">
      <c r="A1013" s="1793"/>
      <c r="B1013" s="360"/>
      <c r="C1013" s="354"/>
      <c r="D1013" s="198"/>
      <c r="E1013" s="341"/>
      <c r="F1013" s="341"/>
      <c r="G1013" s="341"/>
      <c r="H1013" s="347"/>
      <c r="I1013" s="1567"/>
      <c r="J1013" s="1543"/>
      <c r="K1013" s="1543"/>
      <c r="L1013" s="1543"/>
      <c r="M1013" s="1543"/>
      <c r="N1013" s="1566"/>
    </row>
    <row r="1014" spans="1:14">
      <c r="A1014" s="1577" t="s">
        <v>2218</v>
      </c>
      <c r="B1014" s="1542"/>
      <c r="C1014" s="1542"/>
      <c r="D1014" s="1542"/>
      <c r="E1014" s="1542"/>
      <c r="F1014" s="1542"/>
      <c r="G1014" s="1542"/>
      <c r="H1014" s="271">
        <f>SUM(H1010:H1013)</f>
        <v>25</v>
      </c>
      <c r="I1014" s="1567"/>
      <c r="J1014" s="1543"/>
      <c r="K1014" s="1543"/>
      <c r="L1014" s="1543"/>
      <c r="M1014" s="1543"/>
      <c r="N1014" s="1566"/>
    </row>
    <row r="1015" spans="1:14">
      <c r="A1015" s="1519" t="s">
        <v>2219</v>
      </c>
      <c r="B1015" s="1517"/>
      <c r="C1015" s="1517"/>
      <c r="D1015" s="1551"/>
      <c r="E1015" s="1551"/>
      <c r="F1015" s="1551"/>
      <c r="G1015" s="1552"/>
      <c r="H1015" s="272">
        <v>0</v>
      </c>
      <c r="I1015" s="1543"/>
      <c r="J1015" s="1543"/>
      <c r="K1015" s="1543"/>
      <c r="L1015" s="1543"/>
      <c r="M1015" s="1543"/>
      <c r="N1015" s="1566"/>
    </row>
    <row r="1016" spans="1:14" ht="15.75" thickBot="1">
      <c r="A1016" s="1520" t="s">
        <v>2220</v>
      </c>
      <c r="B1016" s="1521"/>
      <c r="C1016" s="1521"/>
      <c r="D1016" s="1521"/>
      <c r="E1016" s="1521"/>
      <c r="F1016" s="1521"/>
      <c r="G1016" s="1522"/>
      <c r="H1016" s="216">
        <f>H1014-H1015</f>
        <v>25</v>
      </c>
      <c r="I1016" s="1568"/>
      <c r="J1016" s="1568"/>
      <c r="K1016" s="1568"/>
      <c r="L1016" s="1568"/>
      <c r="M1016" s="1568"/>
      <c r="N1016" s="1569"/>
    </row>
    <row r="1017" spans="1:14" ht="15" customHeight="1" thickBot="1">
      <c r="A1017" s="1635"/>
      <c r="B1017" s="1636"/>
      <c r="C1017" s="1636"/>
      <c r="D1017" s="1636"/>
      <c r="E1017" s="1636"/>
      <c r="F1017" s="1636"/>
      <c r="G1017" s="1636"/>
      <c r="H1017" s="1636"/>
      <c r="I1017" s="1636"/>
      <c r="J1017" s="1636"/>
      <c r="K1017" s="1636"/>
      <c r="L1017" s="1636"/>
      <c r="M1017" s="1636"/>
      <c r="N1017" s="1637"/>
    </row>
    <row r="1018" spans="1:14" ht="15" customHeight="1">
      <c r="A1018" s="1085" t="s">
        <v>2528</v>
      </c>
      <c r="B1018" s="1494" t="s">
        <v>655</v>
      </c>
      <c r="C1018" s="1495"/>
      <c r="D1018" s="1495"/>
      <c r="E1018" s="1495"/>
      <c r="F1018" s="1495"/>
      <c r="G1018" s="1495"/>
      <c r="H1018" s="1495"/>
      <c r="I1018" s="1495"/>
      <c r="J1018" s="1496"/>
      <c r="K1018" s="196" t="s">
        <v>44</v>
      </c>
      <c r="L1018" s="1497">
        <v>20</v>
      </c>
      <c r="M1018" s="1498"/>
      <c r="N1018" s="197">
        <f>L1018-H1025</f>
        <v>0</v>
      </c>
    </row>
    <row r="1019" spans="1:14">
      <c r="A1019" s="1499"/>
      <c r="B1019" s="1500"/>
      <c r="C1019" s="352"/>
      <c r="D1019" s="340" t="s">
        <v>2183</v>
      </c>
      <c r="E1019" s="839" t="s">
        <v>2184</v>
      </c>
      <c r="F1019" s="340" t="s">
        <v>2185</v>
      </c>
      <c r="G1019" s="340" t="s">
        <v>2186</v>
      </c>
      <c r="H1019" s="1778" t="s">
        <v>476</v>
      </c>
      <c r="I1019" s="1543"/>
      <c r="J1019" s="1543"/>
      <c r="K1019" s="1543"/>
      <c r="L1019" s="1543"/>
      <c r="M1019" s="1543"/>
      <c r="N1019" s="1566"/>
    </row>
    <row r="1020" spans="1:14">
      <c r="A1020" s="1787"/>
      <c r="B1020" s="1788"/>
      <c r="C1020" s="353" t="s">
        <v>2382</v>
      </c>
      <c r="D1020" s="292" t="s">
        <v>2187</v>
      </c>
      <c r="E1020" s="901" t="s">
        <v>2188</v>
      </c>
      <c r="F1020" s="292" t="s">
        <v>2189</v>
      </c>
      <c r="G1020" s="361" t="s">
        <v>2190</v>
      </c>
      <c r="H1020" s="1789"/>
      <c r="I1020" s="1543"/>
      <c r="J1020" s="1543"/>
      <c r="K1020" s="1543"/>
      <c r="L1020" s="1543"/>
      <c r="M1020" s="1543"/>
      <c r="N1020" s="1566"/>
    </row>
    <row r="1021" spans="1:14">
      <c r="A1021" s="1793" t="s">
        <v>2211</v>
      </c>
      <c r="B1021" s="360" t="s">
        <v>2527</v>
      </c>
      <c r="C1021" s="354"/>
      <c r="D1021" s="198">
        <v>20</v>
      </c>
      <c r="E1021" s="341"/>
      <c r="F1021" s="341"/>
      <c r="G1021" s="341"/>
      <c r="H1021" s="347">
        <f>D1021</f>
        <v>20</v>
      </c>
      <c r="I1021" s="1567"/>
      <c r="J1021" s="1543"/>
      <c r="K1021" s="1543"/>
      <c r="L1021" s="1543"/>
      <c r="M1021" s="1543"/>
      <c r="N1021" s="1566"/>
    </row>
    <row r="1022" spans="1:14">
      <c r="A1022" s="1793"/>
      <c r="B1022" s="360"/>
      <c r="C1022" s="354"/>
      <c r="D1022" s="198"/>
      <c r="E1022" s="341"/>
      <c r="F1022" s="341"/>
      <c r="G1022" s="341"/>
      <c r="H1022" s="347"/>
      <c r="I1022" s="1567"/>
      <c r="J1022" s="1543"/>
      <c r="K1022" s="1543"/>
      <c r="L1022" s="1543"/>
      <c r="M1022" s="1543"/>
      <c r="N1022" s="1566"/>
    </row>
    <row r="1023" spans="1:14">
      <c r="A1023" s="1793"/>
      <c r="B1023" s="360"/>
      <c r="C1023" s="354"/>
      <c r="D1023" s="198"/>
      <c r="E1023" s="341"/>
      <c r="F1023" s="341"/>
      <c r="G1023" s="341"/>
      <c r="H1023" s="347"/>
      <c r="I1023" s="1567"/>
      <c r="J1023" s="1543"/>
      <c r="K1023" s="1543"/>
      <c r="L1023" s="1543"/>
      <c r="M1023" s="1543"/>
      <c r="N1023" s="1566"/>
    </row>
    <row r="1024" spans="1:14">
      <c r="A1024" s="1793"/>
      <c r="B1024" s="360"/>
      <c r="C1024" s="354"/>
      <c r="D1024" s="198"/>
      <c r="E1024" s="341"/>
      <c r="F1024" s="341"/>
      <c r="G1024" s="341"/>
      <c r="H1024" s="347"/>
      <c r="I1024" s="1567"/>
      <c r="J1024" s="1543"/>
      <c r="K1024" s="1543"/>
      <c r="L1024" s="1543"/>
      <c r="M1024" s="1543"/>
      <c r="N1024" s="1566"/>
    </row>
    <row r="1025" spans="1:14">
      <c r="A1025" s="1577" t="s">
        <v>2218</v>
      </c>
      <c r="B1025" s="1542"/>
      <c r="C1025" s="1542"/>
      <c r="D1025" s="1542"/>
      <c r="E1025" s="1542"/>
      <c r="F1025" s="1542"/>
      <c r="G1025" s="1542"/>
      <c r="H1025" s="271">
        <f>SUM(H1021:H1024)</f>
        <v>20</v>
      </c>
      <c r="I1025" s="1567"/>
      <c r="J1025" s="1543"/>
      <c r="K1025" s="1543"/>
      <c r="L1025" s="1543"/>
      <c r="M1025" s="1543"/>
      <c r="N1025" s="1566"/>
    </row>
    <row r="1026" spans="1:14">
      <c r="A1026" s="1519" t="s">
        <v>2219</v>
      </c>
      <c r="B1026" s="1517"/>
      <c r="C1026" s="1517"/>
      <c r="D1026" s="1551"/>
      <c r="E1026" s="1551"/>
      <c r="F1026" s="1551"/>
      <c r="G1026" s="1552"/>
      <c r="H1026" s="272">
        <v>0</v>
      </c>
      <c r="I1026" s="1543"/>
      <c r="J1026" s="1543"/>
      <c r="K1026" s="1543"/>
      <c r="L1026" s="1543"/>
      <c r="M1026" s="1543"/>
      <c r="N1026" s="1566"/>
    </row>
    <row r="1027" spans="1:14" ht="15.75" thickBot="1">
      <c r="A1027" s="1520" t="s">
        <v>2220</v>
      </c>
      <c r="B1027" s="1521"/>
      <c r="C1027" s="1521"/>
      <c r="D1027" s="1521"/>
      <c r="E1027" s="1521"/>
      <c r="F1027" s="1521"/>
      <c r="G1027" s="1522"/>
      <c r="H1027" s="216">
        <f>H1025-H1026</f>
        <v>20</v>
      </c>
      <c r="I1027" s="1568"/>
      <c r="J1027" s="1568"/>
      <c r="K1027" s="1568"/>
      <c r="L1027" s="1568"/>
      <c r="M1027" s="1568"/>
      <c r="N1027" s="1569"/>
    </row>
    <row r="1028" spans="1:14" ht="15" customHeight="1" thickBot="1">
      <c r="A1028" s="1635"/>
      <c r="B1028" s="1636"/>
      <c r="C1028" s="1636"/>
      <c r="D1028" s="1636"/>
      <c r="E1028" s="1636"/>
      <c r="F1028" s="1636"/>
      <c r="G1028" s="1636"/>
      <c r="H1028" s="1636"/>
      <c r="I1028" s="1636"/>
      <c r="J1028" s="1636"/>
      <c r="K1028" s="1636"/>
      <c r="L1028" s="1636"/>
      <c r="M1028" s="1636"/>
      <c r="N1028" s="1637"/>
    </row>
    <row r="1029" spans="1:14" ht="15" customHeight="1">
      <c r="A1029" s="1085" t="s">
        <v>2529</v>
      </c>
      <c r="B1029" s="1494" t="s">
        <v>658</v>
      </c>
      <c r="C1029" s="1495"/>
      <c r="D1029" s="1495"/>
      <c r="E1029" s="1495"/>
      <c r="F1029" s="1495"/>
      <c r="G1029" s="1495"/>
      <c r="H1029" s="1495"/>
      <c r="I1029" s="1495"/>
      <c r="J1029" s="1496"/>
      <c r="K1029" s="196" t="s">
        <v>44</v>
      </c>
      <c r="L1029" s="1497">
        <v>15</v>
      </c>
      <c r="M1029" s="1498"/>
      <c r="N1029" s="197">
        <f>L1029-H1036</f>
        <v>0</v>
      </c>
    </row>
    <row r="1030" spans="1:14">
      <c r="A1030" s="1499"/>
      <c r="B1030" s="1500"/>
      <c r="C1030" s="352"/>
      <c r="D1030" s="340" t="s">
        <v>2183</v>
      </c>
      <c r="E1030" s="839" t="s">
        <v>2184</v>
      </c>
      <c r="F1030" s="340" t="s">
        <v>2185</v>
      </c>
      <c r="G1030" s="340" t="s">
        <v>2186</v>
      </c>
      <c r="H1030" s="1778" t="s">
        <v>476</v>
      </c>
      <c r="I1030" s="1543"/>
      <c r="J1030" s="1543"/>
      <c r="K1030" s="1543"/>
      <c r="L1030" s="1543"/>
      <c r="M1030" s="1543"/>
      <c r="N1030" s="1566"/>
    </row>
    <row r="1031" spans="1:14">
      <c r="A1031" s="1787"/>
      <c r="B1031" s="1788"/>
      <c r="C1031" s="353" t="s">
        <v>2382</v>
      </c>
      <c r="D1031" s="292" t="s">
        <v>2187</v>
      </c>
      <c r="E1031" s="901" t="s">
        <v>2188</v>
      </c>
      <c r="F1031" s="292" t="s">
        <v>2189</v>
      </c>
      <c r="G1031" s="361" t="s">
        <v>2190</v>
      </c>
      <c r="H1031" s="1789"/>
      <c r="I1031" s="1543"/>
      <c r="J1031" s="1543"/>
      <c r="K1031" s="1543"/>
      <c r="L1031" s="1543"/>
      <c r="M1031" s="1543"/>
      <c r="N1031" s="1566"/>
    </row>
    <row r="1032" spans="1:14">
      <c r="A1032" s="1536" t="s">
        <v>2211</v>
      </c>
      <c r="B1032" s="360" t="s">
        <v>2527</v>
      </c>
      <c r="C1032" s="354"/>
      <c r="D1032" s="198">
        <v>15</v>
      </c>
      <c r="E1032" s="341"/>
      <c r="F1032" s="341"/>
      <c r="G1032" s="341"/>
      <c r="H1032" s="347">
        <f>D1032</f>
        <v>15</v>
      </c>
      <c r="I1032" s="1567"/>
      <c r="J1032" s="1543"/>
      <c r="K1032" s="1543"/>
      <c r="L1032" s="1543"/>
      <c r="M1032" s="1543"/>
      <c r="N1032" s="1566"/>
    </row>
    <row r="1033" spans="1:14">
      <c r="A1033" s="1536"/>
      <c r="B1033" s="360"/>
      <c r="C1033" s="354"/>
      <c r="D1033" s="198"/>
      <c r="E1033" s="341"/>
      <c r="F1033" s="341"/>
      <c r="G1033" s="341"/>
      <c r="H1033" s="347"/>
      <c r="I1033" s="1567"/>
      <c r="J1033" s="1543"/>
      <c r="K1033" s="1543"/>
      <c r="L1033" s="1543"/>
      <c r="M1033" s="1543"/>
      <c r="N1033" s="1566"/>
    </row>
    <row r="1034" spans="1:14">
      <c r="A1034" s="1536"/>
      <c r="B1034" s="360"/>
      <c r="C1034" s="354"/>
      <c r="D1034" s="198"/>
      <c r="E1034" s="341"/>
      <c r="F1034" s="341"/>
      <c r="G1034" s="341"/>
      <c r="H1034" s="347"/>
      <c r="I1034" s="1567"/>
      <c r="J1034" s="1543"/>
      <c r="K1034" s="1543"/>
      <c r="L1034" s="1543"/>
      <c r="M1034" s="1543"/>
      <c r="N1034" s="1566"/>
    </row>
    <row r="1035" spans="1:14">
      <c r="A1035" s="1536"/>
      <c r="B1035" s="360"/>
      <c r="C1035" s="354"/>
      <c r="D1035" s="198"/>
      <c r="E1035" s="341"/>
      <c r="F1035" s="341"/>
      <c r="G1035" s="341"/>
      <c r="H1035" s="347"/>
      <c r="I1035" s="1567"/>
      <c r="J1035" s="1543"/>
      <c r="K1035" s="1543"/>
      <c r="L1035" s="1543"/>
      <c r="M1035" s="1543"/>
      <c r="N1035" s="1566"/>
    </row>
    <row r="1036" spans="1:14">
      <c r="A1036" s="1577" t="s">
        <v>2218</v>
      </c>
      <c r="B1036" s="1542"/>
      <c r="C1036" s="1542"/>
      <c r="D1036" s="1542"/>
      <c r="E1036" s="1542"/>
      <c r="F1036" s="1542"/>
      <c r="G1036" s="1542"/>
      <c r="H1036" s="271">
        <f>SUM(H1032:H1035)</f>
        <v>15</v>
      </c>
      <c r="I1036" s="1567"/>
      <c r="J1036" s="1543"/>
      <c r="K1036" s="1543"/>
      <c r="L1036" s="1543"/>
      <c r="M1036" s="1543"/>
      <c r="N1036" s="1566"/>
    </row>
    <row r="1037" spans="1:14">
      <c r="A1037" s="1519" t="s">
        <v>2219</v>
      </c>
      <c r="B1037" s="1517"/>
      <c r="C1037" s="1517"/>
      <c r="D1037" s="1551"/>
      <c r="E1037" s="1551"/>
      <c r="F1037" s="1551"/>
      <c r="G1037" s="1552"/>
      <c r="H1037" s="272">
        <v>0</v>
      </c>
      <c r="I1037" s="1543"/>
      <c r="J1037" s="1543"/>
      <c r="K1037" s="1543"/>
      <c r="L1037" s="1543"/>
      <c r="M1037" s="1543"/>
      <c r="N1037" s="1566"/>
    </row>
    <row r="1038" spans="1:14" ht="15.75" thickBot="1">
      <c r="A1038" s="1520" t="s">
        <v>2220</v>
      </c>
      <c r="B1038" s="1521"/>
      <c r="C1038" s="1521"/>
      <c r="D1038" s="1521"/>
      <c r="E1038" s="1521"/>
      <c r="F1038" s="1521"/>
      <c r="G1038" s="1522"/>
      <c r="H1038" s="216">
        <f>H1036-H1037</f>
        <v>15</v>
      </c>
      <c r="I1038" s="1568"/>
      <c r="J1038" s="1568"/>
      <c r="K1038" s="1568"/>
      <c r="L1038" s="1568"/>
      <c r="M1038" s="1568"/>
      <c r="N1038" s="1569"/>
    </row>
    <row r="1039" spans="1:14" ht="15" customHeight="1" thickBot="1">
      <c r="A1039" s="1635"/>
      <c r="B1039" s="1636"/>
      <c r="C1039" s="1636"/>
      <c r="D1039" s="1636"/>
      <c r="E1039" s="1636"/>
      <c r="F1039" s="1636"/>
      <c r="G1039" s="1636"/>
      <c r="H1039" s="1636"/>
      <c r="I1039" s="1636"/>
      <c r="J1039" s="1636"/>
      <c r="K1039" s="1636"/>
      <c r="L1039" s="1636"/>
      <c r="M1039" s="1636"/>
      <c r="N1039" s="1637"/>
    </row>
    <row r="1040" spans="1:14" ht="15" customHeight="1">
      <c r="A1040" s="1085" t="s">
        <v>2530</v>
      </c>
      <c r="B1040" s="1494" t="s">
        <v>661</v>
      </c>
      <c r="C1040" s="1495"/>
      <c r="D1040" s="1495"/>
      <c r="E1040" s="1495"/>
      <c r="F1040" s="1495"/>
      <c r="G1040" s="1495"/>
      <c r="H1040" s="1495"/>
      <c r="I1040" s="1495"/>
      <c r="J1040" s="1496"/>
      <c r="K1040" s="196" t="s">
        <v>2329</v>
      </c>
      <c r="L1040" s="1497">
        <v>1</v>
      </c>
      <c r="M1040" s="1498"/>
      <c r="N1040" s="197">
        <f>L1040-H1047</f>
        <v>0</v>
      </c>
    </row>
    <row r="1041" spans="1:14">
      <c r="A1041" s="1790"/>
      <c r="B1041" s="1500"/>
      <c r="C1041" s="352"/>
      <c r="D1041" s="340" t="s">
        <v>2183</v>
      </c>
      <c r="E1041" s="839" t="s">
        <v>2184</v>
      </c>
      <c r="F1041" s="340" t="s">
        <v>2185</v>
      </c>
      <c r="G1041" s="340" t="s">
        <v>2186</v>
      </c>
      <c r="H1041" s="1778" t="s">
        <v>476</v>
      </c>
      <c r="I1041" s="1543"/>
      <c r="J1041" s="1543"/>
      <c r="K1041" s="1543"/>
      <c r="L1041" s="1543"/>
      <c r="M1041" s="1543"/>
      <c r="N1041" s="1566"/>
    </row>
    <row r="1042" spans="1:14">
      <c r="A1042" s="1791"/>
      <c r="B1042" s="1502"/>
      <c r="C1042" s="400" t="s">
        <v>2382</v>
      </c>
      <c r="D1042" s="294" t="s">
        <v>2187</v>
      </c>
      <c r="E1042" s="1214" t="s">
        <v>2188</v>
      </c>
      <c r="F1042" s="294" t="s">
        <v>2189</v>
      </c>
      <c r="G1042" s="401" t="s">
        <v>2190</v>
      </c>
      <c r="H1042" s="1792"/>
      <c r="I1042" s="1543"/>
      <c r="J1042" s="1543"/>
      <c r="K1042" s="1543"/>
      <c r="L1042" s="1543"/>
      <c r="M1042" s="1543"/>
      <c r="N1042" s="1566"/>
    </row>
    <row r="1043" spans="1:14">
      <c r="A1043" s="1536" t="s">
        <v>2211</v>
      </c>
      <c r="B1043" s="360" t="s">
        <v>2527</v>
      </c>
      <c r="C1043" s="354"/>
      <c r="D1043" s="201"/>
      <c r="E1043" s="350"/>
      <c r="F1043" s="350"/>
      <c r="G1043" s="350">
        <v>1</v>
      </c>
      <c r="H1043" s="371">
        <f>G1043</f>
        <v>1</v>
      </c>
      <c r="I1043" s="1567"/>
      <c r="J1043" s="1543"/>
      <c r="K1043" s="1543"/>
      <c r="L1043" s="1543"/>
      <c r="M1043" s="1543"/>
      <c r="N1043" s="1566"/>
    </row>
    <row r="1044" spans="1:14">
      <c r="A1044" s="1536"/>
      <c r="B1044" s="360"/>
      <c r="C1044" s="354"/>
      <c r="D1044" s="198"/>
      <c r="E1044" s="341"/>
      <c r="F1044" s="341"/>
      <c r="G1044" s="341"/>
      <c r="H1044" s="347"/>
      <c r="I1044" s="1567"/>
      <c r="J1044" s="1543"/>
      <c r="K1044" s="1543"/>
      <c r="L1044" s="1543"/>
      <c r="M1044" s="1543"/>
      <c r="N1044" s="1566"/>
    </row>
    <row r="1045" spans="1:14">
      <c r="A1045" s="1536"/>
      <c r="B1045" s="360"/>
      <c r="C1045" s="354"/>
      <c r="D1045" s="198"/>
      <c r="E1045" s="341"/>
      <c r="F1045" s="341"/>
      <c r="G1045" s="341"/>
      <c r="H1045" s="347"/>
      <c r="I1045" s="1567"/>
      <c r="J1045" s="1543"/>
      <c r="K1045" s="1543"/>
      <c r="L1045" s="1543"/>
      <c r="M1045" s="1543"/>
      <c r="N1045" s="1566"/>
    </row>
    <row r="1046" spans="1:14">
      <c r="A1046" s="1536"/>
      <c r="B1046" s="360"/>
      <c r="C1046" s="354"/>
      <c r="D1046" s="198"/>
      <c r="E1046" s="341"/>
      <c r="F1046" s="341"/>
      <c r="G1046" s="341"/>
      <c r="H1046" s="347"/>
      <c r="I1046" s="1567"/>
      <c r="J1046" s="1543"/>
      <c r="K1046" s="1543"/>
      <c r="L1046" s="1543"/>
      <c r="M1046" s="1543"/>
      <c r="N1046" s="1566"/>
    </row>
    <row r="1047" spans="1:14">
      <c r="A1047" s="1577" t="s">
        <v>2218</v>
      </c>
      <c r="B1047" s="1542"/>
      <c r="C1047" s="1542"/>
      <c r="D1047" s="1542"/>
      <c r="E1047" s="1542"/>
      <c r="F1047" s="1542"/>
      <c r="G1047" s="1542"/>
      <c r="H1047" s="271">
        <f>SUM(H1043:H1046)</f>
        <v>1</v>
      </c>
      <c r="I1047" s="1567"/>
      <c r="J1047" s="1543"/>
      <c r="K1047" s="1543"/>
      <c r="L1047" s="1543"/>
      <c r="M1047" s="1543"/>
      <c r="N1047" s="1566"/>
    </row>
    <row r="1048" spans="1:14">
      <c r="A1048" s="1519" t="s">
        <v>2219</v>
      </c>
      <c r="B1048" s="1517"/>
      <c r="C1048" s="1517"/>
      <c r="D1048" s="1551"/>
      <c r="E1048" s="1551"/>
      <c r="F1048" s="1551"/>
      <c r="G1048" s="1552"/>
      <c r="H1048" s="272">
        <v>0</v>
      </c>
      <c r="I1048" s="1543"/>
      <c r="J1048" s="1543"/>
      <c r="K1048" s="1543"/>
      <c r="L1048" s="1543"/>
      <c r="M1048" s="1543"/>
      <c r="N1048" s="1566"/>
    </row>
    <row r="1049" spans="1:14" ht="15.75" thickBot="1">
      <c r="A1049" s="1520" t="s">
        <v>2220</v>
      </c>
      <c r="B1049" s="1521"/>
      <c r="C1049" s="1521"/>
      <c r="D1049" s="1521"/>
      <c r="E1049" s="1521"/>
      <c r="F1049" s="1521"/>
      <c r="G1049" s="1522"/>
      <c r="H1049" s="216">
        <f>H1047-H1048</f>
        <v>1</v>
      </c>
      <c r="I1049" s="1568"/>
      <c r="J1049" s="1568"/>
      <c r="K1049" s="1568"/>
      <c r="L1049" s="1568"/>
      <c r="M1049" s="1568"/>
      <c r="N1049" s="1569"/>
    </row>
    <row r="1050" spans="1:14" ht="15" customHeight="1">
      <c r="A1050" s="1085" t="s">
        <v>2841</v>
      </c>
      <c r="B1050" s="1494" t="s">
        <v>664</v>
      </c>
      <c r="C1050" s="1495"/>
      <c r="D1050" s="1495"/>
      <c r="E1050" s="1495"/>
      <c r="F1050" s="1495"/>
      <c r="G1050" s="1495"/>
      <c r="H1050" s="1495"/>
      <c r="I1050" s="1495"/>
      <c r="J1050" s="1496"/>
      <c r="K1050" s="196" t="s">
        <v>2222</v>
      </c>
      <c r="L1050" s="1497">
        <v>12</v>
      </c>
      <c r="M1050" s="1498"/>
      <c r="N1050" s="197">
        <f>L1050-H1055</f>
        <v>0</v>
      </c>
    </row>
    <row r="1051" spans="1:14">
      <c r="A1051" s="1790"/>
      <c r="B1051" s="1500"/>
      <c r="C1051" s="352"/>
      <c r="D1051" s="340" t="s">
        <v>2183</v>
      </c>
      <c r="E1051" s="839" t="s">
        <v>2184</v>
      </c>
      <c r="F1051" s="340" t="s">
        <v>2185</v>
      </c>
      <c r="G1051" s="340" t="s">
        <v>2186</v>
      </c>
      <c r="H1051" s="1778" t="s">
        <v>476</v>
      </c>
      <c r="I1051" s="1543"/>
      <c r="J1051" s="1543"/>
      <c r="K1051" s="1543"/>
      <c r="L1051" s="1543"/>
      <c r="M1051" s="1543"/>
      <c r="N1051" s="1566"/>
    </row>
    <row r="1052" spans="1:14">
      <c r="A1052" s="1791"/>
      <c r="B1052" s="1502"/>
      <c r="C1052" s="400" t="s">
        <v>2382</v>
      </c>
      <c r="D1052" s="294" t="s">
        <v>2187</v>
      </c>
      <c r="E1052" s="1214" t="s">
        <v>2188</v>
      </c>
      <c r="F1052" s="294" t="s">
        <v>2189</v>
      </c>
      <c r="G1052" s="401" t="s">
        <v>2190</v>
      </c>
      <c r="H1052" s="1792"/>
      <c r="I1052" s="1543"/>
      <c r="J1052" s="1543"/>
      <c r="K1052" s="1543"/>
      <c r="L1052" s="1543"/>
      <c r="M1052" s="1543"/>
      <c r="N1052" s="1566"/>
    </row>
    <row r="1053" spans="1:14">
      <c r="A1053" s="1536" t="s">
        <v>2849</v>
      </c>
      <c r="B1053" s="360" t="s">
        <v>2840</v>
      </c>
      <c r="C1053" s="354">
        <v>12</v>
      </c>
      <c r="D1053" s="201"/>
      <c r="E1053" s="350"/>
      <c r="F1053" s="350"/>
      <c r="G1053" s="350"/>
      <c r="H1053" s="371">
        <v>12</v>
      </c>
      <c r="I1053" s="1567"/>
      <c r="J1053" s="1543"/>
      <c r="K1053" s="1543"/>
      <c r="L1053" s="1543"/>
      <c r="M1053" s="1543"/>
      <c r="N1053" s="1566"/>
    </row>
    <row r="1054" spans="1:14">
      <c r="A1054" s="1536"/>
      <c r="B1054" s="360"/>
      <c r="C1054" s="354"/>
      <c r="D1054" s="198"/>
      <c r="E1054" s="341"/>
      <c r="F1054" s="341"/>
      <c r="G1054" s="341"/>
      <c r="H1054" s="347"/>
      <c r="I1054" s="1567"/>
      <c r="J1054" s="1543"/>
      <c r="K1054" s="1543"/>
      <c r="L1054" s="1543"/>
      <c r="M1054" s="1543"/>
      <c r="N1054" s="1566"/>
    </row>
    <row r="1055" spans="1:14">
      <c r="A1055" s="1577" t="s">
        <v>2218</v>
      </c>
      <c r="B1055" s="1542"/>
      <c r="C1055" s="1542"/>
      <c r="D1055" s="1542"/>
      <c r="E1055" s="1542"/>
      <c r="F1055" s="1542"/>
      <c r="G1055" s="1542"/>
      <c r="H1055" s="271">
        <f>SUM(H1053:H1054)</f>
        <v>12</v>
      </c>
      <c r="I1055" s="1567"/>
      <c r="J1055" s="1543"/>
      <c r="K1055" s="1543"/>
      <c r="L1055" s="1543"/>
      <c r="M1055" s="1543"/>
      <c r="N1055" s="1566"/>
    </row>
    <row r="1056" spans="1:14">
      <c r="A1056" s="1519" t="s">
        <v>2219</v>
      </c>
      <c r="B1056" s="1517"/>
      <c r="C1056" s="1517"/>
      <c r="D1056" s="1551"/>
      <c r="E1056" s="1551"/>
      <c r="F1056" s="1551"/>
      <c r="G1056" s="1552"/>
      <c r="H1056" s="272">
        <v>0</v>
      </c>
      <c r="I1056" s="1543"/>
      <c r="J1056" s="1543"/>
      <c r="K1056" s="1543"/>
      <c r="L1056" s="1543"/>
      <c r="M1056" s="1543"/>
      <c r="N1056" s="1566"/>
    </row>
    <row r="1057" spans="1:14" ht="15.75" thickBot="1">
      <c r="A1057" s="1520" t="s">
        <v>2220</v>
      </c>
      <c r="B1057" s="1521"/>
      <c r="C1057" s="1521"/>
      <c r="D1057" s="1521"/>
      <c r="E1057" s="1521"/>
      <c r="F1057" s="1521"/>
      <c r="G1057" s="1522"/>
      <c r="H1057" s="216">
        <f>H1055-H1056</f>
        <v>12</v>
      </c>
      <c r="I1057" s="1568"/>
      <c r="J1057" s="1568"/>
      <c r="K1057" s="1568"/>
      <c r="L1057" s="1568"/>
      <c r="M1057" s="1568"/>
      <c r="N1057" s="1569"/>
    </row>
    <row r="1058" spans="1:14" ht="15.75" thickBot="1">
      <c r="A1058" s="1099"/>
      <c r="B1058" s="344"/>
      <c r="C1058" s="343"/>
      <c r="D1058" s="345"/>
      <c r="E1058" s="1265"/>
      <c r="F1058" s="345"/>
      <c r="G1058" s="345"/>
      <c r="H1058" s="219"/>
      <c r="I1058" s="408"/>
      <c r="J1058" s="408"/>
      <c r="K1058" s="408"/>
      <c r="L1058" s="408"/>
      <c r="M1058" s="408"/>
      <c r="N1058" s="409"/>
    </row>
    <row r="1059" spans="1:14" ht="15" customHeight="1">
      <c r="A1059" s="1085" t="s">
        <v>2839</v>
      </c>
      <c r="B1059" s="1494" t="s">
        <v>667</v>
      </c>
      <c r="C1059" s="1495"/>
      <c r="D1059" s="1495"/>
      <c r="E1059" s="1495"/>
      <c r="F1059" s="1495"/>
      <c r="G1059" s="1495"/>
      <c r="H1059" s="1495"/>
      <c r="I1059" s="1495"/>
      <c r="J1059" s="1496"/>
      <c r="K1059" s="196" t="s">
        <v>2222</v>
      </c>
      <c r="L1059" s="1497">
        <v>6</v>
      </c>
      <c r="M1059" s="1498"/>
      <c r="N1059" s="197">
        <f>L1059-H1064</f>
        <v>0</v>
      </c>
    </row>
    <row r="1060" spans="1:14">
      <c r="A1060" s="1790"/>
      <c r="B1060" s="1500"/>
      <c r="C1060" s="352"/>
      <c r="D1060" s="340" t="s">
        <v>2183</v>
      </c>
      <c r="E1060" s="839" t="s">
        <v>2184</v>
      </c>
      <c r="F1060" s="340" t="s">
        <v>2185</v>
      </c>
      <c r="G1060" s="340" t="s">
        <v>2186</v>
      </c>
      <c r="H1060" s="1778" t="s">
        <v>476</v>
      </c>
      <c r="I1060" s="1543"/>
      <c r="J1060" s="1543"/>
      <c r="K1060" s="1543"/>
      <c r="L1060" s="1543"/>
      <c r="M1060" s="1543"/>
      <c r="N1060" s="1566"/>
    </row>
    <row r="1061" spans="1:14">
      <c r="A1061" s="1791"/>
      <c r="B1061" s="1502"/>
      <c r="C1061" s="400" t="s">
        <v>2382</v>
      </c>
      <c r="D1061" s="294" t="s">
        <v>2187</v>
      </c>
      <c r="E1061" s="1214" t="s">
        <v>2188</v>
      </c>
      <c r="F1061" s="294" t="s">
        <v>2189</v>
      </c>
      <c r="G1061" s="401" t="s">
        <v>2190</v>
      </c>
      <c r="H1061" s="1792"/>
      <c r="I1061" s="1543"/>
      <c r="J1061" s="1543"/>
      <c r="K1061" s="1543"/>
      <c r="L1061" s="1543"/>
      <c r="M1061" s="1543"/>
      <c r="N1061" s="1566"/>
    </row>
    <row r="1062" spans="1:14">
      <c r="A1062" s="1536" t="s">
        <v>2849</v>
      </c>
      <c r="B1062" s="360" t="s">
        <v>2838</v>
      </c>
      <c r="C1062" s="354">
        <v>6</v>
      </c>
      <c r="D1062" s="201"/>
      <c r="E1062" s="350"/>
      <c r="F1062" s="350"/>
      <c r="G1062" s="350"/>
      <c r="H1062" s="371">
        <v>6</v>
      </c>
      <c r="I1062" s="1567"/>
      <c r="J1062" s="1543"/>
      <c r="K1062" s="1543"/>
      <c r="L1062" s="1543"/>
      <c r="M1062" s="1543"/>
      <c r="N1062" s="1566"/>
    </row>
    <row r="1063" spans="1:14">
      <c r="A1063" s="1536"/>
      <c r="B1063" s="360"/>
      <c r="C1063" s="354"/>
      <c r="D1063" s="198"/>
      <c r="E1063" s="341"/>
      <c r="F1063" s="341"/>
      <c r="G1063" s="341"/>
      <c r="H1063" s="347"/>
      <c r="I1063" s="1567"/>
      <c r="J1063" s="1543"/>
      <c r="K1063" s="1543"/>
      <c r="L1063" s="1543"/>
      <c r="M1063" s="1543"/>
      <c r="N1063" s="1566"/>
    </row>
    <row r="1064" spans="1:14">
      <c r="A1064" s="1577" t="s">
        <v>2218</v>
      </c>
      <c r="B1064" s="1542"/>
      <c r="C1064" s="1542"/>
      <c r="D1064" s="1542"/>
      <c r="E1064" s="1542"/>
      <c r="F1064" s="1542"/>
      <c r="G1064" s="1542"/>
      <c r="H1064" s="271">
        <f>SUM(H1062:H1063)</f>
        <v>6</v>
      </c>
      <c r="I1064" s="1567"/>
      <c r="J1064" s="1543"/>
      <c r="K1064" s="1543"/>
      <c r="L1064" s="1543"/>
      <c r="M1064" s="1543"/>
      <c r="N1064" s="1566"/>
    </row>
    <row r="1065" spans="1:14">
      <c r="A1065" s="1519" t="s">
        <v>2219</v>
      </c>
      <c r="B1065" s="1517"/>
      <c r="C1065" s="1517"/>
      <c r="D1065" s="1551"/>
      <c r="E1065" s="1551"/>
      <c r="F1065" s="1551"/>
      <c r="G1065" s="1552"/>
      <c r="H1065" s="272">
        <v>0</v>
      </c>
      <c r="I1065" s="1543"/>
      <c r="J1065" s="1543"/>
      <c r="K1065" s="1543"/>
      <c r="L1065" s="1543"/>
      <c r="M1065" s="1543"/>
      <c r="N1065" s="1566"/>
    </row>
    <row r="1066" spans="1:14" ht="15.75" thickBot="1">
      <c r="A1066" s="1520" t="s">
        <v>2220</v>
      </c>
      <c r="B1066" s="1521"/>
      <c r="C1066" s="1521"/>
      <c r="D1066" s="1521"/>
      <c r="E1066" s="1521"/>
      <c r="F1066" s="1521"/>
      <c r="G1066" s="1522"/>
      <c r="H1066" s="216">
        <f>H1064-H1065</f>
        <v>6</v>
      </c>
      <c r="I1066" s="1568"/>
      <c r="J1066" s="1568"/>
      <c r="K1066" s="1568"/>
      <c r="L1066" s="1568"/>
      <c r="M1066" s="1568"/>
      <c r="N1066" s="1569"/>
    </row>
    <row r="1067" spans="1:14" ht="15" customHeight="1" thickBot="1">
      <c r="A1067" s="1099"/>
      <c r="B1067" s="344"/>
      <c r="C1067" s="343"/>
      <c r="D1067" s="345"/>
      <c r="E1067" s="1265"/>
      <c r="F1067" s="345"/>
      <c r="G1067" s="345"/>
      <c r="H1067" s="219"/>
      <c r="I1067" s="408"/>
      <c r="J1067" s="408"/>
      <c r="K1067" s="408"/>
      <c r="L1067" s="408"/>
      <c r="M1067" s="408"/>
      <c r="N1067" s="409"/>
    </row>
    <row r="1068" spans="1:14" ht="15" customHeight="1">
      <c r="A1068" s="1085" t="s">
        <v>2531</v>
      </c>
      <c r="B1068" s="1494" t="s">
        <v>670</v>
      </c>
      <c r="C1068" s="1495"/>
      <c r="D1068" s="1495"/>
      <c r="E1068" s="1495"/>
      <c r="F1068" s="1495"/>
      <c r="G1068" s="1495"/>
      <c r="H1068" s="1495"/>
      <c r="I1068" s="1495"/>
      <c r="J1068" s="1496"/>
      <c r="K1068" s="196" t="s">
        <v>2222</v>
      </c>
      <c r="L1068" s="1497">
        <v>10.9</v>
      </c>
      <c r="M1068" s="1498"/>
      <c r="N1068" s="197">
        <f>L1068-H1075</f>
        <v>-0.29999999999999893</v>
      </c>
    </row>
    <row r="1069" spans="1:14">
      <c r="A1069" s="1499"/>
      <c r="B1069" s="1500"/>
      <c r="C1069" s="352"/>
      <c r="D1069" s="340" t="s">
        <v>2183</v>
      </c>
      <c r="E1069" s="839" t="s">
        <v>2184</v>
      </c>
      <c r="F1069" s="340" t="s">
        <v>2185</v>
      </c>
      <c r="G1069" s="340" t="s">
        <v>2186</v>
      </c>
      <c r="H1069" s="1778" t="s">
        <v>476</v>
      </c>
      <c r="I1069" s="1543"/>
      <c r="J1069" s="1543"/>
      <c r="K1069" s="1543"/>
      <c r="L1069" s="1543"/>
      <c r="M1069" s="1543"/>
      <c r="N1069" s="1566"/>
    </row>
    <row r="1070" spans="1:14">
      <c r="A1070" s="1787"/>
      <c r="B1070" s="1788"/>
      <c r="C1070" s="353" t="s">
        <v>2382</v>
      </c>
      <c r="D1070" s="292" t="s">
        <v>2187</v>
      </c>
      <c r="E1070" s="901" t="s">
        <v>2188</v>
      </c>
      <c r="F1070" s="292" t="s">
        <v>2189</v>
      </c>
      <c r="G1070" s="361" t="s">
        <v>2190</v>
      </c>
      <c r="H1070" s="1789"/>
      <c r="I1070" s="1543"/>
      <c r="J1070" s="1543"/>
      <c r="K1070" s="1543"/>
      <c r="L1070" s="1543"/>
      <c r="M1070" s="1543"/>
      <c r="N1070" s="1566"/>
    </row>
    <row r="1071" spans="1:14">
      <c r="A1071" s="1536" t="s">
        <v>2211</v>
      </c>
      <c r="B1071" s="360" t="s">
        <v>2532</v>
      </c>
      <c r="C1071" s="354"/>
      <c r="D1071" s="198">
        <v>4</v>
      </c>
      <c r="E1071" s="341"/>
      <c r="F1071" s="341">
        <v>2.8</v>
      </c>
      <c r="G1071" s="341">
        <v>1</v>
      </c>
      <c r="H1071" s="347">
        <f>D1071*F1071</f>
        <v>11.2</v>
      </c>
      <c r="I1071" s="1567"/>
      <c r="J1071" s="1543"/>
      <c r="K1071" s="1543"/>
      <c r="L1071" s="1543"/>
      <c r="M1071" s="1543"/>
      <c r="N1071" s="1566"/>
    </row>
    <row r="1072" spans="1:14">
      <c r="A1072" s="1536"/>
      <c r="B1072" s="360"/>
      <c r="C1072" s="354"/>
      <c r="D1072" s="198"/>
      <c r="E1072" s="341"/>
      <c r="F1072" s="341"/>
      <c r="G1072" s="341"/>
      <c r="H1072" s="347"/>
      <c r="I1072" s="1567"/>
      <c r="J1072" s="1543"/>
      <c r="K1072" s="1543"/>
      <c r="L1072" s="1543"/>
      <c r="M1072" s="1543"/>
      <c r="N1072" s="1566"/>
    </row>
    <row r="1073" spans="1:14">
      <c r="A1073" s="1536"/>
      <c r="B1073" s="360"/>
      <c r="C1073" s="354"/>
      <c r="D1073" s="198"/>
      <c r="E1073" s="341"/>
      <c r="F1073" s="341"/>
      <c r="G1073" s="341"/>
      <c r="H1073" s="347"/>
      <c r="I1073" s="1567"/>
      <c r="J1073" s="1543"/>
      <c r="K1073" s="1543"/>
      <c r="L1073" s="1543"/>
      <c r="M1073" s="1543"/>
      <c r="N1073" s="1566"/>
    </row>
    <row r="1074" spans="1:14">
      <c r="A1074" s="1536"/>
      <c r="B1074" s="360"/>
      <c r="C1074" s="354"/>
      <c r="D1074" s="198"/>
      <c r="E1074" s="341"/>
      <c r="F1074" s="341"/>
      <c r="G1074" s="341"/>
      <c r="H1074" s="347"/>
      <c r="I1074" s="1567"/>
      <c r="J1074" s="1543"/>
      <c r="K1074" s="1543"/>
      <c r="L1074" s="1543"/>
      <c r="M1074" s="1543"/>
      <c r="N1074" s="1566"/>
    </row>
    <row r="1075" spans="1:14">
      <c r="A1075" s="1577" t="s">
        <v>2218</v>
      </c>
      <c r="B1075" s="1542"/>
      <c r="C1075" s="1542"/>
      <c r="D1075" s="1542"/>
      <c r="E1075" s="1542"/>
      <c r="F1075" s="1542"/>
      <c r="G1075" s="1542"/>
      <c r="H1075" s="271">
        <f>SUM(H1071:H1074)</f>
        <v>11.2</v>
      </c>
      <c r="I1075" s="1567"/>
      <c r="J1075" s="1543"/>
      <c r="K1075" s="1543"/>
      <c r="L1075" s="1543"/>
      <c r="M1075" s="1543"/>
      <c r="N1075" s="1566"/>
    </row>
    <row r="1076" spans="1:14">
      <c r="A1076" s="1519" t="s">
        <v>2219</v>
      </c>
      <c r="B1076" s="1517"/>
      <c r="C1076" s="1517"/>
      <c r="D1076" s="1551"/>
      <c r="E1076" s="1551"/>
      <c r="F1076" s="1551"/>
      <c r="G1076" s="1552"/>
      <c r="H1076" s="272">
        <v>0</v>
      </c>
      <c r="I1076" s="1543"/>
      <c r="J1076" s="1543"/>
      <c r="K1076" s="1543"/>
      <c r="L1076" s="1543"/>
      <c r="M1076" s="1543"/>
      <c r="N1076" s="1566"/>
    </row>
    <row r="1077" spans="1:14" ht="15.75" thickBot="1">
      <c r="A1077" s="1520" t="s">
        <v>2220</v>
      </c>
      <c r="B1077" s="1521"/>
      <c r="C1077" s="1521"/>
      <c r="D1077" s="1521"/>
      <c r="E1077" s="1521"/>
      <c r="F1077" s="1521"/>
      <c r="G1077" s="1522"/>
      <c r="H1077" s="216">
        <f>H1075-H1076</f>
        <v>11.2</v>
      </c>
      <c r="I1077" s="1568"/>
      <c r="J1077" s="1568"/>
      <c r="K1077" s="1568"/>
      <c r="L1077" s="1568"/>
      <c r="M1077" s="1568"/>
      <c r="N1077" s="1569"/>
    </row>
    <row r="1078" spans="1:14" ht="15" customHeight="1" thickBot="1">
      <c r="A1078" s="1635"/>
      <c r="B1078" s="1636"/>
      <c r="C1078" s="1636"/>
      <c r="D1078" s="1636"/>
      <c r="E1078" s="1636"/>
      <c r="F1078" s="1636"/>
      <c r="G1078" s="1636"/>
      <c r="H1078" s="1636"/>
      <c r="I1078" s="1636"/>
      <c r="J1078" s="1636"/>
      <c r="K1078" s="1636"/>
      <c r="L1078" s="1636"/>
      <c r="M1078" s="1636"/>
      <c r="N1078" s="1637"/>
    </row>
    <row r="1079" spans="1:14" ht="15" customHeight="1">
      <c r="A1079" s="1085" t="s">
        <v>2533</v>
      </c>
      <c r="B1079" s="1494" t="s">
        <v>2534</v>
      </c>
      <c r="C1079" s="1495"/>
      <c r="D1079" s="1495"/>
      <c r="E1079" s="1495"/>
      <c r="F1079" s="1495"/>
      <c r="G1079" s="1495"/>
      <c r="H1079" s="1495"/>
      <c r="I1079" s="1495"/>
      <c r="J1079" s="1496"/>
      <c r="K1079" s="196" t="s">
        <v>44</v>
      </c>
      <c r="L1079" s="1497">
        <v>672</v>
      </c>
      <c r="M1079" s="1498"/>
      <c r="N1079" s="197">
        <f>L1079-H1107</f>
        <v>0</v>
      </c>
    </row>
    <row r="1080" spans="1:14">
      <c r="A1080" s="1554"/>
      <c r="B1080" s="1541"/>
      <c r="C1080" s="366"/>
      <c r="D1080" s="367" t="s">
        <v>2183</v>
      </c>
      <c r="E1080" s="1320" t="s">
        <v>2184</v>
      </c>
      <c r="F1080" s="367" t="s">
        <v>2185</v>
      </c>
      <c r="G1080" s="367" t="s">
        <v>2186</v>
      </c>
      <c r="H1080" s="1542" t="s">
        <v>476</v>
      </c>
      <c r="I1080" s="1543"/>
      <c r="J1080" s="1543"/>
      <c r="K1080" s="1543"/>
      <c r="L1080" s="1543"/>
      <c r="M1080" s="1543"/>
      <c r="N1080" s="1566"/>
    </row>
    <row r="1081" spans="1:14">
      <c r="A1081" s="1554"/>
      <c r="B1081" s="1541"/>
      <c r="C1081" s="368" t="s">
        <v>2382</v>
      </c>
      <c r="D1081" s="369" t="s">
        <v>2187</v>
      </c>
      <c r="E1081" s="529" t="s">
        <v>2188</v>
      </c>
      <c r="F1081" s="369" t="s">
        <v>2189</v>
      </c>
      <c r="G1081" s="370" t="s">
        <v>2522</v>
      </c>
      <c r="H1081" s="1542"/>
      <c r="I1081" s="1543"/>
      <c r="J1081" s="1543"/>
      <c r="K1081" s="1543"/>
      <c r="L1081" s="1543"/>
      <c r="M1081" s="1543"/>
      <c r="N1081" s="1566"/>
    </row>
    <row r="1082" spans="1:14">
      <c r="A1082" s="1544" t="s">
        <v>2238</v>
      </c>
      <c r="B1082" s="410" t="s">
        <v>2535</v>
      </c>
      <c r="C1082" s="346"/>
      <c r="D1082" s="346">
        <v>22</v>
      </c>
      <c r="E1082" s="346"/>
      <c r="F1082" s="346"/>
      <c r="G1082" s="346">
        <v>1</v>
      </c>
      <c r="H1082" s="403">
        <f>D1082*G1082</f>
        <v>22</v>
      </c>
      <c r="I1082" s="1567"/>
      <c r="J1082" s="1543"/>
      <c r="K1082" s="1543"/>
      <c r="L1082" s="1543"/>
      <c r="M1082" s="1543"/>
      <c r="N1082" s="1566"/>
    </row>
    <row r="1083" spans="1:14">
      <c r="A1083" s="1544"/>
      <c r="B1083" s="406"/>
      <c r="C1083" s="341"/>
      <c r="D1083" s="341"/>
      <c r="E1083" s="341"/>
      <c r="F1083" s="341"/>
      <c r="G1083" s="341"/>
      <c r="H1083" s="347"/>
      <c r="I1083" s="1567"/>
      <c r="J1083" s="1543"/>
      <c r="K1083" s="1543"/>
      <c r="L1083" s="1543"/>
      <c r="M1083" s="1543"/>
      <c r="N1083" s="1566"/>
    </row>
    <row r="1084" spans="1:14">
      <c r="A1084" s="1544" t="s">
        <v>2268</v>
      </c>
      <c r="B1084" s="406" t="s">
        <v>2536</v>
      </c>
      <c r="C1084" s="341"/>
      <c r="D1084" s="341">
        <v>40</v>
      </c>
      <c r="E1084" s="341"/>
      <c r="F1084" s="341"/>
      <c r="G1084" s="341">
        <v>1</v>
      </c>
      <c r="H1084" s="347">
        <f>D1084*G1084</f>
        <v>40</v>
      </c>
      <c r="I1084" s="1567"/>
      <c r="J1084" s="1543"/>
      <c r="K1084" s="1543"/>
      <c r="L1084" s="1543"/>
      <c r="M1084" s="1543"/>
      <c r="N1084" s="1566"/>
    </row>
    <row r="1085" spans="1:14">
      <c r="A1085" s="1544"/>
      <c r="B1085" s="406"/>
      <c r="C1085" s="341"/>
      <c r="D1085" s="341"/>
      <c r="E1085" s="341"/>
      <c r="F1085" s="341"/>
      <c r="G1085" s="341"/>
      <c r="H1085" s="347"/>
      <c r="I1085" s="1567"/>
      <c r="J1085" s="1543"/>
      <c r="K1085" s="1543"/>
      <c r="L1085" s="1543"/>
      <c r="M1085" s="1543"/>
      <c r="N1085" s="1566"/>
    </row>
    <row r="1086" spans="1:14" ht="24">
      <c r="A1086" s="1544" t="s">
        <v>2476</v>
      </c>
      <c r="B1086" s="405" t="s">
        <v>2537</v>
      </c>
      <c r="C1086" s="341"/>
      <c r="D1086" s="341">
        <v>120</v>
      </c>
      <c r="E1086" s="341"/>
      <c r="F1086" s="341"/>
      <c r="G1086" s="341">
        <v>1</v>
      </c>
      <c r="H1086" s="347">
        <f>D1086*G1086</f>
        <v>120</v>
      </c>
      <c r="I1086" s="1567"/>
      <c r="J1086" s="1543"/>
      <c r="K1086" s="1543"/>
      <c r="L1086" s="1543"/>
      <c r="M1086" s="1543"/>
      <c r="N1086" s="1566"/>
    </row>
    <row r="1087" spans="1:14">
      <c r="A1087" s="1544"/>
      <c r="B1087" s="405"/>
      <c r="C1087" s="341"/>
      <c r="D1087" s="341"/>
      <c r="E1087" s="341"/>
      <c r="F1087" s="341"/>
      <c r="G1087" s="341"/>
      <c r="H1087" s="347"/>
      <c r="I1087" s="1567"/>
      <c r="J1087" s="1543"/>
      <c r="K1087" s="1543"/>
      <c r="L1087" s="1543"/>
      <c r="M1087" s="1543"/>
      <c r="N1087" s="1566"/>
    </row>
    <row r="1088" spans="1:14">
      <c r="A1088" s="1544" t="s">
        <v>2662</v>
      </c>
      <c r="B1088" s="411" t="s">
        <v>2732</v>
      </c>
      <c r="C1088" s="341"/>
      <c r="D1088" s="341">
        <v>10</v>
      </c>
      <c r="E1088" s="341"/>
      <c r="F1088" s="341"/>
      <c r="G1088" s="341">
        <v>1</v>
      </c>
      <c r="H1088" s="347">
        <f>D1088*G1088</f>
        <v>10</v>
      </c>
      <c r="I1088" s="1567"/>
      <c r="J1088" s="1543"/>
      <c r="K1088" s="1543"/>
      <c r="L1088" s="1543"/>
      <c r="M1088" s="1543"/>
      <c r="N1088" s="1566"/>
    </row>
    <row r="1089" spans="1:15">
      <c r="A1089" s="1544"/>
      <c r="B1089" s="411"/>
      <c r="C1089" s="341"/>
      <c r="D1089" s="341"/>
      <c r="E1089" s="341"/>
      <c r="F1089" s="341"/>
      <c r="G1089" s="341"/>
      <c r="H1089" s="347"/>
      <c r="I1089" s="1567"/>
      <c r="J1089" s="1543"/>
      <c r="K1089" s="1543"/>
      <c r="L1089" s="1543"/>
      <c r="M1089" s="1543"/>
      <c r="N1089" s="1566"/>
    </row>
    <row r="1090" spans="1:15">
      <c r="A1090" s="1544" t="s">
        <v>2749</v>
      </c>
      <c r="B1090" s="406" t="s">
        <v>2837</v>
      </c>
      <c r="C1090" s="341"/>
      <c r="D1090" s="341">
        <v>15</v>
      </c>
      <c r="E1090" s="341"/>
      <c r="F1090" s="341"/>
      <c r="G1090" s="341">
        <v>1</v>
      </c>
      <c r="H1090" s="347">
        <v>25</v>
      </c>
      <c r="I1090" s="1567"/>
      <c r="J1090" s="1543"/>
      <c r="K1090" s="1543"/>
      <c r="L1090" s="1543"/>
      <c r="M1090" s="1543"/>
      <c r="N1090" s="1566"/>
    </row>
    <row r="1091" spans="1:15">
      <c r="A1091" s="1544"/>
      <c r="B1091" s="406" t="s">
        <v>2836</v>
      </c>
      <c r="C1091" s="341"/>
      <c r="D1091" s="341">
        <v>35</v>
      </c>
      <c r="E1091" s="341"/>
      <c r="F1091" s="341"/>
      <c r="G1091" s="341">
        <v>1</v>
      </c>
      <c r="H1091" s="347">
        <f>D1091</f>
        <v>35</v>
      </c>
      <c r="I1091" s="1567"/>
      <c r="J1091" s="1543"/>
      <c r="K1091" s="1543"/>
      <c r="L1091" s="1543"/>
      <c r="M1091" s="1543"/>
      <c r="N1091" s="1566"/>
    </row>
    <row r="1092" spans="1:15">
      <c r="A1092" s="1544" t="s">
        <v>2843</v>
      </c>
      <c r="B1092" s="406" t="s">
        <v>2848</v>
      </c>
      <c r="C1092" s="341"/>
      <c r="D1092" s="341">
        <v>36</v>
      </c>
      <c r="E1092" s="341"/>
      <c r="F1092" s="341"/>
      <c r="G1092" s="341">
        <v>1</v>
      </c>
      <c r="H1092" s="347">
        <f>D1092</f>
        <v>36</v>
      </c>
      <c r="I1092" s="1567"/>
      <c r="J1092" s="1543"/>
      <c r="K1092" s="1543"/>
      <c r="L1092" s="1543"/>
      <c r="M1092" s="1543"/>
      <c r="N1092" s="1566"/>
    </row>
    <row r="1093" spans="1:15">
      <c r="A1093" s="1514"/>
      <c r="B1093" s="412"/>
      <c r="C1093" s="351"/>
      <c r="D1093" s="351"/>
      <c r="E1093" s="351"/>
      <c r="F1093" s="351"/>
      <c r="G1093" s="351"/>
      <c r="H1093" s="364"/>
      <c r="I1093" s="1567"/>
      <c r="J1093" s="1543"/>
      <c r="K1093" s="1543"/>
      <c r="L1093" s="1543"/>
      <c r="M1093" s="1543"/>
      <c r="N1093" s="1566"/>
    </row>
    <row r="1094" spans="1:15">
      <c r="A1094" s="1514" t="s">
        <v>2895</v>
      </c>
      <c r="B1094" s="410" t="s">
        <v>2848</v>
      </c>
      <c r="C1094" s="346"/>
      <c r="D1094" s="346">
        <v>36</v>
      </c>
      <c r="E1094" s="346"/>
      <c r="F1094" s="346"/>
      <c r="G1094" s="346"/>
      <c r="H1094" s="347">
        <f>D1094</f>
        <v>36</v>
      </c>
      <c r="I1094" s="1567"/>
      <c r="J1094" s="1543"/>
      <c r="K1094" s="1543"/>
      <c r="L1094" s="1543"/>
      <c r="M1094" s="1543"/>
      <c r="N1094" s="1566"/>
      <c r="O1094" t="s">
        <v>2960</v>
      </c>
    </row>
    <row r="1095" spans="1:15">
      <c r="A1095" s="1515"/>
      <c r="B1095" s="413"/>
      <c r="C1095" s="348"/>
      <c r="D1095" s="348"/>
      <c r="E1095" s="348"/>
      <c r="F1095" s="348"/>
      <c r="G1095" s="348"/>
      <c r="H1095" s="349"/>
      <c r="I1095" s="1567"/>
      <c r="J1095" s="1543"/>
      <c r="K1095" s="1543"/>
      <c r="L1095" s="1543"/>
      <c r="M1095" s="1543"/>
      <c r="N1095" s="1566"/>
    </row>
    <row r="1096" spans="1:15">
      <c r="A1096" s="1094" t="s">
        <v>2943</v>
      </c>
      <c r="B1096" s="406" t="s">
        <v>2944</v>
      </c>
      <c r="C1096" s="341"/>
      <c r="D1096" s="341">
        <v>36</v>
      </c>
      <c r="E1096" s="341"/>
      <c r="F1096" s="341"/>
      <c r="G1096" s="341"/>
      <c r="H1096" s="347">
        <f>D1096</f>
        <v>36</v>
      </c>
      <c r="I1096" s="1567"/>
      <c r="J1096" s="1543"/>
      <c r="K1096" s="1543"/>
      <c r="L1096" s="1543"/>
      <c r="M1096" s="1543"/>
      <c r="N1096" s="1566"/>
      <c r="O1096" t="s">
        <v>2960</v>
      </c>
    </row>
    <row r="1097" spans="1:15">
      <c r="A1097" s="1094"/>
      <c r="B1097" s="406"/>
      <c r="C1097" s="341"/>
      <c r="D1097" s="341"/>
      <c r="E1097" s="341"/>
      <c r="F1097" s="341"/>
      <c r="G1097" s="341"/>
      <c r="H1097" s="347"/>
      <c r="I1097" s="1567"/>
      <c r="J1097" s="1543"/>
      <c r="K1097" s="1543"/>
      <c r="L1097" s="1543"/>
      <c r="M1097" s="1543"/>
      <c r="N1097" s="1566"/>
    </row>
    <row r="1098" spans="1:15">
      <c r="A1098" s="1514" t="s">
        <v>3728</v>
      </c>
      <c r="B1098" s="406" t="s">
        <v>3740</v>
      </c>
      <c r="C1098" s="341"/>
      <c r="D1098" s="341">
        <v>3</v>
      </c>
      <c r="E1098" s="341">
        <v>8</v>
      </c>
      <c r="F1098" s="341"/>
      <c r="G1098" s="341">
        <v>2</v>
      </c>
      <c r="H1098" s="347">
        <f t="shared" ref="H1098:H1103" si="26">D1098*E1098*G1098</f>
        <v>48</v>
      </c>
      <c r="I1098" s="1567"/>
      <c r="J1098" s="1543"/>
      <c r="K1098" s="1543"/>
      <c r="L1098" s="1543"/>
      <c r="M1098" s="1543"/>
      <c r="N1098" s="1566"/>
    </row>
    <row r="1099" spans="1:15">
      <c r="A1099" s="1523"/>
      <c r="B1099" s="406" t="s">
        <v>3739</v>
      </c>
      <c r="C1099" s="341"/>
      <c r="D1099" s="341">
        <v>3</v>
      </c>
      <c r="E1099" s="341">
        <v>8</v>
      </c>
      <c r="F1099" s="341"/>
      <c r="G1099" s="341">
        <v>2</v>
      </c>
      <c r="H1099" s="347">
        <f t="shared" si="26"/>
        <v>48</v>
      </c>
      <c r="I1099" s="1567"/>
      <c r="J1099" s="1543"/>
      <c r="K1099" s="1543"/>
      <c r="L1099" s="1543"/>
      <c r="M1099" s="1543"/>
      <c r="N1099" s="1566"/>
    </row>
    <row r="1100" spans="1:15">
      <c r="A1100" s="1523"/>
      <c r="B1100" s="406" t="s">
        <v>3741</v>
      </c>
      <c r="C1100" s="341"/>
      <c r="D1100" s="341">
        <v>3</v>
      </c>
      <c r="E1100" s="341">
        <v>8</v>
      </c>
      <c r="F1100" s="341"/>
      <c r="G1100" s="341">
        <v>2</v>
      </c>
      <c r="H1100" s="347">
        <f t="shared" si="26"/>
        <v>48</v>
      </c>
      <c r="I1100" s="1567"/>
      <c r="J1100" s="1543"/>
      <c r="K1100" s="1543"/>
      <c r="L1100" s="1543"/>
      <c r="M1100" s="1543"/>
      <c r="N1100" s="1566"/>
    </row>
    <row r="1101" spans="1:15">
      <c r="A1101" s="1523"/>
      <c r="B1101" s="406" t="s">
        <v>3742</v>
      </c>
      <c r="C1101" s="341"/>
      <c r="D1101" s="341">
        <v>3</v>
      </c>
      <c r="E1101" s="341">
        <v>8</v>
      </c>
      <c r="F1101" s="341"/>
      <c r="G1101" s="341">
        <v>2</v>
      </c>
      <c r="H1101" s="347">
        <f t="shared" si="26"/>
        <v>48</v>
      </c>
      <c r="I1101" s="1567"/>
      <c r="J1101" s="1543"/>
      <c r="K1101" s="1543"/>
      <c r="L1101" s="1543"/>
      <c r="M1101" s="1543"/>
      <c r="N1101" s="1566"/>
    </row>
    <row r="1102" spans="1:15">
      <c r="A1102" s="1515"/>
      <c r="B1102" s="406" t="s">
        <v>3743</v>
      </c>
      <c r="C1102" s="341"/>
      <c r="D1102" s="341">
        <v>3</v>
      </c>
      <c r="E1102" s="341">
        <v>8</v>
      </c>
      <c r="F1102" s="341"/>
      <c r="G1102" s="341">
        <v>2</v>
      </c>
      <c r="H1102" s="347">
        <f t="shared" si="26"/>
        <v>48</v>
      </c>
      <c r="I1102" s="1567"/>
      <c r="J1102" s="1543"/>
      <c r="K1102" s="1543"/>
      <c r="L1102" s="1543"/>
      <c r="M1102" s="1543"/>
      <c r="N1102" s="1566"/>
    </row>
    <row r="1103" spans="1:15">
      <c r="A1103" s="1094" t="s">
        <v>3848</v>
      </c>
      <c r="B1103" s="406" t="s">
        <v>3849</v>
      </c>
      <c r="C1103" s="341"/>
      <c r="D1103" s="341">
        <v>3</v>
      </c>
      <c r="E1103" s="341">
        <v>8</v>
      </c>
      <c r="F1103" s="341"/>
      <c r="G1103" s="341">
        <v>2</v>
      </c>
      <c r="H1103" s="347">
        <f t="shared" si="26"/>
        <v>48</v>
      </c>
      <c r="I1103" s="1567"/>
      <c r="J1103" s="1543"/>
      <c r="K1103" s="1543"/>
      <c r="L1103" s="1543"/>
      <c r="M1103" s="1543"/>
      <c r="N1103" s="1566"/>
    </row>
    <row r="1104" spans="1:15">
      <c r="A1104" s="1094" t="s">
        <v>3891</v>
      </c>
      <c r="B1104" s="406" t="s">
        <v>3890</v>
      </c>
      <c r="C1104" s="341"/>
      <c r="D1104" s="341">
        <v>3</v>
      </c>
      <c r="E1104" s="341">
        <v>8</v>
      </c>
      <c r="F1104" s="341"/>
      <c r="G1104" s="341">
        <v>1</v>
      </c>
      <c r="H1104" s="347">
        <f t="shared" ref="H1104" si="27">D1104*E1104*G1104</f>
        <v>24</v>
      </c>
      <c r="I1104" s="1567"/>
      <c r="J1104" s="1543"/>
      <c r="K1104" s="1543"/>
      <c r="L1104" s="1543"/>
      <c r="M1104" s="1543"/>
      <c r="N1104" s="1566"/>
    </row>
    <row r="1105" spans="1:14">
      <c r="A1105" s="1094"/>
      <c r="B1105" s="406"/>
      <c r="C1105" s="341"/>
      <c r="D1105" s="341"/>
      <c r="E1105" s="341"/>
      <c r="F1105" s="341"/>
      <c r="G1105" s="341"/>
      <c r="H1105" s="347"/>
      <c r="I1105" s="1567"/>
      <c r="J1105" s="1543"/>
      <c r="K1105" s="1543"/>
      <c r="L1105" s="1543"/>
      <c r="M1105" s="1543"/>
      <c r="N1105" s="1566"/>
    </row>
    <row r="1106" spans="1:14">
      <c r="A1106" s="1094"/>
      <c r="B1106" s="406"/>
      <c r="C1106" s="341"/>
      <c r="D1106" s="341"/>
      <c r="E1106" s="341"/>
      <c r="F1106" s="341"/>
      <c r="G1106" s="341"/>
      <c r="H1106" s="347"/>
      <c r="I1106" s="1567"/>
      <c r="J1106" s="1543"/>
      <c r="K1106" s="1543"/>
      <c r="L1106" s="1543"/>
      <c r="M1106" s="1543"/>
      <c r="N1106" s="1566"/>
    </row>
    <row r="1107" spans="1:14">
      <c r="A1107" s="1577" t="s">
        <v>2218</v>
      </c>
      <c r="B1107" s="1542"/>
      <c r="C1107" s="1542"/>
      <c r="D1107" s="1542"/>
      <c r="E1107" s="1542"/>
      <c r="F1107" s="1542"/>
      <c r="G1107" s="1542"/>
      <c r="H1107" s="271">
        <f>SUM(H1082:H1106)</f>
        <v>672</v>
      </c>
      <c r="I1107" s="1567"/>
      <c r="J1107" s="1543"/>
      <c r="K1107" s="1543"/>
      <c r="L1107" s="1543"/>
      <c r="M1107" s="1543"/>
      <c r="N1107" s="1566"/>
    </row>
    <row r="1108" spans="1:14">
      <c r="A1108" s="1519" t="s">
        <v>2219</v>
      </c>
      <c r="B1108" s="1517"/>
      <c r="C1108" s="1517"/>
      <c r="D1108" s="1551"/>
      <c r="E1108" s="1551"/>
      <c r="F1108" s="1551"/>
      <c r="G1108" s="1552"/>
      <c r="H1108" s="272">
        <f>SUM(H1082:H1103)</f>
        <v>648</v>
      </c>
      <c r="I1108" s="1543"/>
      <c r="J1108" s="1543"/>
      <c r="K1108" s="1543"/>
      <c r="L1108" s="1543"/>
      <c r="M1108" s="1543"/>
      <c r="N1108" s="1566"/>
    </row>
    <row r="1109" spans="1:14" ht="15.75" thickBot="1">
      <c r="A1109" s="1520" t="s">
        <v>2220</v>
      </c>
      <c r="B1109" s="1521"/>
      <c r="C1109" s="1521"/>
      <c r="D1109" s="1521"/>
      <c r="E1109" s="1521"/>
      <c r="F1109" s="1521"/>
      <c r="G1109" s="1522"/>
      <c r="H1109" s="216">
        <f>H1107-H1108</f>
        <v>24</v>
      </c>
      <c r="I1109" s="1568"/>
      <c r="J1109" s="1568"/>
      <c r="K1109" s="1568"/>
      <c r="L1109" s="1568"/>
      <c r="M1109" s="1568"/>
      <c r="N1109" s="1569"/>
    </row>
    <row r="1110" spans="1:14" ht="12.75" customHeight="1" thickBot="1">
      <c r="A1110" s="1780"/>
      <c r="B1110" s="1781"/>
      <c r="C1110" s="1781"/>
      <c r="D1110" s="1781"/>
      <c r="E1110" s="1781"/>
      <c r="F1110" s="1781"/>
      <c r="G1110" s="1781"/>
      <c r="H1110" s="1781"/>
      <c r="I1110" s="1781"/>
      <c r="J1110" s="1781"/>
      <c r="K1110" s="1781"/>
      <c r="L1110" s="1781"/>
      <c r="M1110" s="1781"/>
      <c r="N1110" s="1782"/>
    </row>
    <row r="1111" spans="1:14" ht="30" customHeight="1">
      <c r="A1111" s="1085" t="s">
        <v>2538</v>
      </c>
      <c r="B1111" s="1494" t="str">
        <f>[9]Planilha1!D72</f>
        <v>Locação de andaime metálico para trabalho em fachada de edifíco (aluguel de 1 m² por 1 mês) inclusive frete, montagem e desmontagem</v>
      </c>
      <c r="C1111" s="1495"/>
      <c r="D1111" s="1495"/>
      <c r="E1111" s="1495"/>
      <c r="F1111" s="1495"/>
      <c r="G1111" s="1495"/>
      <c r="H1111" s="1495"/>
      <c r="I1111" s="1495"/>
      <c r="J1111" s="1496"/>
      <c r="K1111" s="196" t="s">
        <v>44</v>
      </c>
      <c r="L1111" s="1497">
        <f>'27ª MEDIÇÃO '!F72</f>
        <v>1039.6500000000001</v>
      </c>
      <c r="M1111" s="1498"/>
      <c r="N1111" s="197">
        <f>L1111-H1132</f>
        <v>2.0000000000209184E-2</v>
      </c>
    </row>
    <row r="1112" spans="1:14">
      <c r="A1112" s="1554"/>
      <c r="B1112" s="1541"/>
      <c r="C1112" s="366"/>
      <c r="D1112" s="367" t="s">
        <v>2183</v>
      </c>
      <c r="E1112" s="1320" t="s">
        <v>2184</v>
      </c>
      <c r="F1112" s="367" t="s">
        <v>2185</v>
      </c>
      <c r="G1112" s="367" t="s">
        <v>2186</v>
      </c>
      <c r="H1112" s="1542" t="s">
        <v>476</v>
      </c>
      <c r="I1112" s="1543"/>
      <c r="J1112" s="1543"/>
      <c r="K1112" s="1543"/>
      <c r="L1112" s="1543"/>
      <c r="M1112" s="1543"/>
      <c r="N1112" s="1566"/>
    </row>
    <row r="1113" spans="1:14">
      <c r="A1113" s="1554"/>
      <c r="B1113" s="1541"/>
      <c r="C1113" s="368" t="s">
        <v>2382</v>
      </c>
      <c r="D1113" s="369" t="s">
        <v>2187</v>
      </c>
      <c r="E1113" s="529" t="s">
        <v>2188</v>
      </c>
      <c r="F1113" s="369" t="s">
        <v>2189</v>
      </c>
      <c r="G1113" s="370" t="s">
        <v>2879</v>
      </c>
      <c r="H1113" s="1542"/>
      <c r="I1113" s="1543"/>
      <c r="J1113" s="1543"/>
      <c r="K1113" s="1543"/>
      <c r="L1113" s="1543"/>
      <c r="M1113" s="1543"/>
      <c r="N1113" s="1566"/>
    </row>
    <row r="1114" spans="1:14">
      <c r="A1114" s="1611" t="s">
        <v>2476</v>
      </c>
      <c r="B1114" s="360" t="s">
        <v>2539</v>
      </c>
      <c r="C1114" s="354"/>
      <c r="D1114" s="341">
        <v>24.3</v>
      </c>
      <c r="E1114" s="350">
        <v>8.5</v>
      </c>
      <c r="F1114" s="350"/>
      <c r="G1114" s="350">
        <v>1</v>
      </c>
      <c r="H1114" s="371">
        <f>D1114*E1114*G1114</f>
        <v>206.55</v>
      </c>
      <c r="I1114" s="1567"/>
      <c r="J1114" s="1543"/>
      <c r="K1114" s="1543"/>
      <c r="L1114" s="1543"/>
      <c r="M1114" s="1543"/>
      <c r="N1114" s="1566"/>
    </row>
    <row r="1115" spans="1:14">
      <c r="A1115" s="1612"/>
      <c r="B1115" s="360" t="s">
        <v>2540</v>
      </c>
      <c r="C1115" s="354"/>
      <c r="D1115" s="341">
        <v>20</v>
      </c>
      <c r="E1115" s="341">
        <v>7</v>
      </c>
      <c r="F1115" s="341"/>
      <c r="G1115" s="341">
        <v>1</v>
      </c>
      <c r="H1115" s="371">
        <f>D1115*E1115*G1115</f>
        <v>140</v>
      </c>
      <c r="I1115" s="1567"/>
      <c r="J1115" s="1543"/>
      <c r="K1115" s="1543"/>
      <c r="L1115" s="1543"/>
      <c r="M1115" s="1543"/>
      <c r="N1115" s="1566"/>
    </row>
    <row r="1116" spans="1:14">
      <c r="A1116" s="1667" t="s">
        <v>2895</v>
      </c>
      <c r="B1116" s="414" t="s">
        <v>2539</v>
      </c>
      <c r="C1116" s="415"/>
      <c r="D1116" s="346">
        <v>24.3</v>
      </c>
      <c r="E1116" s="346">
        <v>8.5</v>
      </c>
      <c r="F1116" s="346"/>
      <c r="G1116" s="346">
        <v>1</v>
      </c>
      <c r="H1116" s="371"/>
      <c r="I1116" s="1567"/>
      <c r="J1116" s="1543"/>
      <c r="K1116" s="1543"/>
      <c r="L1116" s="1543"/>
      <c r="M1116" s="1543"/>
      <c r="N1116" s="1566"/>
    </row>
    <row r="1117" spans="1:14">
      <c r="A1117" s="1668"/>
      <c r="B1117" s="360" t="s">
        <v>2540</v>
      </c>
      <c r="C1117" s="354"/>
      <c r="D1117" s="341">
        <v>20</v>
      </c>
      <c r="E1117" s="341">
        <v>7</v>
      </c>
      <c r="F1117" s="341"/>
      <c r="G1117" s="341">
        <v>1</v>
      </c>
      <c r="H1117" s="371"/>
      <c r="I1117" s="1567"/>
      <c r="J1117" s="1543"/>
      <c r="K1117" s="1543"/>
      <c r="L1117" s="1543"/>
      <c r="M1117" s="1543"/>
      <c r="N1117" s="1566"/>
    </row>
    <row r="1118" spans="1:14">
      <c r="A1118" s="1734" t="s">
        <v>2997</v>
      </c>
      <c r="B1118" s="414" t="s">
        <v>2539</v>
      </c>
      <c r="C1118" s="415"/>
      <c r="D1118" s="346">
        <v>14</v>
      </c>
      <c r="E1118" s="346">
        <f>6*1.5</f>
        <v>9</v>
      </c>
      <c r="F1118" s="346"/>
      <c r="G1118" s="346">
        <v>1</v>
      </c>
      <c r="H1118" s="371">
        <f t="shared" ref="H1118:H1126" si="28">D1118*E1118*G1118</f>
        <v>126</v>
      </c>
      <c r="I1118" s="1567"/>
      <c r="J1118" s="1543"/>
      <c r="K1118" s="1543"/>
      <c r="L1118" s="1543"/>
      <c r="M1118" s="1543"/>
      <c r="N1118" s="1566"/>
    </row>
    <row r="1119" spans="1:14">
      <c r="A1119" s="1736"/>
      <c r="B1119" s="360" t="s">
        <v>2540</v>
      </c>
      <c r="C1119" s="354"/>
      <c r="D1119" s="341"/>
      <c r="E1119" s="341"/>
      <c r="F1119" s="341"/>
      <c r="G1119" s="341"/>
      <c r="H1119" s="371"/>
      <c r="I1119" s="1567"/>
      <c r="J1119" s="1543"/>
      <c r="K1119" s="1543"/>
      <c r="L1119" s="1543"/>
      <c r="M1119" s="1543"/>
      <c r="N1119" s="1566"/>
    </row>
    <row r="1120" spans="1:14">
      <c r="A1120" s="1734" t="s">
        <v>3158</v>
      </c>
      <c r="B1120" s="414" t="s">
        <v>2539</v>
      </c>
      <c r="C1120" s="415"/>
      <c r="D1120" s="346">
        <v>14</v>
      </c>
      <c r="E1120" s="346">
        <f>6*1.5</f>
        <v>9</v>
      </c>
      <c r="F1120" s="346"/>
      <c r="G1120" s="346">
        <v>1</v>
      </c>
      <c r="H1120" s="371">
        <f t="shared" si="28"/>
        <v>126</v>
      </c>
      <c r="I1120" s="1567"/>
      <c r="J1120" s="1543"/>
      <c r="K1120" s="1543"/>
      <c r="L1120" s="1543"/>
      <c r="M1120" s="1543"/>
      <c r="N1120" s="1566"/>
    </row>
    <row r="1121" spans="1:14">
      <c r="A1121" s="1736"/>
      <c r="B1121" s="360" t="s">
        <v>2540</v>
      </c>
      <c r="C1121" s="354"/>
      <c r="D1121" s="341"/>
      <c r="E1121" s="341"/>
      <c r="F1121" s="341"/>
      <c r="G1121" s="341"/>
      <c r="H1121" s="371"/>
      <c r="I1121" s="1567"/>
      <c r="J1121" s="1543"/>
      <c r="K1121" s="1543"/>
      <c r="L1121" s="1543"/>
      <c r="M1121" s="1543"/>
      <c r="N1121" s="1566"/>
    </row>
    <row r="1122" spans="1:14">
      <c r="A1122" s="1734" t="s">
        <v>3217</v>
      </c>
      <c r="B1122" s="414" t="s">
        <v>2539</v>
      </c>
      <c r="C1122" s="415"/>
      <c r="D1122" s="346">
        <v>6</v>
      </c>
      <c r="E1122" s="346">
        <f>6*1.5</f>
        <v>9</v>
      </c>
      <c r="F1122" s="346"/>
      <c r="G1122" s="346">
        <v>1</v>
      </c>
      <c r="H1122" s="371">
        <f t="shared" si="28"/>
        <v>54</v>
      </c>
      <c r="I1122" s="1567"/>
      <c r="J1122" s="1543"/>
      <c r="K1122" s="1543"/>
      <c r="L1122" s="1543"/>
      <c r="M1122" s="1543"/>
      <c r="N1122" s="1566"/>
    </row>
    <row r="1123" spans="1:14">
      <c r="A1123" s="1736"/>
      <c r="B1123" s="360" t="s">
        <v>2540</v>
      </c>
      <c r="C1123" s="354"/>
      <c r="D1123" s="341">
        <v>4</v>
      </c>
      <c r="E1123" s="341">
        <f>3*1.5</f>
        <v>4.5</v>
      </c>
      <c r="F1123" s="341"/>
      <c r="G1123" s="341">
        <v>1</v>
      </c>
      <c r="H1123" s="371">
        <f t="shared" si="28"/>
        <v>18</v>
      </c>
      <c r="I1123" s="1567"/>
      <c r="J1123" s="1543"/>
      <c r="K1123" s="1543"/>
      <c r="L1123" s="1543"/>
      <c r="M1123" s="1543"/>
      <c r="N1123" s="1566"/>
    </row>
    <row r="1124" spans="1:14">
      <c r="A1124" s="1734" t="s">
        <v>3364</v>
      </c>
      <c r="B1124" s="414" t="s">
        <v>2539</v>
      </c>
      <c r="C1124" s="415"/>
      <c r="D1124" s="346">
        <v>14</v>
      </c>
      <c r="E1124" s="346">
        <v>9</v>
      </c>
      <c r="F1124" s="346"/>
      <c r="G1124" s="346">
        <v>1</v>
      </c>
      <c r="H1124" s="371">
        <f t="shared" si="28"/>
        <v>126</v>
      </c>
      <c r="I1124" s="1567"/>
      <c r="J1124" s="1543"/>
      <c r="K1124" s="1543"/>
      <c r="L1124" s="1543"/>
      <c r="M1124" s="1543"/>
      <c r="N1124" s="1566"/>
    </row>
    <row r="1125" spans="1:14">
      <c r="A1125" s="1736"/>
      <c r="B1125" s="360"/>
      <c r="C1125" s="354"/>
      <c r="D1125" s="341"/>
      <c r="E1125" s="341"/>
      <c r="F1125" s="341"/>
      <c r="G1125" s="341"/>
      <c r="H1125" s="371"/>
      <c r="I1125" s="1567"/>
      <c r="J1125" s="1543"/>
      <c r="K1125" s="1543"/>
      <c r="L1125" s="1543"/>
      <c r="M1125" s="1543"/>
      <c r="N1125" s="1566"/>
    </row>
    <row r="1126" spans="1:14">
      <c r="A1126" s="1734" t="s">
        <v>3465</v>
      </c>
      <c r="B1126" s="414" t="s">
        <v>2539</v>
      </c>
      <c r="C1126" s="415"/>
      <c r="D1126" s="346">
        <v>14</v>
      </c>
      <c r="E1126" s="346">
        <v>9</v>
      </c>
      <c r="F1126" s="346"/>
      <c r="G1126" s="346">
        <v>1</v>
      </c>
      <c r="H1126" s="371">
        <f t="shared" si="28"/>
        <v>126</v>
      </c>
      <c r="I1126" s="1567"/>
      <c r="J1126" s="1543"/>
      <c r="K1126" s="1543"/>
      <c r="L1126" s="1543"/>
      <c r="M1126" s="1543"/>
      <c r="N1126" s="1566"/>
    </row>
    <row r="1127" spans="1:14">
      <c r="A1127" s="1736"/>
      <c r="B1127" s="360"/>
      <c r="C1127" s="354"/>
      <c r="D1127" s="341"/>
      <c r="E1127" s="341"/>
      <c r="F1127" s="341"/>
      <c r="G1127" s="341"/>
      <c r="H1127" s="371"/>
      <c r="I1127" s="1567"/>
      <c r="J1127" s="1543"/>
      <c r="K1127" s="1543"/>
      <c r="L1127" s="1543"/>
      <c r="M1127" s="1543"/>
      <c r="N1127" s="1566"/>
    </row>
    <row r="1128" spans="1:14">
      <c r="A1128" s="1734" t="s">
        <v>3521</v>
      </c>
      <c r="B1128" s="414" t="s">
        <v>2540</v>
      </c>
      <c r="C1128" s="415"/>
      <c r="D1128" s="346">
        <v>9</v>
      </c>
      <c r="E1128" s="346">
        <v>9</v>
      </c>
      <c r="F1128" s="346"/>
      <c r="G1128" s="346">
        <v>1</v>
      </c>
      <c r="H1128" s="371">
        <f>D1128*E1128*G1128</f>
        <v>81</v>
      </c>
      <c r="I1128" s="1567"/>
      <c r="J1128" s="1543"/>
      <c r="K1128" s="1543"/>
      <c r="L1128" s="1543"/>
      <c r="M1128" s="1543"/>
      <c r="N1128" s="1566"/>
    </row>
    <row r="1129" spans="1:14">
      <c r="A1129" s="1736"/>
      <c r="B1129" s="360"/>
      <c r="C1129" s="354"/>
      <c r="D1129" s="341"/>
      <c r="E1129" s="341"/>
      <c r="F1129" s="341"/>
      <c r="G1129" s="341"/>
      <c r="H1129" s="371"/>
      <c r="I1129" s="1567"/>
      <c r="J1129" s="1543"/>
      <c r="K1129" s="1543"/>
      <c r="L1129" s="1543"/>
      <c r="M1129" s="1543"/>
      <c r="N1129" s="1566"/>
    </row>
    <row r="1130" spans="1:14">
      <c r="A1130" s="1734" t="s">
        <v>3569</v>
      </c>
      <c r="B1130" s="414" t="s">
        <v>2540</v>
      </c>
      <c r="C1130" s="415"/>
      <c r="D1130" s="346">
        <v>4.51</v>
      </c>
      <c r="E1130" s="346">
        <v>8</v>
      </c>
      <c r="F1130" s="346"/>
      <c r="G1130" s="346">
        <v>1</v>
      </c>
      <c r="H1130" s="371">
        <f>D1130*E1130*G1130</f>
        <v>36.08</v>
      </c>
      <c r="I1130" s="1567"/>
      <c r="J1130" s="1543"/>
      <c r="K1130" s="1543"/>
      <c r="L1130" s="1543"/>
      <c r="M1130" s="1543"/>
      <c r="N1130" s="1566"/>
    </row>
    <row r="1131" spans="1:14">
      <c r="A1131" s="1736"/>
      <c r="B1131" s="360"/>
      <c r="C1131" s="354"/>
      <c r="D1131" s="341"/>
      <c r="E1131" s="341"/>
      <c r="F1131" s="341"/>
      <c r="G1131" s="341"/>
      <c r="H1131" s="371"/>
      <c r="I1131" s="1567"/>
      <c r="J1131" s="1543"/>
      <c r="K1131" s="1543"/>
      <c r="L1131" s="1543"/>
      <c r="M1131" s="1543"/>
      <c r="N1131" s="1566"/>
    </row>
    <row r="1132" spans="1:14">
      <c r="A1132" s="1608" t="s">
        <v>2218</v>
      </c>
      <c r="B1132" s="1609"/>
      <c r="C1132" s="1609"/>
      <c r="D1132" s="1609"/>
      <c r="E1132" s="1609"/>
      <c r="F1132" s="1609"/>
      <c r="G1132" s="1610"/>
      <c r="H1132" s="271">
        <f>SUM(H1114:H1131)</f>
        <v>1039.6299999999999</v>
      </c>
      <c r="I1132" s="1567"/>
      <c r="J1132" s="1543"/>
      <c r="K1132" s="1543"/>
      <c r="L1132" s="1543"/>
      <c r="M1132" s="1543"/>
      <c r="N1132" s="1566"/>
    </row>
    <row r="1133" spans="1:14">
      <c r="A1133" s="1519" t="s">
        <v>2219</v>
      </c>
      <c r="B1133" s="1517"/>
      <c r="C1133" s="1517"/>
      <c r="D1133" s="1517"/>
      <c r="E1133" s="1517"/>
      <c r="F1133" s="1517"/>
      <c r="G1133" s="1518"/>
      <c r="H1133" s="272">
        <f>SUM(H1114:H1129)</f>
        <v>1003.55</v>
      </c>
      <c r="I1133" s="1543"/>
      <c r="J1133" s="1543"/>
      <c r="K1133" s="1543"/>
      <c r="L1133" s="1543"/>
      <c r="M1133" s="1543"/>
      <c r="N1133" s="1566"/>
    </row>
    <row r="1134" spans="1:14" ht="15.75" thickBot="1">
      <c r="A1134" s="1520" t="s">
        <v>2220</v>
      </c>
      <c r="B1134" s="1521"/>
      <c r="C1134" s="1521"/>
      <c r="D1134" s="1521"/>
      <c r="E1134" s="1521"/>
      <c r="F1134" s="1521"/>
      <c r="G1134" s="1522"/>
      <c r="H1134" s="216">
        <f>H1132-H1133</f>
        <v>36.079999999999927</v>
      </c>
      <c r="I1134" s="1568"/>
      <c r="J1134" s="1568"/>
      <c r="K1134" s="1568"/>
      <c r="L1134" s="1568"/>
      <c r="M1134" s="1568"/>
      <c r="N1134" s="1569"/>
    </row>
    <row r="1135" spans="1:14" ht="12.75" customHeight="1" thickBot="1">
      <c r="A1135" s="1780"/>
      <c r="B1135" s="1781"/>
      <c r="C1135" s="1781"/>
      <c r="D1135" s="1781"/>
      <c r="E1135" s="1781"/>
      <c r="F1135" s="1781"/>
      <c r="G1135" s="1781"/>
      <c r="H1135" s="1781"/>
      <c r="I1135" s="1781"/>
      <c r="J1135" s="1781"/>
      <c r="K1135" s="1781"/>
      <c r="L1135" s="1781"/>
      <c r="M1135" s="1781"/>
      <c r="N1135" s="1782"/>
    </row>
    <row r="1136" spans="1:14" ht="30" customHeight="1">
      <c r="A1136" s="1085" t="s">
        <v>3366</v>
      </c>
      <c r="B1136" s="1494" t="s">
        <v>70</v>
      </c>
      <c r="C1136" s="1495"/>
      <c r="D1136" s="1495"/>
      <c r="E1136" s="1495"/>
      <c r="F1136" s="1495"/>
      <c r="G1136" s="1495"/>
      <c r="H1136" s="1495"/>
      <c r="I1136" s="1495"/>
      <c r="J1136" s="1496"/>
      <c r="K1136" s="196" t="s">
        <v>44</v>
      </c>
      <c r="L1136" s="1497">
        <f>'27ª MEDIÇÃO '!F73</f>
        <v>906.75</v>
      </c>
      <c r="M1136" s="1498"/>
      <c r="N1136" s="197">
        <f>L1136-H1157</f>
        <v>69.75</v>
      </c>
    </row>
    <row r="1137" spans="1:14">
      <c r="A1137" s="1554"/>
      <c r="B1137" s="1541"/>
      <c r="C1137" s="366"/>
      <c r="D1137" s="367" t="s">
        <v>2183</v>
      </c>
      <c r="E1137" s="1320" t="s">
        <v>2184</v>
      </c>
      <c r="F1137" s="367" t="s">
        <v>2185</v>
      </c>
      <c r="G1137" s="367" t="s">
        <v>2186</v>
      </c>
      <c r="H1137" s="1542" t="s">
        <v>476</v>
      </c>
      <c r="I1137" s="1543"/>
      <c r="J1137" s="1543"/>
      <c r="K1137" s="1543"/>
      <c r="L1137" s="1543"/>
      <c r="M1137" s="1543"/>
      <c r="N1137" s="1566"/>
    </row>
    <row r="1138" spans="1:14">
      <c r="A1138" s="1554"/>
      <c r="B1138" s="1541"/>
      <c r="C1138" s="368" t="s">
        <v>2382</v>
      </c>
      <c r="D1138" s="369" t="s">
        <v>2187</v>
      </c>
      <c r="E1138" s="529" t="s">
        <v>2188</v>
      </c>
      <c r="F1138" s="369" t="s">
        <v>2189</v>
      </c>
      <c r="G1138" s="370" t="s">
        <v>2879</v>
      </c>
      <c r="H1138" s="1542"/>
      <c r="I1138" s="1543"/>
      <c r="J1138" s="1543"/>
      <c r="K1138" s="1543"/>
      <c r="L1138" s="1543"/>
      <c r="M1138" s="1543"/>
      <c r="N1138" s="1566"/>
    </row>
    <row r="1139" spans="1:14">
      <c r="A1139" s="1611" t="s">
        <v>3465</v>
      </c>
      <c r="B1139" s="360" t="s">
        <v>2539</v>
      </c>
      <c r="C1139" s="354"/>
      <c r="D1139" s="341">
        <v>14</v>
      </c>
      <c r="E1139" s="350">
        <v>9</v>
      </c>
      <c r="F1139" s="350"/>
      <c r="G1139" s="350">
        <v>1</v>
      </c>
      <c r="H1139" s="371">
        <f t="shared" ref="H1139:H1145" si="29">D1139*E1139*G1139</f>
        <v>126</v>
      </c>
      <c r="I1139" s="1567"/>
      <c r="J1139" s="1543"/>
      <c r="K1139" s="1543"/>
      <c r="L1139" s="1543"/>
      <c r="M1139" s="1543"/>
      <c r="N1139" s="1566"/>
    </row>
    <row r="1140" spans="1:14">
      <c r="A1140" s="1612"/>
      <c r="B1140" s="360"/>
      <c r="C1140" s="354"/>
      <c r="D1140" s="341"/>
      <c r="E1140" s="341"/>
      <c r="F1140" s="341"/>
      <c r="G1140" s="341"/>
      <c r="H1140" s="371">
        <f t="shared" si="29"/>
        <v>0</v>
      </c>
      <c r="I1140" s="1567"/>
      <c r="J1140" s="1543"/>
      <c r="K1140" s="1543"/>
      <c r="L1140" s="1543"/>
      <c r="M1140" s="1543"/>
      <c r="N1140" s="1566"/>
    </row>
    <row r="1141" spans="1:14">
      <c r="A1141" s="1611" t="s">
        <v>3521</v>
      </c>
      <c r="B1141" s="360" t="s">
        <v>2540</v>
      </c>
      <c r="C1141" s="354"/>
      <c r="D1141" s="341">
        <v>9</v>
      </c>
      <c r="E1141" s="350">
        <v>9</v>
      </c>
      <c r="F1141" s="350"/>
      <c r="G1141" s="350">
        <v>1</v>
      </c>
      <c r="H1141" s="371">
        <f t="shared" si="29"/>
        <v>81</v>
      </c>
      <c r="I1141" s="1567"/>
      <c r="J1141" s="1543"/>
      <c r="K1141" s="1543"/>
      <c r="L1141" s="1543"/>
      <c r="M1141" s="1543"/>
      <c r="N1141" s="1566"/>
    </row>
    <row r="1142" spans="1:14">
      <c r="A1142" s="1612"/>
      <c r="B1142" s="360"/>
      <c r="C1142" s="354"/>
      <c r="D1142" s="341"/>
      <c r="E1142" s="341"/>
      <c r="F1142" s="341"/>
      <c r="G1142" s="341"/>
      <c r="H1142" s="371">
        <f t="shared" si="29"/>
        <v>0</v>
      </c>
      <c r="I1142" s="1567"/>
      <c r="J1142" s="1543"/>
      <c r="K1142" s="1543"/>
      <c r="L1142" s="1543"/>
      <c r="M1142" s="1543"/>
      <c r="N1142" s="1566"/>
    </row>
    <row r="1143" spans="1:14">
      <c r="A1143" s="1611" t="s">
        <v>3569</v>
      </c>
      <c r="B1143" s="360" t="s">
        <v>2540</v>
      </c>
      <c r="C1143" s="354"/>
      <c r="D1143" s="341">
        <v>14</v>
      </c>
      <c r="E1143" s="350">
        <v>9</v>
      </c>
      <c r="F1143" s="350"/>
      <c r="G1143" s="350">
        <v>1</v>
      </c>
      <c r="H1143" s="371">
        <f t="shared" si="29"/>
        <v>126</v>
      </c>
      <c r="I1143" s="1567"/>
      <c r="J1143" s="1543"/>
      <c r="K1143" s="1543"/>
      <c r="L1143" s="1543"/>
      <c r="M1143" s="1543"/>
      <c r="N1143" s="1566"/>
    </row>
    <row r="1144" spans="1:14">
      <c r="A1144" s="1612"/>
      <c r="B1144" s="360"/>
      <c r="C1144" s="354"/>
      <c r="D1144" s="341"/>
      <c r="E1144" s="341"/>
      <c r="F1144" s="341"/>
      <c r="G1144" s="341"/>
      <c r="H1144" s="371">
        <f t="shared" si="29"/>
        <v>0</v>
      </c>
      <c r="I1144" s="1567"/>
      <c r="J1144" s="1543"/>
      <c r="K1144" s="1543"/>
      <c r="L1144" s="1543"/>
      <c r="M1144" s="1543"/>
      <c r="N1144" s="1566"/>
    </row>
    <row r="1145" spans="1:14">
      <c r="A1145" s="1611" t="s">
        <v>3620</v>
      </c>
      <c r="B1145" s="360" t="s">
        <v>2540</v>
      </c>
      <c r="C1145" s="354"/>
      <c r="D1145" s="341">
        <v>14</v>
      </c>
      <c r="E1145" s="350">
        <v>9</v>
      </c>
      <c r="F1145" s="350"/>
      <c r="G1145" s="350">
        <v>1</v>
      </c>
      <c r="H1145" s="371">
        <f t="shared" si="29"/>
        <v>126</v>
      </c>
      <c r="I1145" s="1567"/>
      <c r="J1145" s="1543"/>
      <c r="K1145" s="1543"/>
      <c r="L1145" s="1543"/>
      <c r="M1145" s="1543"/>
      <c r="N1145" s="1566"/>
    </row>
    <row r="1146" spans="1:14">
      <c r="A1146" s="1612"/>
      <c r="B1146" s="360"/>
      <c r="C1146" s="354"/>
      <c r="D1146" s="341"/>
      <c r="E1146" s="350"/>
      <c r="F1146" s="350"/>
      <c r="G1146" s="350"/>
      <c r="H1146" s="371"/>
      <c r="I1146" s="1567"/>
      <c r="J1146" s="1543"/>
      <c r="K1146" s="1543"/>
      <c r="L1146" s="1543"/>
      <c r="M1146" s="1543"/>
      <c r="N1146" s="1566"/>
    </row>
    <row r="1147" spans="1:14">
      <c r="A1147" s="1611" t="s">
        <v>3745</v>
      </c>
      <c r="B1147" s="360" t="s">
        <v>2540</v>
      </c>
      <c r="C1147" s="354"/>
      <c r="D1147" s="341">
        <v>14</v>
      </c>
      <c r="E1147" s="350">
        <v>9</v>
      </c>
      <c r="F1147" s="350"/>
      <c r="G1147" s="350">
        <v>1</v>
      </c>
      <c r="H1147" s="371">
        <f>D1147*E1147*G1147</f>
        <v>126</v>
      </c>
      <c r="I1147" s="1567"/>
      <c r="J1147" s="1543"/>
      <c r="K1147" s="1543"/>
      <c r="L1147" s="1543"/>
      <c r="M1147" s="1543"/>
      <c r="N1147" s="1566"/>
    </row>
    <row r="1148" spans="1:14">
      <c r="A1148" s="1612"/>
      <c r="B1148" s="360"/>
      <c r="C1148" s="354"/>
      <c r="D1148" s="341"/>
      <c r="E1148" s="350"/>
      <c r="F1148" s="350"/>
      <c r="G1148" s="350"/>
      <c r="H1148" s="371"/>
      <c r="I1148" s="1567"/>
      <c r="J1148" s="1543"/>
      <c r="K1148" s="1543"/>
      <c r="L1148" s="1543"/>
      <c r="M1148" s="1543"/>
      <c r="N1148" s="1566"/>
    </row>
    <row r="1149" spans="1:14">
      <c r="A1149" s="1611" t="s">
        <v>3850</v>
      </c>
      <c r="B1149" s="360" t="s">
        <v>2539</v>
      </c>
      <c r="C1149" s="354"/>
      <c r="D1149" s="341">
        <v>14</v>
      </c>
      <c r="E1149" s="350">
        <v>9</v>
      </c>
      <c r="F1149" s="350"/>
      <c r="G1149" s="350">
        <v>1</v>
      </c>
      <c r="H1149" s="371">
        <f>D1149*E1149*G1149</f>
        <v>126</v>
      </c>
      <c r="I1149" s="1567"/>
      <c r="J1149" s="1543"/>
      <c r="K1149" s="1543"/>
      <c r="L1149" s="1543"/>
      <c r="M1149" s="1543"/>
      <c r="N1149" s="1566"/>
    </row>
    <row r="1150" spans="1:14">
      <c r="A1150" s="1612"/>
      <c r="B1150" s="360"/>
      <c r="C1150" s="354"/>
      <c r="D1150" s="341"/>
      <c r="E1150" s="350"/>
      <c r="F1150" s="350"/>
      <c r="G1150" s="350"/>
      <c r="H1150" s="371"/>
      <c r="I1150" s="1567"/>
      <c r="J1150" s="1543"/>
      <c r="K1150" s="1543"/>
      <c r="L1150" s="1543"/>
      <c r="M1150" s="1543"/>
      <c r="N1150" s="1566"/>
    </row>
    <row r="1151" spans="1:14">
      <c r="A1151" s="1611" t="s">
        <v>3892</v>
      </c>
      <c r="B1151" s="360" t="s">
        <v>2539</v>
      </c>
      <c r="C1151" s="354"/>
      <c r="D1151" s="341">
        <v>14</v>
      </c>
      <c r="E1151" s="350">
        <v>9</v>
      </c>
      <c r="F1151" s="350"/>
      <c r="G1151" s="350">
        <v>1</v>
      </c>
      <c r="H1151" s="371">
        <f>D1151*E1151*G1151</f>
        <v>126</v>
      </c>
      <c r="I1151" s="1567"/>
      <c r="J1151" s="1543"/>
      <c r="K1151" s="1543"/>
      <c r="L1151" s="1543"/>
      <c r="M1151" s="1543"/>
      <c r="N1151" s="1566"/>
    </row>
    <row r="1152" spans="1:14">
      <c r="A1152" s="1612"/>
      <c r="B1152" s="360"/>
      <c r="C1152" s="354"/>
      <c r="D1152" s="341"/>
      <c r="E1152" s="350"/>
      <c r="F1152" s="350"/>
      <c r="G1152" s="350"/>
      <c r="H1152" s="371"/>
      <c r="I1152" s="1567"/>
      <c r="J1152" s="1543"/>
      <c r="K1152" s="1543"/>
      <c r="L1152" s="1543"/>
      <c r="M1152" s="1543"/>
      <c r="N1152" s="1566"/>
    </row>
    <row r="1153" spans="1:14">
      <c r="A1153" s="1611" t="s">
        <v>3937</v>
      </c>
      <c r="B1153" s="360" t="s">
        <v>2539</v>
      </c>
      <c r="C1153" s="354"/>
      <c r="D1153" s="341">
        <v>14</v>
      </c>
      <c r="E1153" s="350">
        <v>9</v>
      </c>
      <c r="F1153" s="350"/>
      <c r="G1153" s="350">
        <v>1</v>
      </c>
      <c r="H1153" s="371">
        <v>69.75</v>
      </c>
      <c r="I1153" s="1567"/>
      <c r="J1153" s="1543"/>
      <c r="K1153" s="1543"/>
      <c r="L1153" s="1543"/>
      <c r="M1153" s="1543"/>
      <c r="N1153" s="1566"/>
    </row>
    <row r="1154" spans="1:14">
      <c r="A1154" s="1612"/>
      <c r="B1154" s="360"/>
      <c r="C1154" s="354"/>
      <c r="D1154" s="341"/>
      <c r="E1154" s="350"/>
      <c r="F1154" s="350"/>
      <c r="G1154" s="350"/>
      <c r="H1154" s="371"/>
      <c r="I1154" s="1567"/>
      <c r="J1154" s="1543"/>
      <c r="K1154" s="1543"/>
      <c r="L1154" s="1543"/>
      <c r="M1154" s="1543"/>
      <c r="N1154" s="1566"/>
    </row>
    <row r="1155" spans="1:14">
      <c r="A1155" s="1100"/>
      <c r="B1155" s="360"/>
      <c r="C1155" s="354"/>
      <c r="D1155" s="341"/>
      <c r="E1155" s="350"/>
      <c r="F1155" s="350"/>
      <c r="G1155" s="350"/>
      <c r="H1155" s="371"/>
      <c r="I1155" s="1567"/>
      <c r="J1155" s="1543"/>
      <c r="K1155" s="1543"/>
      <c r="L1155" s="1543"/>
      <c r="M1155" s="1543"/>
      <c r="N1155" s="1566"/>
    </row>
    <row r="1156" spans="1:14">
      <c r="A1156" s="1100"/>
      <c r="B1156" s="360"/>
      <c r="C1156" s="354"/>
      <c r="D1156" s="341"/>
      <c r="E1156" s="350"/>
      <c r="F1156" s="350"/>
      <c r="G1156" s="350"/>
      <c r="H1156" s="371"/>
      <c r="I1156" s="1567"/>
      <c r="J1156" s="1543"/>
      <c r="K1156" s="1543"/>
      <c r="L1156" s="1543"/>
      <c r="M1156" s="1543"/>
      <c r="N1156" s="1566"/>
    </row>
    <row r="1157" spans="1:14">
      <c r="A1157" s="1608" t="s">
        <v>2218</v>
      </c>
      <c r="B1157" s="1609"/>
      <c r="C1157" s="1609"/>
      <c r="D1157" s="1609"/>
      <c r="E1157" s="1609"/>
      <c r="F1157" s="1609"/>
      <c r="G1157" s="1610"/>
      <c r="H1157" s="271">
        <f>SUM(H1139:H1152)</f>
        <v>837</v>
      </c>
      <c r="I1157" s="1567"/>
      <c r="J1157" s="1543"/>
      <c r="K1157" s="1543"/>
      <c r="L1157" s="1543"/>
      <c r="M1157" s="1543"/>
      <c r="N1157" s="1566"/>
    </row>
    <row r="1158" spans="1:14">
      <c r="A1158" s="1519" t="s">
        <v>2219</v>
      </c>
      <c r="B1158" s="1517"/>
      <c r="C1158" s="1517"/>
      <c r="D1158" s="1517"/>
      <c r="E1158" s="1517"/>
      <c r="F1158" s="1517"/>
      <c r="G1158" s="1518"/>
      <c r="H1158" s="272">
        <f>SUM(H1139:H1150)</f>
        <v>711</v>
      </c>
      <c r="I1158" s="1543"/>
      <c r="J1158" s="1543"/>
      <c r="K1158" s="1543"/>
      <c r="L1158" s="1543"/>
      <c r="M1158" s="1543"/>
      <c r="N1158" s="1566"/>
    </row>
    <row r="1159" spans="1:14" ht="15.75" thickBot="1">
      <c r="A1159" s="1520" t="s">
        <v>2220</v>
      </c>
      <c r="B1159" s="1521"/>
      <c r="C1159" s="1521"/>
      <c r="D1159" s="1521"/>
      <c r="E1159" s="1521"/>
      <c r="F1159" s="1521"/>
      <c r="G1159" s="1522"/>
      <c r="H1159" s="216">
        <f>H1157-H1158</f>
        <v>126</v>
      </c>
      <c r="I1159" s="1568"/>
      <c r="J1159" s="1568"/>
      <c r="K1159" s="1568"/>
      <c r="L1159" s="1568"/>
      <c r="M1159" s="1568"/>
      <c r="N1159" s="1569"/>
    </row>
    <row r="1160" spans="1:14" ht="15.75" thickBot="1">
      <c r="A1160" s="1099"/>
      <c r="B1160" s="344"/>
      <c r="C1160" s="343"/>
      <c r="D1160" s="345"/>
      <c r="E1160" s="1265"/>
      <c r="F1160" s="345"/>
      <c r="G1160" s="345"/>
      <c r="H1160" s="219"/>
      <c r="I1160" s="408"/>
      <c r="J1160" s="408"/>
      <c r="K1160" s="408"/>
      <c r="L1160" s="408"/>
      <c r="M1160" s="408"/>
      <c r="N1160" s="409"/>
    </row>
    <row r="1161" spans="1:14" ht="15" customHeight="1">
      <c r="A1161" s="1085" t="s">
        <v>2541</v>
      </c>
      <c r="B1161" s="1494" t="s">
        <v>680</v>
      </c>
      <c r="C1161" s="1495"/>
      <c r="D1161" s="1495"/>
      <c r="E1161" s="1495"/>
      <c r="F1161" s="1495"/>
      <c r="G1161" s="1495"/>
      <c r="H1161" s="1495"/>
      <c r="I1161" s="1495"/>
      <c r="J1161" s="1496"/>
      <c r="K1161" s="196" t="s">
        <v>2329</v>
      </c>
      <c r="L1161" s="1497">
        <v>4</v>
      </c>
      <c r="M1161" s="1498"/>
      <c r="N1161" s="197">
        <f>L1161-H1168</f>
        <v>0</v>
      </c>
    </row>
    <row r="1162" spans="1:14">
      <c r="A1162" s="1554"/>
      <c r="B1162" s="1541"/>
      <c r="C1162" s="366"/>
      <c r="D1162" s="367" t="s">
        <v>2183</v>
      </c>
      <c r="E1162" s="1320" t="s">
        <v>2184</v>
      </c>
      <c r="F1162" s="367" t="s">
        <v>2185</v>
      </c>
      <c r="G1162" s="367" t="s">
        <v>2186</v>
      </c>
      <c r="H1162" s="1542" t="s">
        <v>476</v>
      </c>
      <c r="I1162" s="1543"/>
      <c r="J1162" s="1543"/>
      <c r="K1162" s="1543"/>
      <c r="L1162" s="1543"/>
      <c r="M1162" s="1543"/>
      <c r="N1162" s="1566"/>
    </row>
    <row r="1163" spans="1:14">
      <c r="A1163" s="1554"/>
      <c r="B1163" s="1541"/>
      <c r="C1163" s="368" t="s">
        <v>2382</v>
      </c>
      <c r="D1163" s="369" t="s">
        <v>2187</v>
      </c>
      <c r="E1163" s="529" t="s">
        <v>2188</v>
      </c>
      <c r="F1163" s="369" t="s">
        <v>2189</v>
      </c>
      <c r="G1163" s="370" t="s">
        <v>2190</v>
      </c>
      <c r="H1163" s="1542"/>
      <c r="I1163" s="1543"/>
      <c r="J1163" s="1543"/>
      <c r="K1163" s="1543"/>
      <c r="L1163" s="1543"/>
      <c r="M1163" s="1543"/>
      <c r="N1163" s="1566"/>
    </row>
    <row r="1164" spans="1:14">
      <c r="A1164" s="1536" t="s">
        <v>2476</v>
      </c>
      <c r="B1164" s="360" t="s">
        <v>2542</v>
      </c>
      <c r="C1164" s="354"/>
      <c r="D1164" s="201"/>
      <c r="E1164" s="350"/>
      <c r="F1164" s="350"/>
      <c r="G1164" s="350">
        <v>4</v>
      </c>
      <c r="H1164" s="371">
        <f>G1164</f>
        <v>4</v>
      </c>
      <c r="I1164" s="1567"/>
      <c r="J1164" s="1543"/>
      <c r="K1164" s="1543"/>
      <c r="L1164" s="1543"/>
      <c r="M1164" s="1543"/>
      <c r="N1164" s="1566"/>
    </row>
    <row r="1165" spans="1:14">
      <c r="A1165" s="1536"/>
      <c r="B1165" s="360"/>
      <c r="C1165" s="354"/>
      <c r="D1165" s="198"/>
      <c r="E1165" s="341"/>
      <c r="F1165" s="341"/>
      <c r="G1165" s="341"/>
      <c r="H1165" s="347"/>
      <c r="I1165" s="1567"/>
      <c r="J1165" s="1543"/>
      <c r="K1165" s="1543"/>
      <c r="L1165" s="1543"/>
      <c r="M1165" s="1543"/>
      <c r="N1165" s="1566"/>
    </row>
    <row r="1166" spans="1:14">
      <c r="A1166" s="1536"/>
      <c r="B1166" s="360"/>
      <c r="C1166" s="354"/>
      <c r="D1166" s="198"/>
      <c r="E1166" s="341"/>
      <c r="F1166" s="341"/>
      <c r="G1166" s="341"/>
      <c r="H1166" s="347"/>
      <c r="I1166" s="1567"/>
      <c r="J1166" s="1543"/>
      <c r="K1166" s="1543"/>
      <c r="L1166" s="1543"/>
      <c r="M1166" s="1543"/>
      <c r="N1166" s="1566"/>
    </row>
    <row r="1167" spans="1:14">
      <c r="A1167" s="1536"/>
      <c r="B1167" s="360"/>
      <c r="C1167" s="354"/>
      <c r="D1167" s="198"/>
      <c r="E1167" s="341"/>
      <c r="F1167" s="341"/>
      <c r="G1167" s="341"/>
      <c r="H1167" s="347"/>
      <c r="I1167" s="1567"/>
      <c r="J1167" s="1543"/>
      <c r="K1167" s="1543"/>
      <c r="L1167" s="1543"/>
      <c r="M1167" s="1543"/>
      <c r="N1167" s="1566"/>
    </row>
    <row r="1168" spans="1:14">
      <c r="A1168" s="1577" t="s">
        <v>2218</v>
      </c>
      <c r="B1168" s="1542"/>
      <c r="C1168" s="1542"/>
      <c r="D1168" s="1542"/>
      <c r="E1168" s="1542"/>
      <c r="F1168" s="1542"/>
      <c r="G1168" s="1542"/>
      <c r="H1168" s="271">
        <f>SUM(H1164:H1167)</f>
        <v>4</v>
      </c>
      <c r="I1168" s="1567"/>
      <c r="J1168" s="1543"/>
      <c r="K1168" s="1543"/>
      <c r="L1168" s="1543"/>
      <c r="M1168" s="1543"/>
      <c r="N1168" s="1566"/>
    </row>
    <row r="1169" spans="1:14">
      <c r="A1169" s="1519" t="s">
        <v>2219</v>
      </c>
      <c r="B1169" s="1517"/>
      <c r="C1169" s="1517"/>
      <c r="D1169" s="1551"/>
      <c r="E1169" s="1551"/>
      <c r="F1169" s="1551"/>
      <c r="G1169" s="1552"/>
      <c r="H1169" s="272">
        <v>0</v>
      </c>
      <c r="I1169" s="1543"/>
      <c r="J1169" s="1543"/>
      <c r="K1169" s="1543"/>
      <c r="L1169" s="1543"/>
      <c r="M1169" s="1543"/>
      <c r="N1169" s="1566"/>
    </row>
    <row r="1170" spans="1:14" ht="15.75" thickBot="1">
      <c r="A1170" s="1520" t="s">
        <v>2220</v>
      </c>
      <c r="B1170" s="1521"/>
      <c r="C1170" s="1521"/>
      <c r="D1170" s="1521"/>
      <c r="E1170" s="1521"/>
      <c r="F1170" s="1521"/>
      <c r="G1170" s="1522"/>
      <c r="H1170" s="216">
        <f>H1168-H1169</f>
        <v>4</v>
      </c>
      <c r="I1170" s="1568"/>
      <c r="J1170" s="1568"/>
      <c r="K1170" s="1568"/>
      <c r="L1170" s="1568"/>
      <c r="M1170" s="1568"/>
      <c r="N1170" s="1569"/>
    </row>
    <row r="1171" spans="1:14" ht="15" customHeight="1" thickBot="1">
      <c r="A1171" s="1635"/>
      <c r="B1171" s="1636"/>
      <c r="C1171" s="1636"/>
      <c r="D1171" s="1636"/>
      <c r="E1171" s="1636"/>
      <c r="F1171" s="1636"/>
      <c r="G1171" s="1636"/>
      <c r="H1171" s="1636"/>
      <c r="I1171" s="1636"/>
      <c r="J1171" s="1636"/>
      <c r="K1171" s="1636"/>
      <c r="L1171" s="1636"/>
      <c r="M1171" s="1636"/>
      <c r="N1171" s="1637"/>
    </row>
    <row r="1172" spans="1:14" ht="15" customHeight="1">
      <c r="A1172" s="1085" t="s">
        <v>2543</v>
      </c>
      <c r="B1172" s="1494" t="s">
        <v>683</v>
      </c>
      <c r="C1172" s="1495"/>
      <c r="D1172" s="1495"/>
      <c r="E1172" s="1495"/>
      <c r="F1172" s="1495"/>
      <c r="G1172" s="1495"/>
      <c r="H1172" s="1495"/>
      <c r="I1172" s="1495"/>
      <c r="J1172" s="1496"/>
      <c r="K1172" s="196" t="s">
        <v>2329</v>
      </c>
      <c r="L1172" s="1497">
        <v>4</v>
      </c>
      <c r="M1172" s="1498"/>
      <c r="N1172" s="197">
        <f>L1172-H1179</f>
        <v>0</v>
      </c>
    </row>
    <row r="1173" spans="1:14">
      <c r="A1173" s="1554"/>
      <c r="B1173" s="1541"/>
      <c r="C1173" s="366"/>
      <c r="D1173" s="367" t="s">
        <v>2183</v>
      </c>
      <c r="E1173" s="1320" t="s">
        <v>2184</v>
      </c>
      <c r="F1173" s="367" t="s">
        <v>2185</v>
      </c>
      <c r="G1173" s="367" t="s">
        <v>2186</v>
      </c>
      <c r="H1173" s="1542" t="s">
        <v>476</v>
      </c>
      <c r="I1173" s="1543"/>
      <c r="J1173" s="1543"/>
      <c r="K1173" s="1543"/>
      <c r="L1173" s="1543"/>
      <c r="M1173" s="1543"/>
      <c r="N1173" s="1566"/>
    </row>
    <row r="1174" spans="1:14">
      <c r="A1174" s="1554"/>
      <c r="B1174" s="1541"/>
      <c r="C1174" s="368" t="s">
        <v>2382</v>
      </c>
      <c r="D1174" s="369" t="s">
        <v>2187</v>
      </c>
      <c r="E1174" s="529" t="s">
        <v>2188</v>
      </c>
      <c r="F1174" s="369" t="s">
        <v>2189</v>
      </c>
      <c r="G1174" s="370" t="s">
        <v>2190</v>
      </c>
      <c r="H1174" s="1542"/>
      <c r="I1174" s="1543"/>
      <c r="J1174" s="1543"/>
      <c r="K1174" s="1543"/>
      <c r="L1174" s="1543"/>
      <c r="M1174" s="1543"/>
      <c r="N1174" s="1566"/>
    </row>
    <row r="1175" spans="1:14">
      <c r="A1175" s="1536" t="s">
        <v>2238</v>
      </c>
      <c r="B1175" s="360" t="s">
        <v>2542</v>
      </c>
      <c r="C1175" s="354"/>
      <c r="D1175" s="201"/>
      <c r="E1175" s="350"/>
      <c r="F1175" s="350"/>
      <c r="G1175" s="350">
        <v>4</v>
      </c>
      <c r="H1175" s="371">
        <f>G1175</f>
        <v>4</v>
      </c>
      <c r="I1175" s="1567"/>
      <c r="J1175" s="1543"/>
      <c r="K1175" s="1543"/>
      <c r="L1175" s="1543"/>
      <c r="M1175" s="1543"/>
      <c r="N1175" s="1566"/>
    </row>
    <row r="1176" spans="1:14">
      <c r="A1176" s="1536"/>
      <c r="B1176" s="360"/>
      <c r="C1176" s="354"/>
      <c r="D1176" s="198"/>
      <c r="E1176" s="341"/>
      <c r="F1176" s="341"/>
      <c r="G1176" s="341"/>
      <c r="H1176" s="347"/>
      <c r="I1176" s="1567"/>
      <c r="J1176" s="1543"/>
      <c r="K1176" s="1543"/>
      <c r="L1176" s="1543"/>
      <c r="M1176" s="1543"/>
      <c r="N1176" s="1566"/>
    </row>
    <row r="1177" spans="1:14">
      <c r="A1177" s="1536"/>
      <c r="B1177" s="360"/>
      <c r="C1177" s="354"/>
      <c r="D1177" s="198"/>
      <c r="E1177" s="341"/>
      <c r="F1177" s="341"/>
      <c r="G1177" s="341"/>
      <c r="H1177" s="347"/>
      <c r="I1177" s="1567"/>
      <c r="J1177" s="1543"/>
      <c r="K1177" s="1543"/>
      <c r="L1177" s="1543"/>
      <c r="M1177" s="1543"/>
      <c r="N1177" s="1566"/>
    </row>
    <row r="1178" spans="1:14">
      <c r="A1178" s="1536"/>
      <c r="B1178" s="360"/>
      <c r="C1178" s="354"/>
      <c r="D1178" s="198"/>
      <c r="E1178" s="341"/>
      <c r="F1178" s="341"/>
      <c r="G1178" s="341"/>
      <c r="H1178" s="347"/>
      <c r="I1178" s="1567"/>
      <c r="J1178" s="1543"/>
      <c r="K1178" s="1543"/>
      <c r="L1178" s="1543"/>
      <c r="M1178" s="1543"/>
      <c r="N1178" s="1566"/>
    </row>
    <row r="1179" spans="1:14">
      <c r="A1179" s="1577" t="s">
        <v>2218</v>
      </c>
      <c r="B1179" s="1542"/>
      <c r="C1179" s="1542"/>
      <c r="D1179" s="1542"/>
      <c r="E1179" s="1542"/>
      <c r="F1179" s="1542"/>
      <c r="G1179" s="1542"/>
      <c r="H1179" s="271">
        <f>SUM(H1175:H1178)</f>
        <v>4</v>
      </c>
      <c r="I1179" s="1567"/>
      <c r="J1179" s="1543"/>
      <c r="K1179" s="1543"/>
      <c r="L1179" s="1543"/>
      <c r="M1179" s="1543"/>
      <c r="N1179" s="1566"/>
    </row>
    <row r="1180" spans="1:14">
      <c r="A1180" s="1519" t="s">
        <v>2219</v>
      </c>
      <c r="B1180" s="1517"/>
      <c r="C1180" s="1517"/>
      <c r="D1180" s="1551"/>
      <c r="E1180" s="1551"/>
      <c r="F1180" s="1551"/>
      <c r="G1180" s="1552"/>
      <c r="H1180" s="272">
        <v>0</v>
      </c>
      <c r="I1180" s="1543"/>
      <c r="J1180" s="1543"/>
      <c r="K1180" s="1543"/>
      <c r="L1180" s="1543"/>
      <c r="M1180" s="1543"/>
      <c r="N1180" s="1566"/>
    </row>
    <row r="1181" spans="1:14" ht="15.75" thickBot="1">
      <c r="A1181" s="1520" t="s">
        <v>2220</v>
      </c>
      <c r="B1181" s="1521"/>
      <c r="C1181" s="1521"/>
      <c r="D1181" s="1521"/>
      <c r="E1181" s="1521"/>
      <c r="F1181" s="1521"/>
      <c r="G1181" s="1522"/>
      <c r="H1181" s="216">
        <f>H1179-H1180</f>
        <v>4</v>
      </c>
      <c r="I1181" s="1568"/>
      <c r="J1181" s="1568"/>
      <c r="K1181" s="1568"/>
      <c r="L1181" s="1568"/>
      <c r="M1181" s="1568"/>
      <c r="N1181" s="1569"/>
    </row>
    <row r="1182" spans="1:14" ht="15.75" thickBot="1">
      <c r="A1182" s="1635"/>
      <c r="B1182" s="1636"/>
      <c r="C1182" s="1636"/>
      <c r="D1182" s="1636"/>
      <c r="E1182" s="1636"/>
      <c r="F1182" s="1636"/>
      <c r="G1182" s="1636"/>
      <c r="H1182" s="1636"/>
      <c r="I1182" s="1636"/>
      <c r="J1182" s="1636"/>
      <c r="K1182" s="1636"/>
      <c r="L1182" s="1636"/>
      <c r="M1182" s="1636"/>
      <c r="N1182" s="1637"/>
    </row>
    <row r="1183" spans="1:14" ht="30" customHeight="1">
      <c r="A1183" s="1085" t="s">
        <v>2544</v>
      </c>
      <c r="B1183" s="1494" t="s">
        <v>690</v>
      </c>
      <c r="C1183" s="1495"/>
      <c r="D1183" s="1495"/>
      <c r="E1183" s="1495"/>
      <c r="F1183" s="1495"/>
      <c r="G1183" s="1495"/>
      <c r="H1183" s="1495"/>
      <c r="I1183" s="1495"/>
      <c r="J1183" s="1496"/>
      <c r="K1183" s="196" t="s">
        <v>2182</v>
      </c>
      <c r="L1183" s="1497">
        <f>'27ª MEDIÇÃO '!F79</f>
        <v>215.18</v>
      </c>
      <c r="M1183" s="1498"/>
      <c r="N1183" s="197">
        <f>L1183-H1242</f>
        <v>3.1500000000050932E-3</v>
      </c>
    </row>
    <row r="1184" spans="1:14">
      <c r="A1184" s="1554"/>
      <c r="B1184" s="1541"/>
      <c r="C1184" s="366"/>
      <c r="D1184" s="367" t="s">
        <v>2183</v>
      </c>
      <c r="E1184" s="1320" t="s">
        <v>2184</v>
      </c>
      <c r="F1184" s="367" t="s">
        <v>2185</v>
      </c>
      <c r="G1184" s="367" t="s">
        <v>2186</v>
      </c>
      <c r="H1184" s="1542" t="s">
        <v>476</v>
      </c>
      <c r="I1184" s="1543"/>
      <c r="J1184" s="1543"/>
      <c r="K1184" s="1543"/>
      <c r="L1184" s="1543"/>
      <c r="M1184" s="1543"/>
      <c r="N1184" s="1566"/>
    </row>
    <row r="1185" spans="1:14">
      <c r="A1185" s="1701"/>
      <c r="B1185" s="1694"/>
      <c r="C1185" s="416" t="s">
        <v>2382</v>
      </c>
      <c r="D1185" s="417" t="s">
        <v>2187</v>
      </c>
      <c r="E1185" s="1323" t="s">
        <v>2188</v>
      </c>
      <c r="F1185" s="417" t="s">
        <v>2189</v>
      </c>
      <c r="G1185" s="418" t="s">
        <v>2190</v>
      </c>
      <c r="H1185" s="1503"/>
      <c r="I1185" s="1543"/>
      <c r="J1185" s="1543"/>
      <c r="K1185" s="1543"/>
      <c r="L1185" s="1543"/>
      <c r="M1185" s="1543"/>
      <c r="N1185" s="1566"/>
    </row>
    <row r="1186" spans="1:14">
      <c r="A1186" s="1535" t="s">
        <v>2268</v>
      </c>
      <c r="B1186" s="419" t="s">
        <v>2545</v>
      </c>
      <c r="C1186" s="341"/>
      <c r="D1186" s="341"/>
      <c r="E1186" s="341"/>
      <c r="F1186" s="341"/>
      <c r="G1186" s="341"/>
      <c r="H1186" s="403"/>
      <c r="I1186" s="1567"/>
      <c r="J1186" s="1543"/>
      <c r="K1186" s="1543"/>
      <c r="L1186" s="1543"/>
      <c r="M1186" s="1543"/>
      <c r="N1186" s="1566"/>
    </row>
    <row r="1187" spans="1:14">
      <c r="A1187" s="1529"/>
      <c r="B1187" s="391" t="s">
        <v>2546</v>
      </c>
      <c r="C1187" s="341"/>
      <c r="D1187" s="341"/>
      <c r="E1187" s="341"/>
      <c r="F1187" s="341"/>
      <c r="G1187" s="341"/>
      <c r="H1187" s="347"/>
      <c r="I1187" s="1567"/>
      <c r="J1187" s="1543"/>
      <c r="K1187" s="1543"/>
      <c r="L1187" s="1543"/>
      <c r="M1187" s="1543"/>
      <c r="N1187" s="1566"/>
    </row>
    <row r="1188" spans="1:14">
      <c r="A1188" s="1529"/>
      <c r="B1188" s="391" t="s">
        <v>2547</v>
      </c>
      <c r="C1188" s="341"/>
      <c r="D1188" s="341"/>
      <c r="E1188" s="341"/>
      <c r="F1188" s="341"/>
      <c r="G1188" s="341"/>
      <c r="H1188" s="347"/>
      <c r="I1188" s="1567"/>
      <c r="J1188" s="1543"/>
      <c r="K1188" s="1543"/>
      <c r="L1188" s="1543"/>
      <c r="M1188" s="1543"/>
      <c r="N1188" s="1566"/>
    </row>
    <row r="1189" spans="1:14">
      <c r="A1189" s="1529"/>
      <c r="B1189" s="391" t="s">
        <v>2548</v>
      </c>
      <c r="C1189" s="341"/>
      <c r="D1189" s="341">
        <v>3.87</v>
      </c>
      <c r="E1189" s="341">
        <v>0.65</v>
      </c>
      <c r="F1189" s="341">
        <v>0.35</v>
      </c>
      <c r="G1189" s="341">
        <v>1</v>
      </c>
      <c r="H1189" s="347">
        <f>D1189*E1189*F1189*G1189</f>
        <v>0.88042500000000001</v>
      </c>
      <c r="I1189" s="1567"/>
      <c r="J1189" s="1543"/>
      <c r="K1189" s="1543"/>
      <c r="L1189" s="1543"/>
      <c r="M1189" s="1543"/>
      <c r="N1189" s="1566"/>
    </row>
    <row r="1190" spans="1:14">
      <c r="A1190" s="1529"/>
      <c r="B1190" s="391" t="s">
        <v>2549</v>
      </c>
      <c r="C1190" s="341"/>
      <c r="D1190" s="341">
        <v>3.87</v>
      </c>
      <c r="E1190" s="341">
        <v>0.65</v>
      </c>
      <c r="F1190" s="341">
        <v>0.35</v>
      </c>
      <c r="G1190" s="341">
        <v>1</v>
      </c>
      <c r="H1190" s="347">
        <f>D1190*E1190*F1190*G1190</f>
        <v>0.88042500000000001</v>
      </c>
      <c r="I1190" s="1567"/>
      <c r="J1190" s="1543"/>
      <c r="K1190" s="1543"/>
      <c r="L1190" s="1543"/>
      <c r="M1190" s="1543"/>
      <c r="N1190" s="1566"/>
    </row>
    <row r="1191" spans="1:14">
      <c r="A1191" s="1529"/>
      <c r="B1191" s="391"/>
      <c r="C1191" s="341"/>
      <c r="D1191" s="341"/>
      <c r="E1191" s="341"/>
      <c r="F1191" s="341"/>
      <c r="G1191" s="341"/>
      <c r="H1191" s="347"/>
      <c r="I1191" s="1567"/>
      <c r="J1191" s="1543"/>
      <c r="K1191" s="1543"/>
      <c r="L1191" s="1543"/>
      <c r="M1191" s="1543"/>
      <c r="N1191" s="1566"/>
    </row>
    <row r="1192" spans="1:14">
      <c r="A1192" s="1545"/>
      <c r="B1192" s="391" t="s">
        <v>2550</v>
      </c>
      <c r="C1192" s="341"/>
      <c r="D1192" s="341"/>
      <c r="E1192" s="341"/>
      <c r="F1192" s="341"/>
      <c r="G1192" s="341"/>
      <c r="H1192" s="347"/>
      <c r="I1192" s="1567"/>
      <c r="J1192" s="1543"/>
      <c r="K1192" s="1543"/>
      <c r="L1192" s="1543"/>
      <c r="M1192" s="1543"/>
      <c r="N1192" s="1566"/>
    </row>
    <row r="1193" spans="1:14">
      <c r="A1193" s="1783" t="s">
        <v>2476</v>
      </c>
      <c r="B1193" s="420" t="s">
        <v>2551</v>
      </c>
      <c r="C1193" s="341"/>
      <c r="D1193" s="341"/>
      <c r="E1193" s="341"/>
      <c r="F1193" s="341"/>
      <c r="G1193" s="341"/>
      <c r="H1193" s="347"/>
      <c r="I1193" s="1567"/>
      <c r="J1193" s="1543"/>
      <c r="K1193" s="1543"/>
      <c r="L1193" s="1543"/>
      <c r="M1193" s="1543"/>
      <c r="N1193" s="1566"/>
    </row>
    <row r="1194" spans="1:14" ht="24">
      <c r="A1194" s="1784"/>
      <c r="B1194" s="391" t="s">
        <v>2552</v>
      </c>
      <c r="C1194" s="341"/>
      <c r="D1194" s="341">
        <v>1</v>
      </c>
      <c r="E1194" s="341">
        <v>1</v>
      </c>
      <c r="F1194" s="341">
        <v>1</v>
      </c>
      <c r="G1194" s="341">
        <v>15</v>
      </c>
      <c r="H1194" s="347">
        <v>48.74</v>
      </c>
      <c r="I1194" s="1567"/>
      <c r="J1194" s="1543"/>
      <c r="K1194" s="1543"/>
      <c r="L1194" s="1543"/>
      <c r="M1194" s="1543"/>
      <c r="N1194" s="1566"/>
    </row>
    <row r="1195" spans="1:14">
      <c r="A1195" s="1784"/>
      <c r="B1195" s="391" t="s">
        <v>2553</v>
      </c>
      <c r="C1195" s="341"/>
      <c r="D1195" s="341">
        <v>1.46</v>
      </c>
      <c r="E1195" s="341">
        <v>1</v>
      </c>
      <c r="F1195" s="341">
        <v>1</v>
      </c>
      <c r="G1195" s="341">
        <v>4</v>
      </c>
      <c r="H1195" s="347">
        <v>18.190000000000001</v>
      </c>
      <c r="I1195" s="1567"/>
      <c r="J1195" s="1543"/>
      <c r="K1195" s="1543"/>
      <c r="L1195" s="1543"/>
      <c r="M1195" s="1543"/>
      <c r="N1195" s="1566"/>
    </row>
    <row r="1196" spans="1:14">
      <c r="A1196" s="1784"/>
      <c r="B1196" s="391" t="s">
        <v>2554</v>
      </c>
      <c r="C1196" s="341"/>
      <c r="D1196" s="341">
        <v>8.6999999999999993</v>
      </c>
      <c r="E1196" s="341">
        <v>0.5</v>
      </c>
      <c r="F1196" s="341">
        <v>0.2</v>
      </c>
      <c r="G1196" s="341">
        <v>1</v>
      </c>
      <c r="H1196" s="347">
        <v>5.23</v>
      </c>
      <c r="I1196" s="1567"/>
      <c r="J1196" s="1543"/>
      <c r="K1196" s="1543"/>
      <c r="L1196" s="1543"/>
      <c r="M1196" s="1543"/>
      <c r="N1196" s="1566"/>
    </row>
    <row r="1197" spans="1:14">
      <c r="A1197" s="1784"/>
      <c r="B1197" s="391" t="s">
        <v>2555</v>
      </c>
      <c r="C1197" s="341"/>
      <c r="D1197" s="341">
        <v>4.63</v>
      </c>
      <c r="E1197" s="341">
        <v>0.5</v>
      </c>
      <c r="F1197" s="341">
        <v>0.2</v>
      </c>
      <c r="G1197" s="341">
        <v>1</v>
      </c>
      <c r="H1197" s="347">
        <v>2.99</v>
      </c>
      <c r="I1197" s="1567"/>
      <c r="J1197" s="1543"/>
      <c r="K1197" s="1543"/>
      <c r="L1197" s="1543"/>
      <c r="M1197" s="1543"/>
      <c r="N1197" s="1566"/>
    </row>
    <row r="1198" spans="1:14">
      <c r="A1198" s="1784"/>
      <c r="B1198" s="391" t="s">
        <v>2556</v>
      </c>
      <c r="C1198" s="341"/>
      <c r="D1198" s="341">
        <v>5.2</v>
      </c>
      <c r="E1198" s="341">
        <v>0.5</v>
      </c>
      <c r="F1198" s="341">
        <v>0.2</v>
      </c>
      <c r="G1198" s="341">
        <v>1</v>
      </c>
      <c r="H1198" s="347">
        <v>3.3</v>
      </c>
      <c r="I1198" s="1567"/>
      <c r="J1198" s="1543"/>
      <c r="K1198" s="1543"/>
      <c r="L1198" s="1543"/>
      <c r="M1198" s="1543"/>
      <c r="N1198" s="1566"/>
    </row>
    <row r="1199" spans="1:14" ht="15" customHeight="1">
      <c r="A1199" s="1784"/>
      <c r="B1199" s="391" t="s">
        <v>2557</v>
      </c>
      <c r="C1199" s="341"/>
      <c r="D1199" s="341">
        <v>3.84</v>
      </c>
      <c r="E1199" s="341">
        <v>0.5</v>
      </c>
      <c r="F1199" s="341">
        <v>0.3</v>
      </c>
      <c r="G1199" s="341">
        <v>1</v>
      </c>
      <c r="H1199" s="347">
        <v>2.81</v>
      </c>
      <c r="I1199" s="1567"/>
      <c r="J1199" s="1543"/>
      <c r="K1199" s="1543"/>
      <c r="L1199" s="1543"/>
      <c r="M1199" s="1543"/>
      <c r="N1199" s="1566"/>
    </row>
    <row r="1200" spans="1:14">
      <c r="A1200" s="1784"/>
      <c r="B1200" s="391" t="s">
        <v>2558</v>
      </c>
      <c r="C1200" s="341"/>
      <c r="D1200" s="341">
        <v>4.95</v>
      </c>
      <c r="E1200" s="341">
        <v>0.5</v>
      </c>
      <c r="F1200" s="341">
        <v>0.3</v>
      </c>
      <c r="G1200" s="341">
        <v>1</v>
      </c>
      <c r="H1200" s="347">
        <v>3.48</v>
      </c>
      <c r="I1200" s="1567"/>
      <c r="J1200" s="1543"/>
      <c r="K1200" s="1543"/>
      <c r="L1200" s="1543"/>
      <c r="M1200" s="1543"/>
      <c r="N1200" s="1566"/>
    </row>
    <row r="1201" spans="1:14">
      <c r="A1201" s="1784"/>
      <c r="B1201" s="391" t="s">
        <v>2559</v>
      </c>
      <c r="C1201" s="341"/>
      <c r="D1201" s="341">
        <v>8.84</v>
      </c>
      <c r="E1201" s="341">
        <v>0.5</v>
      </c>
      <c r="F1201" s="341">
        <v>0.2</v>
      </c>
      <c r="G1201" s="341">
        <v>1</v>
      </c>
      <c r="H1201" s="347">
        <v>5.3</v>
      </c>
      <c r="I1201" s="1567"/>
      <c r="J1201" s="1543"/>
      <c r="K1201" s="1543"/>
      <c r="L1201" s="1543"/>
      <c r="M1201" s="1543"/>
      <c r="N1201" s="1566"/>
    </row>
    <row r="1202" spans="1:14">
      <c r="A1202" s="1784"/>
      <c r="B1202" s="391" t="s">
        <v>2560</v>
      </c>
      <c r="C1202" s="341"/>
      <c r="D1202" s="341">
        <v>8.77</v>
      </c>
      <c r="E1202" s="341">
        <v>0.5</v>
      </c>
      <c r="F1202" s="341">
        <v>0.2</v>
      </c>
      <c r="G1202" s="341">
        <v>1</v>
      </c>
      <c r="H1202" s="347">
        <v>5.26</v>
      </c>
      <c r="I1202" s="1567"/>
      <c r="J1202" s="1543"/>
      <c r="K1202" s="1543"/>
      <c r="L1202" s="1543"/>
      <c r="M1202" s="1543"/>
      <c r="N1202" s="1566"/>
    </row>
    <row r="1203" spans="1:14">
      <c r="A1203" s="1784"/>
      <c r="B1203" s="391" t="s">
        <v>2561</v>
      </c>
      <c r="C1203" s="341"/>
      <c r="D1203" s="341">
        <v>8.77</v>
      </c>
      <c r="E1203" s="341">
        <v>0.5</v>
      </c>
      <c r="F1203" s="341">
        <v>0.2</v>
      </c>
      <c r="G1203" s="341">
        <v>1</v>
      </c>
      <c r="H1203" s="347">
        <v>5.26</v>
      </c>
      <c r="I1203" s="1567"/>
      <c r="J1203" s="1543"/>
      <c r="K1203" s="1543"/>
      <c r="L1203" s="1543"/>
      <c r="M1203" s="1543"/>
      <c r="N1203" s="1566"/>
    </row>
    <row r="1204" spans="1:14">
      <c r="A1204" s="1784"/>
      <c r="B1204" s="391" t="s">
        <v>2562</v>
      </c>
      <c r="C1204" s="341"/>
      <c r="D1204" s="341">
        <v>4.7</v>
      </c>
      <c r="E1204" s="341">
        <v>0.5</v>
      </c>
      <c r="F1204" s="341">
        <v>0.2</v>
      </c>
      <c r="G1204" s="341">
        <v>1</v>
      </c>
      <c r="H1204" s="347">
        <v>3.03</v>
      </c>
      <c r="I1204" s="1567"/>
      <c r="J1204" s="1543"/>
      <c r="K1204" s="1543"/>
      <c r="L1204" s="1543"/>
      <c r="M1204" s="1543"/>
      <c r="N1204" s="1566"/>
    </row>
    <row r="1205" spans="1:14">
      <c r="A1205" s="1784"/>
      <c r="B1205" s="391" t="s">
        <v>2563</v>
      </c>
      <c r="C1205" s="341"/>
      <c r="D1205" s="341">
        <v>4.7</v>
      </c>
      <c r="E1205" s="341">
        <v>0.5</v>
      </c>
      <c r="F1205" s="341">
        <v>0.2</v>
      </c>
      <c r="G1205" s="341">
        <v>1</v>
      </c>
      <c r="H1205" s="347">
        <v>3.03</v>
      </c>
      <c r="I1205" s="1567"/>
      <c r="J1205" s="1543"/>
      <c r="K1205" s="1543"/>
      <c r="L1205" s="1543"/>
      <c r="M1205" s="1543"/>
      <c r="N1205" s="1566"/>
    </row>
    <row r="1206" spans="1:14">
      <c r="A1206" s="1784"/>
      <c r="B1206" s="391" t="s">
        <v>2564</v>
      </c>
      <c r="C1206" s="341"/>
      <c r="D1206" s="341">
        <v>4.7</v>
      </c>
      <c r="E1206" s="341">
        <v>0.5</v>
      </c>
      <c r="F1206" s="341">
        <v>0.2</v>
      </c>
      <c r="G1206" s="341">
        <v>1</v>
      </c>
      <c r="H1206" s="347">
        <v>3.03</v>
      </c>
      <c r="I1206" s="1567"/>
      <c r="J1206" s="1543"/>
      <c r="K1206" s="1543"/>
      <c r="L1206" s="1543"/>
      <c r="M1206" s="1543"/>
      <c r="N1206" s="1566"/>
    </row>
    <row r="1207" spans="1:14">
      <c r="A1207" s="1784"/>
      <c r="B1207" s="391" t="s">
        <v>2565</v>
      </c>
      <c r="C1207" s="341"/>
      <c r="D1207" s="341">
        <v>16.02</v>
      </c>
      <c r="E1207" s="341">
        <v>0.5</v>
      </c>
      <c r="F1207" s="341">
        <v>0.2</v>
      </c>
      <c r="G1207" s="341">
        <v>1</v>
      </c>
      <c r="H1207" s="347">
        <v>9.25</v>
      </c>
      <c r="I1207" s="1567"/>
      <c r="J1207" s="1543"/>
      <c r="K1207" s="1543"/>
      <c r="L1207" s="1543"/>
      <c r="M1207" s="1543"/>
      <c r="N1207" s="1566"/>
    </row>
    <row r="1208" spans="1:14">
      <c r="A1208" s="1784"/>
      <c r="B1208" s="391" t="s">
        <v>2566</v>
      </c>
      <c r="C1208" s="341"/>
      <c r="D1208" s="341">
        <v>3.12</v>
      </c>
      <c r="E1208" s="341">
        <v>0.5</v>
      </c>
      <c r="F1208" s="341">
        <v>0.2</v>
      </c>
      <c r="G1208" s="341">
        <v>1</v>
      </c>
      <c r="H1208" s="347">
        <v>2.16</v>
      </c>
      <c r="I1208" s="1567"/>
      <c r="J1208" s="1543"/>
      <c r="K1208" s="1543"/>
      <c r="L1208" s="1543"/>
      <c r="M1208" s="1543"/>
      <c r="N1208" s="1566"/>
    </row>
    <row r="1209" spans="1:14">
      <c r="A1209" s="1784"/>
      <c r="B1209" s="391" t="s">
        <v>2567</v>
      </c>
      <c r="C1209" s="341"/>
      <c r="D1209" s="341">
        <v>5.9</v>
      </c>
      <c r="E1209" s="341">
        <v>0.5</v>
      </c>
      <c r="F1209" s="341">
        <v>0.2</v>
      </c>
      <c r="G1209" s="341">
        <v>1</v>
      </c>
      <c r="H1209" s="347">
        <v>3.69</v>
      </c>
      <c r="I1209" s="1567"/>
      <c r="J1209" s="1543"/>
      <c r="K1209" s="1543"/>
      <c r="L1209" s="1543"/>
      <c r="M1209" s="1543"/>
      <c r="N1209" s="1566"/>
    </row>
    <row r="1210" spans="1:14">
      <c r="A1210" s="1784"/>
      <c r="B1210" s="391" t="s">
        <v>2568</v>
      </c>
      <c r="C1210" s="341"/>
      <c r="D1210" s="341">
        <v>3.12</v>
      </c>
      <c r="E1210" s="341">
        <v>0.5</v>
      </c>
      <c r="F1210" s="341">
        <v>0.2</v>
      </c>
      <c r="G1210" s="341">
        <v>1</v>
      </c>
      <c r="H1210" s="347">
        <v>2.16</v>
      </c>
      <c r="I1210" s="1567"/>
      <c r="J1210" s="1543"/>
      <c r="K1210" s="1543"/>
      <c r="L1210" s="1543"/>
      <c r="M1210" s="1543"/>
      <c r="N1210" s="1566"/>
    </row>
    <row r="1211" spans="1:14">
      <c r="A1211" s="1784"/>
      <c r="B1211" s="391" t="s">
        <v>2569</v>
      </c>
      <c r="C1211" s="341"/>
      <c r="D1211" s="341">
        <v>5.6</v>
      </c>
      <c r="E1211" s="341">
        <v>0.5</v>
      </c>
      <c r="F1211" s="341">
        <v>0.2</v>
      </c>
      <c r="G1211" s="341">
        <v>1</v>
      </c>
      <c r="H1211" s="347">
        <v>3.52</v>
      </c>
      <c r="I1211" s="1567"/>
      <c r="J1211" s="1543"/>
      <c r="K1211" s="1543"/>
      <c r="L1211" s="1543"/>
      <c r="M1211" s="1543"/>
      <c r="N1211" s="1566"/>
    </row>
    <row r="1212" spans="1:14">
      <c r="A1212" s="1784"/>
      <c r="B1212" s="391" t="s">
        <v>2570</v>
      </c>
      <c r="C1212" s="341"/>
      <c r="D1212" s="341">
        <v>17.28</v>
      </c>
      <c r="E1212" s="341">
        <v>0.5</v>
      </c>
      <c r="F1212" s="341">
        <v>0.2</v>
      </c>
      <c r="G1212" s="341">
        <v>1</v>
      </c>
      <c r="H1212" s="347">
        <v>9.94</v>
      </c>
      <c r="I1212" s="1567"/>
      <c r="J1212" s="1543"/>
      <c r="K1212" s="1543"/>
      <c r="L1212" s="1543"/>
      <c r="M1212" s="1543"/>
      <c r="N1212" s="1566"/>
    </row>
    <row r="1213" spans="1:14">
      <c r="A1213" s="1784"/>
      <c r="B1213" s="391" t="s">
        <v>2571</v>
      </c>
      <c r="C1213" s="341"/>
      <c r="D1213" s="341">
        <v>0.67</v>
      </c>
      <c r="E1213" s="341">
        <v>0.5</v>
      </c>
      <c r="F1213" s="341">
        <v>0.2</v>
      </c>
      <c r="G1213" s="341">
        <v>1</v>
      </c>
      <c r="H1213" s="347">
        <v>0.81</v>
      </c>
      <c r="I1213" s="1567"/>
      <c r="J1213" s="1543"/>
      <c r="K1213" s="1543"/>
      <c r="L1213" s="1543"/>
      <c r="M1213" s="1543"/>
      <c r="N1213" s="1566"/>
    </row>
    <row r="1214" spans="1:14">
      <c r="A1214" s="1784"/>
      <c r="B1214" s="391" t="s">
        <v>2572</v>
      </c>
      <c r="C1214" s="341"/>
      <c r="D1214" s="341">
        <v>1.95</v>
      </c>
      <c r="E1214" s="341">
        <v>0.5</v>
      </c>
      <c r="F1214" s="341">
        <v>0.15</v>
      </c>
      <c r="G1214" s="341">
        <v>1</v>
      </c>
      <c r="H1214" s="347">
        <v>1.44</v>
      </c>
      <c r="I1214" s="1567"/>
      <c r="J1214" s="1543"/>
      <c r="K1214" s="1543"/>
      <c r="L1214" s="1543"/>
      <c r="M1214" s="1543"/>
      <c r="N1214" s="1566"/>
    </row>
    <row r="1215" spans="1:14">
      <c r="A1215" s="1784"/>
      <c r="B1215" s="391" t="s">
        <v>2573</v>
      </c>
      <c r="C1215" s="341"/>
      <c r="D1215" s="341">
        <v>1.95</v>
      </c>
      <c r="E1215" s="341">
        <v>0.5</v>
      </c>
      <c r="F1215" s="341">
        <v>0.15</v>
      </c>
      <c r="G1215" s="341">
        <v>1</v>
      </c>
      <c r="H1215" s="347">
        <v>1.44</v>
      </c>
      <c r="I1215" s="1567"/>
      <c r="J1215" s="1543"/>
      <c r="K1215" s="1543"/>
      <c r="L1215" s="1543"/>
      <c r="M1215" s="1543"/>
      <c r="N1215" s="1566"/>
    </row>
    <row r="1216" spans="1:14">
      <c r="A1216" s="1784"/>
      <c r="B1216" s="391" t="s">
        <v>2574</v>
      </c>
      <c r="C1216" s="341"/>
      <c r="D1216" s="341">
        <v>5.35</v>
      </c>
      <c r="E1216" s="341">
        <v>0.5</v>
      </c>
      <c r="F1216" s="341">
        <v>0.3</v>
      </c>
      <c r="G1216" s="341">
        <v>1</v>
      </c>
      <c r="H1216" s="347">
        <v>3.72</v>
      </c>
      <c r="I1216" s="1567"/>
      <c r="J1216" s="1543"/>
      <c r="K1216" s="1543"/>
      <c r="L1216" s="1543"/>
      <c r="M1216" s="1543"/>
      <c r="N1216" s="1566"/>
    </row>
    <row r="1217" spans="1:14">
      <c r="A1217" s="1784"/>
      <c r="B1217" s="391" t="s">
        <v>2575</v>
      </c>
      <c r="C1217" s="341"/>
      <c r="D1217" s="341">
        <v>4.3</v>
      </c>
      <c r="E1217" s="341">
        <v>0.5</v>
      </c>
      <c r="F1217" s="341">
        <v>0.2</v>
      </c>
      <c r="G1217" s="341">
        <v>1</v>
      </c>
      <c r="H1217" s="347">
        <v>2.81</v>
      </c>
      <c r="I1217" s="1567"/>
      <c r="J1217" s="1543"/>
      <c r="K1217" s="1543"/>
      <c r="L1217" s="1543"/>
      <c r="M1217" s="1543"/>
      <c r="N1217" s="1566"/>
    </row>
    <row r="1218" spans="1:14">
      <c r="A1218" s="1784"/>
      <c r="B1218" s="391"/>
      <c r="C1218" s="341"/>
      <c r="D1218" s="341"/>
      <c r="E1218" s="341"/>
      <c r="F1218" s="341"/>
      <c r="G1218" s="341"/>
      <c r="H1218" s="347"/>
      <c r="I1218" s="1567"/>
      <c r="J1218" s="1543"/>
      <c r="K1218" s="1543"/>
      <c r="L1218" s="1543"/>
      <c r="M1218" s="1543"/>
      <c r="N1218" s="1566"/>
    </row>
    <row r="1219" spans="1:14">
      <c r="A1219" s="1784"/>
      <c r="B1219" s="421" t="s">
        <v>2545</v>
      </c>
      <c r="C1219" s="341"/>
      <c r="D1219" s="341"/>
      <c r="E1219" s="341"/>
      <c r="F1219" s="341"/>
      <c r="G1219" s="341"/>
      <c r="H1219" s="347"/>
      <c r="I1219" s="1567"/>
      <c r="J1219" s="1543"/>
      <c r="K1219" s="1543"/>
      <c r="L1219" s="1543"/>
      <c r="M1219" s="1543"/>
      <c r="N1219" s="1566"/>
    </row>
    <row r="1220" spans="1:14">
      <c r="A1220" s="1784"/>
      <c r="B1220" s="391" t="s">
        <v>2546</v>
      </c>
      <c r="C1220" s="341"/>
      <c r="D1220" s="341"/>
      <c r="E1220" s="341"/>
      <c r="F1220" s="341"/>
      <c r="G1220" s="341"/>
      <c r="H1220" s="347"/>
      <c r="I1220" s="1567"/>
      <c r="J1220" s="1543"/>
      <c r="K1220" s="1543"/>
      <c r="L1220" s="1543"/>
      <c r="M1220" s="1543"/>
      <c r="N1220" s="1566"/>
    </row>
    <row r="1221" spans="1:14">
      <c r="A1221" s="1784"/>
      <c r="B1221" s="391" t="s">
        <v>2547</v>
      </c>
      <c r="C1221" s="341"/>
      <c r="D1221" s="341"/>
      <c r="E1221" s="341"/>
      <c r="F1221" s="341"/>
      <c r="G1221" s="341"/>
      <c r="H1221" s="347"/>
      <c r="I1221" s="1567"/>
      <c r="J1221" s="1543"/>
      <c r="K1221" s="1543"/>
      <c r="L1221" s="1543"/>
      <c r="M1221" s="1543"/>
      <c r="N1221" s="1566"/>
    </row>
    <row r="1222" spans="1:14">
      <c r="A1222" s="1784"/>
      <c r="B1222" s="391" t="s">
        <v>2576</v>
      </c>
      <c r="C1222" s="341"/>
      <c r="D1222" s="341">
        <v>7.84</v>
      </c>
      <c r="E1222" s="341">
        <v>0.6</v>
      </c>
      <c r="F1222" s="341">
        <v>0.15</v>
      </c>
      <c r="G1222" s="341">
        <v>1</v>
      </c>
      <c r="H1222" s="347">
        <v>2.2799999999999998</v>
      </c>
      <c r="I1222" s="1567"/>
      <c r="J1222" s="1543"/>
      <c r="K1222" s="1543"/>
      <c r="L1222" s="1543"/>
      <c r="M1222" s="1543"/>
      <c r="N1222" s="1566"/>
    </row>
    <row r="1223" spans="1:14">
      <c r="A1223" s="1784"/>
      <c r="B1223" s="391" t="s">
        <v>2577</v>
      </c>
      <c r="C1223" s="341"/>
      <c r="D1223" s="341">
        <v>3.34</v>
      </c>
      <c r="E1223" s="341">
        <v>0.6</v>
      </c>
      <c r="F1223" s="341">
        <v>0.15</v>
      </c>
      <c r="G1223" s="341">
        <v>1</v>
      </c>
      <c r="H1223" s="347">
        <v>0.97</v>
      </c>
      <c r="I1223" s="1567"/>
      <c r="J1223" s="1543"/>
      <c r="K1223" s="1543"/>
      <c r="L1223" s="1543"/>
      <c r="M1223" s="1543"/>
      <c r="N1223" s="1566"/>
    </row>
    <row r="1224" spans="1:14">
      <c r="A1224" s="1784"/>
      <c r="B1224" s="391" t="s">
        <v>2578</v>
      </c>
      <c r="C1224" s="341"/>
      <c r="D1224" s="341">
        <v>1.73</v>
      </c>
      <c r="E1224" s="341">
        <v>0.6</v>
      </c>
      <c r="F1224" s="341">
        <v>0.15</v>
      </c>
      <c r="G1224" s="341">
        <v>1</v>
      </c>
      <c r="H1224" s="347">
        <v>0.5</v>
      </c>
      <c r="I1224" s="1567"/>
      <c r="J1224" s="1543"/>
      <c r="K1224" s="1543"/>
      <c r="L1224" s="1543"/>
      <c r="M1224" s="1543"/>
      <c r="N1224" s="1566"/>
    </row>
    <row r="1225" spans="1:14">
      <c r="A1225" s="1785"/>
      <c r="B1225" s="391" t="s">
        <v>2579</v>
      </c>
      <c r="C1225" s="341"/>
      <c r="D1225" s="341">
        <v>1.5</v>
      </c>
      <c r="E1225" s="341">
        <v>0.6</v>
      </c>
      <c r="F1225" s="341">
        <v>0.15</v>
      </c>
      <c r="G1225" s="341">
        <v>1</v>
      </c>
      <c r="H1225" s="347">
        <v>0.44</v>
      </c>
      <c r="I1225" s="1567"/>
      <c r="J1225" s="1543"/>
      <c r="K1225" s="1543"/>
      <c r="L1225" s="1543"/>
      <c r="M1225" s="1543"/>
      <c r="N1225" s="1566"/>
    </row>
    <row r="1226" spans="1:14">
      <c r="A1226" s="1535" t="s">
        <v>2662</v>
      </c>
      <c r="B1226" s="422"/>
      <c r="C1226" s="341"/>
      <c r="D1226" s="341"/>
      <c r="E1226" s="341"/>
      <c r="F1226" s="341"/>
      <c r="G1226" s="341"/>
      <c r="H1226" s="423"/>
      <c r="I1226" s="1567"/>
      <c r="J1226" s="1543"/>
      <c r="K1226" s="1543"/>
      <c r="L1226" s="1543"/>
      <c r="M1226" s="1543"/>
      <c r="N1226" s="1566"/>
    </row>
    <row r="1227" spans="1:14">
      <c r="A1227" s="1529"/>
      <c r="B1227" s="391" t="s">
        <v>2550</v>
      </c>
      <c r="C1227" s="341"/>
      <c r="D1227" s="341">
        <v>17.59</v>
      </c>
      <c r="E1227" s="341"/>
      <c r="F1227" s="341"/>
      <c r="G1227" s="341"/>
      <c r="H1227" s="347">
        <f>D1227</f>
        <v>17.59</v>
      </c>
      <c r="I1227" s="1567"/>
      <c r="J1227" s="1543"/>
      <c r="K1227" s="1543"/>
      <c r="L1227" s="1543"/>
      <c r="M1227" s="1543"/>
      <c r="N1227" s="1566"/>
    </row>
    <row r="1228" spans="1:14">
      <c r="A1228" s="1529"/>
      <c r="B1228" s="424"/>
      <c r="C1228" s="351"/>
      <c r="D1228" s="351"/>
      <c r="E1228" s="351"/>
      <c r="F1228" s="351"/>
      <c r="G1228" s="351"/>
      <c r="H1228" s="364"/>
      <c r="I1228" s="1567"/>
      <c r="J1228" s="1543"/>
      <c r="K1228" s="1543"/>
      <c r="L1228" s="1543"/>
      <c r="M1228" s="1543"/>
      <c r="N1228" s="1566"/>
    </row>
    <row r="1229" spans="1:14">
      <c r="A1229" s="1535" t="s">
        <v>2749</v>
      </c>
      <c r="B1229" s="425"/>
      <c r="C1229" s="346"/>
      <c r="D1229" s="346"/>
      <c r="E1229" s="346"/>
      <c r="F1229" s="346"/>
      <c r="G1229" s="346"/>
      <c r="H1229" s="403"/>
      <c r="I1229" s="1567"/>
      <c r="J1229" s="1543"/>
      <c r="K1229" s="1543"/>
      <c r="L1229" s="1543"/>
      <c r="M1229" s="1543"/>
      <c r="N1229" s="1566"/>
    </row>
    <row r="1230" spans="1:14">
      <c r="A1230" s="1529"/>
      <c r="B1230" s="406" t="s">
        <v>2663</v>
      </c>
      <c r="C1230" s="341"/>
      <c r="D1230" s="341"/>
      <c r="E1230" s="341"/>
      <c r="F1230" s="341"/>
      <c r="G1230" s="341"/>
      <c r="H1230" s="347">
        <v>10</v>
      </c>
      <c r="I1230" s="1567"/>
      <c r="J1230" s="1543"/>
      <c r="K1230" s="1543"/>
      <c r="L1230" s="1543"/>
      <c r="M1230" s="1543"/>
      <c r="N1230" s="1566"/>
    </row>
    <row r="1231" spans="1:14">
      <c r="A1231" s="1529"/>
      <c r="B1231" s="413"/>
      <c r="C1231" s="348"/>
      <c r="D1231" s="294"/>
      <c r="E1231" s="1214"/>
      <c r="F1231" s="294"/>
      <c r="G1231" s="401"/>
      <c r="H1231" s="349"/>
      <c r="I1231" s="1567"/>
      <c r="J1231" s="1543"/>
      <c r="K1231" s="1543"/>
      <c r="L1231" s="1543"/>
      <c r="M1231" s="1543"/>
      <c r="N1231" s="1566"/>
    </row>
    <row r="1232" spans="1:14">
      <c r="A1232" s="1101" t="s">
        <v>2997</v>
      </c>
      <c r="B1232" s="426" t="s">
        <v>3003</v>
      </c>
      <c r="C1232" s="346"/>
      <c r="D1232" s="346">
        <v>10.11</v>
      </c>
      <c r="E1232" s="346">
        <v>0.9</v>
      </c>
      <c r="F1232" s="346">
        <v>0.7</v>
      </c>
      <c r="G1232" s="346">
        <v>1</v>
      </c>
      <c r="H1232" s="403">
        <f>D1232*F1232</f>
        <v>7.0769999999999991</v>
      </c>
      <c r="I1232" s="1567"/>
      <c r="J1232" s="1543"/>
      <c r="K1232" s="1543"/>
      <c r="L1232" s="1543"/>
      <c r="M1232" s="1543"/>
      <c r="N1232" s="1566"/>
    </row>
    <row r="1233" spans="1:14">
      <c r="A1233" s="1102"/>
      <c r="B1233" s="427" t="s">
        <v>3004</v>
      </c>
      <c r="C1233" s="348"/>
      <c r="D1233" s="348">
        <v>9.06</v>
      </c>
      <c r="E1233" s="348">
        <v>0.9</v>
      </c>
      <c r="F1233" s="348">
        <v>0.7</v>
      </c>
      <c r="G1233" s="348">
        <v>1</v>
      </c>
      <c r="H1233" s="349">
        <f>D1233*F1233</f>
        <v>6.3419999999999996</v>
      </c>
      <c r="I1233" s="1567"/>
      <c r="J1233" s="1543"/>
      <c r="K1233" s="1543"/>
      <c r="L1233" s="1543"/>
      <c r="M1233" s="1543"/>
      <c r="N1233" s="1566"/>
    </row>
    <row r="1234" spans="1:14">
      <c r="A1234" s="1101" t="s">
        <v>3217</v>
      </c>
      <c r="B1234" s="426" t="s">
        <v>3223</v>
      </c>
      <c r="C1234" s="346"/>
      <c r="D1234" s="346">
        <v>3.5</v>
      </c>
      <c r="E1234" s="346">
        <v>0.9</v>
      </c>
      <c r="F1234" s="346">
        <v>0.7</v>
      </c>
      <c r="G1234" s="346">
        <v>1</v>
      </c>
      <c r="H1234" s="403">
        <f>D1234*F1234</f>
        <v>2.4499999999999997</v>
      </c>
      <c r="I1234" s="1567"/>
      <c r="J1234" s="1543"/>
      <c r="K1234" s="1543"/>
      <c r="L1234" s="1543"/>
      <c r="M1234" s="1543"/>
      <c r="N1234" s="1566"/>
    </row>
    <row r="1235" spans="1:14">
      <c r="A1235" s="1102"/>
      <c r="B1235" s="427" t="s">
        <v>3224</v>
      </c>
      <c r="C1235" s="348"/>
      <c r="D1235" s="348">
        <v>3.52</v>
      </c>
      <c r="E1235" s="348">
        <v>0.9</v>
      </c>
      <c r="F1235" s="348">
        <v>0.7</v>
      </c>
      <c r="G1235" s="348">
        <v>1</v>
      </c>
      <c r="H1235" s="349">
        <f>D1235*F1235</f>
        <v>2.464</v>
      </c>
      <c r="I1235" s="1567"/>
      <c r="J1235" s="1543"/>
      <c r="K1235" s="1543"/>
      <c r="L1235" s="1543"/>
      <c r="M1235" s="1543"/>
      <c r="N1235" s="1566"/>
    </row>
    <row r="1236" spans="1:14">
      <c r="A1236" s="1101" t="s">
        <v>3294</v>
      </c>
      <c r="B1236" s="426" t="s">
        <v>3298</v>
      </c>
      <c r="C1236" s="346"/>
      <c r="D1236" s="346">
        <v>10.09</v>
      </c>
      <c r="E1236" s="346">
        <v>0.9</v>
      </c>
      <c r="F1236" s="346">
        <v>0.7</v>
      </c>
      <c r="G1236" s="346">
        <v>1</v>
      </c>
      <c r="H1236" s="403">
        <f>D1236*F1236</f>
        <v>7.0629999999999997</v>
      </c>
      <c r="I1236" s="1567"/>
      <c r="J1236" s="1543"/>
      <c r="K1236" s="1543"/>
      <c r="L1236" s="1543"/>
      <c r="M1236" s="1543"/>
      <c r="N1236" s="1566"/>
    </row>
    <row r="1237" spans="1:14">
      <c r="A1237" s="1102"/>
      <c r="B1237" s="427"/>
      <c r="C1237" s="348"/>
      <c r="D1237" s="348"/>
      <c r="E1237" s="348"/>
      <c r="F1237" s="348"/>
      <c r="G1237" s="348"/>
      <c r="H1237" s="349"/>
      <c r="I1237" s="1567"/>
      <c r="J1237" s="1543"/>
      <c r="K1237" s="1543"/>
      <c r="L1237" s="1543"/>
      <c r="M1237" s="1543"/>
      <c r="N1237" s="1566"/>
    </row>
    <row r="1238" spans="1:14">
      <c r="A1238" s="1101" t="s">
        <v>3364</v>
      </c>
      <c r="B1238" s="426" t="s">
        <v>3167</v>
      </c>
      <c r="C1238" s="346"/>
      <c r="D1238" s="346"/>
      <c r="E1238" s="346"/>
      <c r="F1238" s="346"/>
      <c r="G1238" s="346"/>
      <c r="H1238" s="403">
        <v>5.65</v>
      </c>
      <c r="I1238" s="1567"/>
      <c r="J1238" s="1543"/>
      <c r="K1238" s="1543"/>
      <c r="L1238" s="1543"/>
      <c r="M1238" s="1543"/>
      <c r="N1238" s="1566"/>
    </row>
    <row r="1239" spans="1:14">
      <c r="A1239" s="1102"/>
      <c r="B1239" s="1067"/>
      <c r="C1239" s="693"/>
      <c r="D1239" s="693"/>
      <c r="E1239" s="693"/>
      <c r="F1239" s="693"/>
      <c r="G1239" s="693"/>
      <c r="H1239" s="957"/>
      <c r="I1239" s="1567"/>
      <c r="J1239" s="1543"/>
      <c r="K1239" s="1543"/>
      <c r="L1239" s="1543"/>
      <c r="M1239" s="1543"/>
      <c r="N1239" s="1566"/>
    </row>
    <row r="1240" spans="1:14">
      <c r="A1240" s="1101" t="s">
        <v>3937</v>
      </c>
      <c r="B1240" s="426" t="s">
        <v>3938</v>
      </c>
      <c r="C1240" s="346"/>
      <c r="D1240" s="346"/>
      <c r="E1240" s="346"/>
      <c r="F1240" s="346"/>
      <c r="G1240" s="346"/>
      <c r="H1240" s="403">
        <v>7.78</v>
      </c>
      <c r="I1240" s="1567"/>
      <c r="J1240" s="1543"/>
      <c r="K1240" s="1543"/>
      <c r="L1240" s="1543"/>
      <c r="M1240" s="1543"/>
      <c r="N1240" s="1566"/>
    </row>
    <row r="1241" spans="1:14">
      <c r="A1241" s="1102"/>
      <c r="B1241" s="1067"/>
      <c r="C1241" s="693"/>
      <c r="D1241" s="693"/>
      <c r="E1241" s="693"/>
      <c r="F1241" s="693"/>
      <c r="G1241" s="693"/>
      <c r="H1241" s="957"/>
      <c r="I1241" s="1567"/>
      <c r="J1241" s="1543"/>
      <c r="K1241" s="1543"/>
      <c r="L1241" s="1543"/>
      <c r="M1241" s="1543"/>
      <c r="N1241" s="1566"/>
    </row>
    <row r="1242" spans="1:14" ht="13.5" customHeight="1">
      <c r="A1242" s="1577" t="s">
        <v>2218</v>
      </c>
      <c r="B1242" s="1542"/>
      <c r="C1242" s="1542"/>
      <c r="D1242" s="1542"/>
      <c r="E1242" s="1542"/>
      <c r="F1242" s="1542"/>
      <c r="G1242" s="1542"/>
      <c r="H1242" s="271">
        <f>SUM(H1186:H1239)</f>
        <v>215.17685</v>
      </c>
      <c r="I1242" s="1567"/>
      <c r="J1242" s="1543"/>
      <c r="K1242" s="1543"/>
      <c r="L1242" s="1543"/>
      <c r="M1242" s="1543"/>
      <c r="N1242" s="1566"/>
    </row>
    <row r="1243" spans="1:14" ht="15" customHeight="1">
      <c r="A1243" s="1519" t="s">
        <v>2219</v>
      </c>
      <c r="B1243" s="1517"/>
      <c r="C1243" s="1517"/>
      <c r="D1243" s="1551"/>
      <c r="E1243" s="1551"/>
      <c r="F1243" s="1551"/>
      <c r="G1243" s="1552"/>
      <c r="H1243" s="272">
        <f>SUM(H1186:H1238)</f>
        <v>215.17685</v>
      </c>
      <c r="I1243" s="1543"/>
      <c r="J1243" s="1543"/>
      <c r="K1243" s="1543"/>
      <c r="L1243" s="1543"/>
      <c r="M1243" s="1543"/>
      <c r="N1243" s="1566"/>
    </row>
    <row r="1244" spans="1:14" ht="15.75" thickBot="1">
      <c r="A1244" s="1520" t="s">
        <v>2220</v>
      </c>
      <c r="B1244" s="1521"/>
      <c r="C1244" s="1521"/>
      <c r="D1244" s="1521"/>
      <c r="E1244" s="1521"/>
      <c r="F1244" s="1521"/>
      <c r="G1244" s="1522"/>
      <c r="H1244" s="216">
        <f>H1242-H1243</f>
        <v>0</v>
      </c>
      <c r="I1244" s="1568"/>
      <c r="J1244" s="1568"/>
      <c r="K1244" s="1568"/>
      <c r="L1244" s="1568"/>
      <c r="M1244" s="1568"/>
      <c r="N1244" s="1569"/>
    </row>
    <row r="1245" spans="1:14" ht="15.75" thickBot="1">
      <c r="A1245" s="278"/>
      <c r="B1245" s="428"/>
      <c r="C1245" s="278"/>
      <c r="D1245" s="281"/>
      <c r="E1245" s="631"/>
      <c r="F1245" s="281"/>
      <c r="G1245" s="281"/>
      <c r="H1245" s="217"/>
      <c r="I1245" s="279"/>
      <c r="J1245" s="279"/>
      <c r="K1245" s="279"/>
      <c r="L1245" s="279"/>
      <c r="M1245" s="279"/>
      <c r="N1245" s="279"/>
    </row>
    <row r="1246" spans="1:14" ht="29.25" customHeight="1">
      <c r="A1246" s="1085" t="s">
        <v>2664</v>
      </c>
      <c r="B1246" s="1494" t="s">
        <v>695</v>
      </c>
      <c r="C1246" s="1495"/>
      <c r="D1246" s="1495"/>
      <c r="E1246" s="1495"/>
      <c r="F1246" s="1495"/>
      <c r="G1246" s="1495"/>
      <c r="H1246" s="1495"/>
      <c r="I1246" s="1495"/>
      <c r="J1246" s="1496"/>
      <c r="K1246" s="196" t="s">
        <v>2581</v>
      </c>
      <c r="L1246" s="1497">
        <f>'27ª MEDIÇÃO '!F81</f>
        <v>224.70000000000002</v>
      </c>
      <c r="M1246" s="1498"/>
      <c r="N1246" s="197">
        <f>L1246-H1309</f>
        <v>-1.0000000000331966E-4</v>
      </c>
    </row>
    <row r="1247" spans="1:14">
      <c r="A1247" s="1554"/>
      <c r="B1247" s="1541"/>
      <c r="C1247" s="366"/>
      <c r="D1247" s="367" t="s">
        <v>2183</v>
      </c>
      <c r="E1247" s="1320" t="s">
        <v>2184</v>
      </c>
      <c r="F1247" s="367" t="s">
        <v>2185</v>
      </c>
      <c r="G1247" s="367" t="s">
        <v>2186</v>
      </c>
      <c r="H1247" s="1542" t="s">
        <v>476</v>
      </c>
      <c r="I1247" s="1543"/>
      <c r="J1247" s="1543"/>
      <c r="K1247" s="1543"/>
      <c r="L1247" s="1543"/>
      <c r="M1247" s="1543"/>
      <c r="N1247" s="1566"/>
    </row>
    <row r="1248" spans="1:14" ht="60">
      <c r="A1248" s="1554"/>
      <c r="B1248" s="1694"/>
      <c r="C1248" s="416"/>
      <c r="D1248" s="98" t="s">
        <v>2668</v>
      </c>
      <c r="E1248" s="98" t="s">
        <v>2669</v>
      </c>
      <c r="F1248" s="98" t="s">
        <v>3851</v>
      </c>
      <c r="G1248" s="418"/>
      <c r="H1248" s="1503"/>
      <c r="I1248" s="1543"/>
      <c r="J1248" s="1543"/>
      <c r="K1248" s="1543"/>
      <c r="L1248" s="1543"/>
      <c r="M1248" s="1543"/>
      <c r="N1248" s="1566"/>
    </row>
    <row r="1249" spans="1:17">
      <c r="A1249" s="1529" t="s">
        <v>2662</v>
      </c>
      <c r="B1249" s="429" t="s">
        <v>2665</v>
      </c>
      <c r="C1249" s="430"/>
      <c r="D1249" s="287"/>
      <c r="E1249" s="531"/>
      <c r="F1249" s="287"/>
      <c r="G1249" s="431"/>
      <c r="H1249" s="432"/>
      <c r="I1249" s="1567"/>
      <c r="J1249" s="1543"/>
      <c r="K1249" s="1543"/>
      <c r="L1249" s="1543"/>
      <c r="M1249" s="1543"/>
      <c r="N1249" s="1566"/>
    </row>
    <row r="1250" spans="1:17">
      <c r="A1250" s="1529"/>
      <c r="B1250" s="433" t="s">
        <v>2550</v>
      </c>
      <c r="C1250" s="341"/>
      <c r="D1250" s="341"/>
      <c r="E1250" s="341"/>
      <c r="F1250" s="341"/>
      <c r="G1250" s="341"/>
      <c r="H1250" s="434"/>
      <c r="I1250" s="1567"/>
      <c r="J1250" s="1543"/>
      <c r="K1250" s="1543"/>
      <c r="L1250" s="1543"/>
      <c r="M1250" s="1543"/>
      <c r="N1250" s="1566"/>
    </row>
    <row r="1251" spans="1:17">
      <c r="A1251" s="1529"/>
      <c r="B1251" s="435" t="s">
        <v>2835</v>
      </c>
      <c r="C1251" s="341"/>
      <c r="D1251" s="341"/>
      <c r="E1251" s="341"/>
      <c r="F1251" s="341"/>
      <c r="G1251" s="341"/>
      <c r="H1251" s="434"/>
      <c r="I1251" s="1567"/>
      <c r="J1251" s="1543"/>
      <c r="K1251" s="1543"/>
      <c r="L1251" s="1543"/>
      <c r="M1251" s="1543"/>
      <c r="N1251" s="1566"/>
      <c r="P1251">
        <f>19.17+7</f>
        <v>26.17</v>
      </c>
      <c r="Q1251">
        <v>100</v>
      </c>
    </row>
    <row r="1252" spans="1:17" ht="30">
      <c r="A1252" s="1529"/>
      <c r="B1252" s="436" t="s">
        <v>2666</v>
      </c>
      <c r="C1252" s="341"/>
      <c r="D1252" s="341">
        <v>48.734999999999992</v>
      </c>
      <c r="E1252" s="341">
        <v>5.1449999999999987</v>
      </c>
      <c r="F1252" s="341">
        <v>0.36749999999999994</v>
      </c>
      <c r="G1252" s="341"/>
      <c r="H1252" s="437">
        <f>D1252-E1252-F1252</f>
        <v>43.222499999999997</v>
      </c>
      <c r="I1252" s="1567"/>
      <c r="J1252" s="1543"/>
      <c r="K1252" s="1543"/>
      <c r="L1252" s="1543"/>
      <c r="M1252" s="1543"/>
      <c r="N1252" s="1566"/>
      <c r="P1252">
        <v>7</v>
      </c>
    </row>
    <row r="1253" spans="1:17">
      <c r="A1253" s="1529"/>
      <c r="B1253" s="436" t="s">
        <v>2667</v>
      </c>
      <c r="C1253" s="341"/>
      <c r="D1253" s="341">
        <v>18.194399999999998</v>
      </c>
      <c r="E1253" s="341">
        <v>2.8615999999999997</v>
      </c>
      <c r="F1253" s="341">
        <v>0.20440000000000003</v>
      </c>
      <c r="G1253" s="341"/>
      <c r="H1253" s="437">
        <f>D1253-E1253-F1253</f>
        <v>15.128399999999999</v>
      </c>
      <c r="I1253" s="1567"/>
      <c r="J1253" s="1543"/>
      <c r="K1253" s="1543"/>
      <c r="L1253" s="1543"/>
      <c r="M1253" s="1543"/>
      <c r="N1253" s="1566"/>
    </row>
    <row r="1254" spans="1:17">
      <c r="A1254" s="1529"/>
      <c r="B1254" s="406"/>
      <c r="C1254" s="341"/>
      <c r="D1254" s="341"/>
      <c r="E1254" s="341"/>
      <c r="F1254" s="341"/>
      <c r="G1254" s="341"/>
      <c r="H1254" s="434"/>
      <c r="I1254" s="1567"/>
      <c r="J1254" s="1543"/>
      <c r="K1254" s="1543"/>
      <c r="L1254" s="1543"/>
      <c r="M1254" s="1543"/>
      <c r="N1254" s="1566"/>
    </row>
    <row r="1255" spans="1:17">
      <c r="A1255" s="1529"/>
      <c r="B1255" s="406"/>
      <c r="C1255" s="341"/>
      <c r="D1255" s="341"/>
      <c r="E1255" s="341"/>
      <c r="F1255" s="341"/>
      <c r="G1255" s="341"/>
      <c r="H1255" s="434"/>
      <c r="I1255" s="1567"/>
      <c r="J1255" s="1543"/>
      <c r="K1255" s="1543"/>
      <c r="L1255" s="1543"/>
      <c r="M1255" s="1543"/>
      <c r="N1255" s="1566"/>
    </row>
    <row r="1256" spans="1:17">
      <c r="A1256" s="1529"/>
      <c r="B1256" s="406" t="s">
        <v>2670</v>
      </c>
      <c r="C1256" s="341"/>
      <c r="D1256" s="341"/>
      <c r="E1256" s="341"/>
      <c r="F1256" s="341"/>
      <c r="G1256" s="341"/>
      <c r="H1256" s="434"/>
      <c r="I1256" s="1567"/>
      <c r="J1256" s="1543"/>
      <c r="K1256" s="1543"/>
      <c r="L1256" s="1543"/>
      <c r="M1256" s="1543"/>
      <c r="N1256" s="1566"/>
    </row>
    <row r="1257" spans="1:17">
      <c r="A1257" s="1529"/>
      <c r="B1257" s="435" t="s">
        <v>2822</v>
      </c>
      <c r="C1257" s="341"/>
      <c r="D1257" s="341"/>
      <c r="E1257" s="341"/>
      <c r="F1257" s="341"/>
      <c r="G1257" s="341"/>
      <c r="H1257" s="434"/>
      <c r="I1257" s="1567"/>
      <c r="J1257" s="1543"/>
      <c r="K1257" s="1543"/>
      <c r="L1257" s="1543"/>
      <c r="M1257" s="1543"/>
      <c r="N1257" s="1566"/>
    </row>
    <row r="1258" spans="1:17">
      <c r="A1258" s="1529"/>
      <c r="B1258" s="406" t="s">
        <v>2548</v>
      </c>
      <c r="C1258" s="341"/>
      <c r="D1258" s="341">
        <v>5.23</v>
      </c>
      <c r="E1258" s="341">
        <v>0.87</v>
      </c>
      <c r="F1258" s="341">
        <v>0.09</v>
      </c>
      <c r="G1258" s="341"/>
      <c r="H1258" s="437">
        <f t="shared" ref="H1258:H1279" si="30">D1258-E1258-F1258</f>
        <v>4.2700000000000005</v>
      </c>
      <c r="I1258" s="1567"/>
      <c r="J1258" s="1543"/>
      <c r="K1258" s="1543"/>
      <c r="L1258" s="1543"/>
      <c r="M1258" s="1543"/>
      <c r="N1258" s="1566"/>
    </row>
    <row r="1259" spans="1:17">
      <c r="A1259" s="1529"/>
      <c r="B1259" s="406" t="s">
        <v>2549</v>
      </c>
      <c r="C1259" s="341"/>
      <c r="D1259" s="341">
        <v>2.99</v>
      </c>
      <c r="E1259" s="341">
        <v>0.46</v>
      </c>
      <c r="F1259" s="341">
        <v>0.05</v>
      </c>
      <c r="G1259" s="341"/>
      <c r="H1259" s="437">
        <f t="shared" si="30"/>
        <v>2.4800000000000004</v>
      </c>
      <c r="I1259" s="1567"/>
      <c r="J1259" s="1543"/>
      <c r="K1259" s="1543"/>
      <c r="L1259" s="1543"/>
      <c r="M1259" s="1543"/>
      <c r="N1259" s="1566"/>
    </row>
    <row r="1260" spans="1:17">
      <c r="A1260" s="1529"/>
      <c r="B1260" s="406" t="s">
        <v>2576</v>
      </c>
      <c r="C1260" s="341"/>
      <c r="D1260" s="341">
        <v>3.3</v>
      </c>
      <c r="E1260" s="341">
        <v>0.52</v>
      </c>
      <c r="F1260" s="341">
        <v>0.05</v>
      </c>
      <c r="G1260" s="341"/>
      <c r="H1260" s="437">
        <f t="shared" si="30"/>
        <v>2.73</v>
      </c>
      <c r="I1260" s="1567"/>
      <c r="J1260" s="1543"/>
      <c r="K1260" s="1543"/>
      <c r="L1260" s="1543"/>
      <c r="M1260" s="1543"/>
      <c r="N1260" s="1566"/>
    </row>
    <row r="1261" spans="1:17">
      <c r="A1261" s="1529"/>
      <c r="B1261" s="406" t="s">
        <v>2577</v>
      </c>
      <c r="C1261" s="341"/>
      <c r="D1261" s="341">
        <v>2.81</v>
      </c>
      <c r="E1261" s="341">
        <v>0.57999999999999996</v>
      </c>
      <c r="F1261" s="341">
        <v>0.06</v>
      </c>
      <c r="G1261" s="341"/>
      <c r="H1261" s="437">
        <f t="shared" si="30"/>
        <v>2.17</v>
      </c>
      <c r="I1261" s="1567"/>
      <c r="J1261" s="1543"/>
      <c r="K1261" s="1543"/>
      <c r="L1261" s="1543"/>
      <c r="M1261" s="1543"/>
      <c r="N1261" s="1566"/>
    </row>
    <row r="1262" spans="1:17">
      <c r="A1262" s="1529"/>
      <c r="B1262" s="406" t="s">
        <v>2578</v>
      </c>
      <c r="C1262" s="341"/>
      <c r="D1262" s="341">
        <v>3.48</v>
      </c>
      <c r="E1262" s="341">
        <v>0.74</v>
      </c>
      <c r="F1262" s="341">
        <v>7.0000000000000007E-2</v>
      </c>
      <c r="G1262" s="341"/>
      <c r="H1262" s="437">
        <f t="shared" si="30"/>
        <v>2.6700000000000004</v>
      </c>
      <c r="I1262" s="1567"/>
      <c r="J1262" s="1543"/>
      <c r="K1262" s="1543"/>
      <c r="L1262" s="1543"/>
      <c r="M1262" s="1543"/>
      <c r="N1262" s="1566"/>
    </row>
    <row r="1263" spans="1:17">
      <c r="A1263" s="1529"/>
      <c r="B1263" s="406" t="s">
        <v>2579</v>
      </c>
      <c r="C1263" s="341"/>
      <c r="D1263" s="341">
        <v>5.3</v>
      </c>
      <c r="E1263" s="341">
        <v>0.88</v>
      </c>
      <c r="F1263" s="341">
        <v>0.09</v>
      </c>
      <c r="G1263" s="341"/>
      <c r="H1263" s="437">
        <f t="shared" si="30"/>
        <v>4.33</v>
      </c>
      <c r="I1263" s="1567"/>
      <c r="J1263" s="1543"/>
      <c r="K1263" s="1543"/>
      <c r="L1263" s="1543"/>
      <c r="M1263" s="1543"/>
      <c r="N1263" s="1566"/>
    </row>
    <row r="1264" spans="1:17">
      <c r="A1264" s="1529"/>
      <c r="B1264" s="406" t="s">
        <v>2671</v>
      </c>
      <c r="C1264" s="341"/>
      <c r="D1264" s="341">
        <v>5.26</v>
      </c>
      <c r="E1264" s="341">
        <v>0.88</v>
      </c>
      <c r="F1264" s="341">
        <v>0.09</v>
      </c>
      <c r="G1264" s="341"/>
      <c r="H1264" s="437">
        <f t="shared" si="30"/>
        <v>4.29</v>
      </c>
      <c r="I1264" s="1567"/>
      <c r="J1264" s="1543"/>
      <c r="K1264" s="1543"/>
      <c r="L1264" s="1543"/>
      <c r="M1264" s="1543"/>
      <c r="N1264" s="1566"/>
    </row>
    <row r="1265" spans="1:14">
      <c r="A1265" s="1529"/>
      <c r="B1265" s="406" t="s">
        <v>2672</v>
      </c>
      <c r="C1265" s="341"/>
      <c r="D1265" s="341">
        <v>5.26</v>
      </c>
      <c r="E1265" s="341">
        <v>0.88</v>
      </c>
      <c r="F1265" s="341">
        <v>0.09</v>
      </c>
      <c r="G1265" s="341"/>
      <c r="H1265" s="437">
        <f t="shared" si="30"/>
        <v>4.29</v>
      </c>
      <c r="I1265" s="1567"/>
      <c r="J1265" s="1543"/>
      <c r="K1265" s="1543"/>
      <c r="L1265" s="1543"/>
      <c r="M1265" s="1543"/>
      <c r="N1265" s="1566"/>
    </row>
    <row r="1266" spans="1:14">
      <c r="A1266" s="1529"/>
      <c r="B1266" s="406" t="s">
        <v>2673</v>
      </c>
      <c r="C1266" s="341"/>
      <c r="D1266" s="341">
        <v>3.03</v>
      </c>
      <c r="E1266" s="341">
        <v>0.47</v>
      </c>
      <c r="F1266" s="341">
        <v>0.05</v>
      </c>
      <c r="G1266" s="341"/>
      <c r="H1266" s="437">
        <f t="shared" si="30"/>
        <v>2.5099999999999998</v>
      </c>
      <c r="I1266" s="1567"/>
      <c r="J1266" s="1543"/>
      <c r="K1266" s="1543"/>
      <c r="L1266" s="1543"/>
      <c r="M1266" s="1543"/>
      <c r="N1266" s="1566"/>
    </row>
    <row r="1267" spans="1:14">
      <c r="A1267" s="1529"/>
      <c r="B1267" s="406" t="s">
        <v>2674</v>
      </c>
      <c r="C1267" s="341"/>
      <c r="D1267" s="341">
        <v>3.03</v>
      </c>
      <c r="E1267" s="341">
        <v>0.47</v>
      </c>
      <c r="F1267" s="341">
        <v>0.05</v>
      </c>
      <c r="G1267" s="341"/>
      <c r="H1267" s="437">
        <f t="shared" si="30"/>
        <v>2.5099999999999998</v>
      </c>
      <c r="I1267" s="1567"/>
      <c r="J1267" s="1543"/>
      <c r="K1267" s="1543"/>
      <c r="L1267" s="1543"/>
      <c r="M1267" s="1543"/>
      <c r="N1267" s="1566"/>
    </row>
    <row r="1268" spans="1:14">
      <c r="A1268" s="1529"/>
      <c r="B1268" s="406" t="s">
        <v>2675</v>
      </c>
      <c r="C1268" s="341"/>
      <c r="D1268" s="341">
        <v>3.03</v>
      </c>
      <c r="E1268" s="341">
        <v>0.47</v>
      </c>
      <c r="F1268" s="341">
        <v>0.05</v>
      </c>
      <c r="G1268" s="341"/>
      <c r="H1268" s="437">
        <f t="shared" si="30"/>
        <v>2.5099999999999998</v>
      </c>
      <c r="I1268" s="1567"/>
      <c r="J1268" s="1543"/>
      <c r="K1268" s="1543"/>
      <c r="L1268" s="1543"/>
      <c r="M1268" s="1543"/>
      <c r="N1268" s="1566"/>
    </row>
    <row r="1269" spans="1:14">
      <c r="A1269" s="1529"/>
      <c r="B1269" s="406" t="s">
        <v>2676</v>
      </c>
      <c r="C1269" s="341"/>
      <c r="D1269" s="341">
        <v>9.25</v>
      </c>
      <c r="E1269" s="341">
        <v>1.6</v>
      </c>
      <c r="F1269" s="341">
        <v>0.16</v>
      </c>
      <c r="G1269" s="341"/>
      <c r="H1269" s="437">
        <f t="shared" si="30"/>
        <v>7.49</v>
      </c>
      <c r="I1269" s="1567"/>
      <c r="J1269" s="1543"/>
      <c r="K1269" s="1543"/>
      <c r="L1269" s="1543"/>
      <c r="M1269" s="1543"/>
      <c r="N1269" s="1566"/>
    </row>
    <row r="1270" spans="1:14">
      <c r="A1270" s="1529"/>
      <c r="B1270" s="406" t="s">
        <v>2677</v>
      </c>
      <c r="C1270" s="341"/>
      <c r="D1270" s="341">
        <v>2.16</v>
      </c>
      <c r="E1270" s="341">
        <v>0.31</v>
      </c>
      <c r="F1270" s="341">
        <v>0.03</v>
      </c>
      <c r="G1270" s="341"/>
      <c r="H1270" s="437">
        <f t="shared" si="30"/>
        <v>1.82</v>
      </c>
      <c r="I1270" s="1567"/>
      <c r="J1270" s="1543"/>
      <c r="K1270" s="1543"/>
      <c r="L1270" s="1543"/>
      <c r="M1270" s="1543"/>
      <c r="N1270" s="1566"/>
    </row>
    <row r="1271" spans="1:14">
      <c r="A1271" s="1529"/>
      <c r="B1271" s="406" t="s">
        <v>2678</v>
      </c>
      <c r="C1271" s="341"/>
      <c r="D1271" s="341">
        <v>3.69</v>
      </c>
      <c r="E1271" s="341">
        <v>0.59</v>
      </c>
      <c r="F1271" s="341">
        <v>0.06</v>
      </c>
      <c r="G1271" s="341"/>
      <c r="H1271" s="437">
        <f t="shared" si="30"/>
        <v>3.04</v>
      </c>
      <c r="I1271" s="1567"/>
      <c r="J1271" s="1543"/>
      <c r="K1271" s="1543"/>
      <c r="L1271" s="1543"/>
      <c r="M1271" s="1543"/>
      <c r="N1271" s="1566"/>
    </row>
    <row r="1272" spans="1:14">
      <c r="A1272" s="1529"/>
      <c r="B1272" s="406" t="s">
        <v>2679</v>
      </c>
      <c r="C1272" s="341"/>
      <c r="D1272" s="341">
        <v>2.16</v>
      </c>
      <c r="E1272" s="341">
        <v>0.31</v>
      </c>
      <c r="F1272" s="341">
        <v>0.03</v>
      </c>
      <c r="G1272" s="341"/>
      <c r="H1272" s="437">
        <f t="shared" si="30"/>
        <v>1.82</v>
      </c>
      <c r="I1272" s="1567"/>
      <c r="J1272" s="1543"/>
      <c r="K1272" s="1543"/>
      <c r="L1272" s="1543"/>
      <c r="M1272" s="1543"/>
      <c r="N1272" s="1566"/>
    </row>
    <row r="1273" spans="1:14">
      <c r="A1273" s="1529"/>
      <c r="B1273" s="406" t="s">
        <v>2680</v>
      </c>
      <c r="C1273" s="341"/>
      <c r="D1273" s="341">
        <v>3.52</v>
      </c>
      <c r="E1273" s="341">
        <v>0.56000000000000005</v>
      </c>
      <c r="F1273" s="341">
        <v>0.06</v>
      </c>
      <c r="G1273" s="341"/>
      <c r="H1273" s="437">
        <f t="shared" si="30"/>
        <v>2.9</v>
      </c>
      <c r="I1273" s="1567"/>
      <c r="J1273" s="1543"/>
      <c r="K1273" s="1543"/>
      <c r="L1273" s="1543"/>
      <c r="M1273" s="1543"/>
      <c r="N1273" s="1566"/>
    </row>
    <row r="1274" spans="1:14">
      <c r="A1274" s="1529"/>
      <c r="B1274" s="406" t="s">
        <v>2681</v>
      </c>
      <c r="C1274" s="341"/>
      <c r="D1274" s="341">
        <v>3.72</v>
      </c>
      <c r="E1274" s="341">
        <v>0.8</v>
      </c>
      <c r="F1274" s="341">
        <v>0.08</v>
      </c>
      <c r="G1274" s="341"/>
      <c r="H1274" s="437">
        <f t="shared" si="30"/>
        <v>2.84</v>
      </c>
      <c r="I1274" s="1567"/>
      <c r="J1274" s="1543"/>
      <c r="K1274" s="1543"/>
      <c r="L1274" s="1543"/>
      <c r="M1274" s="1543"/>
      <c r="N1274" s="1566"/>
    </row>
    <row r="1275" spans="1:14">
      <c r="A1275" s="1529"/>
      <c r="B1275" s="406" t="s">
        <v>2682</v>
      </c>
      <c r="C1275" s="341"/>
      <c r="D1275" s="341">
        <v>9.94</v>
      </c>
      <c r="E1275" s="341">
        <v>1.73</v>
      </c>
      <c r="F1275" s="341">
        <v>0.17</v>
      </c>
      <c r="G1275" s="341"/>
      <c r="H1275" s="437">
        <f t="shared" si="30"/>
        <v>8.0399999999999991</v>
      </c>
      <c r="I1275" s="1567"/>
      <c r="J1275" s="1543"/>
      <c r="K1275" s="1543"/>
      <c r="L1275" s="1543"/>
      <c r="M1275" s="1543"/>
      <c r="N1275" s="1566"/>
    </row>
    <row r="1276" spans="1:14">
      <c r="A1276" s="1529"/>
      <c r="B1276" s="406" t="s">
        <v>2683</v>
      </c>
      <c r="C1276" s="341"/>
      <c r="D1276" s="341">
        <v>0.81</v>
      </c>
      <c r="E1276" s="341">
        <v>7.0000000000000007E-2</v>
      </c>
      <c r="F1276" s="341">
        <v>0.01</v>
      </c>
      <c r="G1276" s="341"/>
      <c r="H1276" s="437">
        <f t="shared" si="30"/>
        <v>0.73</v>
      </c>
      <c r="I1276" s="1567"/>
      <c r="J1276" s="1543"/>
      <c r="K1276" s="1543"/>
      <c r="L1276" s="1543"/>
      <c r="M1276" s="1543"/>
      <c r="N1276" s="1566"/>
    </row>
    <row r="1277" spans="1:14">
      <c r="A1277" s="1529"/>
      <c r="B1277" s="406" t="s">
        <v>2684</v>
      </c>
      <c r="C1277" s="341"/>
      <c r="D1277" s="341">
        <v>1.44</v>
      </c>
      <c r="E1277" s="341">
        <v>0.15</v>
      </c>
      <c r="F1277" s="341">
        <v>0.01</v>
      </c>
      <c r="G1277" s="341"/>
      <c r="H1277" s="437">
        <f t="shared" si="30"/>
        <v>1.28</v>
      </c>
      <c r="I1277" s="1567"/>
      <c r="J1277" s="1543"/>
      <c r="K1277" s="1543"/>
      <c r="L1277" s="1543"/>
      <c r="M1277" s="1543"/>
      <c r="N1277" s="1566"/>
    </row>
    <row r="1278" spans="1:14">
      <c r="A1278" s="1529"/>
      <c r="B1278" s="406" t="s">
        <v>2685</v>
      </c>
      <c r="C1278" s="341"/>
      <c r="D1278" s="341">
        <v>1.44</v>
      </c>
      <c r="E1278" s="341">
        <v>0.15</v>
      </c>
      <c r="F1278" s="341">
        <v>0.01</v>
      </c>
      <c r="G1278" s="341"/>
      <c r="H1278" s="437">
        <f t="shared" si="30"/>
        <v>1.28</v>
      </c>
      <c r="I1278" s="1567"/>
      <c r="J1278" s="1543"/>
      <c r="K1278" s="1543"/>
      <c r="L1278" s="1543"/>
      <c r="M1278" s="1543"/>
      <c r="N1278" s="1566"/>
    </row>
    <row r="1279" spans="1:14" ht="24">
      <c r="A1279" s="1529"/>
      <c r="B1279" s="406" t="s">
        <v>2686</v>
      </c>
      <c r="C1279" s="341"/>
      <c r="D1279" s="341">
        <v>2.81</v>
      </c>
      <c r="E1279" s="341">
        <v>0.43</v>
      </c>
      <c r="F1279" s="341">
        <v>0.04</v>
      </c>
      <c r="G1279" s="341"/>
      <c r="H1279" s="437">
        <f t="shared" si="30"/>
        <v>2.34</v>
      </c>
      <c r="I1279" s="1567"/>
      <c r="J1279" s="1543"/>
      <c r="K1279" s="1543"/>
      <c r="L1279" s="1543"/>
      <c r="M1279" s="1543"/>
      <c r="N1279" s="1566"/>
    </row>
    <row r="1280" spans="1:14">
      <c r="A1280" s="1529"/>
      <c r="B1280" s="438"/>
      <c r="C1280" s="341"/>
      <c r="D1280" s="341"/>
      <c r="E1280" s="341"/>
      <c r="F1280" s="341"/>
      <c r="G1280" s="341"/>
      <c r="H1280" s="347"/>
      <c r="I1280" s="1567"/>
      <c r="J1280" s="1543"/>
      <c r="K1280" s="1543"/>
      <c r="L1280" s="1543"/>
      <c r="M1280" s="1543"/>
      <c r="N1280" s="1566"/>
    </row>
    <row r="1281" spans="1:15">
      <c r="A1281" s="1529"/>
      <c r="B1281" s="435" t="s">
        <v>2834</v>
      </c>
      <c r="C1281" s="341"/>
      <c r="D1281" s="341"/>
      <c r="E1281" s="341"/>
      <c r="F1281" s="341"/>
      <c r="G1281" s="341"/>
      <c r="H1281" s="347"/>
      <c r="I1281" s="1567"/>
      <c r="J1281" s="1543"/>
      <c r="K1281" s="1543"/>
      <c r="L1281" s="1543"/>
      <c r="M1281" s="1543"/>
      <c r="N1281" s="1566"/>
    </row>
    <row r="1282" spans="1:15" ht="30">
      <c r="A1282" s="1529"/>
      <c r="B1282" s="435" t="s">
        <v>2833</v>
      </c>
      <c r="C1282" s="341"/>
      <c r="D1282" s="341"/>
      <c r="E1282" s="341"/>
      <c r="F1282" s="341"/>
      <c r="G1282" s="341"/>
      <c r="H1282" s="347"/>
      <c r="I1282" s="1567"/>
      <c r="J1282" s="1543"/>
      <c r="K1282" s="1543"/>
      <c r="L1282" s="1543"/>
      <c r="M1282" s="1543"/>
      <c r="N1282" s="1566"/>
    </row>
    <row r="1283" spans="1:15">
      <c r="A1283" s="1529"/>
      <c r="B1283" s="406" t="s">
        <v>2663</v>
      </c>
      <c r="C1283" s="341"/>
      <c r="D1283" s="341">
        <v>7.36</v>
      </c>
      <c r="E1283" s="341">
        <v>1</v>
      </c>
      <c r="F1283" s="341">
        <v>0.1</v>
      </c>
      <c r="G1283" s="341"/>
      <c r="H1283" s="437">
        <f>D1283-E1283-F1283</f>
        <v>6.2600000000000007</v>
      </c>
      <c r="I1283" s="1567"/>
      <c r="J1283" s="1543"/>
      <c r="K1283" s="1543"/>
      <c r="L1283" s="1543"/>
      <c r="M1283" s="1543"/>
      <c r="N1283" s="1566"/>
    </row>
    <row r="1284" spans="1:15">
      <c r="A1284" s="1529"/>
      <c r="B1284" s="406"/>
      <c r="C1284" s="341"/>
      <c r="D1284" s="341"/>
      <c r="E1284" s="341"/>
      <c r="F1284" s="341"/>
      <c r="G1284" s="341"/>
      <c r="H1284" s="437"/>
      <c r="I1284" s="1567"/>
      <c r="J1284" s="1543"/>
      <c r="K1284" s="1543"/>
      <c r="L1284" s="1543"/>
      <c r="M1284" s="1543"/>
      <c r="N1284" s="1566"/>
    </row>
    <row r="1285" spans="1:15" ht="30">
      <c r="A1285" s="1529"/>
      <c r="B1285" s="435" t="s">
        <v>2687</v>
      </c>
      <c r="C1285" s="341"/>
      <c r="D1285" s="341"/>
      <c r="E1285" s="341"/>
      <c r="F1285" s="341"/>
      <c r="G1285" s="341"/>
      <c r="H1285" s="437"/>
      <c r="I1285" s="1567"/>
      <c r="J1285" s="1543"/>
      <c r="K1285" s="1543"/>
      <c r="L1285" s="1543"/>
      <c r="M1285" s="1543"/>
      <c r="N1285" s="1566"/>
    </row>
    <row r="1286" spans="1:15">
      <c r="A1286" s="1529"/>
      <c r="B1286" s="406" t="s">
        <v>2546</v>
      </c>
      <c r="C1286" s="341"/>
      <c r="D1286" s="341"/>
      <c r="E1286" s="341"/>
      <c r="F1286" s="341"/>
      <c r="G1286" s="341"/>
      <c r="H1286" s="437"/>
      <c r="I1286" s="1567"/>
      <c r="J1286" s="1543"/>
      <c r="K1286" s="1543"/>
      <c r="L1286" s="1543"/>
      <c r="M1286" s="1543"/>
      <c r="N1286" s="1566"/>
    </row>
    <row r="1287" spans="1:15">
      <c r="A1287" s="1529"/>
      <c r="B1287" s="406" t="s">
        <v>2547</v>
      </c>
      <c r="C1287" s="341"/>
      <c r="D1287" s="341"/>
      <c r="E1287" s="341"/>
      <c r="F1287" s="341"/>
      <c r="G1287" s="341"/>
      <c r="H1287" s="437"/>
      <c r="I1287" s="1567"/>
      <c r="J1287" s="1543"/>
      <c r="K1287" s="1543"/>
      <c r="L1287" s="1543"/>
      <c r="M1287" s="1543"/>
      <c r="N1287" s="1566"/>
    </row>
    <row r="1288" spans="1:15">
      <c r="A1288" s="1529"/>
      <c r="B1288" s="406" t="s">
        <v>2548</v>
      </c>
      <c r="C1288" s="341"/>
      <c r="D1288" s="341">
        <v>1.1299999999999999</v>
      </c>
      <c r="E1288" s="341">
        <v>0.35</v>
      </c>
      <c r="F1288" s="341">
        <v>0.03</v>
      </c>
      <c r="G1288" s="341"/>
      <c r="H1288" s="437">
        <f t="shared" ref="H1288:H1293" si="31">D1288-E1288-F1288</f>
        <v>0.74999999999999989</v>
      </c>
      <c r="I1288" s="1567"/>
      <c r="J1288" s="1543"/>
      <c r="K1288" s="1543"/>
      <c r="L1288" s="1543"/>
      <c r="M1288" s="1543"/>
      <c r="N1288" s="1566"/>
    </row>
    <row r="1289" spans="1:15">
      <c r="A1289" s="1529"/>
      <c r="B1289" s="406" t="s">
        <v>2549</v>
      </c>
      <c r="C1289" s="341"/>
      <c r="D1289" s="341">
        <v>1.1299999999999999</v>
      </c>
      <c r="E1289" s="341">
        <v>0.35</v>
      </c>
      <c r="F1289" s="341">
        <v>0.03</v>
      </c>
      <c r="G1289" s="341"/>
      <c r="H1289" s="437">
        <f t="shared" si="31"/>
        <v>0.74999999999999989</v>
      </c>
      <c r="I1289" s="1567"/>
      <c r="J1289" s="1543"/>
      <c r="K1289" s="1543"/>
      <c r="L1289" s="1543"/>
      <c r="M1289" s="1543"/>
      <c r="N1289" s="1566"/>
    </row>
    <row r="1290" spans="1:15">
      <c r="A1290" s="1529"/>
      <c r="B1290" s="406" t="s">
        <v>2576</v>
      </c>
      <c r="C1290" s="341"/>
      <c r="D1290" s="341">
        <v>2.2799999999999998</v>
      </c>
      <c r="E1290" s="341">
        <v>0.71</v>
      </c>
      <c r="F1290" s="341">
        <v>0.06</v>
      </c>
      <c r="G1290" s="341"/>
      <c r="H1290" s="437">
        <f t="shared" si="31"/>
        <v>1.5099999999999998</v>
      </c>
      <c r="I1290" s="1567"/>
      <c r="J1290" s="1543"/>
      <c r="K1290" s="1543"/>
      <c r="L1290" s="1543"/>
      <c r="M1290" s="1543"/>
      <c r="N1290" s="1566"/>
    </row>
    <row r="1291" spans="1:15">
      <c r="A1291" s="1529"/>
      <c r="B1291" s="406" t="s">
        <v>2577</v>
      </c>
      <c r="C1291" s="341"/>
      <c r="D1291" s="341">
        <v>0.97</v>
      </c>
      <c r="E1291" s="341">
        <v>0.3</v>
      </c>
      <c r="F1291" s="341">
        <v>0.03</v>
      </c>
      <c r="G1291" s="341"/>
      <c r="H1291" s="437">
        <f t="shared" si="31"/>
        <v>0.6399999999999999</v>
      </c>
      <c r="I1291" s="1567"/>
      <c r="J1291" s="1543"/>
      <c r="K1291" s="1543"/>
      <c r="L1291" s="1543"/>
      <c r="M1291" s="1543"/>
      <c r="N1291" s="1566"/>
      <c r="O1291">
        <f>SUM(H1249:H1293)</f>
        <v>137.22090000000003</v>
      </c>
    </row>
    <row r="1292" spans="1:15">
      <c r="A1292" s="1529"/>
      <c r="B1292" s="406" t="s">
        <v>2578</v>
      </c>
      <c r="C1292" s="341"/>
      <c r="D1292" s="341">
        <v>0.5</v>
      </c>
      <c r="E1292" s="341">
        <v>0.16</v>
      </c>
      <c r="F1292" s="341">
        <v>0.01</v>
      </c>
      <c r="G1292" s="341"/>
      <c r="H1292" s="437">
        <f t="shared" si="31"/>
        <v>0.32999999999999996</v>
      </c>
      <c r="I1292" s="1567"/>
      <c r="J1292" s="1543"/>
      <c r="K1292" s="1543"/>
      <c r="L1292" s="1543"/>
      <c r="M1292" s="1543"/>
      <c r="N1292" s="1566"/>
      <c r="O1292" s="897">
        <f>SUM(H1294:H1296)</f>
        <v>5</v>
      </c>
    </row>
    <row r="1293" spans="1:15">
      <c r="A1293" s="1529"/>
      <c r="B1293" s="406" t="s">
        <v>2579</v>
      </c>
      <c r="C1293" s="341"/>
      <c r="D1293" s="341">
        <v>0.44</v>
      </c>
      <c r="E1293" s="341">
        <v>0.14000000000000001</v>
      </c>
      <c r="F1293" s="341">
        <v>0.01</v>
      </c>
      <c r="G1293" s="341"/>
      <c r="H1293" s="437">
        <f t="shared" si="31"/>
        <v>0.28999999999999998</v>
      </c>
      <c r="I1293" s="1567"/>
      <c r="J1293" s="1543"/>
      <c r="K1293" s="1543"/>
      <c r="L1293" s="1543"/>
      <c r="M1293" s="1543"/>
      <c r="N1293" s="1566"/>
      <c r="O1293" s="690">
        <f>SUM(H1297:H1301)</f>
        <v>32.29</v>
      </c>
    </row>
    <row r="1294" spans="1:15">
      <c r="A1294" s="1535" t="s">
        <v>2749</v>
      </c>
      <c r="B1294" s="406"/>
      <c r="C1294" s="341"/>
      <c r="D1294" s="341"/>
      <c r="E1294" s="341"/>
      <c r="F1294" s="341"/>
      <c r="G1294" s="341"/>
      <c r="H1294" s="347"/>
      <c r="I1294" s="1567"/>
      <c r="J1294" s="1543"/>
      <c r="K1294" s="1543"/>
      <c r="L1294" s="1543"/>
      <c r="M1294" s="1543"/>
      <c r="N1294" s="1566"/>
    </row>
    <row r="1295" spans="1:15">
      <c r="A1295" s="1529"/>
      <c r="B1295" s="406" t="s">
        <v>2832</v>
      </c>
      <c r="C1295" s="341"/>
      <c r="D1295" s="341">
        <v>5</v>
      </c>
      <c r="E1295" s="341"/>
      <c r="F1295" s="341"/>
      <c r="G1295" s="341"/>
      <c r="H1295" s="437">
        <f>D1295</f>
        <v>5</v>
      </c>
      <c r="I1295" s="1567"/>
      <c r="J1295" s="1543"/>
      <c r="K1295" s="1543"/>
      <c r="L1295" s="1543"/>
      <c r="M1295" s="1543"/>
      <c r="N1295" s="1566"/>
    </row>
    <row r="1296" spans="1:15">
      <c r="A1296" s="1529"/>
      <c r="B1296" s="412"/>
      <c r="C1296" s="351"/>
      <c r="D1296" s="351"/>
      <c r="E1296" s="351"/>
      <c r="F1296" s="351"/>
      <c r="G1296" s="351"/>
      <c r="H1296" s="364"/>
      <c r="I1296" s="1567"/>
      <c r="J1296" s="1543"/>
      <c r="K1296" s="1543"/>
      <c r="L1296" s="1543"/>
      <c r="M1296" s="1543"/>
      <c r="N1296" s="1566"/>
    </row>
    <row r="1297" spans="1:14">
      <c r="A1297" s="1514" t="s">
        <v>2997</v>
      </c>
      <c r="B1297" s="410"/>
      <c r="C1297" s="346"/>
      <c r="D1297" s="346"/>
      <c r="E1297" s="346"/>
      <c r="F1297" s="346"/>
      <c r="G1297" s="346"/>
      <c r="H1297" s="439"/>
      <c r="I1297" s="1567"/>
      <c r="J1297" s="1543"/>
      <c r="K1297" s="1543"/>
      <c r="L1297" s="1543"/>
      <c r="M1297" s="1543"/>
      <c r="N1297" s="1566"/>
    </row>
    <row r="1298" spans="1:14">
      <c r="A1298" s="1523"/>
      <c r="B1298" s="406" t="s">
        <v>2832</v>
      </c>
      <c r="C1298" s="341"/>
      <c r="D1298" s="341">
        <v>23</v>
      </c>
      <c r="E1298" s="341"/>
      <c r="F1298" s="341"/>
      <c r="G1298" s="341"/>
      <c r="H1298" s="437">
        <f>D1298</f>
        <v>23</v>
      </c>
      <c r="I1298" s="1567"/>
      <c r="J1298" s="1543"/>
      <c r="K1298" s="1543"/>
      <c r="L1298" s="1543"/>
      <c r="M1298" s="1543"/>
      <c r="N1298" s="1566"/>
    </row>
    <row r="1299" spans="1:14">
      <c r="A1299" s="1523"/>
      <c r="B1299" s="413"/>
      <c r="C1299" s="348"/>
      <c r="D1299" s="348"/>
      <c r="E1299" s="348"/>
      <c r="F1299" s="348"/>
      <c r="G1299" s="348"/>
      <c r="H1299" s="440"/>
      <c r="I1299" s="1567"/>
      <c r="J1299" s="1543"/>
      <c r="K1299" s="1543"/>
      <c r="L1299" s="1543"/>
      <c r="M1299" s="1543"/>
      <c r="N1299" s="1566"/>
    </row>
    <row r="1300" spans="1:14">
      <c r="A1300" s="1523"/>
      <c r="B1300" s="426" t="s">
        <v>3005</v>
      </c>
      <c r="C1300" s="346"/>
      <c r="D1300" s="346"/>
      <c r="E1300" s="346"/>
      <c r="F1300" s="346"/>
      <c r="G1300" s="346"/>
      <c r="H1300" s="439">
        <v>9.2899999999999991</v>
      </c>
      <c r="I1300" s="1567"/>
      <c r="J1300" s="1543"/>
      <c r="K1300" s="1543"/>
      <c r="L1300" s="1543"/>
      <c r="M1300" s="1543"/>
      <c r="N1300" s="1566"/>
    </row>
    <row r="1301" spans="1:14">
      <c r="A1301" s="1515"/>
      <c r="B1301" s="427"/>
      <c r="C1301" s="348"/>
      <c r="D1301" s="348"/>
      <c r="E1301" s="348"/>
      <c r="F1301" s="348"/>
      <c r="G1301" s="348"/>
      <c r="H1301" s="440"/>
      <c r="I1301" s="1567"/>
      <c r="J1301" s="1543"/>
      <c r="K1301" s="1543"/>
      <c r="L1301" s="1543"/>
      <c r="M1301" s="1543"/>
      <c r="N1301" s="1566"/>
    </row>
    <row r="1302" spans="1:14">
      <c r="A1302" s="1630" t="s">
        <v>3217</v>
      </c>
      <c r="B1302" s="410"/>
      <c r="C1302" s="346"/>
      <c r="D1302" s="346"/>
      <c r="E1302" s="346"/>
      <c r="F1302" s="346"/>
      <c r="G1302" s="346"/>
      <c r="H1302" s="439"/>
      <c r="I1302" s="1567"/>
      <c r="J1302" s="1543"/>
      <c r="K1302" s="1543"/>
      <c r="L1302" s="1543"/>
      <c r="M1302" s="1543"/>
      <c r="N1302" s="1566"/>
    </row>
    <row r="1303" spans="1:14">
      <c r="A1303" s="1631"/>
      <c r="B1303" s="406" t="s">
        <v>3167</v>
      </c>
      <c r="C1303" s="341"/>
      <c r="D1303" s="341">
        <v>3.1</v>
      </c>
      <c r="E1303" s="341"/>
      <c r="F1303" s="341"/>
      <c r="G1303" s="341"/>
      <c r="H1303" s="437">
        <v>3.1</v>
      </c>
      <c r="I1303" s="1567"/>
      <c r="J1303" s="1543"/>
      <c r="K1303" s="1543"/>
      <c r="L1303" s="1543"/>
      <c r="M1303" s="1543"/>
      <c r="N1303" s="1566"/>
    </row>
    <row r="1304" spans="1:14">
      <c r="A1304" s="1103"/>
      <c r="B1304" s="412"/>
      <c r="C1304" s="351"/>
      <c r="D1304" s="351"/>
      <c r="E1304" s="351"/>
      <c r="F1304" s="351"/>
      <c r="G1304" s="351"/>
      <c r="H1304" s="1073"/>
      <c r="I1304" s="1567"/>
      <c r="J1304" s="1543"/>
      <c r="K1304" s="1543"/>
      <c r="L1304" s="1543"/>
      <c r="M1304" s="1543"/>
      <c r="N1304" s="1566"/>
    </row>
    <row r="1305" spans="1:14">
      <c r="A1305" s="1631" t="s">
        <v>3745</v>
      </c>
      <c r="B1305" s="412" t="s">
        <v>3744</v>
      </c>
      <c r="C1305" s="351"/>
      <c r="D1305" s="351"/>
      <c r="E1305" s="351"/>
      <c r="F1305" s="351"/>
      <c r="G1305" s="351"/>
      <c r="H1305" s="1073">
        <v>17.391999999999999</v>
      </c>
      <c r="I1305" s="1567"/>
      <c r="J1305" s="1543"/>
      <c r="K1305" s="1543"/>
      <c r="L1305" s="1543"/>
      <c r="M1305" s="1543"/>
      <c r="N1305" s="1566"/>
    </row>
    <row r="1306" spans="1:14">
      <c r="A1306" s="1631"/>
      <c r="B1306" s="412" t="s">
        <v>2740</v>
      </c>
      <c r="C1306" s="351"/>
      <c r="D1306" s="351"/>
      <c r="E1306" s="351"/>
      <c r="F1306" s="351"/>
      <c r="G1306" s="351"/>
      <c r="H1306" s="1073">
        <v>7.2271999999999998</v>
      </c>
      <c r="I1306" s="1567"/>
      <c r="J1306" s="1543"/>
      <c r="K1306" s="1543"/>
      <c r="L1306" s="1543"/>
      <c r="M1306" s="1543"/>
      <c r="N1306" s="1566"/>
    </row>
    <row r="1307" spans="1:14" ht="48">
      <c r="A1307" s="1631"/>
      <c r="B1307" s="412" t="s">
        <v>3746</v>
      </c>
      <c r="C1307" s="351"/>
      <c r="D1307" s="351"/>
      <c r="E1307" s="351"/>
      <c r="F1307" s="351"/>
      <c r="G1307" s="351"/>
      <c r="H1307" s="1073">
        <v>22.47</v>
      </c>
      <c r="I1307" s="1567"/>
      <c r="J1307" s="1543"/>
      <c r="K1307" s="1543"/>
      <c r="L1307" s="1543"/>
      <c r="M1307" s="1543"/>
      <c r="N1307" s="1566"/>
    </row>
    <row r="1308" spans="1:14">
      <c r="A1308" s="1103"/>
      <c r="B1308" s="412"/>
      <c r="C1308" s="351"/>
      <c r="D1308" s="351"/>
      <c r="E1308" s="351"/>
      <c r="F1308" s="351"/>
      <c r="G1308" s="351"/>
      <c r="H1308" s="1073"/>
      <c r="I1308" s="1567"/>
      <c r="J1308" s="1543"/>
      <c r="K1308" s="1543"/>
      <c r="L1308" s="1543"/>
      <c r="M1308" s="1543"/>
      <c r="N1308" s="1566"/>
    </row>
    <row r="1309" spans="1:14">
      <c r="A1309" s="1577" t="s">
        <v>2218</v>
      </c>
      <c r="B1309" s="1542"/>
      <c r="C1309" s="1542"/>
      <c r="D1309" s="1542"/>
      <c r="E1309" s="1542"/>
      <c r="F1309" s="1542"/>
      <c r="G1309" s="1542"/>
      <c r="H1309" s="271">
        <f>SUM(H1249:H1308)</f>
        <v>224.70010000000002</v>
      </c>
      <c r="I1309" s="1567"/>
      <c r="J1309" s="1543"/>
      <c r="K1309" s="1543"/>
      <c r="L1309" s="1543"/>
      <c r="M1309" s="1543"/>
      <c r="N1309" s="1566"/>
    </row>
    <row r="1310" spans="1:14">
      <c r="A1310" s="1519" t="s">
        <v>2219</v>
      </c>
      <c r="B1310" s="1517"/>
      <c r="C1310" s="1517"/>
      <c r="D1310" s="1551"/>
      <c r="E1310" s="1551"/>
      <c r="F1310" s="1551"/>
      <c r="G1310" s="1552"/>
      <c r="H1310" s="272">
        <f>SUM(H1252:H1303)</f>
        <v>177.61090000000002</v>
      </c>
      <c r="I1310" s="1543"/>
      <c r="J1310" s="1543"/>
      <c r="K1310" s="1543"/>
      <c r="L1310" s="1543"/>
      <c r="M1310" s="1543"/>
      <c r="N1310" s="1566"/>
    </row>
    <row r="1311" spans="1:14" ht="15.75" thickBot="1">
      <c r="A1311" s="1520" t="s">
        <v>2220</v>
      </c>
      <c r="B1311" s="1521"/>
      <c r="C1311" s="1521"/>
      <c r="D1311" s="1521"/>
      <c r="E1311" s="1521"/>
      <c r="F1311" s="1521"/>
      <c r="G1311" s="1522"/>
      <c r="H1311" s="216">
        <f>H1309-H1310</f>
        <v>47.089200000000005</v>
      </c>
      <c r="I1311" s="1568"/>
      <c r="J1311" s="1568"/>
      <c r="K1311" s="1568"/>
      <c r="L1311" s="1568"/>
      <c r="M1311" s="1568"/>
      <c r="N1311" s="1569"/>
    </row>
    <row r="1312" spans="1:14">
      <c r="A1312" s="1104"/>
      <c r="B1312" s="278"/>
      <c r="C1312" s="278"/>
      <c r="D1312" s="281"/>
      <c r="E1312" s="1319"/>
      <c r="F1312" s="278"/>
      <c r="G1312" s="278"/>
      <c r="H1312" s="217"/>
      <c r="I1312" s="279"/>
      <c r="J1312" s="279"/>
      <c r="K1312" s="279"/>
      <c r="L1312" s="279"/>
      <c r="M1312" s="279"/>
      <c r="N1312" s="441"/>
    </row>
    <row r="1313" spans="1:14" ht="15.75" customHeight="1" thickBot="1">
      <c r="A1313" s="1748"/>
      <c r="B1313" s="1749"/>
      <c r="C1313" s="1749"/>
      <c r="D1313" s="1749"/>
      <c r="E1313" s="1749"/>
      <c r="F1313" s="1749"/>
      <c r="G1313" s="1749"/>
      <c r="H1313" s="1749"/>
      <c r="I1313" s="1749"/>
      <c r="J1313" s="1749"/>
      <c r="K1313" s="1749"/>
      <c r="L1313" s="1749"/>
      <c r="M1313" s="1749"/>
      <c r="N1313" s="1786"/>
    </row>
    <row r="1314" spans="1:14" ht="30" customHeight="1">
      <c r="A1314" s="1085" t="s">
        <v>2580</v>
      </c>
      <c r="B1314" s="1494" t="s">
        <v>708</v>
      </c>
      <c r="C1314" s="1495"/>
      <c r="D1314" s="1495"/>
      <c r="E1314" s="1495"/>
      <c r="F1314" s="1495"/>
      <c r="G1314" s="1495"/>
      <c r="H1314" s="1495"/>
      <c r="I1314" s="1495"/>
      <c r="J1314" s="1496"/>
      <c r="K1314" s="196" t="s">
        <v>2581</v>
      </c>
      <c r="L1314" s="1497">
        <v>275.45999999999998</v>
      </c>
      <c r="M1314" s="1498"/>
      <c r="N1314" s="197">
        <f>L1314-H1369</f>
        <v>-6.0000000000286491E-3</v>
      </c>
    </row>
    <row r="1315" spans="1:14">
      <c r="A1315" s="1554"/>
      <c r="B1315" s="1541"/>
      <c r="C1315" s="366"/>
      <c r="D1315" s="367" t="s">
        <v>2183</v>
      </c>
      <c r="E1315" s="1320" t="s">
        <v>2184</v>
      </c>
      <c r="F1315" s="367" t="s">
        <v>2185</v>
      </c>
      <c r="G1315" s="367" t="s">
        <v>2186</v>
      </c>
      <c r="H1315" s="1542" t="s">
        <v>476</v>
      </c>
      <c r="I1315" s="1543"/>
      <c r="J1315" s="1543"/>
      <c r="K1315" s="1543"/>
      <c r="L1315" s="1543"/>
      <c r="M1315" s="1543"/>
      <c r="N1315" s="1566"/>
    </row>
    <row r="1316" spans="1:14">
      <c r="A1316" s="1554"/>
      <c r="B1316" s="1541"/>
      <c r="C1316" s="368" t="s">
        <v>2582</v>
      </c>
      <c r="D1316" s="369" t="s">
        <v>2187</v>
      </c>
      <c r="E1316" s="529" t="s">
        <v>2583</v>
      </c>
      <c r="F1316" s="369" t="s">
        <v>2189</v>
      </c>
      <c r="G1316" s="370" t="s">
        <v>2190</v>
      </c>
      <c r="H1316" s="1542"/>
      <c r="I1316" s="1543"/>
      <c r="J1316" s="1543"/>
      <c r="K1316" s="1543"/>
      <c r="L1316" s="1543"/>
      <c r="M1316" s="1543"/>
      <c r="N1316" s="1566"/>
    </row>
    <row r="1317" spans="1:14">
      <c r="A1317" s="1710" t="s">
        <v>2476</v>
      </c>
      <c r="B1317" s="442" t="s">
        <v>2545</v>
      </c>
      <c r="C1317" s="430"/>
      <c r="D1317" s="287"/>
      <c r="E1317" s="531"/>
      <c r="F1317" s="287"/>
      <c r="G1317" s="431"/>
      <c r="H1317" s="432"/>
      <c r="I1317" s="1567"/>
      <c r="J1317" s="1543"/>
      <c r="K1317" s="1543"/>
      <c r="L1317" s="1543"/>
      <c r="M1317" s="1543"/>
      <c r="N1317" s="1566"/>
    </row>
    <row r="1318" spans="1:14">
      <c r="A1318" s="1536"/>
      <c r="B1318" s="406" t="s">
        <v>2546</v>
      </c>
      <c r="C1318" s="443"/>
      <c r="D1318" s="292"/>
      <c r="E1318" s="901"/>
      <c r="F1318" s="292"/>
      <c r="G1318" s="361"/>
      <c r="H1318" s="434"/>
      <c r="I1318" s="1567"/>
      <c r="J1318" s="1543"/>
      <c r="K1318" s="1543"/>
      <c r="L1318" s="1543"/>
      <c r="M1318" s="1543"/>
      <c r="N1318" s="1566"/>
    </row>
    <row r="1319" spans="1:14">
      <c r="A1319" s="1536"/>
      <c r="B1319" s="406" t="s">
        <v>2547</v>
      </c>
      <c r="C1319" s="341"/>
      <c r="D1319" s="341"/>
      <c r="E1319" s="341"/>
      <c r="F1319" s="341"/>
      <c r="G1319" s="341"/>
      <c r="H1319" s="434"/>
      <c r="I1319" s="1567"/>
      <c r="J1319" s="1543"/>
      <c r="K1319" s="1543"/>
      <c r="L1319" s="1543"/>
      <c r="M1319" s="1543"/>
      <c r="N1319" s="1566"/>
    </row>
    <row r="1320" spans="1:14">
      <c r="A1320" s="1536"/>
      <c r="B1320" s="406" t="s">
        <v>2584</v>
      </c>
      <c r="C1320" s="341"/>
      <c r="D1320" s="341">
        <v>3.87</v>
      </c>
      <c r="E1320" s="341">
        <v>0.6</v>
      </c>
      <c r="F1320" s="341">
        <v>0.15</v>
      </c>
      <c r="G1320" s="341">
        <v>2</v>
      </c>
      <c r="H1320" s="347">
        <v>8.1999999999999993</v>
      </c>
      <c r="I1320" s="1567"/>
      <c r="J1320" s="1543"/>
      <c r="K1320" s="1543"/>
      <c r="L1320" s="1543"/>
      <c r="M1320" s="1543"/>
      <c r="N1320" s="1566"/>
    </row>
    <row r="1321" spans="1:14">
      <c r="A1321" s="1536"/>
      <c r="B1321" s="406" t="s">
        <v>2576</v>
      </c>
      <c r="C1321" s="341"/>
      <c r="D1321" s="341">
        <v>7.84</v>
      </c>
      <c r="E1321" s="341">
        <v>0.6</v>
      </c>
      <c r="F1321" s="341">
        <v>0.15</v>
      </c>
      <c r="G1321" s="341">
        <v>1</v>
      </c>
      <c r="H1321" s="347">
        <v>8.31</v>
      </c>
      <c r="I1321" s="1567"/>
      <c r="J1321" s="1543"/>
      <c r="K1321" s="1543"/>
      <c r="L1321" s="1543"/>
      <c r="M1321" s="1543"/>
      <c r="N1321" s="1566"/>
    </row>
    <row r="1322" spans="1:14">
      <c r="A1322" s="1536"/>
      <c r="B1322" s="406" t="s">
        <v>2577</v>
      </c>
      <c r="C1322" s="341"/>
      <c r="D1322" s="341">
        <v>3.34</v>
      </c>
      <c r="E1322" s="341">
        <v>0.6</v>
      </c>
      <c r="F1322" s="341">
        <v>0.15</v>
      </c>
      <c r="G1322" s="341">
        <v>1</v>
      </c>
      <c r="H1322" s="347">
        <v>3.54</v>
      </c>
      <c r="I1322" s="1567"/>
      <c r="J1322" s="1543"/>
      <c r="K1322" s="1543"/>
      <c r="L1322" s="1543"/>
      <c r="M1322" s="1543"/>
      <c r="N1322" s="1566"/>
    </row>
    <row r="1323" spans="1:14">
      <c r="A1323" s="1536"/>
      <c r="B1323" s="406" t="s">
        <v>2578</v>
      </c>
      <c r="C1323" s="341"/>
      <c r="D1323" s="341">
        <v>1.73</v>
      </c>
      <c r="E1323" s="341">
        <v>0.6</v>
      </c>
      <c r="F1323" s="341">
        <v>0.15</v>
      </c>
      <c r="G1323" s="341">
        <v>1</v>
      </c>
      <c r="H1323" s="347">
        <v>1.83</v>
      </c>
      <c r="I1323" s="1567"/>
      <c r="J1323" s="1543"/>
      <c r="K1323" s="1543"/>
      <c r="L1323" s="1543"/>
      <c r="M1323" s="1543"/>
      <c r="N1323" s="1566"/>
    </row>
    <row r="1324" spans="1:14">
      <c r="A1324" s="1536"/>
      <c r="B1324" s="406" t="s">
        <v>2579</v>
      </c>
      <c r="C1324" s="341"/>
      <c r="D1324" s="341">
        <v>1.5</v>
      </c>
      <c r="E1324" s="341">
        <v>0.6</v>
      </c>
      <c r="F1324" s="341">
        <v>0.15</v>
      </c>
      <c r="G1324" s="341">
        <v>1</v>
      </c>
      <c r="H1324" s="347">
        <v>1.59</v>
      </c>
      <c r="I1324" s="1567"/>
      <c r="J1324" s="1543"/>
      <c r="K1324" s="1543"/>
      <c r="L1324" s="1543"/>
      <c r="M1324" s="1543"/>
      <c r="N1324" s="1566"/>
    </row>
    <row r="1325" spans="1:14">
      <c r="A1325" s="1536"/>
      <c r="B1325" s="406"/>
      <c r="C1325" s="341"/>
      <c r="D1325" s="341"/>
      <c r="E1325" s="341"/>
      <c r="F1325" s="341"/>
      <c r="G1325" s="341"/>
      <c r="H1325" s="347"/>
      <c r="I1325" s="1567"/>
      <c r="J1325" s="1543"/>
      <c r="K1325" s="1543"/>
      <c r="L1325" s="1543"/>
      <c r="M1325" s="1543"/>
      <c r="N1325" s="1566"/>
    </row>
    <row r="1326" spans="1:14">
      <c r="A1326" s="1536"/>
      <c r="B1326" s="406" t="s">
        <v>2550</v>
      </c>
      <c r="C1326" s="341"/>
      <c r="D1326" s="341"/>
      <c r="E1326" s="341"/>
      <c r="F1326" s="341"/>
      <c r="G1326" s="341"/>
      <c r="H1326" s="347"/>
      <c r="I1326" s="1567"/>
      <c r="J1326" s="1543"/>
      <c r="K1326" s="1543"/>
      <c r="L1326" s="1543"/>
      <c r="M1326" s="1543"/>
      <c r="N1326" s="1566"/>
    </row>
    <row r="1327" spans="1:14">
      <c r="A1327" s="1536"/>
      <c r="B1327" s="444" t="s">
        <v>2551</v>
      </c>
      <c r="C1327" s="341"/>
      <c r="D1327" s="341"/>
      <c r="E1327" s="341"/>
      <c r="F1327" s="341"/>
      <c r="G1327" s="341"/>
      <c r="H1327" s="347"/>
      <c r="I1327" s="1567"/>
      <c r="J1327" s="1543"/>
      <c r="K1327" s="1543"/>
      <c r="L1327" s="1543"/>
      <c r="M1327" s="1543"/>
      <c r="N1327" s="1566"/>
    </row>
    <row r="1328" spans="1:14" ht="25.5" customHeight="1">
      <c r="A1328" s="1536"/>
      <c r="B1328" s="406" t="s">
        <v>2552</v>
      </c>
      <c r="C1328" s="341"/>
      <c r="D1328" s="341">
        <v>1</v>
      </c>
      <c r="E1328" s="341">
        <v>1</v>
      </c>
      <c r="F1328" s="341">
        <v>1</v>
      </c>
      <c r="G1328" s="341">
        <v>15</v>
      </c>
      <c r="H1328" s="347">
        <v>31.5</v>
      </c>
      <c r="I1328" s="1567"/>
      <c r="J1328" s="1543"/>
      <c r="K1328" s="1543"/>
      <c r="L1328" s="1543"/>
      <c r="M1328" s="1543"/>
      <c r="N1328" s="1566"/>
    </row>
    <row r="1329" spans="1:14">
      <c r="A1329" s="1537"/>
      <c r="B1329" s="406" t="s">
        <v>2553</v>
      </c>
      <c r="C1329" s="341"/>
      <c r="D1329" s="341">
        <v>1.46</v>
      </c>
      <c r="E1329" s="341">
        <v>1</v>
      </c>
      <c r="F1329" s="341">
        <v>1</v>
      </c>
      <c r="G1329" s="341">
        <v>4</v>
      </c>
      <c r="H1329" s="347">
        <v>12.96</v>
      </c>
      <c r="I1329" s="1567"/>
      <c r="J1329" s="1543"/>
      <c r="K1329" s="1543"/>
      <c r="L1329" s="1543"/>
      <c r="M1329" s="1543"/>
      <c r="N1329" s="1566"/>
    </row>
    <row r="1330" spans="1:14">
      <c r="A1330" s="1514" t="s">
        <v>2662</v>
      </c>
      <c r="B1330" s="406"/>
      <c r="C1330" s="341"/>
      <c r="D1330" s="341"/>
      <c r="E1330" s="341"/>
      <c r="F1330" s="341"/>
      <c r="G1330" s="341"/>
      <c r="H1330" s="347"/>
      <c r="I1330" s="1567"/>
      <c r="J1330" s="1543"/>
      <c r="K1330" s="1543"/>
      <c r="L1330" s="1543"/>
      <c r="M1330" s="1543"/>
      <c r="N1330" s="1566"/>
    </row>
    <row r="1331" spans="1:14">
      <c r="A1331" s="1523"/>
      <c r="B1331" s="406" t="s">
        <v>2670</v>
      </c>
      <c r="C1331" s="341"/>
      <c r="D1331" s="341"/>
      <c r="E1331" s="341"/>
      <c r="F1331" s="341"/>
      <c r="G1331" s="341"/>
      <c r="H1331" s="347"/>
      <c r="I1331" s="1567"/>
      <c r="J1331" s="1543"/>
      <c r="K1331" s="1543"/>
      <c r="L1331" s="1543"/>
      <c r="M1331" s="1543"/>
      <c r="N1331" s="1566"/>
    </row>
    <row r="1332" spans="1:14">
      <c r="A1332" s="1523"/>
      <c r="B1332" s="435" t="s">
        <v>2822</v>
      </c>
      <c r="C1332" s="341"/>
      <c r="D1332" s="341"/>
      <c r="E1332" s="341"/>
      <c r="F1332" s="341"/>
      <c r="G1332" s="341"/>
      <c r="H1332" s="347"/>
      <c r="I1332" s="1567"/>
      <c r="J1332" s="1543"/>
      <c r="K1332" s="1543"/>
      <c r="L1332" s="1543"/>
      <c r="M1332" s="1543"/>
      <c r="N1332" s="1566"/>
    </row>
    <row r="1333" spans="1:14">
      <c r="A1333" s="1523"/>
      <c r="B1333" s="406" t="s">
        <v>2548</v>
      </c>
      <c r="C1333" s="341"/>
      <c r="D1333" s="341">
        <v>8.6999999999999993</v>
      </c>
      <c r="E1333" s="341">
        <v>0.55000000000000004</v>
      </c>
      <c r="F1333" s="341">
        <v>0.2</v>
      </c>
      <c r="G1333" s="341">
        <v>1</v>
      </c>
      <c r="H1333" s="347">
        <f t="shared" ref="H1333:H1353" si="32">D1333*(E1333*2)</f>
        <v>9.57</v>
      </c>
      <c r="I1333" s="1567"/>
      <c r="J1333" s="1543"/>
      <c r="K1333" s="1543"/>
      <c r="L1333" s="1543"/>
      <c r="M1333" s="1543"/>
      <c r="N1333" s="1566"/>
    </row>
    <row r="1334" spans="1:14">
      <c r="A1334" s="1523"/>
      <c r="B1334" s="406" t="s">
        <v>2549</v>
      </c>
      <c r="C1334" s="341"/>
      <c r="D1334" s="341">
        <v>4.63</v>
      </c>
      <c r="E1334" s="341">
        <v>0.5</v>
      </c>
      <c r="F1334" s="341">
        <v>0.2</v>
      </c>
      <c r="G1334" s="341">
        <v>1</v>
      </c>
      <c r="H1334" s="347">
        <f t="shared" si="32"/>
        <v>4.63</v>
      </c>
      <c r="I1334" s="1567"/>
      <c r="J1334" s="1543"/>
      <c r="K1334" s="1543"/>
      <c r="L1334" s="1543"/>
      <c r="M1334" s="1543"/>
      <c r="N1334" s="1566"/>
    </row>
    <row r="1335" spans="1:14">
      <c r="A1335" s="1523"/>
      <c r="B1335" s="406" t="s">
        <v>2576</v>
      </c>
      <c r="C1335" s="341"/>
      <c r="D1335" s="341">
        <v>5.2</v>
      </c>
      <c r="E1335" s="341">
        <v>0.5</v>
      </c>
      <c r="F1335" s="341">
        <v>0.2</v>
      </c>
      <c r="G1335" s="341">
        <v>1</v>
      </c>
      <c r="H1335" s="347">
        <f t="shared" si="32"/>
        <v>5.2</v>
      </c>
      <c r="I1335" s="1567"/>
      <c r="J1335" s="1543"/>
      <c r="K1335" s="1543"/>
      <c r="L1335" s="1543"/>
      <c r="M1335" s="1543"/>
      <c r="N1335" s="1566"/>
    </row>
    <row r="1336" spans="1:14">
      <c r="A1336" s="1523"/>
      <c r="B1336" s="406" t="s">
        <v>2577</v>
      </c>
      <c r="C1336" s="341"/>
      <c r="D1336" s="341">
        <v>3.84</v>
      </c>
      <c r="E1336" s="341">
        <v>0.5</v>
      </c>
      <c r="F1336" s="341">
        <v>0.3</v>
      </c>
      <c r="G1336" s="341">
        <v>1</v>
      </c>
      <c r="H1336" s="347">
        <f t="shared" si="32"/>
        <v>3.84</v>
      </c>
      <c r="I1336" s="1567"/>
      <c r="J1336" s="1543"/>
      <c r="K1336" s="1543"/>
      <c r="L1336" s="1543"/>
      <c r="M1336" s="1543"/>
      <c r="N1336" s="1566"/>
    </row>
    <row r="1337" spans="1:14">
      <c r="A1337" s="1523"/>
      <c r="B1337" s="406" t="s">
        <v>2578</v>
      </c>
      <c r="C1337" s="341"/>
      <c r="D1337" s="341">
        <v>4.95</v>
      </c>
      <c r="E1337" s="341">
        <v>0.5</v>
      </c>
      <c r="F1337" s="341">
        <v>0.3</v>
      </c>
      <c r="G1337" s="341">
        <v>1</v>
      </c>
      <c r="H1337" s="347">
        <f t="shared" si="32"/>
        <v>4.95</v>
      </c>
      <c r="I1337" s="1567"/>
      <c r="J1337" s="1543"/>
      <c r="K1337" s="1543"/>
      <c r="L1337" s="1543"/>
      <c r="M1337" s="1543"/>
      <c r="N1337" s="1566"/>
    </row>
    <row r="1338" spans="1:14">
      <c r="A1338" s="1523"/>
      <c r="B1338" s="406" t="s">
        <v>2579</v>
      </c>
      <c r="C1338" s="341"/>
      <c r="D1338" s="341">
        <v>8.84</v>
      </c>
      <c r="E1338" s="341">
        <v>0.5</v>
      </c>
      <c r="F1338" s="341">
        <v>0.2</v>
      </c>
      <c r="G1338" s="341">
        <v>1</v>
      </c>
      <c r="H1338" s="347">
        <f t="shared" si="32"/>
        <v>8.84</v>
      </c>
      <c r="I1338" s="1567"/>
      <c r="J1338" s="1543"/>
      <c r="K1338" s="1543"/>
      <c r="L1338" s="1543"/>
      <c r="M1338" s="1543"/>
      <c r="N1338" s="1566"/>
    </row>
    <row r="1339" spans="1:14">
      <c r="A1339" s="1523"/>
      <c r="B1339" s="406" t="s">
        <v>2671</v>
      </c>
      <c r="C1339" s="341"/>
      <c r="D1339" s="341">
        <v>8.77</v>
      </c>
      <c r="E1339" s="341">
        <v>0.5</v>
      </c>
      <c r="F1339" s="341">
        <v>0.2</v>
      </c>
      <c r="G1339" s="341">
        <v>1</v>
      </c>
      <c r="H1339" s="347">
        <f t="shared" si="32"/>
        <v>8.77</v>
      </c>
      <c r="I1339" s="1567"/>
      <c r="J1339" s="1543"/>
      <c r="K1339" s="1543"/>
      <c r="L1339" s="1543"/>
      <c r="M1339" s="1543"/>
      <c r="N1339" s="1566"/>
    </row>
    <row r="1340" spans="1:14">
      <c r="A1340" s="1523"/>
      <c r="B1340" s="406" t="s">
        <v>2672</v>
      </c>
      <c r="C1340" s="341"/>
      <c r="D1340" s="341">
        <v>8.77</v>
      </c>
      <c r="E1340" s="341">
        <v>0.5</v>
      </c>
      <c r="F1340" s="341">
        <v>0.2</v>
      </c>
      <c r="G1340" s="341">
        <v>1</v>
      </c>
      <c r="H1340" s="347">
        <f t="shared" si="32"/>
        <v>8.77</v>
      </c>
      <c r="I1340" s="1567"/>
      <c r="J1340" s="1543"/>
      <c r="K1340" s="1543"/>
      <c r="L1340" s="1543"/>
      <c r="M1340" s="1543"/>
      <c r="N1340" s="1566"/>
    </row>
    <row r="1341" spans="1:14">
      <c r="A1341" s="1523"/>
      <c r="B1341" s="406" t="s">
        <v>2673</v>
      </c>
      <c r="C1341" s="341"/>
      <c r="D1341" s="341">
        <v>4.7</v>
      </c>
      <c r="E1341" s="341">
        <v>0.5</v>
      </c>
      <c r="F1341" s="341">
        <v>0.2</v>
      </c>
      <c r="G1341" s="341">
        <v>1</v>
      </c>
      <c r="H1341" s="347">
        <f t="shared" si="32"/>
        <v>4.7</v>
      </c>
      <c r="I1341" s="1567"/>
      <c r="J1341" s="1543"/>
      <c r="K1341" s="1543"/>
      <c r="L1341" s="1543"/>
      <c r="M1341" s="1543"/>
      <c r="N1341" s="1566"/>
    </row>
    <row r="1342" spans="1:14">
      <c r="A1342" s="1523"/>
      <c r="B1342" s="406" t="s">
        <v>2674</v>
      </c>
      <c r="C1342" s="341"/>
      <c r="D1342" s="341">
        <v>4.7</v>
      </c>
      <c r="E1342" s="341">
        <v>0.5</v>
      </c>
      <c r="F1342" s="341">
        <v>0.2</v>
      </c>
      <c r="G1342" s="341">
        <v>1</v>
      </c>
      <c r="H1342" s="347">
        <f t="shared" si="32"/>
        <v>4.7</v>
      </c>
      <c r="I1342" s="1567"/>
      <c r="J1342" s="1543"/>
      <c r="K1342" s="1543"/>
      <c r="L1342" s="1543"/>
      <c r="M1342" s="1543"/>
      <c r="N1342" s="1566"/>
    </row>
    <row r="1343" spans="1:14">
      <c r="A1343" s="1523"/>
      <c r="B1343" s="406" t="s">
        <v>2675</v>
      </c>
      <c r="C1343" s="341"/>
      <c r="D1343" s="341">
        <v>4.7</v>
      </c>
      <c r="E1343" s="341">
        <v>0.5</v>
      </c>
      <c r="F1343" s="341">
        <v>0.2</v>
      </c>
      <c r="G1343" s="341">
        <v>1</v>
      </c>
      <c r="H1343" s="347">
        <f t="shared" si="32"/>
        <v>4.7</v>
      </c>
      <c r="I1343" s="1567"/>
      <c r="J1343" s="1543"/>
      <c r="K1343" s="1543"/>
      <c r="L1343" s="1543"/>
      <c r="M1343" s="1543"/>
      <c r="N1343" s="1566"/>
    </row>
    <row r="1344" spans="1:14">
      <c r="A1344" s="1523"/>
      <c r="B1344" s="406" t="s">
        <v>2676</v>
      </c>
      <c r="C1344" s="341"/>
      <c r="D1344" s="341">
        <v>16.02</v>
      </c>
      <c r="E1344" s="341">
        <v>0.5</v>
      </c>
      <c r="F1344" s="341">
        <v>0.2</v>
      </c>
      <c r="G1344" s="341">
        <v>1</v>
      </c>
      <c r="H1344" s="347">
        <f t="shared" si="32"/>
        <v>16.02</v>
      </c>
      <c r="I1344" s="1567"/>
      <c r="J1344" s="1543"/>
      <c r="K1344" s="1543"/>
      <c r="L1344" s="1543"/>
      <c r="M1344" s="1543"/>
      <c r="N1344" s="1566"/>
    </row>
    <row r="1345" spans="1:14">
      <c r="A1345" s="1523"/>
      <c r="B1345" s="406" t="s">
        <v>2677</v>
      </c>
      <c r="C1345" s="341"/>
      <c r="D1345" s="341">
        <v>3.12</v>
      </c>
      <c r="E1345" s="341">
        <v>0.5</v>
      </c>
      <c r="F1345" s="341">
        <v>0.2</v>
      </c>
      <c r="G1345" s="341">
        <v>1</v>
      </c>
      <c r="H1345" s="347">
        <f t="shared" si="32"/>
        <v>3.12</v>
      </c>
      <c r="I1345" s="1567"/>
      <c r="J1345" s="1543"/>
      <c r="K1345" s="1543"/>
      <c r="L1345" s="1543"/>
      <c r="M1345" s="1543"/>
      <c r="N1345" s="1566"/>
    </row>
    <row r="1346" spans="1:14">
      <c r="A1346" s="1523"/>
      <c r="B1346" s="406" t="s">
        <v>2678</v>
      </c>
      <c r="C1346" s="341"/>
      <c r="D1346" s="341">
        <v>5.9</v>
      </c>
      <c r="E1346" s="341">
        <v>0.5</v>
      </c>
      <c r="F1346" s="341">
        <v>0.2</v>
      </c>
      <c r="G1346" s="341">
        <v>1</v>
      </c>
      <c r="H1346" s="347">
        <f t="shared" si="32"/>
        <v>5.9</v>
      </c>
      <c r="I1346" s="1567"/>
      <c r="J1346" s="1543"/>
      <c r="K1346" s="1543"/>
      <c r="L1346" s="1543"/>
      <c r="M1346" s="1543"/>
      <c r="N1346" s="1566"/>
    </row>
    <row r="1347" spans="1:14">
      <c r="A1347" s="1523"/>
      <c r="B1347" s="406" t="s">
        <v>2679</v>
      </c>
      <c r="C1347" s="341"/>
      <c r="D1347" s="341">
        <v>3.12</v>
      </c>
      <c r="E1347" s="341">
        <v>0.5</v>
      </c>
      <c r="F1347" s="341">
        <v>0.2</v>
      </c>
      <c r="G1347" s="341">
        <v>1</v>
      </c>
      <c r="H1347" s="347">
        <f t="shared" si="32"/>
        <v>3.12</v>
      </c>
      <c r="I1347" s="1567"/>
      <c r="J1347" s="1543"/>
      <c r="K1347" s="1543"/>
      <c r="L1347" s="1543"/>
      <c r="M1347" s="1543"/>
      <c r="N1347" s="1566"/>
    </row>
    <row r="1348" spans="1:14">
      <c r="A1348" s="1523"/>
      <c r="B1348" s="406" t="s">
        <v>2680</v>
      </c>
      <c r="C1348" s="341"/>
      <c r="D1348" s="341">
        <v>5.6</v>
      </c>
      <c r="E1348" s="341">
        <v>0.5</v>
      </c>
      <c r="F1348" s="341">
        <v>0.2</v>
      </c>
      <c r="G1348" s="341">
        <v>1</v>
      </c>
      <c r="H1348" s="347">
        <f t="shared" si="32"/>
        <v>5.6</v>
      </c>
      <c r="I1348" s="1567"/>
      <c r="J1348" s="1543"/>
      <c r="K1348" s="1543"/>
      <c r="L1348" s="1543"/>
      <c r="M1348" s="1543"/>
      <c r="N1348" s="1566"/>
    </row>
    <row r="1349" spans="1:14">
      <c r="A1349" s="1523"/>
      <c r="B1349" s="406" t="s">
        <v>2681</v>
      </c>
      <c r="C1349" s="341"/>
      <c r="D1349" s="341">
        <v>5.35</v>
      </c>
      <c r="E1349" s="341">
        <v>0.5</v>
      </c>
      <c r="F1349" s="341">
        <v>0.3</v>
      </c>
      <c r="G1349" s="341">
        <v>1</v>
      </c>
      <c r="H1349" s="347">
        <f t="shared" si="32"/>
        <v>5.35</v>
      </c>
      <c r="I1349" s="1567"/>
      <c r="J1349" s="1543"/>
      <c r="K1349" s="1543"/>
      <c r="L1349" s="1543"/>
      <c r="M1349" s="1543"/>
      <c r="N1349" s="1566"/>
    </row>
    <row r="1350" spans="1:14">
      <c r="A1350" s="1523"/>
      <c r="B1350" s="406" t="s">
        <v>2682</v>
      </c>
      <c r="C1350" s="341"/>
      <c r="D1350" s="341">
        <v>17.28</v>
      </c>
      <c r="E1350" s="341">
        <v>0.5</v>
      </c>
      <c r="F1350" s="341">
        <v>0.2</v>
      </c>
      <c r="G1350" s="341">
        <v>1</v>
      </c>
      <c r="H1350" s="347">
        <f t="shared" si="32"/>
        <v>17.28</v>
      </c>
      <c r="I1350" s="1567"/>
      <c r="J1350" s="1543"/>
      <c r="K1350" s="1543"/>
      <c r="L1350" s="1543"/>
      <c r="M1350" s="1543"/>
      <c r="N1350" s="1566"/>
    </row>
    <row r="1351" spans="1:14">
      <c r="A1351" s="1523"/>
      <c r="B1351" s="406" t="s">
        <v>2683</v>
      </c>
      <c r="C1351" s="341"/>
      <c r="D1351" s="341">
        <v>0.67</v>
      </c>
      <c r="E1351" s="341">
        <v>0.5</v>
      </c>
      <c r="F1351" s="341">
        <v>0.2</v>
      </c>
      <c r="G1351" s="341">
        <v>1</v>
      </c>
      <c r="H1351" s="347">
        <f t="shared" si="32"/>
        <v>0.67</v>
      </c>
      <c r="I1351" s="1567"/>
      <c r="J1351" s="1543"/>
      <c r="K1351" s="1543"/>
      <c r="L1351" s="1543"/>
      <c r="M1351" s="1543"/>
      <c r="N1351" s="1566"/>
    </row>
    <row r="1352" spans="1:14">
      <c r="A1352" s="1523"/>
      <c r="B1352" s="406" t="s">
        <v>2684</v>
      </c>
      <c r="C1352" s="341"/>
      <c r="D1352" s="341">
        <v>1.95</v>
      </c>
      <c r="E1352" s="341">
        <v>0.5</v>
      </c>
      <c r="F1352" s="341">
        <v>0.15</v>
      </c>
      <c r="G1352" s="341">
        <v>1</v>
      </c>
      <c r="H1352" s="347">
        <f t="shared" si="32"/>
        <v>1.95</v>
      </c>
      <c r="I1352" s="1567"/>
      <c r="J1352" s="1543"/>
      <c r="K1352" s="1543"/>
      <c r="L1352" s="1543"/>
      <c r="M1352" s="1543"/>
      <c r="N1352" s="1566"/>
    </row>
    <row r="1353" spans="1:14">
      <c r="A1353" s="1523"/>
      <c r="B1353" s="406" t="s">
        <v>2685</v>
      </c>
      <c r="C1353" s="341"/>
      <c r="D1353" s="341">
        <v>1.95</v>
      </c>
      <c r="E1353" s="341">
        <v>0.5</v>
      </c>
      <c r="F1353" s="341">
        <v>0.15</v>
      </c>
      <c r="G1353" s="341">
        <v>1</v>
      </c>
      <c r="H1353" s="347">
        <f t="shared" si="32"/>
        <v>1.95</v>
      </c>
      <c r="I1353" s="1567"/>
      <c r="J1353" s="1543"/>
      <c r="K1353" s="1543"/>
      <c r="L1353" s="1543"/>
      <c r="M1353" s="1543"/>
      <c r="N1353" s="1566"/>
    </row>
    <row r="1354" spans="1:14">
      <c r="A1354" s="1523"/>
      <c r="B1354" s="406" t="s">
        <v>2734</v>
      </c>
      <c r="C1354" s="341"/>
      <c r="D1354" s="341">
        <f>25.46+3.4</f>
        <v>28.86</v>
      </c>
      <c r="E1354" s="341">
        <v>0.7</v>
      </c>
      <c r="F1354" s="341">
        <v>0.9</v>
      </c>
      <c r="G1354" s="341">
        <v>4</v>
      </c>
      <c r="H1354" s="347">
        <f>D1354*(F1354*2)</f>
        <v>51.948</v>
      </c>
      <c r="I1354" s="1567"/>
      <c r="J1354" s="1543"/>
      <c r="K1354" s="1543"/>
      <c r="L1354" s="1543"/>
      <c r="M1354" s="1543"/>
      <c r="N1354" s="1566"/>
    </row>
    <row r="1355" spans="1:14">
      <c r="A1355" s="1515"/>
      <c r="B1355" s="406" t="s">
        <v>2831</v>
      </c>
      <c r="C1355" s="341"/>
      <c r="D1355" s="341"/>
      <c r="E1355" s="341"/>
      <c r="F1355" s="341"/>
      <c r="G1355" s="341"/>
      <c r="H1355" s="347">
        <v>-61.3</v>
      </c>
      <c r="I1355" s="1567"/>
      <c r="J1355" s="1543"/>
      <c r="K1355" s="1543"/>
      <c r="L1355" s="1543"/>
      <c r="M1355" s="1543"/>
      <c r="N1355" s="1566"/>
    </row>
    <row r="1356" spans="1:14">
      <c r="A1356" s="1529" t="s">
        <v>2749</v>
      </c>
      <c r="B1356" s="406"/>
      <c r="C1356" s="341"/>
      <c r="D1356" s="341"/>
      <c r="E1356" s="341"/>
      <c r="F1356" s="341"/>
      <c r="G1356" s="341"/>
      <c r="H1356" s="347"/>
      <c r="I1356" s="1567"/>
      <c r="J1356" s="1543"/>
      <c r="K1356" s="1543"/>
      <c r="L1356" s="1543"/>
      <c r="M1356" s="1543"/>
      <c r="N1356" s="1566"/>
    </row>
    <row r="1357" spans="1:14">
      <c r="A1357" s="1529"/>
      <c r="B1357" s="406" t="s">
        <v>2663</v>
      </c>
      <c r="C1357" s="341"/>
      <c r="D1357" s="341">
        <v>13.28</v>
      </c>
      <c r="E1357" s="341">
        <v>0.55000000000000004</v>
      </c>
      <c r="F1357" s="341">
        <v>0.15</v>
      </c>
      <c r="G1357" s="341">
        <v>1</v>
      </c>
      <c r="H1357" s="347">
        <f>D1357*(E1357*2)</f>
        <v>14.608000000000001</v>
      </c>
      <c r="I1357" s="1567"/>
      <c r="J1357" s="1543"/>
      <c r="K1357" s="1543"/>
      <c r="L1357" s="1543"/>
      <c r="M1357" s="1543"/>
      <c r="N1357" s="1566"/>
    </row>
    <row r="1358" spans="1:14">
      <c r="A1358" s="1529"/>
      <c r="B1358" s="412" t="s">
        <v>2830</v>
      </c>
      <c r="C1358" s="351"/>
      <c r="D1358" s="351"/>
      <c r="E1358" s="351"/>
      <c r="F1358" s="351"/>
      <c r="G1358" s="351"/>
      <c r="H1358" s="364">
        <v>6.51</v>
      </c>
      <c r="I1358" s="1567"/>
      <c r="J1358" s="1543"/>
      <c r="K1358" s="1543"/>
      <c r="L1358" s="1543"/>
      <c r="M1358" s="1543"/>
      <c r="N1358" s="1566"/>
    </row>
    <row r="1359" spans="1:14" s="324" customFormat="1">
      <c r="A1359" s="1514" t="s">
        <v>2997</v>
      </c>
      <c r="B1359" s="445"/>
      <c r="C1359" s="446"/>
      <c r="D1359" s="447"/>
      <c r="E1359" s="1324"/>
      <c r="F1359" s="447"/>
      <c r="G1359" s="448"/>
      <c r="H1359" s="449"/>
      <c r="I1359" s="1567"/>
      <c r="J1359" s="1543"/>
      <c r="K1359" s="1543"/>
      <c r="L1359" s="1543"/>
      <c r="M1359" s="1543"/>
      <c r="N1359" s="1566"/>
    </row>
    <row r="1360" spans="1:14" s="324" customFormat="1">
      <c r="A1360" s="1523"/>
      <c r="B1360" s="450" t="s">
        <v>3003</v>
      </c>
      <c r="C1360" s="451"/>
      <c r="D1360" s="452">
        <f t="shared" ref="D1360:F1361" si="33">D1232</f>
        <v>10.11</v>
      </c>
      <c r="E1360" s="1325">
        <f t="shared" si="33"/>
        <v>0.9</v>
      </c>
      <c r="F1360" s="452">
        <f t="shared" si="33"/>
        <v>0.7</v>
      </c>
      <c r="G1360" s="453">
        <v>1</v>
      </c>
      <c r="H1360" s="347">
        <f>D1360*(E1360*2)+(10.11*0.2)</f>
        <v>20.22</v>
      </c>
      <c r="I1360" s="1567"/>
      <c r="J1360" s="1543"/>
      <c r="K1360" s="1543"/>
      <c r="L1360" s="1543"/>
      <c r="M1360" s="1543"/>
      <c r="N1360" s="1566"/>
    </row>
    <row r="1361" spans="1:14" s="324" customFormat="1">
      <c r="A1361" s="1515"/>
      <c r="B1361" s="454" t="s">
        <v>3004</v>
      </c>
      <c r="C1361" s="455"/>
      <c r="D1361" s="456">
        <f t="shared" si="33"/>
        <v>9.06</v>
      </c>
      <c r="E1361" s="1326">
        <f t="shared" si="33"/>
        <v>0.9</v>
      </c>
      <c r="F1361" s="456">
        <f t="shared" si="33"/>
        <v>0.7</v>
      </c>
      <c r="G1361" s="457">
        <v>1</v>
      </c>
      <c r="H1361" s="349">
        <f>D1361*(E1361*2)+(9.06*0.2)</f>
        <v>18.12</v>
      </c>
      <c r="I1361" s="1567"/>
      <c r="J1361" s="1543"/>
      <c r="K1361" s="1543"/>
      <c r="L1361" s="1543"/>
      <c r="M1361" s="1543"/>
      <c r="N1361" s="1566"/>
    </row>
    <row r="1362" spans="1:14" s="324" customFormat="1">
      <c r="A1362" s="1514" t="s">
        <v>3294</v>
      </c>
      <c r="B1362" s="450" t="s">
        <v>3223</v>
      </c>
      <c r="C1362" s="446"/>
      <c r="D1362" s="447">
        <v>3.5</v>
      </c>
      <c r="E1362" s="1324">
        <v>0.9</v>
      </c>
      <c r="F1362" s="447">
        <v>0.7</v>
      </c>
      <c r="G1362" s="448">
        <v>1</v>
      </c>
      <c r="H1362" s="347">
        <f>D1362*(E1362*2)</f>
        <v>6.3</v>
      </c>
      <c r="I1362" s="1567"/>
      <c r="J1362" s="1543"/>
      <c r="K1362" s="1543"/>
      <c r="L1362" s="1543"/>
      <c r="M1362" s="1543"/>
      <c r="N1362" s="1566"/>
    </row>
    <row r="1363" spans="1:14" s="324" customFormat="1">
      <c r="A1363" s="1523"/>
      <c r="B1363" s="450" t="s">
        <v>3224</v>
      </c>
      <c r="C1363" s="451"/>
      <c r="D1363" s="452">
        <v>3.52</v>
      </c>
      <c r="E1363" s="1325">
        <v>0.9</v>
      </c>
      <c r="F1363" s="452">
        <v>0.7</v>
      </c>
      <c r="G1363" s="453">
        <v>1</v>
      </c>
      <c r="H1363" s="347">
        <f>D1363*(E1363*2)</f>
        <v>6.3360000000000003</v>
      </c>
      <c r="I1363" s="1567"/>
      <c r="J1363" s="1543"/>
      <c r="K1363" s="1543"/>
      <c r="L1363" s="1543"/>
      <c r="M1363" s="1543"/>
      <c r="N1363" s="1566"/>
    </row>
    <row r="1364" spans="1:14" s="324" customFormat="1">
      <c r="A1364" s="1515"/>
      <c r="B1364" s="454" t="s">
        <v>3298</v>
      </c>
      <c r="C1364" s="455"/>
      <c r="D1364" s="456">
        <v>5.74</v>
      </c>
      <c r="E1364" s="1326">
        <v>0.9</v>
      </c>
      <c r="F1364" s="456">
        <v>0.7</v>
      </c>
      <c r="G1364" s="457">
        <v>1</v>
      </c>
      <c r="H1364" s="349">
        <f>D1364*(E1364*2)</f>
        <v>10.332000000000001</v>
      </c>
      <c r="I1364" s="1567"/>
      <c r="J1364" s="1543"/>
      <c r="K1364" s="1543"/>
      <c r="L1364" s="1543"/>
      <c r="M1364" s="1543"/>
      <c r="N1364" s="1566"/>
    </row>
    <row r="1365" spans="1:14" s="324" customFormat="1">
      <c r="A1365" s="1630" t="s">
        <v>3745</v>
      </c>
      <c r="B1365" s="1633" t="s">
        <v>3747</v>
      </c>
      <c r="C1365" s="1075"/>
      <c r="D1365" s="1076">
        <v>3.7</v>
      </c>
      <c r="E1365" s="1327">
        <v>0.12</v>
      </c>
      <c r="F1365" s="1076"/>
      <c r="G1365" s="1077"/>
      <c r="H1365" s="480">
        <f>D1365*E1365</f>
        <v>0.44400000000000001</v>
      </c>
      <c r="I1365" s="1567"/>
      <c r="J1365" s="1543"/>
      <c r="K1365" s="1543"/>
      <c r="L1365" s="1543"/>
      <c r="M1365" s="1543"/>
      <c r="N1365" s="1566"/>
    </row>
    <row r="1366" spans="1:14" s="324" customFormat="1">
      <c r="A1366" s="1631"/>
      <c r="B1366" s="1634"/>
      <c r="C1366" s="1075"/>
      <c r="D1366" s="1076">
        <v>4.9000000000000004</v>
      </c>
      <c r="E1366" s="1327">
        <v>0.12</v>
      </c>
      <c r="F1366" s="1076"/>
      <c r="G1366" s="1077"/>
      <c r="H1366" s="480">
        <f>D1366*E1366</f>
        <v>0.58799999999999997</v>
      </c>
      <c r="I1366" s="1567"/>
      <c r="J1366" s="1543"/>
      <c r="K1366" s="1543"/>
      <c r="L1366" s="1543"/>
      <c r="M1366" s="1543"/>
      <c r="N1366" s="1566"/>
    </row>
    <row r="1367" spans="1:14" s="324" customFormat="1">
      <c r="A1367" s="1632"/>
      <c r="B1367" s="1074" t="s">
        <v>3748</v>
      </c>
      <c r="C1367" s="1075"/>
      <c r="D1367" s="1076">
        <v>3.3</v>
      </c>
      <c r="E1367" s="1327">
        <v>1.1499999999999999</v>
      </c>
      <c r="F1367" s="1076"/>
      <c r="G1367" s="1077"/>
      <c r="H1367" s="480">
        <v>3.8</v>
      </c>
      <c r="I1367" s="1567"/>
      <c r="J1367" s="1543"/>
      <c r="K1367" s="1543"/>
      <c r="L1367" s="1543"/>
      <c r="M1367" s="1543"/>
      <c r="N1367" s="1566"/>
    </row>
    <row r="1368" spans="1:14" s="324" customFormat="1">
      <c r="A1368" s="1105"/>
      <c r="B1368" s="1074"/>
      <c r="C1368" s="1075"/>
      <c r="D1368" s="1076"/>
      <c r="E1368" s="1327"/>
      <c r="F1368" s="1076"/>
      <c r="G1368" s="1077"/>
      <c r="H1368" s="480"/>
      <c r="I1368" s="1567"/>
      <c r="J1368" s="1543"/>
      <c r="K1368" s="1543"/>
      <c r="L1368" s="1543"/>
      <c r="M1368" s="1543"/>
      <c r="N1368" s="1566"/>
    </row>
    <row r="1369" spans="1:14" ht="13.5" customHeight="1">
      <c r="A1369" s="1577" t="s">
        <v>2218</v>
      </c>
      <c r="B1369" s="1542"/>
      <c r="C1369" s="1542"/>
      <c r="D1369" s="1542"/>
      <c r="E1369" s="1542"/>
      <c r="F1369" s="1542"/>
      <c r="G1369" s="1542"/>
      <c r="H1369" s="271">
        <f>SUM(H1320:H1368)</f>
        <v>275.46600000000001</v>
      </c>
      <c r="I1369" s="1567"/>
      <c r="J1369" s="1543"/>
      <c r="K1369" s="1543"/>
      <c r="L1369" s="1543"/>
      <c r="M1369" s="1543"/>
      <c r="N1369" s="1566"/>
    </row>
    <row r="1370" spans="1:14">
      <c r="A1370" s="1519" t="s">
        <v>2219</v>
      </c>
      <c r="B1370" s="1517"/>
      <c r="C1370" s="1517"/>
      <c r="D1370" s="1551"/>
      <c r="E1370" s="1551"/>
      <c r="F1370" s="1551"/>
      <c r="G1370" s="1552"/>
      <c r="H1370" s="272">
        <f>SUM(H1317:H1364)</f>
        <v>270.63399999999996</v>
      </c>
      <c r="I1370" s="1543"/>
      <c r="J1370" s="1543"/>
      <c r="K1370" s="1543"/>
      <c r="L1370" s="1543"/>
      <c r="M1370" s="1543"/>
      <c r="N1370" s="1566"/>
    </row>
    <row r="1371" spans="1:14" ht="15.75" thickBot="1">
      <c r="A1371" s="1520" t="s">
        <v>2220</v>
      </c>
      <c r="B1371" s="1521"/>
      <c r="C1371" s="1521"/>
      <c r="D1371" s="1521"/>
      <c r="E1371" s="1521"/>
      <c r="F1371" s="1521"/>
      <c r="G1371" s="1522"/>
      <c r="H1371" s="216">
        <f>H1369-H1370</f>
        <v>4.8320000000000505</v>
      </c>
      <c r="I1371" s="1568"/>
      <c r="J1371" s="1568"/>
      <c r="K1371" s="1568"/>
      <c r="L1371" s="1568"/>
      <c r="M1371" s="1568"/>
      <c r="N1371" s="1569"/>
    </row>
    <row r="1372" spans="1:14" ht="15.75" thickBot="1">
      <c r="A1372" s="1635"/>
      <c r="B1372" s="1636"/>
      <c r="C1372" s="1636"/>
      <c r="D1372" s="1636"/>
      <c r="E1372" s="1636"/>
      <c r="F1372" s="1636"/>
      <c r="G1372" s="1636"/>
      <c r="H1372" s="1636"/>
      <c r="I1372" s="1636"/>
      <c r="J1372" s="1636"/>
      <c r="K1372" s="1636"/>
      <c r="L1372" s="1636"/>
      <c r="M1372" s="1636"/>
      <c r="N1372" s="1637"/>
    </row>
    <row r="1373" spans="1:14" ht="30" customHeight="1">
      <c r="A1373" s="1085" t="s">
        <v>2585</v>
      </c>
      <c r="B1373" s="1494" t="s">
        <v>110</v>
      </c>
      <c r="C1373" s="1495"/>
      <c r="D1373" s="1495"/>
      <c r="E1373" s="1495"/>
      <c r="F1373" s="1495"/>
      <c r="G1373" s="1495"/>
      <c r="H1373" s="1495"/>
      <c r="I1373" s="1495"/>
      <c r="J1373" s="1496"/>
      <c r="K1373" s="196" t="s">
        <v>746</v>
      </c>
      <c r="L1373" s="1497">
        <v>1352.32</v>
      </c>
      <c r="M1373" s="1498"/>
      <c r="N1373" s="197">
        <f>L1373-H1406</f>
        <v>0</v>
      </c>
    </row>
    <row r="1374" spans="1:14">
      <c r="A1374" s="1554"/>
      <c r="B1374" s="1541"/>
      <c r="C1374" s="366"/>
      <c r="D1374" s="367" t="s">
        <v>2183</v>
      </c>
      <c r="E1374" s="1320" t="s">
        <v>2184</v>
      </c>
      <c r="F1374" s="367" t="s">
        <v>2185</v>
      </c>
      <c r="G1374" s="367" t="s">
        <v>2186</v>
      </c>
      <c r="H1374" s="1542" t="s">
        <v>476</v>
      </c>
      <c r="I1374" s="1543"/>
      <c r="J1374" s="1543"/>
      <c r="K1374" s="1543"/>
      <c r="L1374" s="1543"/>
      <c r="M1374" s="1543"/>
      <c r="N1374" s="1566"/>
    </row>
    <row r="1375" spans="1:14">
      <c r="A1375" s="1554"/>
      <c r="B1375" s="1541"/>
      <c r="C1375" s="368" t="s">
        <v>2582</v>
      </c>
      <c r="D1375" s="369" t="s">
        <v>2187</v>
      </c>
      <c r="E1375" s="529" t="s">
        <v>2586</v>
      </c>
      <c r="F1375" s="369" t="s">
        <v>2189</v>
      </c>
      <c r="G1375" s="370" t="s">
        <v>2190</v>
      </c>
      <c r="H1375" s="1542"/>
      <c r="I1375" s="1543"/>
      <c r="J1375" s="1543"/>
      <c r="K1375" s="1543"/>
      <c r="L1375" s="1543"/>
      <c r="M1375" s="1543"/>
      <c r="N1375" s="1566"/>
    </row>
    <row r="1376" spans="1:14">
      <c r="A1376" s="1710" t="s">
        <v>2476</v>
      </c>
      <c r="B1376" s="410" t="s">
        <v>2550</v>
      </c>
      <c r="C1376" s="430"/>
      <c r="D1376" s="287"/>
      <c r="E1376" s="531"/>
      <c r="F1376" s="287"/>
      <c r="G1376" s="431"/>
      <c r="H1376" s="432"/>
      <c r="I1376" s="1567"/>
      <c r="J1376" s="1543"/>
      <c r="K1376" s="1543"/>
      <c r="L1376" s="1543"/>
      <c r="M1376" s="1543"/>
      <c r="N1376" s="1566"/>
    </row>
    <row r="1377" spans="1:14">
      <c r="A1377" s="1536"/>
      <c r="B1377" s="406" t="s">
        <v>2587</v>
      </c>
      <c r="C1377" s="341">
        <v>69</v>
      </c>
      <c r="D1377" s="292"/>
      <c r="E1377" s="901"/>
      <c r="F1377" s="292"/>
      <c r="G1377" s="361"/>
      <c r="H1377" s="347">
        <f>C1377</f>
        <v>69</v>
      </c>
      <c r="I1377" s="1567"/>
      <c r="J1377" s="1543"/>
      <c r="K1377" s="1543"/>
      <c r="L1377" s="1543"/>
      <c r="M1377" s="1543"/>
      <c r="N1377" s="1566"/>
    </row>
    <row r="1378" spans="1:14">
      <c r="A1378" s="1536"/>
      <c r="B1378" s="406" t="s">
        <v>2588</v>
      </c>
      <c r="C1378" s="341"/>
      <c r="D1378" s="292"/>
      <c r="E1378" s="901"/>
      <c r="F1378" s="292"/>
      <c r="G1378" s="361"/>
      <c r="H1378" s="347"/>
      <c r="I1378" s="1567"/>
      <c r="J1378" s="1543"/>
      <c r="K1378" s="1543"/>
      <c r="L1378" s="1543"/>
      <c r="M1378" s="1543"/>
      <c r="N1378" s="1566"/>
    </row>
    <row r="1379" spans="1:14">
      <c r="A1379" s="1536"/>
      <c r="B1379" s="406" t="s">
        <v>2589</v>
      </c>
      <c r="C1379" s="341">
        <v>81.900000000000006</v>
      </c>
      <c r="D1379" s="198"/>
      <c r="E1379" s="341"/>
      <c r="F1379" s="341"/>
      <c r="G1379" s="341"/>
      <c r="H1379" s="347">
        <f>C1379</f>
        <v>81.900000000000006</v>
      </c>
      <c r="I1379" s="1567"/>
      <c r="J1379" s="1543"/>
      <c r="K1379" s="1543"/>
      <c r="L1379" s="1543"/>
      <c r="M1379" s="1543"/>
      <c r="N1379" s="1566"/>
    </row>
    <row r="1380" spans="1:14">
      <c r="A1380" s="1536"/>
      <c r="B1380" s="406" t="s">
        <v>2590</v>
      </c>
      <c r="C1380" s="341"/>
      <c r="D1380" s="198"/>
      <c r="E1380" s="341"/>
      <c r="F1380" s="341"/>
      <c r="G1380" s="341"/>
      <c r="H1380" s="347"/>
      <c r="I1380" s="1567"/>
      <c r="J1380" s="1543"/>
      <c r="K1380" s="1543"/>
      <c r="L1380" s="1543"/>
      <c r="M1380" s="1543"/>
      <c r="N1380" s="1566"/>
    </row>
    <row r="1381" spans="1:14">
      <c r="A1381" s="1536"/>
      <c r="B1381" s="406" t="s">
        <v>2591</v>
      </c>
      <c r="C1381" s="341">
        <v>364.3</v>
      </c>
      <c r="D1381" s="198"/>
      <c r="E1381" s="341"/>
      <c r="F1381" s="341"/>
      <c r="G1381" s="341"/>
      <c r="H1381" s="347">
        <f>C1381</f>
        <v>364.3</v>
      </c>
      <c r="I1381" s="1567"/>
      <c r="J1381" s="1543"/>
      <c r="K1381" s="1543"/>
      <c r="L1381" s="1543"/>
      <c r="M1381" s="1543"/>
      <c r="N1381" s="1566"/>
    </row>
    <row r="1382" spans="1:14">
      <c r="A1382" s="1537"/>
      <c r="B1382" s="406"/>
      <c r="C1382" s="292"/>
      <c r="D1382" s="198"/>
      <c r="E1382" s="341"/>
      <c r="F1382" s="341"/>
      <c r="G1382" s="341"/>
      <c r="H1382" s="347"/>
      <c r="I1382" s="1567"/>
      <c r="J1382" s="1543"/>
      <c r="K1382" s="1543"/>
      <c r="L1382" s="1543"/>
      <c r="M1382" s="1543"/>
      <c r="N1382" s="1566"/>
    </row>
    <row r="1383" spans="1:14">
      <c r="A1383" s="1535" t="s">
        <v>2662</v>
      </c>
      <c r="B1383" s="442" t="s">
        <v>2735</v>
      </c>
      <c r="C1383" s="287"/>
      <c r="D1383" s="202"/>
      <c r="E1383" s="346"/>
      <c r="F1383" s="346"/>
      <c r="G1383" s="346"/>
      <c r="H1383" s="403"/>
      <c r="I1383" s="1567"/>
      <c r="J1383" s="1543"/>
      <c r="K1383" s="1543"/>
      <c r="L1383" s="1543"/>
      <c r="M1383" s="1543"/>
      <c r="N1383" s="1566"/>
    </row>
    <row r="1384" spans="1:14">
      <c r="A1384" s="1529"/>
      <c r="B1384" s="406" t="s">
        <v>2688</v>
      </c>
      <c r="C1384" s="341">
        <f>400.1-120-6.24-30.95</f>
        <v>242.91000000000003</v>
      </c>
      <c r="D1384" s="198"/>
      <c r="E1384" s="341"/>
      <c r="F1384" s="341"/>
      <c r="G1384" s="341"/>
      <c r="H1384" s="347">
        <f>C1384</f>
        <v>242.91000000000003</v>
      </c>
      <c r="I1384" s="1567"/>
      <c r="J1384" s="1543"/>
      <c r="K1384" s="1543"/>
      <c r="L1384" s="1543"/>
      <c r="M1384" s="1543"/>
      <c r="N1384" s="1566"/>
    </row>
    <row r="1385" spans="1:14">
      <c r="A1385" s="1529"/>
      <c r="B1385" s="458" t="s">
        <v>2736</v>
      </c>
      <c r="C1385" s="341"/>
      <c r="D1385" s="198"/>
      <c r="E1385" s="341"/>
      <c r="F1385" s="341"/>
      <c r="G1385" s="341"/>
      <c r="H1385" s="347"/>
      <c r="I1385" s="1567"/>
      <c r="J1385" s="1543"/>
      <c r="K1385" s="1543"/>
      <c r="L1385" s="1543"/>
      <c r="M1385" s="1543"/>
      <c r="N1385" s="1566"/>
    </row>
    <row r="1386" spans="1:14">
      <c r="A1386" s="1529"/>
      <c r="B1386" s="406" t="s">
        <v>2737</v>
      </c>
      <c r="C1386" s="341">
        <v>303.60000000000002</v>
      </c>
      <c r="D1386" s="198"/>
      <c r="E1386" s="341"/>
      <c r="F1386" s="341"/>
      <c r="G1386" s="341"/>
      <c r="H1386" s="347">
        <f>C1386</f>
        <v>303.60000000000002</v>
      </c>
      <c r="I1386" s="1567"/>
      <c r="J1386" s="1543"/>
      <c r="K1386" s="1543"/>
      <c r="L1386" s="1543"/>
      <c r="M1386" s="1543"/>
      <c r="N1386" s="1566"/>
    </row>
    <row r="1387" spans="1:14">
      <c r="A1387" s="1545"/>
      <c r="B1387" s="406"/>
      <c r="C1387" s="341"/>
      <c r="D1387" s="198"/>
      <c r="E1387" s="341"/>
      <c r="F1387" s="341"/>
      <c r="G1387" s="341"/>
      <c r="H1387" s="347"/>
      <c r="I1387" s="1567"/>
      <c r="J1387" s="1543"/>
      <c r="K1387" s="1543"/>
      <c r="L1387" s="1543"/>
      <c r="M1387" s="1543"/>
      <c r="N1387" s="1566"/>
    </row>
    <row r="1388" spans="1:14">
      <c r="A1388" s="1535" t="s">
        <v>2749</v>
      </c>
      <c r="B1388" s="406" t="s">
        <v>2825</v>
      </c>
      <c r="C1388" s="341">
        <v>70.14</v>
      </c>
      <c r="D1388" s="198"/>
      <c r="E1388" s="341"/>
      <c r="F1388" s="341"/>
      <c r="G1388" s="341"/>
      <c r="H1388" s="347">
        <f>C1388</f>
        <v>70.14</v>
      </c>
      <c r="I1388" s="1567"/>
      <c r="J1388" s="1543"/>
      <c r="K1388" s="1543"/>
      <c r="L1388" s="1543"/>
      <c r="M1388" s="1543"/>
      <c r="N1388" s="1566"/>
    </row>
    <row r="1389" spans="1:14">
      <c r="A1389" s="1529"/>
      <c r="B1389" s="406" t="s">
        <v>2829</v>
      </c>
      <c r="C1389" s="341">
        <v>72.489999999999995</v>
      </c>
      <c r="D1389" s="198"/>
      <c r="E1389" s="341"/>
      <c r="F1389" s="341"/>
      <c r="G1389" s="341"/>
      <c r="H1389" s="347">
        <f>C1389</f>
        <v>72.489999999999995</v>
      </c>
      <c r="I1389" s="1567"/>
      <c r="J1389" s="1543"/>
      <c r="K1389" s="1543"/>
      <c r="L1389" s="1543"/>
      <c r="M1389" s="1543"/>
      <c r="N1389" s="1566"/>
    </row>
    <row r="1390" spans="1:14">
      <c r="A1390" s="1529"/>
      <c r="B1390" s="406" t="s">
        <v>2828</v>
      </c>
      <c r="C1390" s="341">
        <v>26</v>
      </c>
      <c r="D1390" s="198"/>
      <c r="E1390" s="341"/>
      <c r="F1390" s="341"/>
      <c r="G1390" s="341"/>
      <c r="H1390" s="347">
        <f>C1390</f>
        <v>26</v>
      </c>
      <c r="I1390" s="1567"/>
      <c r="J1390" s="1543"/>
      <c r="K1390" s="1543"/>
      <c r="L1390" s="1543"/>
      <c r="M1390" s="1543"/>
      <c r="N1390" s="1566"/>
    </row>
    <row r="1391" spans="1:14">
      <c r="A1391" s="1529"/>
      <c r="B1391" s="406" t="s">
        <v>2827</v>
      </c>
      <c r="C1391" s="341">
        <v>58.47</v>
      </c>
      <c r="D1391" s="198"/>
      <c r="E1391" s="341"/>
      <c r="F1391" s="341"/>
      <c r="G1391" s="341"/>
      <c r="H1391" s="347">
        <f>C1391-40</f>
        <v>18.47</v>
      </c>
      <c r="I1391" s="1567"/>
      <c r="J1391" s="1543"/>
      <c r="K1391" s="1543"/>
      <c r="L1391" s="1543"/>
      <c r="M1391" s="1543"/>
      <c r="N1391" s="1566"/>
    </row>
    <row r="1392" spans="1:14" ht="36">
      <c r="A1392" s="1529"/>
      <c r="B1392" s="406" t="s">
        <v>2823</v>
      </c>
      <c r="C1392" s="341">
        <v>100</v>
      </c>
      <c r="D1392" s="198"/>
      <c r="E1392" s="341"/>
      <c r="F1392" s="341"/>
      <c r="G1392" s="341"/>
      <c r="H1392" s="347">
        <f>50</f>
        <v>50</v>
      </c>
      <c r="I1392" s="1567"/>
      <c r="J1392" s="1543"/>
      <c r="K1392" s="1543"/>
      <c r="L1392" s="1543"/>
      <c r="M1392" s="1543"/>
      <c r="N1392" s="1566"/>
    </row>
    <row r="1393" spans="1:14">
      <c r="A1393" s="1529"/>
      <c r="B1393" s="459" t="s">
        <v>2826</v>
      </c>
      <c r="C1393" s="312"/>
      <c r="D1393" s="199"/>
      <c r="E1393" s="351"/>
      <c r="F1393" s="351"/>
      <c r="G1393" s="351"/>
      <c r="H1393" s="364">
        <v>-132.72</v>
      </c>
      <c r="I1393" s="1567"/>
      <c r="J1393" s="1543"/>
      <c r="K1393" s="1543"/>
      <c r="L1393" s="1543"/>
      <c r="M1393" s="1543"/>
      <c r="N1393" s="1566"/>
    </row>
    <row r="1394" spans="1:14">
      <c r="A1394" s="1535" t="s">
        <v>2997</v>
      </c>
      <c r="B1394" s="426" t="s">
        <v>3004</v>
      </c>
      <c r="C1394" s="287">
        <f>2.9+1.4+8.3+9.2</f>
        <v>21.8</v>
      </c>
      <c r="D1394" s="202"/>
      <c r="E1394" s="346"/>
      <c r="F1394" s="346"/>
      <c r="G1394" s="346"/>
      <c r="H1394" s="403">
        <f>C1394</f>
        <v>21.8</v>
      </c>
      <c r="I1394" s="1567"/>
      <c r="J1394" s="1543"/>
      <c r="K1394" s="1543"/>
      <c r="L1394" s="1543"/>
      <c r="M1394" s="1543"/>
      <c r="N1394" s="1566"/>
    </row>
    <row r="1395" spans="1:14">
      <c r="A1395" s="1529"/>
      <c r="B1395" s="356" t="s">
        <v>3007</v>
      </c>
      <c r="C1395" s="292">
        <f>1.9+0.9+5.3+5.8</f>
        <v>13.899999999999999</v>
      </c>
      <c r="D1395" s="198"/>
      <c r="E1395" s="341"/>
      <c r="F1395" s="341"/>
      <c r="G1395" s="341"/>
      <c r="H1395" s="347">
        <f>C1395</f>
        <v>13.899999999999999</v>
      </c>
      <c r="I1395" s="1567"/>
      <c r="J1395" s="1543"/>
      <c r="K1395" s="1543"/>
      <c r="L1395" s="1543"/>
      <c r="M1395" s="1543"/>
      <c r="N1395" s="1566"/>
    </row>
    <row r="1396" spans="1:14">
      <c r="A1396" s="1529"/>
      <c r="B1396" s="427" t="s">
        <v>3006</v>
      </c>
      <c r="C1396" s="292">
        <f>14.4</f>
        <v>14.4</v>
      </c>
      <c r="D1396" s="203"/>
      <c r="E1396" s="348"/>
      <c r="F1396" s="348"/>
      <c r="G1396" s="348"/>
      <c r="H1396" s="349">
        <f>C1396</f>
        <v>14.4</v>
      </c>
      <c r="I1396" s="1567"/>
      <c r="J1396" s="1543"/>
      <c r="K1396" s="1543"/>
      <c r="L1396" s="1543"/>
      <c r="M1396" s="1543"/>
      <c r="N1396" s="1566"/>
    </row>
    <row r="1397" spans="1:14">
      <c r="A1397" s="1535" t="s">
        <v>3294</v>
      </c>
      <c r="B1397" s="426" t="s">
        <v>3223</v>
      </c>
      <c r="C1397" s="297">
        <f>3.55+3.75+1.76+2.96</f>
        <v>12.02</v>
      </c>
      <c r="D1397" s="202"/>
      <c r="E1397" s="346"/>
      <c r="F1397" s="346"/>
      <c r="G1397" s="346"/>
      <c r="H1397" s="403">
        <f>C1397</f>
        <v>12.02</v>
      </c>
      <c r="I1397" s="1567"/>
      <c r="J1397" s="1543"/>
      <c r="K1397" s="1543"/>
      <c r="L1397" s="1543"/>
      <c r="M1397" s="1543"/>
      <c r="N1397" s="1566"/>
    </row>
    <row r="1398" spans="1:14">
      <c r="A1398" s="1529"/>
      <c r="B1398" s="356" t="s">
        <v>3224</v>
      </c>
      <c r="C1398" s="292">
        <f>3.77+3.97+1.76+2.96</f>
        <v>12.46</v>
      </c>
      <c r="D1398" s="198"/>
      <c r="E1398" s="341"/>
      <c r="F1398" s="341"/>
      <c r="G1398" s="341"/>
      <c r="H1398" s="347">
        <f>C1398</f>
        <v>12.46</v>
      </c>
      <c r="I1398" s="1567"/>
      <c r="J1398" s="1543"/>
      <c r="K1398" s="1543"/>
      <c r="L1398" s="1543"/>
      <c r="M1398" s="1543"/>
      <c r="N1398" s="1566"/>
    </row>
    <row r="1399" spans="1:14">
      <c r="A1399" s="1529"/>
      <c r="B1399" s="427" t="s">
        <v>3298</v>
      </c>
      <c r="C1399" s="292">
        <f>5.89+5.98+1.58+1.97</f>
        <v>15.420000000000002</v>
      </c>
      <c r="D1399" s="199"/>
      <c r="E1399" s="351"/>
      <c r="F1399" s="351"/>
      <c r="G1399" s="348"/>
      <c r="H1399" s="349">
        <f t="shared" ref="H1399:H1404" si="34">C1399</f>
        <v>15.420000000000002</v>
      </c>
      <c r="I1399" s="1567"/>
      <c r="J1399" s="1543"/>
      <c r="K1399" s="1543"/>
      <c r="L1399" s="1543"/>
      <c r="M1399" s="1543"/>
      <c r="N1399" s="1566"/>
    </row>
    <row r="1400" spans="1:14">
      <c r="A1400" s="1536" t="s">
        <v>3745</v>
      </c>
      <c r="B1400" s="426" t="s">
        <v>3749</v>
      </c>
      <c r="C1400" s="292">
        <v>12.55</v>
      </c>
      <c r="D1400" s="199"/>
      <c r="E1400" s="341"/>
      <c r="F1400" s="351"/>
      <c r="G1400" s="351"/>
      <c r="H1400" s="349">
        <f t="shared" si="34"/>
        <v>12.55</v>
      </c>
      <c r="I1400" s="1567"/>
      <c r="J1400" s="1543"/>
      <c r="K1400" s="1543"/>
      <c r="L1400" s="1543"/>
      <c r="M1400" s="1543"/>
      <c r="N1400" s="1566"/>
    </row>
    <row r="1401" spans="1:14">
      <c r="A1401" s="1536"/>
      <c r="B1401" s="1067" t="s">
        <v>3750</v>
      </c>
      <c r="C1401" s="292">
        <v>21.02</v>
      </c>
      <c r="D1401" s="198"/>
      <c r="E1401" s="341"/>
      <c r="F1401" s="341"/>
      <c r="G1401" s="341"/>
      <c r="H1401" s="349">
        <f t="shared" si="34"/>
        <v>21.02</v>
      </c>
      <c r="I1401" s="1567"/>
      <c r="J1401" s="1543"/>
      <c r="K1401" s="1543"/>
      <c r="L1401" s="1543"/>
      <c r="M1401" s="1543"/>
      <c r="N1401" s="1566"/>
    </row>
    <row r="1402" spans="1:14">
      <c r="A1402" s="1536"/>
      <c r="B1402" s="1132" t="s">
        <v>3751</v>
      </c>
      <c r="C1402" s="292">
        <v>14.33</v>
      </c>
      <c r="D1402" s="201"/>
      <c r="E1402" s="350"/>
      <c r="F1402" s="350"/>
      <c r="G1402" s="693"/>
      <c r="H1402" s="349">
        <f t="shared" si="34"/>
        <v>14.33</v>
      </c>
      <c r="I1402" s="1567"/>
      <c r="J1402" s="1543"/>
      <c r="K1402" s="1543"/>
      <c r="L1402" s="1543"/>
      <c r="M1402" s="1543"/>
      <c r="N1402" s="1566"/>
    </row>
    <row r="1403" spans="1:14">
      <c r="A1403" s="1536"/>
      <c r="B1403" s="1132" t="s">
        <v>3752</v>
      </c>
      <c r="C1403" s="292">
        <v>43.84</v>
      </c>
      <c r="D1403" s="919"/>
      <c r="E1403" s="341"/>
      <c r="F1403" s="341"/>
      <c r="G1403" s="341"/>
      <c r="H1403" s="349">
        <f t="shared" si="34"/>
        <v>43.84</v>
      </c>
      <c r="I1403" s="1567"/>
      <c r="J1403" s="1543"/>
      <c r="K1403" s="1543"/>
      <c r="L1403" s="1543"/>
      <c r="M1403" s="1543"/>
      <c r="N1403" s="1566"/>
    </row>
    <row r="1404" spans="1:14">
      <c r="A1404" s="1536"/>
      <c r="B1404" s="1134" t="s">
        <v>3753</v>
      </c>
      <c r="C1404" s="292">
        <v>4.49</v>
      </c>
      <c r="D1404" s="198"/>
      <c r="E1404" s="341"/>
      <c r="F1404" s="341"/>
      <c r="G1404" s="341"/>
      <c r="H1404" s="349">
        <f t="shared" si="34"/>
        <v>4.49</v>
      </c>
      <c r="I1404" s="1567"/>
      <c r="J1404" s="1543"/>
      <c r="K1404" s="1543"/>
      <c r="L1404" s="1543"/>
      <c r="M1404" s="1543"/>
      <c r="N1404" s="1566"/>
    </row>
    <row r="1405" spans="1:14">
      <c r="A1405" s="1136"/>
      <c r="B1405" s="1133"/>
      <c r="C1405" s="292"/>
      <c r="D1405" s="1135"/>
      <c r="E1405" s="701"/>
      <c r="F1405" s="701"/>
      <c r="G1405" s="701"/>
      <c r="H1405" s="349"/>
      <c r="I1405" s="1567"/>
      <c r="J1405" s="1543"/>
      <c r="K1405" s="1543"/>
      <c r="L1405" s="1543"/>
      <c r="M1405" s="1543"/>
      <c r="N1405" s="1566"/>
    </row>
    <row r="1406" spans="1:14" ht="15" customHeight="1">
      <c r="A1406" s="1577" t="s">
        <v>2218</v>
      </c>
      <c r="B1406" s="1542"/>
      <c r="C1406" s="1542"/>
      <c r="D1406" s="1542"/>
      <c r="E1406" s="1542"/>
      <c r="F1406" s="1542"/>
      <c r="G1406" s="1542"/>
      <c r="H1406" s="271">
        <f>SUM(H1376:H1405)</f>
        <v>1352.3200000000002</v>
      </c>
      <c r="I1406" s="1567"/>
      <c r="J1406" s="1543"/>
      <c r="K1406" s="1543"/>
      <c r="L1406" s="1543"/>
      <c r="M1406" s="1543"/>
      <c r="N1406" s="1566"/>
    </row>
    <row r="1407" spans="1:14" ht="15" customHeight="1">
      <c r="A1407" s="1519" t="s">
        <v>2219</v>
      </c>
      <c r="B1407" s="1517"/>
      <c r="C1407" s="1517"/>
      <c r="D1407" s="1551"/>
      <c r="E1407" s="1551"/>
      <c r="F1407" s="1551"/>
      <c r="G1407" s="1552"/>
      <c r="H1407" s="272">
        <f>SUM(H1376:H1399)</f>
        <v>1256.0900000000004</v>
      </c>
      <c r="I1407" s="1543"/>
      <c r="J1407" s="1543"/>
      <c r="K1407" s="1543"/>
      <c r="L1407" s="1543"/>
      <c r="M1407" s="1543"/>
      <c r="N1407" s="1566"/>
    </row>
    <row r="1408" spans="1:14" ht="15" customHeight="1" thickBot="1">
      <c r="A1408" s="1520" t="s">
        <v>2220</v>
      </c>
      <c r="B1408" s="1521"/>
      <c r="C1408" s="1521"/>
      <c r="D1408" s="1521"/>
      <c r="E1408" s="1521"/>
      <c r="F1408" s="1521"/>
      <c r="G1408" s="1522"/>
      <c r="H1408" s="216">
        <f>H1406-H1407</f>
        <v>96.229999999999791</v>
      </c>
      <c r="I1408" s="1568"/>
      <c r="J1408" s="1568"/>
      <c r="K1408" s="1568"/>
      <c r="L1408" s="1568"/>
      <c r="M1408" s="1568"/>
      <c r="N1408" s="1569"/>
    </row>
    <row r="1409" spans="1:14" ht="15.75" thickBot="1">
      <c r="A1409" s="1635"/>
      <c r="B1409" s="1636"/>
      <c r="C1409" s="1636"/>
      <c r="D1409" s="1636"/>
      <c r="E1409" s="1636"/>
      <c r="F1409" s="1636"/>
      <c r="G1409" s="1636"/>
      <c r="H1409" s="1636"/>
      <c r="I1409" s="1636"/>
      <c r="J1409" s="1636"/>
      <c r="K1409" s="1636"/>
      <c r="L1409" s="1636"/>
      <c r="M1409" s="1636"/>
      <c r="N1409" s="1637"/>
    </row>
    <row r="1410" spans="1:14" ht="30" customHeight="1">
      <c r="A1410" s="1085" t="s">
        <v>2592</v>
      </c>
      <c r="B1410" s="1494" t="s">
        <v>104</v>
      </c>
      <c r="C1410" s="1495"/>
      <c r="D1410" s="1495"/>
      <c r="E1410" s="1495"/>
      <c r="F1410" s="1495"/>
      <c r="G1410" s="1495"/>
      <c r="H1410" s="1495"/>
      <c r="I1410" s="1495"/>
      <c r="J1410" s="1496"/>
      <c r="K1410" s="196" t="s">
        <v>746</v>
      </c>
      <c r="L1410" s="1497">
        <f>'[8]BMS  5ª medição'!G89</f>
        <v>1884.66</v>
      </c>
      <c r="M1410" s="1498"/>
      <c r="N1410" s="197">
        <f>L1410-H1432</f>
        <v>0</v>
      </c>
    </row>
    <row r="1411" spans="1:14">
      <c r="A1411" s="1554"/>
      <c r="B1411" s="1541"/>
      <c r="C1411" s="366"/>
      <c r="D1411" s="367" t="s">
        <v>2183</v>
      </c>
      <c r="E1411" s="1320" t="s">
        <v>2184</v>
      </c>
      <c r="F1411" s="367" t="s">
        <v>2185</v>
      </c>
      <c r="G1411" s="367" t="s">
        <v>2186</v>
      </c>
      <c r="H1411" s="1542" t="s">
        <v>476</v>
      </c>
      <c r="I1411" s="1543"/>
      <c r="J1411" s="1543"/>
      <c r="K1411" s="1543"/>
      <c r="L1411" s="1543"/>
      <c r="M1411" s="1543"/>
      <c r="N1411" s="1566"/>
    </row>
    <row r="1412" spans="1:14">
      <c r="A1412" s="1554"/>
      <c r="B1412" s="1541"/>
      <c r="C1412" s="368" t="s">
        <v>2582</v>
      </c>
      <c r="D1412" s="369" t="s">
        <v>2187</v>
      </c>
      <c r="E1412" s="529" t="s">
        <v>2586</v>
      </c>
      <c r="F1412" s="369" t="s">
        <v>2189</v>
      </c>
      <c r="G1412" s="370" t="s">
        <v>2190</v>
      </c>
      <c r="H1412" s="1542"/>
      <c r="I1412" s="1543"/>
      <c r="J1412" s="1543"/>
      <c r="K1412" s="1543"/>
      <c r="L1412" s="1543"/>
      <c r="M1412" s="1543"/>
      <c r="N1412" s="1566"/>
    </row>
    <row r="1413" spans="1:14">
      <c r="A1413" s="1514" t="s">
        <v>2476</v>
      </c>
      <c r="B1413" s="410" t="s">
        <v>2550</v>
      </c>
      <c r="C1413" s="287"/>
      <c r="D1413" s="202"/>
      <c r="E1413" s="346"/>
      <c r="F1413" s="346"/>
      <c r="G1413" s="346"/>
      <c r="H1413" s="403"/>
      <c r="I1413" s="1567"/>
      <c r="J1413" s="1543"/>
      <c r="K1413" s="1543"/>
      <c r="L1413" s="1543"/>
      <c r="M1413" s="1543"/>
      <c r="N1413" s="1566"/>
    </row>
    <row r="1414" spans="1:14">
      <c r="A1414" s="1523"/>
      <c r="B1414" s="406" t="s">
        <v>2587</v>
      </c>
      <c r="C1414" s="341">
        <v>225.6</v>
      </c>
      <c r="D1414" s="198"/>
      <c r="E1414" s="341"/>
      <c r="F1414" s="341"/>
      <c r="G1414" s="341"/>
      <c r="H1414" s="347">
        <f>C1414</f>
        <v>225.6</v>
      </c>
      <c r="I1414" s="1567"/>
      <c r="J1414" s="1543"/>
      <c r="K1414" s="1543"/>
      <c r="L1414" s="1543"/>
      <c r="M1414" s="1543"/>
      <c r="N1414" s="1566"/>
    </row>
    <row r="1415" spans="1:14">
      <c r="A1415" s="1523"/>
      <c r="B1415" s="406" t="s">
        <v>2588</v>
      </c>
      <c r="C1415" s="341"/>
      <c r="D1415" s="198"/>
      <c r="E1415" s="341"/>
      <c r="F1415" s="341"/>
      <c r="G1415" s="341"/>
      <c r="H1415" s="347"/>
      <c r="I1415" s="1567"/>
      <c r="J1415" s="1543"/>
      <c r="K1415" s="1543"/>
      <c r="L1415" s="1543"/>
      <c r="M1415" s="1543"/>
      <c r="N1415" s="1566"/>
    </row>
    <row r="1416" spans="1:14">
      <c r="A1416" s="1523"/>
      <c r="B1416" s="406" t="s">
        <v>2589</v>
      </c>
      <c r="C1416" s="341">
        <v>189.9</v>
      </c>
      <c r="D1416" s="198"/>
      <c r="E1416" s="341"/>
      <c r="F1416" s="341"/>
      <c r="G1416" s="341"/>
      <c r="H1416" s="347">
        <f>C1416</f>
        <v>189.9</v>
      </c>
      <c r="I1416" s="1567"/>
      <c r="J1416" s="1543"/>
      <c r="K1416" s="1543"/>
      <c r="L1416" s="1543"/>
      <c r="M1416" s="1543"/>
      <c r="N1416" s="1566"/>
    </row>
    <row r="1417" spans="1:14">
      <c r="A1417" s="1523"/>
      <c r="B1417" s="406" t="s">
        <v>2590</v>
      </c>
      <c r="C1417" s="341"/>
      <c r="D1417" s="198"/>
      <c r="E1417" s="341"/>
      <c r="F1417" s="341"/>
      <c r="G1417" s="341"/>
      <c r="H1417" s="347"/>
      <c r="I1417" s="1567"/>
      <c r="J1417" s="1543"/>
      <c r="K1417" s="1543"/>
      <c r="L1417" s="1543"/>
      <c r="M1417" s="1543"/>
      <c r="N1417" s="1566"/>
    </row>
    <row r="1418" spans="1:14">
      <c r="A1418" s="1515"/>
      <c r="B1418" s="406" t="s">
        <v>2591</v>
      </c>
      <c r="C1418" s="341">
        <v>878.6</v>
      </c>
      <c r="D1418" s="198"/>
      <c r="E1418" s="341"/>
      <c r="F1418" s="341"/>
      <c r="G1418" s="341"/>
      <c r="H1418" s="347">
        <f>C1418</f>
        <v>878.6</v>
      </c>
      <c r="I1418" s="1567"/>
      <c r="J1418" s="1543"/>
      <c r="K1418" s="1543"/>
      <c r="L1418" s="1543"/>
      <c r="M1418" s="1543"/>
      <c r="N1418" s="1566"/>
    </row>
    <row r="1419" spans="1:14">
      <c r="A1419" s="1631" t="s">
        <v>2662</v>
      </c>
      <c r="B1419" s="460" t="s">
        <v>2735</v>
      </c>
      <c r="C1419" s="341"/>
      <c r="D1419" s="201"/>
      <c r="E1419" s="350"/>
      <c r="F1419" s="350"/>
      <c r="G1419" s="350"/>
      <c r="H1419" s="371"/>
      <c r="I1419" s="1567"/>
      <c r="J1419" s="1543"/>
      <c r="K1419" s="1543"/>
      <c r="L1419" s="1543"/>
      <c r="M1419" s="1543"/>
      <c r="N1419" s="1566"/>
    </row>
    <row r="1420" spans="1:14">
      <c r="A1420" s="1631"/>
      <c r="B1420" s="406" t="s">
        <v>2688</v>
      </c>
      <c r="C1420" s="341">
        <f>337.7-115.1-94.6</f>
        <v>128</v>
      </c>
      <c r="D1420" s="198"/>
      <c r="E1420" s="341"/>
      <c r="F1420" s="341"/>
      <c r="G1420" s="341"/>
      <c r="H1420" s="347">
        <f>C1420</f>
        <v>128</v>
      </c>
      <c r="I1420" s="1567"/>
      <c r="J1420" s="1543"/>
      <c r="K1420" s="1543"/>
      <c r="L1420" s="1543"/>
      <c r="M1420" s="1543"/>
      <c r="N1420" s="1566"/>
    </row>
    <row r="1421" spans="1:14">
      <c r="A1421" s="1631"/>
      <c r="B1421" s="406"/>
      <c r="C1421" s="341"/>
      <c r="D1421" s="198"/>
      <c r="E1421" s="341"/>
      <c r="F1421" s="341"/>
      <c r="G1421" s="341"/>
      <c r="H1421" s="347"/>
      <c r="I1421" s="1567"/>
      <c r="J1421" s="1543"/>
      <c r="K1421" s="1543"/>
      <c r="L1421" s="1543"/>
      <c r="M1421" s="1543"/>
      <c r="N1421" s="1566"/>
    </row>
    <row r="1422" spans="1:14">
      <c r="A1422" s="1514" t="s">
        <v>2749</v>
      </c>
      <c r="B1422" s="406" t="s">
        <v>2825</v>
      </c>
      <c r="C1422" s="341">
        <v>75.900000000000006</v>
      </c>
      <c r="D1422" s="198"/>
      <c r="E1422" s="341"/>
      <c r="F1422" s="341"/>
      <c r="G1422" s="341"/>
      <c r="H1422" s="347">
        <f>C1422+5</f>
        <v>80.900000000000006</v>
      </c>
      <c r="I1422" s="1567"/>
      <c r="J1422" s="1543"/>
      <c r="K1422" s="1543"/>
      <c r="L1422" s="1543"/>
      <c r="M1422" s="1543"/>
      <c r="N1422" s="1566"/>
    </row>
    <row r="1423" spans="1:14" ht="36">
      <c r="A1423" s="1515"/>
      <c r="B1423" s="406" t="s">
        <v>2823</v>
      </c>
      <c r="C1423" s="341">
        <v>94.6</v>
      </c>
      <c r="D1423" s="198"/>
      <c r="E1423" s="341"/>
      <c r="F1423" s="341"/>
      <c r="G1423" s="341"/>
      <c r="H1423" s="347">
        <f>C1423-50</f>
        <v>44.599999999999994</v>
      </c>
      <c r="I1423" s="1567"/>
      <c r="J1423" s="1543"/>
      <c r="K1423" s="1543"/>
      <c r="L1423" s="1543"/>
      <c r="M1423" s="1543"/>
      <c r="N1423" s="1566"/>
    </row>
    <row r="1424" spans="1:14">
      <c r="A1424" s="1630" t="s">
        <v>2895</v>
      </c>
      <c r="B1424" s="406" t="s">
        <v>2850</v>
      </c>
      <c r="C1424" s="341"/>
      <c r="D1424" s="198"/>
      <c r="E1424" s="341"/>
      <c r="F1424" s="341"/>
      <c r="G1424" s="341"/>
      <c r="H1424" s="347"/>
      <c r="I1424" s="1567"/>
      <c r="J1424" s="1543"/>
      <c r="K1424" s="1543"/>
      <c r="L1424" s="1543"/>
      <c r="M1424" s="1543"/>
      <c r="N1424" s="1566"/>
    </row>
    <row r="1425" spans="1:14" ht="24">
      <c r="A1425" s="1631"/>
      <c r="B1425" s="412" t="s">
        <v>3025</v>
      </c>
      <c r="C1425" s="351">
        <v>121.7</v>
      </c>
      <c r="D1425" s="199"/>
      <c r="E1425" s="351"/>
      <c r="F1425" s="351"/>
      <c r="G1425" s="351"/>
      <c r="H1425" s="364">
        <f>C1425</f>
        <v>121.7</v>
      </c>
      <c r="I1425" s="1567"/>
      <c r="J1425" s="1543"/>
      <c r="K1425" s="1543"/>
      <c r="L1425" s="1543"/>
      <c r="M1425" s="1543"/>
      <c r="N1425" s="1566"/>
    </row>
    <row r="1426" spans="1:14" s="273" customFormat="1" ht="24">
      <c r="A1426" s="1514" t="s">
        <v>2997</v>
      </c>
      <c r="B1426" s="410" t="s">
        <v>3024</v>
      </c>
      <c r="C1426" s="346">
        <f>316.93-C1425</f>
        <v>195.23000000000002</v>
      </c>
      <c r="D1426" s="202"/>
      <c r="E1426" s="346"/>
      <c r="F1426" s="346"/>
      <c r="G1426" s="346"/>
      <c r="H1426" s="403">
        <f>C1426</f>
        <v>195.23000000000002</v>
      </c>
      <c r="I1426" s="1567"/>
      <c r="J1426" s="1543"/>
      <c r="K1426" s="1543"/>
      <c r="L1426" s="1543"/>
      <c r="M1426" s="1543"/>
      <c r="N1426" s="1566"/>
    </row>
    <row r="1427" spans="1:14">
      <c r="A1427" s="1523"/>
      <c r="B1427" s="356" t="s">
        <v>3004</v>
      </c>
      <c r="C1427" s="292">
        <f>4.5+2.2</f>
        <v>6.7</v>
      </c>
      <c r="D1427" s="198"/>
      <c r="E1427" s="341"/>
      <c r="F1427" s="341"/>
      <c r="G1427" s="341"/>
      <c r="H1427" s="347">
        <f>C1427</f>
        <v>6.7</v>
      </c>
      <c r="I1427" s="1567"/>
      <c r="J1427" s="1543"/>
      <c r="K1427" s="1543"/>
      <c r="L1427" s="1543"/>
      <c r="M1427" s="1543"/>
      <c r="N1427" s="1566"/>
    </row>
    <row r="1428" spans="1:14">
      <c r="A1428" s="1523"/>
      <c r="B1428" s="356" t="s">
        <v>3007</v>
      </c>
      <c r="C1428" s="292">
        <f>3+1.5</f>
        <v>4.5</v>
      </c>
      <c r="D1428" s="198"/>
      <c r="E1428" s="341"/>
      <c r="F1428" s="341"/>
      <c r="G1428" s="341"/>
      <c r="H1428" s="347">
        <f>C1428</f>
        <v>4.5</v>
      </c>
      <c r="I1428" s="1567"/>
      <c r="J1428" s="1543"/>
      <c r="K1428" s="1543"/>
      <c r="L1428" s="1543"/>
      <c r="M1428" s="1543"/>
      <c r="N1428" s="1566"/>
    </row>
    <row r="1429" spans="1:14" s="274" customFormat="1">
      <c r="A1429" s="1515"/>
      <c r="B1429" s="427" t="s">
        <v>3006</v>
      </c>
      <c r="C1429" s="294">
        <f>2.2+1.1</f>
        <v>3.3000000000000003</v>
      </c>
      <c r="D1429" s="203"/>
      <c r="E1429" s="348"/>
      <c r="F1429" s="348"/>
      <c r="G1429" s="348"/>
      <c r="H1429" s="349">
        <f>C1429</f>
        <v>3.3000000000000003</v>
      </c>
      <c r="I1429" s="1567"/>
      <c r="J1429" s="1543"/>
      <c r="K1429" s="1543"/>
      <c r="L1429" s="1543"/>
      <c r="M1429" s="1543"/>
      <c r="N1429" s="1566"/>
    </row>
    <row r="1430" spans="1:14">
      <c r="A1430" s="1630" t="s">
        <v>3294</v>
      </c>
      <c r="B1430" s="406"/>
      <c r="C1430" s="341"/>
      <c r="D1430" s="198"/>
      <c r="E1430" s="341"/>
      <c r="F1430" s="341"/>
      <c r="G1430" s="341"/>
      <c r="H1430" s="347"/>
      <c r="I1430" s="1567"/>
      <c r="J1430" s="1543"/>
      <c r="K1430" s="1543"/>
      <c r="L1430" s="1543"/>
      <c r="M1430" s="1543"/>
      <c r="N1430" s="1566"/>
    </row>
    <row r="1431" spans="1:14">
      <c r="A1431" s="1631"/>
      <c r="B1431" s="412" t="s">
        <v>3167</v>
      </c>
      <c r="C1431" s="351"/>
      <c r="D1431" s="199"/>
      <c r="E1431" s="351"/>
      <c r="F1431" s="351"/>
      <c r="G1431" s="351"/>
      <c r="H1431" s="364">
        <v>5.63</v>
      </c>
      <c r="I1431" s="1567"/>
      <c r="J1431" s="1543"/>
      <c r="K1431" s="1543"/>
      <c r="L1431" s="1543"/>
      <c r="M1431" s="1543"/>
      <c r="N1431" s="1566"/>
    </row>
    <row r="1432" spans="1:14" ht="12.6" customHeight="1">
      <c r="A1432" s="1775" t="s">
        <v>2218</v>
      </c>
      <c r="B1432" s="1504"/>
      <c r="C1432" s="1504"/>
      <c r="D1432" s="1504"/>
      <c r="E1432" s="1504"/>
      <c r="F1432" s="1504"/>
      <c r="G1432" s="1504"/>
      <c r="H1432" s="461">
        <f>SUM(H1413:H1431)</f>
        <v>1884.66</v>
      </c>
      <c r="I1432" s="1567"/>
      <c r="J1432" s="1543"/>
      <c r="K1432" s="1543"/>
      <c r="L1432" s="1543"/>
      <c r="M1432" s="1543"/>
      <c r="N1432" s="1566"/>
    </row>
    <row r="1433" spans="1:14">
      <c r="A1433" s="1519" t="s">
        <v>2219</v>
      </c>
      <c r="B1433" s="1517"/>
      <c r="C1433" s="1517"/>
      <c r="D1433" s="1551"/>
      <c r="E1433" s="1551"/>
      <c r="F1433" s="1551"/>
      <c r="G1433" s="1552"/>
      <c r="H1433" s="272">
        <f>SUM(H1413:H1429)</f>
        <v>1879.03</v>
      </c>
      <c r="I1433" s="1543"/>
      <c r="J1433" s="1543"/>
      <c r="K1433" s="1543"/>
      <c r="L1433" s="1543"/>
      <c r="M1433" s="1543"/>
      <c r="N1433" s="1566"/>
    </row>
    <row r="1434" spans="1:14" ht="15.75" thickBot="1">
      <c r="A1434" s="1520" t="s">
        <v>2220</v>
      </c>
      <c r="B1434" s="1521"/>
      <c r="C1434" s="1521"/>
      <c r="D1434" s="1521"/>
      <c r="E1434" s="1521"/>
      <c r="F1434" s="1521"/>
      <c r="G1434" s="1522"/>
      <c r="H1434" s="216">
        <f>H1432-H1433</f>
        <v>5.6300000000001091</v>
      </c>
      <c r="I1434" s="1568"/>
      <c r="J1434" s="1568"/>
      <c r="K1434" s="1568"/>
      <c r="L1434" s="1568"/>
      <c r="M1434" s="1568"/>
      <c r="N1434" s="1569"/>
    </row>
    <row r="1435" spans="1:14" ht="15.75" thickBot="1">
      <c r="A1435" s="1099"/>
      <c r="B1435" s="344"/>
      <c r="C1435" s="343"/>
      <c r="D1435" s="345"/>
      <c r="E1435" s="1265"/>
      <c r="F1435" s="345"/>
      <c r="G1435" s="345"/>
      <c r="H1435" s="219"/>
      <c r="I1435" s="408"/>
      <c r="J1435" s="408"/>
      <c r="K1435" s="408"/>
      <c r="L1435" s="408"/>
      <c r="M1435" s="408"/>
      <c r="N1435" s="409"/>
    </row>
    <row r="1436" spans="1:14" ht="15" customHeight="1">
      <c r="A1436" s="1085" t="s">
        <v>2593</v>
      </c>
      <c r="B1436" s="1494" t="str">
        <f>[9]Planilha1!D90</f>
        <v>Fornecimento, dobragem e colocação em fôrma, de armadura CA-50 A grossa diâmetro de 12.5 a 25.0 mm (1/2 a 1")</v>
      </c>
      <c r="C1436" s="1495"/>
      <c r="D1436" s="1495"/>
      <c r="E1436" s="1495"/>
      <c r="F1436" s="1495"/>
      <c r="G1436" s="1495"/>
      <c r="H1436" s="1495"/>
      <c r="I1436" s="1495"/>
      <c r="J1436" s="1496"/>
      <c r="K1436" s="196" t="s">
        <v>746</v>
      </c>
      <c r="L1436" s="1497">
        <v>907.16</v>
      </c>
      <c r="M1436" s="1498"/>
      <c r="N1436" s="197">
        <f>L1436-H1453</f>
        <v>0</v>
      </c>
    </row>
    <row r="1437" spans="1:14" ht="15" customHeight="1">
      <c r="A1437" s="1554"/>
      <c r="B1437" s="1541"/>
      <c r="C1437" s="366"/>
      <c r="D1437" s="367" t="s">
        <v>2183</v>
      </c>
      <c r="E1437" s="1320" t="s">
        <v>2184</v>
      </c>
      <c r="F1437" s="367" t="s">
        <v>2185</v>
      </c>
      <c r="G1437" s="367" t="s">
        <v>2186</v>
      </c>
      <c r="H1437" s="1542" t="s">
        <v>476</v>
      </c>
      <c r="I1437" s="1543"/>
      <c r="J1437" s="1543"/>
      <c r="K1437" s="1543"/>
      <c r="L1437" s="1543"/>
      <c r="M1437" s="1543"/>
      <c r="N1437" s="1566"/>
    </row>
    <row r="1438" spans="1:14">
      <c r="A1438" s="1554"/>
      <c r="B1438" s="1541"/>
      <c r="C1438" s="368" t="s">
        <v>2582</v>
      </c>
      <c r="D1438" s="369" t="s">
        <v>2187</v>
      </c>
      <c r="E1438" s="529" t="s">
        <v>2586</v>
      </c>
      <c r="F1438" s="369" t="s">
        <v>2189</v>
      </c>
      <c r="G1438" s="370" t="s">
        <v>2190</v>
      </c>
      <c r="H1438" s="1542"/>
      <c r="I1438" s="1543"/>
      <c r="J1438" s="1543"/>
      <c r="K1438" s="1543"/>
      <c r="L1438" s="1543"/>
      <c r="M1438" s="1543"/>
      <c r="N1438" s="1566"/>
    </row>
    <row r="1439" spans="1:14">
      <c r="A1439" s="1535" t="s">
        <v>2476</v>
      </c>
      <c r="B1439" s="462" t="s">
        <v>2588</v>
      </c>
      <c r="C1439" s="415"/>
      <c r="D1439" s="202"/>
      <c r="E1439" s="346"/>
      <c r="F1439" s="346"/>
      <c r="G1439" s="346"/>
      <c r="H1439" s="403"/>
      <c r="I1439" s="1567"/>
      <c r="J1439" s="1543"/>
      <c r="K1439" s="1543"/>
      <c r="L1439" s="1543"/>
      <c r="M1439" s="1543"/>
      <c r="N1439" s="1566"/>
    </row>
    <row r="1440" spans="1:14">
      <c r="A1440" s="1529"/>
      <c r="B1440" s="463" t="s">
        <v>2589</v>
      </c>
      <c r="C1440" s="341">
        <v>285.5</v>
      </c>
      <c r="D1440" s="198"/>
      <c r="E1440" s="341"/>
      <c r="F1440" s="341"/>
      <c r="G1440" s="341"/>
      <c r="H1440" s="347">
        <f>C1440</f>
        <v>285.5</v>
      </c>
      <c r="I1440" s="1567"/>
      <c r="J1440" s="1543"/>
      <c r="K1440" s="1543"/>
      <c r="L1440" s="1543"/>
      <c r="M1440" s="1543"/>
      <c r="N1440" s="1566"/>
    </row>
    <row r="1441" spans="1:14">
      <c r="A1441" s="1529"/>
      <c r="B1441" s="463" t="s">
        <v>2594</v>
      </c>
      <c r="C1441" s="341"/>
      <c r="D1441" s="198"/>
      <c r="E1441" s="341"/>
      <c r="F1441" s="341"/>
      <c r="G1441" s="341"/>
      <c r="H1441" s="347"/>
      <c r="I1441" s="1567"/>
      <c r="J1441" s="1543"/>
      <c r="K1441" s="1543"/>
      <c r="L1441" s="1543"/>
      <c r="M1441" s="1543"/>
      <c r="N1441" s="1566"/>
    </row>
    <row r="1442" spans="1:14">
      <c r="A1442" s="1529"/>
      <c r="B1442" s="463" t="s">
        <v>2591</v>
      </c>
      <c r="C1442" s="341">
        <v>26.8</v>
      </c>
      <c r="D1442" s="198"/>
      <c r="E1442" s="341"/>
      <c r="F1442" s="341"/>
      <c r="G1442" s="341"/>
      <c r="H1442" s="347">
        <f>C1442</f>
        <v>26.8</v>
      </c>
      <c r="I1442" s="1567"/>
      <c r="J1442" s="1543"/>
      <c r="K1442" s="1543"/>
      <c r="L1442" s="1543"/>
      <c r="M1442" s="1543"/>
      <c r="N1442" s="1566"/>
    </row>
    <row r="1443" spans="1:14">
      <c r="A1443" s="1514" t="s">
        <v>2662</v>
      </c>
      <c r="B1443" s="460" t="s">
        <v>2735</v>
      </c>
      <c r="C1443" s="350"/>
      <c r="D1443" s="201"/>
      <c r="E1443" s="350"/>
      <c r="F1443" s="350"/>
      <c r="G1443" s="350"/>
      <c r="H1443" s="371"/>
      <c r="I1443" s="1567"/>
      <c r="J1443" s="1543"/>
      <c r="K1443" s="1543"/>
      <c r="L1443" s="1543"/>
      <c r="M1443" s="1543"/>
      <c r="N1443" s="1566"/>
    </row>
    <row r="1444" spans="1:14">
      <c r="A1444" s="1523"/>
      <c r="B1444" s="406" t="s">
        <v>2688</v>
      </c>
      <c r="C1444" s="341">
        <f>453.7-9.4-38.14-149</f>
        <v>257.16000000000003</v>
      </c>
      <c r="D1444" s="198"/>
      <c r="E1444" s="341"/>
      <c r="F1444" s="341"/>
      <c r="G1444" s="341"/>
      <c r="H1444" s="347">
        <f>C1444</f>
        <v>257.16000000000003</v>
      </c>
      <c r="I1444" s="1567"/>
      <c r="J1444" s="1543"/>
      <c r="K1444" s="1543"/>
      <c r="L1444" s="1543"/>
      <c r="M1444" s="1543"/>
      <c r="N1444" s="1566"/>
    </row>
    <row r="1445" spans="1:14">
      <c r="A1445" s="1515"/>
      <c r="B1445" s="373"/>
      <c r="C1445" s="341"/>
      <c r="D1445" s="198"/>
      <c r="E1445" s="341"/>
      <c r="F1445" s="341"/>
      <c r="G1445" s="341"/>
      <c r="H1445" s="347"/>
      <c r="I1445" s="1567"/>
      <c r="J1445" s="1543"/>
      <c r="K1445" s="1543"/>
      <c r="L1445" s="1543"/>
      <c r="M1445" s="1543"/>
      <c r="N1445" s="1566"/>
    </row>
    <row r="1446" spans="1:14">
      <c r="A1446" s="1535" t="s">
        <v>2749</v>
      </c>
      <c r="B1446" s="458" t="s">
        <v>2736</v>
      </c>
      <c r="C1446" s="341"/>
      <c r="D1446" s="198"/>
      <c r="E1446" s="341"/>
      <c r="F1446" s="341"/>
      <c r="G1446" s="341"/>
      <c r="H1446" s="347"/>
      <c r="I1446" s="1567"/>
      <c r="J1446" s="1543"/>
      <c r="K1446" s="1543"/>
      <c r="L1446" s="1543"/>
      <c r="M1446" s="1543"/>
      <c r="N1446" s="1566"/>
    </row>
    <row r="1447" spans="1:14">
      <c r="A1447" s="1529"/>
      <c r="B1447" s="406" t="s">
        <v>2737</v>
      </c>
      <c r="C1447" s="341">
        <v>123</v>
      </c>
      <c r="D1447" s="198"/>
      <c r="E1447" s="341"/>
      <c r="F1447" s="341"/>
      <c r="G1447" s="341"/>
      <c r="H1447" s="347">
        <f>C1447</f>
        <v>123</v>
      </c>
      <c r="I1447" s="1567"/>
      <c r="J1447" s="1543"/>
      <c r="K1447" s="1543"/>
      <c r="L1447" s="1543"/>
      <c r="M1447" s="1543"/>
      <c r="N1447" s="1566"/>
    </row>
    <row r="1448" spans="1:14">
      <c r="A1448" s="1545"/>
      <c r="B1448" s="464" t="s">
        <v>2824</v>
      </c>
      <c r="C1448" s="341">
        <f>304.7-135.52-25.94-9.4</f>
        <v>133.83999999999997</v>
      </c>
      <c r="D1448" s="198"/>
      <c r="E1448" s="341"/>
      <c r="F1448" s="341"/>
      <c r="G1448" s="341"/>
      <c r="H1448" s="347">
        <f>121</f>
        <v>121</v>
      </c>
      <c r="I1448" s="1567"/>
      <c r="J1448" s="1543"/>
      <c r="K1448" s="1543"/>
      <c r="L1448" s="1543"/>
      <c r="M1448" s="1543"/>
      <c r="N1448" s="1566"/>
    </row>
    <row r="1449" spans="1:14">
      <c r="A1449" s="1535" t="s">
        <v>2895</v>
      </c>
      <c r="B1449" s="406" t="s">
        <v>2850</v>
      </c>
      <c r="C1449" s="341"/>
      <c r="D1449" s="198"/>
      <c r="E1449" s="341"/>
      <c r="F1449" s="341"/>
      <c r="G1449" s="341"/>
      <c r="H1449" s="347"/>
      <c r="I1449" s="1567"/>
      <c r="J1449" s="1543"/>
      <c r="K1449" s="1543"/>
      <c r="L1449" s="1543"/>
      <c r="M1449" s="1543"/>
      <c r="N1449" s="1566"/>
    </row>
    <row r="1450" spans="1:14">
      <c r="A1450" s="1529"/>
      <c r="B1450" s="406" t="s">
        <v>2688</v>
      </c>
      <c r="C1450" s="341">
        <v>86.38</v>
      </c>
      <c r="D1450" s="198"/>
      <c r="E1450" s="341"/>
      <c r="F1450" s="341"/>
      <c r="G1450" s="341"/>
      <c r="H1450" s="347">
        <f>C1450</f>
        <v>86.38</v>
      </c>
      <c r="I1450" s="1567"/>
      <c r="J1450" s="1543"/>
      <c r="K1450" s="1543"/>
      <c r="L1450" s="1543"/>
      <c r="M1450" s="1543"/>
      <c r="N1450" s="1566"/>
    </row>
    <row r="1451" spans="1:14">
      <c r="A1451" s="1102" t="s">
        <v>3745</v>
      </c>
      <c r="B1451" s="412" t="s">
        <v>3753</v>
      </c>
      <c r="C1451" s="341">
        <v>7.32</v>
      </c>
      <c r="D1451" s="198"/>
      <c r="E1451" s="341"/>
      <c r="F1451" s="341"/>
      <c r="G1451" s="341"/>
      <c r="H1451" s="347">
        <f>C1451</f>
        <v>7.32</v>
      </c>
      <c r="I1451" s="1567"/>
      <c r="J1451" s="1543"/>
      <c r="K1451" s="1543"/>
      <c r="L1451" s="1543"/>
      <c r="M1451" s="1543"/>
      <c r="N1451" s="1566"/>
    </row>
    <row r="1452" spans="1:14">
      <c r="A1452" s="1137"/>
      <c r="B1452" s="413"/>
      <c r="C1452" s="341"/>
      <c r="D1452" s="198"/>
      <c r="E1452" s="341"/>
      <c r="F1452" s="341"/>
      <c r="G1452" s="341"/>
      <c r="H1452" s="347"/>
      <c r="I1452" s="1567"/>
      <c r="J1452" s="1543"/>
      <c r="K1452" s="1543"/>
      <c r="L1452" s="1543"/>
      <c r="M1452" s="1543"/>
      <c r="N1452" s="1566"/>
    </row>
    <row r="1453" spans="1:14">
      <c r="A1453" s="1577" t="s">
        <v>2218</v>
      </c>
      <c r="B1453" s="1542"/>
      <c r="C1453" s="1542"/>
      <c r="D1453" s="1542"/>
      <c r="E1453" s="1542"/>
      <c r="F1453" s="1542"/>
      <c r="G1453" s="1542"/>
      <c r="H1453" s="271">
        <f>SUM(H1439:H1452)</f>
        <v>907.16000000000008</v>
      </c>
      <c r="I1453" s="1567"/>
      <c r="J1453" s="1543"/>
      <c r="K1453" s="1543"/>
      <c r="L1453" s="1543"/>
      <c r="M1453" s="1543"/>
      <c r="N1453" s="1566"/>
    </row>
    <row r="1454" spans="1:14">
      <c r="A1454" s="1519" t="s">
        <v>2219</v>
      </c>
      <c r="B1454" s="1517"/>
      <c r="C1454" s="1517"/>
      <c r="D1454" s="1551"/>
      <c r="E1454" s="1551"/>
      <c r="F1454" s="1551"/>
      <c r="G1454" s="1552"/>
      <c r="H1454" s="272">
        <f>SUM(H1439:H1450)</f>
        <v>899.84</v>
      </c>
      <c r="I1454" s="1543"/>
      <c r="J1454" s="1543"/>
      <c r="K1454" s="1543"/>
      <c r="L1454" s="1543"/>
      <c r="M1454" s="1543"/>
      <c r="N1454" s="1566"/>
    </row>
    <row r="1455" spans="1:14" ht="15.75" thickBot="1">
      <c r="A1455" s="1520" t="s">
        <v>2220</v>
      </c>
      <c r="B1455" s="1521"/>
      <c r="C1455" s="1521"/>
      <c r="D1455" s="1521"/>
      <c r="E1455" s="1521"/>
      <c r="F1455" s="1521"/>
      <c r="G1455" s="1522"/>
      <c r="H1455" s="216">
        <f>H1453-H1454</f>
        <v>7.32000000000005</v>
      </c>
      <c r="I1455" s="1568"/>
      <c r="J1455" s="1568"/>
      <c r="K1455" s="1568"/>
      <c r="L1455" s="1568"/>
      <c r="M1455" s="1568"/>
      <c r="N1455" s="1569"/>
    </row>
    <row r="1456" spans="1:14" ht="11.25" customHeight="1" thickBot="1">
      <c r="A1456" s="1780"/>
      <c r="B1456" s="1781"/>
      <c r="C1456" s="1781"/>
      <c r="D1456" s="1781"/>
      <c r="E1456" s="1781"/>
      <c r="F1456" s="1781"/>
      <c r="G1456" s="1781"/>
      <c r="H1456" s="1781"/>
      <c r="I1456" s="1781"/>
      <c r="J1456" s="1781"/>
      <c r="K1456" s="1781"/>
      <c r="L1456" s="1781"/>
      <c r="M1456" s="1781"/>
      <c r="N1456" s="1782"/>
    </row>
    <row r="1457" spans="1:14" ht="30" customHeight="1">
      <c r="A1457" s="1085" t="s">
        <v>2595</v>
      </c>
      <c r="B1457" s="1494" t="s">
        <v>718</v>
      </c>
      <c r="C1457" s="1495"/>
      <c r="D1457" s="1495"/>
      <c r="E1457" s="1495"/>
      <c r="F1457" s="1495"/>
      <c r="G1457" s="1495"/>
      <c r="H1457" s="1495"/>
      <c r="I1457" s="1495"/>
      <c r="J1457" s="1496"/>
      <c r="K1457" s="196" t="s">
        <v>2182</v>
      </c>
      <c r="L1457" s="1497">
        <v>67.349999999999994</v>
      </c>
      <c r="M1457" s="1498"/>
      <c r="N1457" s="197">
        <f>L1457-H1512</f>
        <v>0</v>
      </c>
    </row>
    <row r="1458" spans="1:14">
      <c r="A1458" s="1541"/>
      <c r="B1458" s="1541"/>
      <c r="C1458" s="366"/>
      <c r="D1458" s="367" t="s">
        <v>2183</v>
      </c>
      <c r="E1458" s="1320" t="s">
        <v>2184</v>
      </c>
      <c r="F1458" s="367" t="s">
        <v>2185</v>
      </c>
      <c r="G1458" s="367" t="s">
        <v>2186</v>
      </c>
      <c r="H1458" s="1542" t="s">
        <v>476</v>
      </c>
      <c r="I1458" s="1543"/>
      <c r="J1458" s="1543"/>
      <c r="K1458" s="1543"/>
      <c r="L1458" s="1543"/>
      <c r="M1458" s="1543"/>
      <c r="N1458" s="1566"/>
    </row>
    <row r="1459" spans="1:14">
      <c r="A1459" s="1541"/>
      <c r="B1459" s="1541"/>
      <c r="C1459" s="368" t="s">
        <v>2901</v>
      </c>
      <c r="D1459" s="369" t="s">
        <v>2187</v>
      </c>
      <c r="E1459" s="529" t="s">
        <v>2596</v>
      </c>
      <c r="F1459" s="369" t="s">
        <v>2189</v>
      </c>
      <c r="G1459" s="370" t="s">
        <v>2190</v>
      </c>
      <c r="H1459" s="1542"/>
      <c r="I1459" s="1543"/>
      <c r="J1459" s="1543"/>
      <c r="K1459" s="1543"/>
      <c r="L1459" s="1543"/>
      <c r="M1459" s="1543"/>
      <c r="N1459" s="1566"/>
    </row>
    <row r="1460" spans="1:14">
      <c r="A1460" s="1710" t="s">
        <v>2476</v>
      </c>
      <c r="B1460" s="442" t="s">
        <v>2545</v>
      </c>
      <c r="C1460" s="430"/>
      <c r="D1460" s="287"/>
      <c r="E1460" s="531"/>
      <c r="F1460" s="287"/>
      <c r="G1460" s="431"/>
      <c r="H1460" s="403"/>
      <c r="I1460" s="1567"/>
      <c r="J1460" s="1543"/>
      <c r="K1460" s="1543"/>
      <c r="L1460" s="1543"/>
      <c r="M1460" s="1543"/>
      <c r="N1460" s="1566"/>
    </row>
    <row r="1461" spans="1:14">
      <c r="A1461" s="1536"/>
      <c r="B1461" s="406" t="s">
        <v>2546</v>
      </c>
      <c r="C1461" s="443"/>
      <c r="D1461" s="292"/>
      <c r="E1461" s="901"/>
      <c r="F1461" s="292"/>
      <c r="G1461" s="361"/>
      <c r="H1461" s="347"/>
      <c r="I1461" s="1567"/>
      <c r="J1461" s="1543"/>
      <c r="K1461" s="1543"/>
      <c r="L1461" s="1543"/>
      <c r="M1461" s="1543"/>
      <c r="N1461" s="1566"/>
    </row>
    <row r="1462" spans="1:14">
      <c r="A1462" s="1536"/>
      <c r="B1462" s="406" t="s">
        <v>2547</v>
      </c>
      <c r="C1462" s="443"/>
      <c r="D1462" s="341"/>
      <c r="E1462" s="341"/>
      <c r="F1462" s="341"/>
      <c r="G1462" s="341"/>
      <c r="H1462" s="347"/>
      <c r="I1462" s="1567"/>
      <c r="J1462" s="1543"/>
      <c r="K1462" s="1543"/>
      <c r="L1462" s="1543"/>
      <c r="M1462" s="1543"/>
      <c r="N1462" s="1566"/>
    </row>
    <row r="1463" spans="1:14">
      <c r="A1463" s="1536"/>
      <c r="B1463" s="406" t="s">
        <v>2584</v>
      </c>
      <c r="C1463" s="443"/>
      <c r="D1463" s="341">
        <v>3.87</v>
      </c>
      <c r="E1463" s="341">
        <v>0.6</v>
      </c>
      <c r="F1463" s="341">
        <v>0.15</v>
      </c>
      <c r="G1463" s="341">
        <v>2</v>
      </c>
      <c r="H1463" s="347">
        <f>D1463*E1463*F1463*G1463</f>
        <v>0.6966</v>
      </c>
      <c r="I1463" s="1567"/>
      <c r="J1463" s="1543"/>
      <c r="K1463" s="1543"/>
      <c r="L1463" s="1543"/>
      <c r="M1463" s="1543"/>
      <c r="N1463" s="1566"/>
    </row>
    <row r="1464" spans="1:14">
      <c r="A1464" s="1536"/>
      <c r="B1464" s="406" t="s">
        <v>2576</v>
      </c>
      <c r="C1464" s="443"/>
      <c r="D1464" s="341">
        <v>7.84</v>
      </c>
      <c r="E1464" s="341">
        <v>0.6</v>
      </c>
      <c r="F1464" s="341">
        <v>0.15</v>
      </c>
      <c r="G1464" s="341">
        <v>1</v>
      </c>
      <c r="H1464" s="347">
        <f>D1464*E1464*F1464*G1464</f>
        <v>0.70559999999999989</v>
      </c>
      <c r="I1464" s="1567"/>
      <c r="J1464" s="1543"/>
      <c r="K1464" s="1543"/>
      <c r="L1464" s="1543"/>
      <c r="M1464" s="1543"/>
      <c r="N1464" s="1566"/>
    </row>
    <row r="1465" spans="1:14">
      <c r="A1465" s="1536"/>
      <c r="B1465" s="406" t="s">
        <v>2577</v>
      </c>
      <c r="C1465" s="443"/>
      <c r="D1465" s="341">
        <v>3.34</v>
      </c>
      <c r="E1465" s="341">
        <v>0.6</v>
      </c>
      <c r="F1465" s="341">
        <v>0.15</v>
      </c>
      <c r="G1465" s="341">
        <v>1</v>
      </c>
      <c r="H1465" s="347">
        <f>D1465*E1465*F1465*G1465</f>
        <v>0.30059999999999998</v>
      </c>
      <c r="I1465" s="1567"/>
      <c r="J1465" s="1543"/>
      <c r="K1465" s="1543"/>
      <c r="L1465" s="1543"/>
      <c r="M1465" s="1543"/>
      <c r="N1465" s="1566"/>
    </row>
    <row r="1466" spans="1:14">
      <c r="A1466" s="1536"/>
      <c r="B1466" s="406" t="s">
        <v>2578</v>
      </c>
      <c r="C1466" s="443"/>
      <c r="D1466" s="341">
        <v>1.73</v>
      </c>
      <c r="E1466" s="341">
        <v>0.6</v>
      </c>
      <c r="F1466" s="341">
        <v>0.15</v>
      </c>
      <c r="G1466" s="341">
        <v>1</v>
      </c>
      <c r="H1466" s="347">
        <f>D1466*E1466*F1466*G1466</f>
        <v>0.15570000000000001</v>
      </c>
      <c r="I1466" s="1567"/>
      <c r="J1466" s="1543"/>
      <c r="K1466" s="1543"/>
      <c r="L1466" s="1543"/>
      <c r="M1466" s="1543"/>
      <c r="N1466" s="1566"/>
    </row>
    <row r="1467" spans="1:14">
      <c r="A1467" s="1536"/>
      <c r="B1467" s="406" t="s">
        <v>2579</v>
      </c>
      <c r="C1467" s="443"/>
      <c r="D1467" s="341">
        <v>1.5</v>
      </c>
      <c r="E1467" s="341">
        <v>0.6</v>
      </c>
      <c r="F1467" s="341">
        <v>0.15</v>
      </c>
      <c r="G1467" s="341">
        <v>1</v>
      </c>
      <c r="H1467" s="347">
        <f>D1467*E1467*F1467*G1467</f>
        <v>0.13499999999999998</v>
      </c>
      <c r="I1467" s="1567"/>
      <c r="J1467" s="1543"/>
      <c r="K1467" s="1543"/>
      <c r="L1467" s="1543"/>
      <c r="M1467" s="1543"/>
      <c r="N1467" s="1566"/>
    </row>
    <row r="1468" spans="1:14">
      <c r="A1468" s="1536"/>
      <c r="B1468" s="406"/>
      <c r="C1468" s="443"/>
      <c r="D1468" s="341"/>
      <c r="E1468" s="341"/>
      <c r="F1468" s="341"/>
      <c r="G1468" s="341"/>
      <c r="H1468" s="347"/>
      <c r="I1468" s="1567"/>
      <c r="J1468" s="1543"/>
      <c r="K1468" s="1543"/>
      <c r="L1468" s="1543"/>
      <c r="M1468" s="1543"/>
      <c r="N1468" s="1566"/>
    </row>
    <row r="1469" spans="1:14">
      <c r="A1469" s="1536"/>
      <c r="B1469" s="406" t="s">
        <v>2550</v>
      </c>
      <c r="C1469" s="443"/>
      <c r="D1469" s="341"/>
      <c r="E1469" s="341"/>
      <c r="F1469" s="341"/>
      <c r="G1469" s="341"/>
      <c r="H1469" s="347"/>
      <c r="I1469" s="1567"/>
      <c r="J1469" s="1543"/>
      <c r="K1469" s="1543"/>
      <c r="L1469" s="1543"/>
      <c r="M1469" s="1543"/>
      <c r="N1469" s="1566"/>
    </row>
    <row r="1470" spans="1:14">
      <c r="A1470" s="1536"/>
      <c r="B1470" s="444" t="s">
        <v>2551</v>
      </c>
      <c r="C1470" s="443"/>
      <c r="D1470" s="341"/>
      <c r="E1470" s="341"/>
      <c r="F1470" s="341"/>
      <c r="G1470" s="341"/>
      <c r="H1470" s="347"/>
      <c r="I1470" s="1567"/>
      <c r="J1470" s="1543"/>
      <c r="K1470" s="1543"/>
      <c r="L1470" s="1543"/>
      <c r="M1470" s="1543"/>
      <c r="N1470" s="1566"/>
    </row>
    <row r="1471" spans="1:14" ht="24">
      <c r="A1471" s="1536"/>
      <c r="B1471" s="406" t="s">
        <v>2552</v>
      </c>
      <c r="C1471" s="443"/>
      <c r="D1471" s="341">
        <v>1</v>
      </c>
      <c r="E1471" s="341">
        <v>1</v>
      </c>
      <c r="F1471" s="341">
        <v>1</v>
      </c>
      <c r="G1471" s="341">
        <v>15</v>
      </c>
      <c r="H1471" s="347">
        <f>D1471*E1471*F1471*G1471</f>
        <v>15</v>
      </c>
      <c r="I1471" s="1567"/>
      <c r="J1471" s="1543"/>
      <c r="K1471" s="1543"/>
      <c r="L1471" s="1543"/>
      <c r="M1471" s="1543"/>
      <c r="N1471" s="1566"/>
    </row>
    <row r="1472" spans="1:14">
      <c r="A1472" s="1536"/>
      <c r="B1472" s="406" t="s">
        <v>2553</v>
      </c>
      <c r="C1472" s="443"/>
      <c r="D1472" s="341">
        <v>1.46</v>
      </c>
      <c r="E1472" s="341">
        <v>1</v>
      </c>
      <c r="F1472" s="341">
        <v>1</v>
      </c>
      <c r="G1472" s="341">
        <v>4</v>
      </c>
      <c r="H1472" s="347">
        <f>D1472*E1472*F1472*G1472</f>
        <v>5.84</v>
      </c>
      <c r="I1472" s="1567"/>
      <c r="J1472" s="1543"/>
      <c r="K1472" s="1543"/>
      <c r="L1472" s="1543"/>
      <c r="M1472" s="1543"/>
      <c r="N1472" s="1566"/>
    </row>
    <row r="1473" spans="1:14">
      <c r="A1473" s="1536"/>
      <c r="B1473" s="406"/>
      <c r="C1473" s="443"/>
      <c r="D1473" s="341"/>
      <c r="E1473" s="341"/>
      <c r="F1473" s="341"/>
      <c r="G1473" s="341"/>
      <c r="H1473" s="347"/>
      <c r="I1473" s="1567"/>
      <c r="J1473" s="1543"/>
      <c r="K1473" s="1543"/>
      <c r="L1473" s="1543"/>
      <c r="M1473" s="1543"/>
      <c r="N1473" s="1566"/>
    </row>
    <row r="1474" spans="1:14">
      <c r="A1474" s="1536"/>
      <c r="B1474" s="406" t="s">
        <v>2597</v>
      </c>
      <c r="C1474" s="443"/>
      <c r="D1474" s="341"/>
      <c r="E1474" s="341"/>
      <c r="F1474" s="341"/>
      <c r="G1474" s="341"/>
      <c r="H1474" s="347"/>
      <c r="I1474" s="1567"/>
      <c r="J1474" s="1543"/>
      <c r="K1474" s="1543"/>
      <c r="L1474" s="1543"/>
      <c r="M1474" s="1543"/>
      <c r="N1474" s="1566"/>
    </row>
    <row r="1475" spans="1:14" ht="12" customHeight="1">
      <c r="A1475" s="1536"/>
      <c r="B1475" s="458" t="s">
        <v>2598</v>
      </c>
      <c r="C1475" s="292"/>
      <c r="D1475" s="341"/>
      <c r="E1475" s="341"/>
      <c r="F1475" s="341"/>
      <c r="G1475" s="341"/>
      <c r="H1475" s="347"/>
      <c r="I1475" s="1567"/>
      <c r="J1475" s="1543"/>
      <c r="K1475" s="1543"/>
      <c r="L1475" s="1543"/>
      <c r="M1475" s="1543"/>
      <c r="N1475" s="1566"/>
    </row>
    <row r="1476" spans="1:14" ht="18" customHeight="1">
      <c r="A1476" s="1536"/>
      <c r="B1476" s="406" t="s">
        <v>2591</v>
      </c>
      <c r="C1476" s="341">
        <v>105.6</v>
      </c>
      <c r="D1476" s="341"/>
      <c r="E1476" s="341">
        <v>0.12</v>
      </c>
      <c r="F1476" s="341"/>
      <c r="G1476" s="341"/>
      <c r="H1476" s="347">
        <f>C1476*E1476</f>
        <v>12.671999999999999</v>
      </c>
      <c r="I1476" s="1567"/>
      <c r="J1476" s="1543"/>
      <c r="K1476" s="1543"/>
      <c r="L1476" s="1543"/>
      <c r="M1476" s="1543"/>
      <c r="N1476" s="1566"/>
    </row>
    <row r="1477" spans="1:14">
      <c r="A1477" s="1536"/>
      <c r="B1477" s="412"/>
      <c r="C1477" s="312"/>
      <c r="D1477" s="199"/>
      <c r="E1477" s="351"/>
      <c r="F1477" s="351"/>
      <c r="G1477" s="351"/>
      <c r="H1477" s="364"/>
      <c r="I1477" s="1567"/>
      <c r="J1477" s="1543"/>
      <c r="K1477" s="1543"/>
      <c r="L1477" s="1543"/>
      <c r="M1477" s="1543"/>
      <c r="N1477" s="1566"/>
    </row>
    <row r="1478" spans="1:14">
      <c r="A1478" s="1514" t="s">
        <v>2662</v>
      </c>
      <c r="B1478" s="442" t="s">
        <v>2670</v>
      </c>
      <c r="C1478" s="287"/>
      <c r="D1478" s="202"/>
      <c r="E1478" s="346"/>
      <c r="F1478" s="346"/>
      <c r="G1478" s="346"/>
      <c r="H1478" s="403"/>
      <c r="I1478" s="1567"/>
      <c r="J1478" s="1543"/>
      <c r="K1478" s="1543"/>
      <c r="L1478" s="1543"/>
      <c r="M1478" s="1543"/>
      <c r="N1478" s="1566"/>
    </row>
    <row r="1479" spans="1:14">
      <c r="A1479" s="1523"/>
      <c r="B1479" s="458" t="s">
        <v>2733</v>
      </c>
      <c r="C1479" s="292"/>
      <c r="D1479" s="198"/>
      <c r="E1479" s="341"/>
      <c r="F1479" s="341"/>
      <c r="G1479" s="341"/>
      <c r="H1479" s="347"/>
      <c r="I1479" s="1567"/>
      <c r="J1479" s="1543"/>
      <c r="K1479" s="1543"/>
      <c r="L1479" s="1543"/>
      <c r="M1479" s="1543"/>
      <c r="N1479" s="1566"/>
    </row>
    <row r="1480" spans="1:14">
      <c r="A1480" s="1523"/>
      <c r="B1480" s="406" t="s">
        <v>2548</v>
      </c>
      <c r="C1480" s="341"/>
      <c r="D1480" s="341">
        <v>8.6999999999999993</v>
      </c>
      <c r="E1480" s="341">
        <v>0.5</v>
      </c>
      <c r="F1480" s="341">
        <v>0.2</v>
      </c>
      <c r="G1480" s="341">
        <v>1</v>
      </c>
      <c r="H1480" s="347">
        <f t="shared" ref="H1480:H1500" si="35">D1480*E1480*F1480*G1480</f>
        <v>0.87</v>
      </c>
      <c r="I1480" s="1567"/>
      <c r="J1480" s="1543"/>
      <c r="K1480" s="1543"/>
      <c r="L1480" s="1543"/>
      <c r="M1480" s="1543"/>
      <c r="N1480" s="1566"/>
    </row>
    <row r="1481" spans="1:14">
      <c r="A1481" s="1523"/>
      <c r="B1481" s="406" t="s">
        <v>2549</v>
      </c>
      <c r="C1481" s="341"/>
      <c r="D1481" s="341">
        <v>4.63</v>
      </c>
      <c r="E1481" s="341">
        <v>0.5</v>
      </c>
      <c r="F1481" s="341">
        <v>0.2</v>
      </c>
      <c r="G1481" s="341">
        <v>1</v>
      </c>
      <c r="H1481" s="347">
        <f t="shared" si="35"/>
        <v>0.46300000000000002</v>
      </c>
      <c r="I1481" s="1567"/>
      <c r="J1481" s="1543"/>
      <c r="K1481" s="1543"/>
      <c r="L1481" s="1543"/>
      <c r="M1481" s="1543"/>
      <c r="N1481" s="1566"/>
    </row>
    <row r="1482" spans="1:14">
      <c r="A1482" s="1523"/>
      <c r="B1482" s="406" t="s">
        <v>2576</v>
      </c>
      <c r="C1482" s="341"/>
      <c r="D1482" s="341">
        <v>5.2</v>
      </c>
      <c r="E1482" s="341">
        <v>0.5</v>
      </c>
      <c r="F1482" s="341">
        <v>0.2</v>
      </c>
      <c r="G1482" s="341">
        <v>1</v>
      </c>
      <c r="H1482" s="347">
        <f t="shared" si="35"/>
        <v>0.52</v>
      </c>
      <c r="I1482" s="1567"/>
      <c r="J1482" s="1543"/>
      <c r="K1482" s="1543"/>
      <c r="L1482" s="1543"/>
      <c r="M1482" s="1543"/>
      <c r="N1482" s="1566"/>
    </row>
    <row r="1483" spans="1:14">
      <c r="A1483" s="1523"/>
      <c r="B1483" s="406" t="s">
        <v>2577</v>
      </c>
      <c r="C1483" s="341"/>
      <c r="D1483" s="341">
        <v>3.84</v>
      </c>
      <c r="E1483" s="341">
        <v>0.5</v>
      </c>
      <c r="F1483" s="341">
        <v>0.3</v>
      </c>
      <c r="G1483" s="341">
        <v>1</v>
      </c>
      <c r="H1483" s="347">
        <f t="shared" si="35"/>
        <v>0.57599999999999996</v>
      </c>
      <c r="I1483" s="1567"/>
      <c r="J1483" s="1543"/>
      <c r="K1483" s="1543"/>
      <c r="L1483" s="1543"/>
      <c r="M1483" s="1543"/>
      <c r="N1483" s="1566"/>
    </row>
    <row r="1484" spans="1:14">
      <c r="A1484" s="1523"/>
      <c r="B1484" s="406" t="s">
        <v>2578</v>
      </c>
      <c r="C1484" s="341"/>
      <c r="D1484" s="341">
        <v>4.95</v>
      </c>
      <c r="E1484" s="341">
        <v>0.5</v>
      </c>
      <c r="F1484" s="341">
        <v>0.3</v>
      </c>
      <c r="G1484" s="341">
        <v>1</v>
      </c>
      <c r="H1484" s="347">
        <f t="shared" si="35"/>
        <v>0.74250000000000005</v>
      </c>
      <c r="I1484" s="1567"/>
      <c r="J1484" s="1543"/>
      <c r="K1484" s="1543"/>
      <c r="L1484" s="1543"/>
      <c r="M1484" s="1543"/>
      <c r="N1484" s="1566"/>
    </row>
    <row r="1485" spans="1:14">
      <c r="A1485" s="1523"/>
      <c r="B1485" s="406" t="s">
        <v>2579</v>
      </c>
      <c r="C1485" s="341"/>
      <c r="D1485" s="341">
        <v>8.84</v>
      </c>
      <c r="E1485" s="341">
        <v>0.5</v>
      </c>
      <c r="F1485" s="341">
        <v>0.2</v>
      </c>
      <c r="G1485" s="341">
        <v>1</v>
      </c>
      <c r="H1485" s="347">
        <f t="shared" si="35"/>
        <v>0.88400000000000001</v>
      </c>
      <c r="I1485" s="1567"/>
      <c r="J1485" s="1543"/>
      <c r="K1485" s="1543"/>
      <c r="L1485" s="1543"/>
      <c r="M1485" s="1543"/>
      <c r="N1485" s="1566"/>
    </row>
    <row r="1486" spans="1:14">
      <c r="A1486" s="1523"/>
      <c r="B1486" s="406" t="s">
        <v>2671</v>
      </c>
      <c r="C1486" s="341"/>
      <c r="D1486" s="341">
        <v>8.77</v>
      </c>
      <c r="E1486" s="341">
        <v>0.5</v>
      </c>
      <c r="F1486" s="341">
        <v>0.2</v>
      </c>
      <c r="G1486" s="341">
        <v>1</v>
      </c>
      <c r="H1486" s="347">
        <f t="shared" si="35"/>
        <v>0.877</v>
      </c>
      <c r="I1486" s="1567"/>
      <c r="J1486" s="1543"/>
      <c r="K1486" s="1543"/>
      <c r="L1486" s="1543"/>
      <c r="M1486" s="1543"/>
      <c r="N1486" s="1566"/>
    </row>
    <row r="1487" spans="1:14">
      <c r="A1487" s="1523"/>
      <c r="B1487" s="406" t="s">
        <v>2672</v>
      </c>
      <c r="C1487" s="341"/>
      <c r="D1487" s="341">
        <v>8.77</v>
      </c>
      <c r="E1487" s="341">
        <v>0.5</v>
      </c>
      <c r="F1487" s="341">
        <v>0.2</v>
      </c>
      <c r="G1487" s="341">
        <v>1</v>
      </c>
      <c r="H1487" s="347">
        <f t="shared" si="35"/>
        <v>0.877</v>
      </c>
      <c r="I1487" s="1567"/>
      <c r="J1487" s="1543"/>
      <c r="K1487" s="1543"/>
      <c r="L1487" s="1543"/>
      <c r="M1487" s="1543"/>
      <c r="N1487" s="1566"/>
    </row>
    <row r="1488" spans="1:14">
      <c r="A1488" s="1523"/>
      <c r="B1488" s="406" t="s">
        <v>2673</v>
      </c>
      <c r="C1488" s="341"/>
      <c r="D1488" s="341">
        <v>4.7</v>
      </c>
      <c r="E1488" s="341">
        <v>0.5</v>
      </c>
      <c r="F1488" s="341">
        <v>0.2</v>
      </c>
      <c r="G1488" s="341">
        <v>1</v>
      </c>
      <c r="H1488" s="347">
        <f t="shared" si="35"/>
        <v>0.47000000000000003</v>
      </c>
      <c r="I1488" s="1567"/>
      <c r="J1488" s="1543"/>
      <c r="K1488" s="1543"/>
      <c r="L1488" s="1543"/>
      <c r="M1488" s="1543"/>
      <c r="N1488" s="1566"/>
    </row>
    <row r="1489" spans="1:14">
      <c r="A1489" s="1523"/>
      <c r="B1489" s="406" t="s">
        <v>2674</v>
      </c>
      <c r="C1489" s="341"/>
      <c r="D1489" s="341">
        <v>4.7</v>
      </c>
      <c r="E1489" s="341">
        <v>0.5</v>
      </c>
      <c r="F1489" s="341">
        <v>0.2</v>
      </c>
      <c r="G1489" s="341">
        <v>1</v>
      </c>
      <c r="H1489" s="347">
        <f t="shared" si="35"/>
        <v>0.47000000000000003</v>
      </c>
      <c r="I1489" s="1567"/>
      <c r="J1489" s="1543"/>
      <c r="K1489" s="1543"/>
      <c r="L1489" s="1543"/>
      <c r="M1489" s="1543"/>
      <c r="N1489" s="1566"/>
    </row>
    <row r="1490" spans="1:14">
      <c r="A1490" s="1523"/>
      <c r="B1490" s="406" t="s">
        <v>2675</v>
      </c>
      <c r="C1490" s="341"/>
      <c r="D1490" s="341">
        <v>4.7</v>
      </c>
      <c r="E1490" s="341">
        <v>0.5</v>
      </c>
      <c r="F1490" s="341">
        <v>0.2</v>
      </c>
      <c r="G1490" s="341">
        <v>1</v>
      </c>
      <c r="H1490" s="347">
        <f t="shared" si="35"/>
        <v>0.47000000000000003</v>
      </c>
      <c r="I1490" s="1567"/>
      <c r="J1490" s="1543"/>
      <c r="K1490" s="1543"/>
      <c r="L1490" s="1543"/>
      <c r="M1490" s="1543"/>
      <c r="N1490" s="1566"/>
    </row>
    <row r="1491" spans="1:14">
      <c r="A1491" s="1523"/>
      <c r="B1491" s="406" t="s">
        <v>2676</v>
      </c>
      <c r="C1491" s="341"/>
      <c r="D1491" s="341">
        <v>16.02</v>
      </c>
      <c r="E1491" s="341">
        <v>0.5</v>
      </c>
      <c r="F1491" s="341">
        <v>0.2</v>
      </c>
      <c r="G1491" s="341">
        <v>1</v>
      </c>
      <c r="H1491" s="347">
        <f t="shared" si="35"/>
        <v>1.6020000000000001</v>
      </c>
      <c r="I1491" s="1567"/>
      <c r="J1491" s="1543"/>
      <c r="K1491" s="1543"/>
      <c r="L1491" s="1543"/>
      <c r="M1491" s="1543"/>
      <c r="N1491" s="1566"/>
    </row>
    <row r="1492" spans="1:14">
      <c r="A1492" s="1523"/>
      <c r="B1492" s="406" t="s">
        <v>2677</v>
      </c>
      <c r="C1492" s="341"/>
      <c r="D1492" s="341">
        <v>3.12</v>
      </c>
      <c r="E1492" s="341">
        <v>0.5</v>
      </c>
      <c r="F1492" s="341">
        <v>0.2</v>
      </c>
      <c r="G1492" s="341">
        <v>1</v>
      </c>
      <c r="H1492" s="347">
        <f t="shared" si="35"/>
        <v>0.31200000000000006</v>
      </c>
      <c r="I1492" s="1567"/>
      <c r="J1492" s="1543"/>
      <c r="K1492" s="1543"/>
      <c r="L1492" s="1543"/>
      <c r="M1492" s="1543"/>
      <c r="N1492" s="1566"/>
    </row>
    <row r="1493" spans="1:14">
      <c r="A1493" s="1523"/>
      <c r="B1493" s="406" t="s">
        <v>2678</v>
      </c>
      <c r="C1493" s="341"/>
      <c r="D1493" s="341">
        <v>5.9</v>
      </c>
      <c r="E1493" s="341">
        <v>0.5</v>
      </c>
      <c r="F1493" s="341">
        <v>0.2</v>
      </c>
      <c r="G1493" s="341">
        <v>1</v>
      </c>
      <c r="H1493" s="347">
        <f t="shared" si="35"/>
        <v>0.59000000000000008</v>
      </c>
      <c r="I1493" s="1567"/>
      <c r="J1493" s="1543"/>
      <c r="K1493" s="1543"/>
      <c r="L1493" s="1543"/>
      <c r="M1493" s="1543"/>
      <c r="N1493" s="1566"/>
    </row>
    <row r="1494" spans="1:14">
      <c r="A1494" s="1523"/>
      <c r="B1494" s="406" t="s">
        <v>2679</v>
      </c>
      <c r="C1494" s="341"/>
      <c r="D1494" s="341">
        <v>3.12</v>
      </c>
      <c r="E1494" s="341">
        <v>0.5</v>
      </c>
      <c r="F1494" s="341">
        <v>0.2</v>
      </c>
      <c r="G1494" s="341">
        <v>1</v>
      </c>
      <c r="H1494" s="347">
        <f t="shared" si="35"/>
        <v>0.31200000000000006</v>
      </c>
      <c r="I1494" s="1567"/>
      <c r="J1494" s="1543"/>
      <c r="K1494" s="1543"/>
      <c r="L1494" s="1543"/>
      <c r="M1494" s="1543"/>
      <c r="N1494" s="1566"/>
    </row>
    <row r="1495" spans="1:14">
      <c r="A1495" s="1523"/>
      <c r="B1495" s="406" t="s">
        <v>2680</v>
      </c>
      <c r="C1495" s="341"/>
      <c r="D1495" s="341">
        <v>5.6</v>
      </c>
      <c r="E1495" s="341">
        <v>0.5</v>
      </c>
      <c r="F1495" s="341">
        <v>0.2</v>
      </c>
      <c r="G1495" s="341">
        <v>1</v>
      </c>
      <c r="H1495" s="347">
        <f t="shared" si="35"/>
        <v>0.55999999999999994</v>
      </c>
      <c r="I1495" s="1567"/>
      <c r="J1495" s="1543"/>
      <c r="K1495" s="1543"/>
      <c r="L1495" s="1543"/>
      <c r="M1495" s="1543"/>
      <c r="N1495" s="1566"/>
    </row>
    <row r="1496" spans="1:14">
      <c r="A1496" s="1523"/>
      <c r="B1496" s="406" t="s">
        <v>2681</v>
      </c>
      <c r="C1496" s="341"/>
      <c r="D1496" s="341">
        <v>5.35</v>
      </c>
      <c r="E1496" s="341">
        <v>0.5</v>
      </c>
      <c r="F1496" s="341">
        <v>0.3</v>
      </c>
      <c r="G1496" s="341">
        <v>1</v>
      </c>
      <c r="H1496" s="347">
        <f t="shared" si="35"/>
        <v>0.80249999999999988</v>
      </c>
      <c r="I1496" s="1567"/>
      <c r="J1496" s="1543"/>
      <c r="K1496" s="1543"/>
      <c r="L1496" s="1543"/>
      <c r="M1496" s="1543"/>
      <c r="N1496" s="1566"/>
    </row>
    <row r="1497" spans="1:14">
      <c r="A1497" s="1523"/>
      <c r="B1497" s="406" t="s">
        <v>2682</v>
      </c>
      <c r="C1497" s="341"/>
      <c r="D1497" s="341">
        <v>17.28</v>
      </c>
      <c r="E1497" s="341">
        <v>0.5</v>
      </c>
      <c r="F1497" s="341">
        <v>0.2</v>
      </c>
      <c r="G1497" s="341">
        <v>1</v>
      </c>
      <c r="H1497" s="347">
        <f t="shared" si="35"/>
        <v>1.7280000000000002</v>
      </c>
      <c r="I1497" s="1567"/>
      <c r="J1497" s="1543"/>
      <c r="K1497" s="1543"/>
      <c r="L1497" s="1543"/>
      <c r="M1497" s="1543"/>
      <c r="N1497" s="1566"/>
    </row>
    <row r="1498" spans="1:14">
      <c r="A1498" s="1523"/>
      <c r="B1498" s="406" t="s">
        <v>2683</v>
      </c>
      <c r="C1498" s="341"/>
      <c r="D1498" s="341">
        <v>0.67</v>
      </c>
      <c r="E1498" s="341">
        <v>0.5</v>
      </c>
      <c r="F1498" s="341">
        <v>0.2</v>
      </c>
      <c r="G1498" s="341">
        <v>1</v>
      </c>
      <c r="H1498" s="347">
        <f t="shared" si="35"/>
        <v>6.7000000000000004E-2</v>
      </c>
      <c r="I1498" s="1567"/>
      <c r="J1498" s="1543"/>
      <c r="K1498" s="1543"/>
      <c r="L1498" s="1543"/>
      <c r="M1498" s="1543"/>
      <c r="N1498" s="1566"/>
    </row>
    <row r="1499" spans="1:14">
      <c r="A1499" s="1523"/>
      <c r="B1499" s="406" t="s">
        <v>2684</v>
      </c>
      <c r="C1499" s="341"/>
      <c r="D1499" s="341">
        <v>1.95</v>
      </c>
      <c r="E1499" s="341">
        <v>0.5</v>
      </c>
      <c r="F1499" s="341">
        <v>0.15</v>
      </c>
      <c r="G1499" s="341">
        <v>1</v>
      </c>
      <c r="H1499" s="347">
        <f t="shared" si="35"/>
        <v>0.14624999999999999</v>
      </c>
      <c r="I1499" s="1567"/>
      <c r="J1499" s="1543"/>
      <c r="K1499" s="1543"/>
      <c r="L1499" s="1543"/>
      <c r="M1499" s="1543"/>
      <c r="N1499" s="1566"/>
    </row>
    <row r="1500" spans="1:14">
      <c r="A1500" s="1523"/>
      <c r="B1500" s="406" t="s">
        <v>2685</v>
      </c>
      <c r="C1500" s="341"/>
      <c r="D1500" s="341">
        <v>1.95</v>
      </c>
      <c r="E1500" s="341">
        <v>0.5</v>
      </c>
      <c r="F1500" s="341">
        <v>0.15</v>
      </c>
      <c r="G1500" s="341">
        <v>1</v>
      </c>
      <c r="H1500" s="347">
        <f t="shared" si="35"/>
        <v>0.14624999999999999</v>
      </c>
      <c r="I1500" s="1567"/>
      <c r="J1500" s="1543"/>
      <c r="K1500" s="1543"/>
      <c r="L1500" s="1543"/>
      <c r="M1500" s="1543"/>
      <c r="N1500" s="1566"/>
    </row>
    <row r="1501" spans="1:14">
      <c r="A1501" s="1515"/>
      <c r="B1501" s="413" t="s">
        <v>3023</v>
      </c>
      <c r="C1501" s="348"/>
      <c r="D1501" s="348"/>
      <c r="E1501" s="348"/>
      <c r="F1501" s="348"/>
      <c r="G1501" s="348"/>
      <c r="H1501" s="349">
        <v>-1.99</v>
      </c>
      <c r="I1501" s="1567"/>
      <c r="J1501" s="1543"/>
      <c r="K1501" s="1543"/>
      <c r="L1501" s="1543"/>
      <c r="M1501" s="1543"/>
      <c r="N1501" s="1566"/>
    </row>
    <row r="1502" spans="1:14">
      <c r="A1502" s="1523" t="s">
        <v>2749</v>
      </c>
      <c r="B1502" s="404" t="s">
        <v>2663</v>
      </c>
      <c r="C1502" s="350"/>
      <c r="D1502" s="350">
        <v>13.28</v>
      </c>
      <c r="E1502" s="350">
        <v>0.5</v>
      </c>
      <c r="F1502" s="350">
        <v>0.15</v>
      </c>
      <c r="G1502" s="350">
        <v>1</v>
      </c>
      <c r="H1502" s="371">
        <f>D1502*E1502*F1502*G1502</f>
        <v>0.99599999999999989</v>
      </c>
      <c r="I1502" s="1567"/>
      <c r="J1502" s="1543"/>
      <c r="K1502" s="1543"/>
      <c r="L1502" s="1543"/>
      <c r="M1502" s="1543"/>
      <c r="N1502" s="1566"/>
    </row>
    <row r="1503" spans="1:14">
      <c r="A1503" s="1523"/>
      <c r="B1503" s="406" t="s">
        <v>2880</v>
      </c>
      <c r="C1503" s="292"/>
      <c r="D1503" s="341"/>
      <c r="E1503" s="341"/>
      <c r="F1503" s="341"/>
      <c r="G1503" s="341"/>
      <c r="H1503" s="347">
        <v>9.17</v>
      </c>
      <c r="I1503" s="1567"/>
      <c r="J1503" s="1543"/>
      <c r="K1503" s="1543"/>
      <c r="L1503" s="1543"/>
      <c r="M1503" s="1543"/>
      <c r="N1503" s="1566"/>
    </row>
    <row r="1504" spans="1:14" s="468" customFormat="1">
      <c r="A1504" s="1514" t="s">
        <v>2997</v>
      </c>
      <c r="B1504" s="465"/>
      <c r="C1504" s="446"/>
      <c r="D1504" s="466"/>
      <c r="E1504" s="1328" t="s">
        <v>3022</v>
      </c>
      <c r="F1504" s="466"/>
      <c r="G1504" s="466"/>
      <c r="H1504" s="467"/>
      <c r="I1504" s="1567"/>
      <c r="J1504" s="1543"/>
      <c r="K1504" s="1543"/>
      <c r="L1504" s="1543"/>
      <c r="M1504" s="1543"/>
      <c r="N1504" s="1566"/>
    </row>
    <row r="1505" spans="1:14" s="468" customFormat="1">
      <c r="A1505" s="1523"/>
      <c r="B1505" s="469" t="s">
        <v>3003</v>
      </c>
      <c r="C1505" s="451"/>
      <c r="D1505" s="470">
        <f>D1360</f>
        <v>10.11</v>
      </c>
      <c r="E1505" s="1329">
        <v>0.3</v>
      </c>
      <c r="F1505" s="470"/>
      <c r="G1505" s="470">
        <v>1</v>
      </c>
      <c r="H1505" s="471">
        <f>D1505*E1505</f>
        <v>3.0329999999999999</v>
      </c>
      <c r="I1505" s="1567"/>
      <c r="J1505" s="1543"/>
      <c r="K1505" s="1543"/>
      <c r="L1505" s="1543"/>
      <c r="M1505" s="1543"/>
      <c r="N1505" s="1566"/>
    </row>
    <row r="1506" spans="1:14" s="468" customFormat="1">
      <c r="A1506" s="1515"/>
      <c r="B1506" s="472"/>
      <c r="C1506" s="455"/>
      <c r="D1506" s="470"/>
      <c r="E1506" s="1329"/>
      <c r="F1506" s="470"/>
      <c r="G1506" s="473"/>
      <c r="H1506" s="471"/>
      <c r="I1506" s="1567"/>
      <c r="J1506" s="1543"/>
      <c r="K1506" s="1543"/>
      <c r="L1506" s="1543"/>
      <c r="M1506" s="1543"/>
      <c r="N1506" s="1566"/>
    </row>
    <row r="1507" spans="1:14" s="468" customFormat="1">
      <c r="A1507" s="1514" t="s">
        <v>3158</v>
      </c>
      <c r="B1507" s="465"/>
      <c r="C1507" s="446"/>
      <c r="D1507" s="466"/>
      <c r="E1507" s="1328" t="s">
        <v>3022</v>
      </c>
      <c r="F1507" s="466"/>
      <c r="G1507" s="466"/>
      <c r="H1507" s="467"/>
      <c r="I1507" s="1567"/>
      <c r="J1507" s="1543"/>
      <c r="K1507" s="1543"/>
      <c r="L1507" s="1543"/>
      <c r="M1507" s="1543"/>
      <c r="N1507" s="1566"/>
    </row>
    <row r="1508" spans="1:14" s="468" customFormat="1">
      <c r="A1508" s="1523"/>
      <c r="B1508" s="472" t="s">
        <v>3004</v>
      </c>
      <c r="C1508" s="455"/>
      <c r="D1508" s="470">
        <f>D1370</f>
        <v>0</v>
      </c>
      <c r="E1508" s="1329">
        <v>0.3</v>
      </c>
      <c r="F1508" s="470"/>
      <c r="G1508" s="473">
        <v>1</v>
      </c>
      <c r="H1508" s="471">
        <v>2.48</v>
      </c>
      <c r="I1508" s="1567"/>
      <c r="J1508" s="1543"/>
      <c r="K1508" s="1543"/>
      <c r="L1508" s="1543"/>
      <c r="M1508" s="1543"/>
      <c r="N1508" s="1566"/>
    </row>
    <row r="1509" spans="1:14" s="468" customFormat="1">
      <c r="A1509" s="1090" t="s">
        <v>3745</v>
      </c>
      <c r="B1509" s="472" t="s">
        <v>2914</v>
      </c>
      <c r="C1509" s="455"/>
      <c r="D1509" s="470"/>
      <c r="E1509" s="1329"/>
      <c r="F1509" s="470"/>
      <c r="G1509" s="473"/>
      <c r="H1509" s="471">
        <v>4.33</v>
      </c>
      <c r="I1509" s="1567"/>
      <c r="J1509" s="1543"/>
      <c r="K1509" s="1543"/>
      <c r="L1509" s="1543"/>
      <c r="M1509" s="1543"/>
      <c r="N1509" s="1566"/>
    </row>
    <row r="1510" spans="1:14" s="468" customFormat="1">
      <c r="A1510" s="1090"/>
      <c r="B1510" s="472" t="s">
        <v>3754</v>
      </c>
      <c r="C1510" s="455"/>
      <c r="D1510" s="470"/>
      <c r="E1510" s="1329"/>
      <c r="F1510" s="470"/>
      <c r="G1510" s="473"/>
      <c r="H1510" s="471">
        <v>0.34</v>
      </c>
      <c r="I1510" s="1567"/>
      <c r="J1510" s="1543"/>
      <c r="K1510" s="1543"/>
      <c r="L1510" s="1543"/>
      <c r="M1510" s="1543"/>
      <c r="N1510" s="1566"/>
    </row>
    <row r="1511" spans="1:14" s="468" customFormat="1">
      <c r="A1511" s="1138"/>
      <c r="B1511" s="472"/>
      <c r="C1511" s="455"/>
      <c r="D1511" s="470"/>
      <c r="E1511" s="1329"/>
      <c r="F1511" s="470"/>
      <c r="G1511" s="473"/>
      <c r="H1511" s="471"/>
      <c r="I1511" s="1567"/>
      <c r="J1511" s="1543"/>
      <c r="K1511" s="1543"/>
      <c r="L1511" s="1543"/>
      <c r="M1511" s="1543"/>
      <c r="N1511" s="1566"/>
    </row>
    <row r="1512" spans="1:14">
      <c r="A1512" s="1608" t="s">
        <v>2218</v>
      </c>
      <c r="B1512" s="1609"/>
      <c r="C1512" s="1609"/>
      <c r="D1512" s="1609"/>
      <c r="E1512" s="1609"/>
      <c r="F1512" s="1609"/>
      <c r="G1512" s="1610"/>
      <c r="H1512" s="271">
        <f>SUM(H1460:H1511)</f>
        <v>67.350000000000009</v>
      </c>
      <c r="I1512" s="1567"/>
      <c r="J1512" s="1543"/>
      <c r="K1512" s="1543"/>
      <c r="L1512" s="1543"/>
      <c r="M1512" s="1543"/>
      <c r="N1512" s="1566"/>
    </row>
    <row r="1513" spans="1:14">
      <c r="A1513" s="1519" t="s">
        <v>2219</v>
      </c>
      <c r="B1513" s="1517"/>
      <c r="C1513" s="1517"/>
      <c r="D1513" s="1517"/>
      <c r="E1513" s="1517"/>
      <c r="F1513" s="1517"/>
      <c r="G1513" s="1518"/>
      <c r="H1513" s="272">
        <f>SUM(H1460:H1508)</f>
        <v>62.680000000000007</v>
      </c>
      <c r="I1513" s="1543"/>
      <c r="J1513" s="1543"/>
      <c r="K1513" s="1543"/>
      <c r="L1513" s="1543"/>
      <c r="M1513" s="1543"/>
      <c r="N1513" s="1566"/>
    </row>
    <row r="1514" spans="1:14" ht="15.75" thickBot="1">
      <c r="A1514" s="1520" t="s">
        <v>2220</v>
      </c>
      <c r="B1514" s="1521"/>
      <c r="C1514" s="1521"/>
      <c r="D1514" s="1521"/>
      <c r="E1514" s="1521"/>
      <c r="F1514" s="1521"/>
      <c r="G1514" s="1522"/>
      <c r="H1514" s="216">
        <f>H1512-H1513</f>
        <v>4.6700000000000017</v>
      </c>
      <c r="I1514" s="1568"/>
      <c r="J1514" s="1568"/>
      <c r="K1514" s="1568"/>
      <c r="L1514" s="1568"/>
      <c r="M1514" s="1568"/>
      <c r="N1514" s="1569"/>
    </row>
    <row r="1515" spans="1:14" ht="15.75" thickBot="1">
      <c r="A1515" s="1099"/>
      <c r="B1515" s="344"/>
      <c r="C1515" s="343"/>
      <c r="D1515" s="345"/>
      <c r="E1515" s="1265"/>
      <c r="F1515" s="345"/>
      <c r="G1515" s="345"/>
      <c r="H1515" s="219"/>
      <c r="I1515" s="408"/>
      <c r="J1515" s="408"/>
      <c r="K1515" s="408"/>
      <c r="L1515" s="408"/>
      <c r="M1515" s="408"/>
      <c r="N1515" s="409"/>
    </row>
    <row r="1516" spans="1:14" ht="30" customHeight="1">
      <c r="A1516" s="1085" t="s">
        <v>2599</v>
      </c>
      <c r="B1516" s="1494" t="s">
        <v>721</v>
      </c>
      <c r="C1516" s="1495"/>
      <c r="D1516" s="1495"/>
      <c r="E1516" s="1495"/>
      <c r="F1516" s="1495"/>
      <c r="G1516" s="1495"/>
      <c r="H1516" s="1495"/>
      <c r="I1516" s="1495"/>
      <c r="J1516" s="1496"/>
      <c r="K1516" s="196" t="s">
        <v>2182</v>
      </c>
      <c r="L1516" s="1497">
        <v>8.76</v>
      </c>
      <c r="M1516" s="1498"/>
      <c r="N1516" s="197">
        <f>L1516-H1566</f>
        <v>0</v>
      </c>
    </row>
    <row r="1517" spans="1:14">
      <c r="A1517" s="1499"/>
      <c r="B1517" s="1500"/>
      <c r="C1517" s="366"/>
      <c r="D1517" s="367" t="s">
        <v>2183</v>
      </c>
      <c r="E1517" s="1320" t="s">
        <v>2184</v>
      </c>
      <c r="F1517" s="367" t="s">
        <v>2185</v>
      </c>
      <c r="G1517" s="367" t="s">
        <v>2186</v>
      </c>
      <c r="H1517" s="1503" t="s">
        <v>476</v>
      </c>
      <c r="I1517" s="1543"/>
      <c r="J1517" s="1543"/>
      <c r="K1517" s="1543"/>
      <c r="L1517" s="1543"/>
      <c r="M1517" s="1543"/>
      <c r="N1517" s="1566"/>
    </row>
    <row r="1518" spans="1:14">
      <c r="A1518" s="1501"/>
      <c r="B1518" s="1502"/>
      <c r="C1518" s="368"/>
      <c r="D1518" s="369" t="s">
        <v>2187</v>
      </c>
      <c r="E1518" s="529" t="s">
        <v>2596</v>
      </c>
      <c r="F1518" s="369" t="s">
        <v>2189</v>
      </c>
      <c r="G1518" s="370" t="s">
        <v>2190</v>
      </c>
      <c r="H1518" s="1504"/>
      <c r="I1518" s="1543"/>
      <c r="J1518" s="1543"/>
      <c r="K1518" s="1543"/>
      <c r="L1518" s="1543"/>
      <c r="M1518" s="1543"/>
      <c r="N1518" s="1566"/>
    </row>
    <row r="1519" spans="1:14">
      <c r="A1519" s="1535" t="s">
        <v>2476</v>
      </c>
      <c r="B1519" s="442" t="s">
        <v>2545</v>
      </c>
      <c r="C1519" s="430"/>
      <c r="D1519" s="287"/>
      <c r="E1519" s="531"/>
      <c r="F1519" s="287"/>
      <c r="G1519" s="431"/>
      <c r="H1519" s="371"/>
      <c r="I1519" s="1567"/>
      <c r="J1519" s="1543"/>
      <c r="K1519" s="1543"/>
      <c r="L1519" s="1543"/>
      <c r="M1519" s="1543"/>
      <c r="N1519" s="1566"/>
    </row>
    <row r="1520" spans="1:14">
      <c r="A1520" s="1529"/>
      <c r="B1520" s="406" t="s">
        <v>2546</v>
      </c>
      <c r="C1520" s="443"/>
      <c r="D1520" s="292"/>
      <c r="E1520" s="901"/>
      <c r="F1520" s="292"/>
      <c r="G1520" s="361"/>
      <c r="H1520" s="347"/>
      <c r="I1520" s="1567"/>
      <c r="J1520" s="1543"/>
      <c r="K1520" s="1543"/>
      <c r="L1520" s="1543"/>
      <c r="M1520" s="1543"/>
      <c r="N1520" s="1566"/>
    </row>
    <row r="1521" spans="1:14">
      <c r="A1521" s="1529"/>
      <c r="B1521" s="406" t="s">
        <v>2547</v>
      </c>
      <c r="C1521" s="341"/>
      <c r="D1521" s="341"/>
      <c r="E1521" s="341"/>
      <c r="F1521" s="341"/>
      <c r="G1521" s="341"/>
      <c r="H1521" s="347"/>
      <c r="I1521" s="1567"/>
      <c r="J1521" s="1543"/>
      <c r="K1521" s="1543"/>
      <c r="L1521" s="1543"/>
      <c r="M1521" s="1543"/>
      <c r="N1521" s="1566"/>
    </row>
    <row r="1522" spans="1:14">
      <c r="A1522" s="1529"/>
      <c r="B1522" s="406" t="s">
        <v>2584</v>
      </c>
      <c r="C1522" s="341"/>
      <c r="D1522" s="341">
        <v>3.87</v>
      </c>
      <c r="E1522" s="341">
        <v>0.6</v>
      </c>
      <c r="F1522" s="341">
        <v>0.15</v>
      </c>
      <c r="G1522" s="341">
        <v>2</v>
      </c>
      <c r="H1522" s="347">
        <f>D1522*F1522*G1522*0.05</f>
        <v>5.8050000000000004E-2</v>
      </c>
      <c r="I1522" s="1567"/>
      <c r="J1522" s="1543"/>
      <c r="K1522" s="1543"/>
      <c r="L1522" s="1543"/>
      <c r="M1522" s="1543"/>
      <c r="N1522" s="1566"/>
    </row>
    <row r="1523" spans="1:14">
      <c r="A1523" s="1529"/>
      <c r="B1523" s="406" t="s">
        <v>2576</v>
      </c>
      <c r="C1523" s="341"/>
      <c r="D1523" s="341">
        <v>7.84</v>
      </c>
      <c r="E1523" s="341">
        <v>0.6</v>
      </c>
      <c r="F1523" s="341">
        <v>0.15</v>
      </c>
      <c r="G1523" s="341">
        <v>1</v>
      </c>
      <c r="H1523" s="347">
        <f>D1523*F1523*G1523*0.05</f>
        <v>5.8799999999999998E-2</v>
      </c>
      <c r="I1523" s="1567"/>
      <c r="J1523" s="1543"/>
      <c r="K1523" s="1543"/>
      <c r="L1523" s="1543"/>
      <c r="M1523" s="1543"/>
      <c r="N1523" s="1566"/>
    </row>
    <row r="1524" spans="1:14">
      <c r="A1524" s="1529"/>
      <c r="B1524" s="406" t="s">
        <v>2577</v>
      </c>
      <c r="C1524" s="341"/>
      <c r="D1524" s="341">
        <v>3.34</v>
      </c>
      <c r="E1524" s="341">
        <v>0.6</v>
      </c>
      <c r="F1524" s="341">
        <v>0.15</v>
      </c>
      <c r="G1524" s="341">
        <v>1</v>
      </c>
      <c r="H1524" s="347">
        <f>D1524*F1524*G1524*0.05</f>
        <v>2.5050000000000003E-2</v>
      </c>
      <c r="I1524" s="1567"/>
      <c r="J1524" s="1543"/>
      <c r="K1524" s="1543"/>
      <c r="L1524" s="1543"/>
      <c r="M1524" s="1543"/>
      <c r="N1524" s="1566"/>
    </row>
    <row r="1525" spans="1:14">
      <c r="A1525" s="1529"/>
      <c r="B1525" s="406" t="s">
        <v>2578</v>
      </c>
      <c r="C1525" s="341"/>
      <c r="D1525" s="341">
        <v>1.73</v>
      </c>
      <c r="E1525" s="341">
        <v>0.6</v>
      </c>
      <c r="F1525" s="341">
        <v>0.15</v>
      </c>
      <c r="G1525" s="341">
        <v>1</v>
      </c>
      <c r="H1525" s="347">
        <f>D1525*F1525*G1525*0.05</f>
        <v>1.2975E-2</v>
      </c>
      <c r="I1525" s="1567"/>
      <c r="J1525" s="1543"/>
      <c r="K1525" s="1543"/>
      <c r="L1525" s="1543"/>
      <c r="M1525" s="1543"/>
      <c r="N1525" s="1566"/>
    </row>
    <row r="1526" spans="1:14">
      <c r="A1526" s="1529"/>
      <c r="B1526" s="406" t="s">
        <v>2579</v>
      </c>
      <c r="C1526" s="341"/>
      <c r="D1526" s="341">
        <v>1.5</v>
      </c>
      <c r="E1526" s="341">
        <v>0.6</v>
      </c>
      <c r="F1526" s="341">
        <v>0.15</v>
      </c>
      <c r="G1526" s="341">
        <v>1</v>
      </c>
      <c r="H1526" s="347">
        <f>D1526*F1526*G1526*0.05</f>
        <v>1.125E-2</v>
      </c>
      <c r="I1526" s="1567"/>
      <c r="J1526" s="1543"/>
      <c r="K1526" s="1543"/>
      <c r="L1526" s="1543"/>
      <c r="M1526" s="1543"/>
      <c r="N1526" s="1566"/>
    </row>
    <row r="1527" spans="1:14">
      <c r="A1527" s="1529"/>
      <c r="B1527" s="406"/>
      <c r="C1527" s="341"/>
      <c r="D1527" s="341"/>
      <c r="E1527" s="341"/>
      <c r="F1527" s="341"/>
      <c r="G1527" s="341"/>
      <c r="H1527" s="347"/>
      <c r="I1527" s="1567"/>
      <c r="J1527" s="1543"/>
      <c r="K1527" s="1543"/>
      <c r="L1527" s="1543"/>
      <c r="M1527" s="1543"/>
      <c r="N1527" s="1566"/>
    </row>
    <row r="1528" spans="1:14">
      <c r="A1528" s="1529"/>
      <c r="B1528" s="406" t="s">
        <v>2550</v>
      </c>
      <c r="C1528" s="341"/>
      <c r="D1528" s="341"/>
      <c r="E1528" s="341"/>
      <c r="F1528" s="341"/>
      <c r="G1528" s="341"/>
      <c r="H1528" s="347"/>
      <c r="I1528" s="1567"/>
      <c r="J1528" s="1543"/>
      <c r="K1528" s="1543"/>
      <c r="L1528" s="1543"/>
      <c r="M1528" s="1543"/>
      <c r="N1528" s="1566"/>
    </row>
    <row r="1529" spans="1:14">
      <c r="A1529" s="1529"/>
      <c r="B1529" s="444" t="s">
        <v>2551</v>
      </c>
      <c r="C1529" s="341"/>
      <c r="D1529" s="341"/>
      <c r="E1529" s="341"/>
      <c r="F1529" s="341"/>
      <c r="G1529" s="341"/>
      <c r="H1529" s="347"/>
      <c r="I1529" s="1567"/>
      <c r="J1529" s="1543"/>
      <c r="K1529" s="1543"/>
      <c r="L1529" s="1543"/>
      <c r="M1529" s="1543"/>
      <c r="N1529" s="1566"/>
    </row>
    <row r="1530" spans="1:14" ht="24">
      <c r="A1530" s="1529"/>
      <c r="B1530" s="406" t="s">
        <v>2552</v>
      </c>
      <c r="C1530" s="341"/>
      <c r="D1530" s="341">
        <v>1</v>
      </c>
      <c r="E1530" s="341">
        <v>1</v>
      </c>
      <c r="F1530" s="341">
        <v>1</v>
      </c>
      <c r="G1530" s="341">
        <v>15</v>
      </c>
      <c r="H1530" s="347">
        <f>D1530*E1530*0.05*G1530</f>
        <v>0.75</v>
      </c>
      <c r="I1530" s="1567"/>
      <c r="J1530" s="1543"/>
      <c r="K1530" s="1543"/>
      <c r="L1530" s="1543"/>
      <c r="M1530" s="1543"/>
      <c r="N1530" s="1566"/>
    </row>
    <row r="1531" spans="1:14">
      <c r="A1531" s="1529"/>
      <c r="B1531" s="406" t="s">
        <v>2553</v>
      </c>
      <c r="C1531" s="341"/>
      <c r="D1531" s="341">
        <v>1.46</v>
      </c>
      <c r="E1531" s="341">
        <v>1</v>
      </c>
      <c r="F1531" s="341">
        <v>1</v>
      </c>
      <c r="G1531" s="341">
        <v>4</v>
      </c>
      <c r="H1531" s="347">
        <f>D1531*E1531*0.05*G1531</f>
        <v>0.29199999999999998</v>
      </c>
      <c r="I1531" s="1567"/>
      <c r="J1531" s="1543"/>
      <c r="K1531" s="1543"/>
      <c r="L1531" s="1543"/>
      <c r="M1531" s="1543"/>
      <c r="N1531" s="1566"/>
    </row>
    <row r="1532" spans="1:14">
      <c r="A1532" s="1529"/>
      <c r="B1532" s="406"/>
      <c r="C1532" s="341"/>
      <c r="D1532" s="341"/>
      <c r="E1532" s="341"/>
      <c r="F1532" s="341"/>
      <c r="G1532" s="341"/>
      <c r="H1532" s="347"/>
      <c r="I1532" s="1567"/>
      <c r="J1532" s="1543"/>
      <c r="K1532" s="1543"/>
      <c r="L1532" s="1543"/>
      <c r="M1532" s="1543"/>
      <c r="N1532" s="1566"/>
    </row>
    <row r="1533" spans="1:14">
      <c r="A1533" s="1529"/>
      <c r="B1533" s="406" t="s">
        <v>2597</v>
      </c>
      <c r="C1533" s="341"/>
      <c r="D1533" s="341"/>
      <c r="E1533" s="341"/>
      <c r="F1533" s="341"/>
      <c r="G1533" s="341"/>
      <c r="H1533" s="347"/>
      <c r="I1533" s="1567"/>
      <c r="J1533" s="1543"/>
      <c r="K1533" s="1543"/>
      <c r="L1533" s="1543"/>
      <c r="M1533" s="1543"/>
      <c r="N1533" s="1566"/>
    </row>
    <row r="1534" spans="1:14">
      <c r="A1534" s="1529"/>
      <c r="B1534" s="458" t="s">
        <v>2598</v>
      </c>
      <c r="C1534" s="341"/>
      <c r="D1534" s="341"/>
      <c r="E1534" s="341"/>
      <c r="F1534" s="341"/>
      <c r="G1534" s="341"/>
      <c r="H1534" s="347"/>
      <c r="I1534" s="1567"/>
      <c r="J1534" s="1543"/>
      <c r="K1534" s="1543"/>
      <c r="L1534" s="1543"/>
      <c r="M1534" s="1543"/>
      <c r="N1534" s="1566"/>
    </row>
    <row r="1535" spans="1:14">
      <c r="A1535" s="1529"/>
      <c r="B1535" s="406" t="s">
        <v>2591</v>
      </c>
      <c r="C1535" s="341">
        <v>105.6</v>
      </c>
      <c r="D1535" s="341"/>
      <c r="E1535" s="341"/>
      <c r="F1535" s="341"/>
      <c r="G1535" s="341"/>
      <c r="H1535" s="347">
        <f>C1535*0.05</f>
        <v>5.28</v>
      </c>
      <c r="I1535" s="1567"/>
      <c r="J1535" s="1543"/>
      <c r="K1535" s="1543"/>
      <c r="L1535" s="1543"/>
      <c r="M1535" s="1543"/>
      <c r="N1535" s="1566"/>
    </row>
    <row r="1536" spans="1:14">
      <c r="A1536" s="1710" t="s">
        <v>2662</v>
      </c>
      <c r="B1536" s="412"/>
      <c r="C1536" s="341"/>
      <c r="D1536" s="341"/>
      <c r="E1536" s="341"/>
      <c r="F1536" s="341"/>
      <c r="G1536" s="341"/>
      <c r="H1536" s="347"/>
      <c r="I1536" s="1567"/>
      <c r="J1536" s="1543"/>
      <c r="K1536" s="1543"/>
      <c r="L1536" s="1543"/>
      <c r="M1536" s="1543"/>
      <c r="N1536" s="1566"/>
    </row>
    <row r="1537" spans="1:14">
      <c r="A1537" s="1536"/>
      <c r="B1537" s="412"/>
      <c r="C1537" s="341"/>
      <c r="D1537" s="341"/>
      <c r="E1537" s="341"/>
      <c r="F1537" s="341"/>
      <c r="G1537" s="341"/>
      <c r="H1537" s="347"/>
      <c r="I1537" s="1567"/>
      <c r="J1537" s="1543"/>
      <c r="K1537" s="1543"/>
      <c r="L1537" s="1543"/>
      <c r="M1537" s="1543"/>
      <c r="N1537" s="1566"/>
    </row>
    <row r="1538" spans="1:14">
      <c r="A1538" s="1536"/>
      <c r="B1538" s="412" t="s">
        <v>2670</v>
      </c>
      <c r="C1538" s="341"/>
      <c r="D1538" s="341"/>
      <c r="E1538" s="341"/>
      <c r="F1538" s="341"/>
      <c r="G1538" s="341"/>
      <c r="H1538" s="347"/>
      <c r="I1538" s="1567"/>
      <c r="J1538" s="1543"/>
      <c r="K1538" s="1543"/>
      <c r="L1538" s="1543"/>
      <c r="M1538" s="1543"/>
      <c r="N1538" s="1566"/>
    </row>
    <row r="1539" spans="1:14">
      <c r="A1539" s="1536"/>
      <c r="B1539" s="474" t="s">
        <v>2822</v>
      </c>
      <c r="C1539" s="341"/>
      <c r="D1539" s="341"/>
      <c r="E1539" s="341"/>
      <c r="F1539" s="341"/>
      <c r="G1539" s="341"/>
      <c r="H1539" s="347"/>
      <c r="I1539" s="1567"/>
      <c r="J1539" s="1543"/>
      <c r="K1539" s="1543"/>
      <c r="L1539" s="1543"/>
      <c r="M1539" s="1543"/>
      <c r="N1539" s="1566"/>
    </row>
    <row r="1540" spans="1:14">
      <c r="A1540" s="1536"/>
      <c r="B1540" s="412" t="s">
        <v>2548</v>
      </c>
      <c r="C1540" s="341"/>
      <c r="D1540" s="341">
        <v>8.6999999999999993</v>
      </c>
      <c r="E1540" s="341">
        <v>0.2</v>
      </c>
      <c r="F1540" s="341">
        <v>0.05</v>
      </c>
      <c r="G1540" s="341">
        <v>1</v>
      </c>
      <c r="H1540" s="347">
        <f t="shared" ref="H1540:H1561" si="36">D1540*E1540*0.05*G1540</f>
        <v>8.7000000000000008E-2</v>
      </c>
      <c r="I1540" s="1567"/>
      <c r="J1540" s="1543"/>
      <c r="K1540" s="1543"/>
      <c r="L1540" s="1543"/>
      <c r="M1540" s="1543"/>
      <c r="N1540" s="1566"/>
    </row>
    <row r="1541" spans="1:14">
      <c r="A1541" s="1536"/>
      <c r="B1541" s="412" t="s">
        <v>2549</v>
      </c>
      <c r="C1541" s="341"/>
      <c r="D1541" s="341">
        <v>4.63</v>
      </c>
      <c r="E1541" s="341">
        <v>0.2</v>
      </c>
      <c r="F1541" s="341">
        <v>0.05</v>
      </c>
      <c r="G1541" s="341">
        <v>1</v>
      </c>
      <c r="H1541" s="347">
        <f t="shared" si="36"/>
        <v>4.6300000000000008E-2</v>
      </c>
      <c r="I1541" s="1567"/>
      <c r="J1541" s="1543"/>
      <c r="K1541" s="1543"/>
      <c r="L1541" s="1543"/>
      <c r="M1541" s="1543"/>
      <c r="N1541" s="1566"/>
    </row>
    <row r="1542" spans="1:14">
      <c r="A1542" s="1536"/>
      <c r="B1542" s="412" t="s">
        <v>2576</v>
      </c>
      <c r="C1542" s="341"/>
      <c r="D1542" s="341">
        <v>5.2</v>
      </c>
      <c r="E1542" s="341">
        <v>0.2</v>
      </c>
      <c r="F1542" s="341">
        <v>0.05</v>
      </c>
      <c r="G1542" s="341">
        <v>1</v>
      </c>
      <c r="H1542" s="347">
        <f t="shared" si="36"/>
        <v>5.2000000000000005E-2</v>
      </c>
      <c r="I1542" s="1567"/>
      <c r="J1542" s="1543"/>
      <c r="K1542" s="1543"/>
      <c r="L1542" s="1543"/>
      <c r="M1542" s="1543"/>
      <c r="N1542" s="1566"/>
    </row>
    <row r="1543" spans="1:14">
      <c r="A1543" s="1536"/>
      <c r="B1543" s="412" t="s">
        <v>2577</v>
      </c>
      <c r="C1543" s="341"/>
      <c r="D1543" s="341">
        <v>3.84</v>
      </c>
      <c r="E1543" s="341">
        <v>0.3</v>
      </c>
      <c r="F1543" s="341">
        <v>0.05</v>
      </c>
      <c r="G1543" s="341">
        <v>1</v>
      </c>
      <c r="H1543" s="347">
        <f t="shared" si="36"/>
        <v>5.7599999999999998E-2</v>
      </c>
      <c r="I1543" s="1567"/>
      <c r="J1543" s="1543"/>
      <c r="K1543" s="1543"/>
      <c r="L1543" s="1543"/>
      <c r="M1543" s="1543"/>
      <c r="N1543" s="1566"/>
    </row>
    <row r="1544" spans="1:14">
      <c r="A1544" s="1536"/>
      <c r="B1544" s="412" t="s">
        <v>2578</v>
      </c>
      <c r="C1544" s="341"/>
      <c r="D1544" s="341">
        <v>4.95</v>
      </c>
      <c r="E1544" s="341">
        <v>0.3</v>
      </c>
      <c r="F1544" s="341">
        <v>0.05</v>
      </c>
      <c r="G1544" s="341">
        <v>1</v>
      </c>
      <c r="H1544" s="347">
        <f t="shared" si="36"/>
        <v>7.425000000000001E-2</v>
      </c>
      <c r="I1544" s="1567"/>
      <c r="J1544" s="1543"/>
      <c r="K1544" s="1543"/>
      <c r="L1544" s="1543"/>
      <c r="M1544" s="1543"/>
      <c r="N1544" s="1566"/>
    </row>
    <row r="1545" spans="1:14">
      <c r="A1545" s="1536"/>
      <c r="B1545" s="412" t="s">
        <v>2579</v>
      </c>
      <c r="C1545" s="341"/>
      <c r="D1545" s="341">
        <v>8.84</v>
      </c>
      <c r="E1545" s="341">
        <v>0.2</v>
      </c>
      <c r="F1545" s="341">
        <v>0.05</v>
      </c>
      <c r="G1545" s="341">
        <v>1</v>
      </c>
      <c r="H1545" s="347">
        <f t="shared" si="36"/>
        <v>8.8400000000000006E-2</v>
      </c>
      <c r="I1545" s="1567"/>
      <c r="J1545" s="1543"/>
      <c r="K1545" s="1543"/>
      <c r="L1545" s="1543"/>
      <c r="M1545" s="1543"/>
      <c r="N1545" s="1566"/>
    </row>
    <row r="1546" spans="1:14">
      <c r="A1546" s="1536"/>
      <c r="B1546" s="412" t="s">
        <v>2671</v>
      </c>
      <c r="C1546" s="341"/>
      <c r="D1546" s="341">
        <v>8.77</v>
      </c>
      <c r="E1546" s="341">
        <v>0.2</v>
      </c>
      <c r="F1546" s="341">
        <v>0.05</v>
      </c>
      <c r="G1546" s="341">
        <v>1</v>
      </c>
      <c r="H1546" s="347">
        <f t="shared" si="36"/>
        <v>8.77E-2</v>
      </c>
      <c r="I1546" s="1567"/>
      <c r="J1546" s="1543"/>
      <c r="K1546" s="1543"/>
      <c r="L1546" s="1543"/>
      <c r="M1546" s="1543"/>
      <c r="N1546" s="1566"/>
    </row>
    <row r="1547" spans="1:14">
      <c r="A1547" s="1536"/>
      <c r="B1547" s="412" t="s">
        <v>2672</v>
      </c>
      <c r="C1547" s="341"/>
      <c r="D1547" s="341">
        <v>8.77</v>
      </c>
      <c r="E1547" s="341">
        <v>0.2</v>
      </c>
      <c r="F1547" s="341">
        <v>0.05</v>
      </c>
      <c r="G1547" s="341">
        <v>1</v>
      </c>
      <c r="H1547" s="347">
        <f t="shared" si="36"/>
        <v>8.77E-2</v>
      </c>
      <c r="I1547" s="1567"/>
      <c r="J1547" s="1543"/>
      <c r="K1547" s="1543"/>
      <c r="L1547" s="1543"/>
      <c r="M1547" s="1543"/>
      <c r="N1547" s="1566"/>
    </row>
    <row r="1548" spans="1:14">
      <c r="A1548" s="1536"/>
      <c r="B1548" s="412" t="s">
        <v>2673</v>
      </c>
      <c r="C1548" s="341"/>
      <c r="D1548" s="341">
        <v>4.7</v>
      </c>
      <c r="E1548" s="341">
        <v>0.2</v>
      </c>
      <c r="F1548" s="341">
        <v>0.05</v>
      </c>
      <c r="G1548" s="341">
        <v>1</v>
      </c>
      <c r="H1548" s="347">
        <f t="shared" si="36"/>
        <v>4.7000000000000007E-2</v>
      </c>
      <c r="I1548" s="1567"/>
      <c r="J1548" s="1543"/>
      <c r="K1548" s="1543"/>
      <c r="L1548" s="1543"/>
      <c r="M1548" s="1543"/>
      <c r="N1548" s="1566"/>
    </row>
    <row r="1549" spans="1:14">
      <c r="A1549" s="1536"/>
      <c r="B1549" s="412" t="s">
        <v>2674</v>
      </c>
      <c r="C1549" s="341"/>
      <c r="D1549" s="341">
        <v>4.7</v>
      </c>
      <c r="E1549" s="341">
        <v>0.2</v>
      </c>
      <c r="F1549" s="341">
        <v>0.05</v>
      </c>
      <c r="G1549" s="341">
        <v>1</v>
      </c>
      <c r="H1549" s="347">
        <f t="shared" si="36"/>
        <v>4.7000000000000007E-2</v>
      </c>
      <c r="I1549" s="1567"/>
      <c r="J1549" s="1543"/>
      <c r="K1549" s="1543"/>
      <c r="L1549" s="1543"/>
      <c r="M1549" s="1543"/>
      <c r="N1549" s="1566"/>
    </row>
    <row r="1550" spans="1:14">
      <c r="A1550" s="1536"/>
      <c r="B1550" s="412" t="s">
        <v>2675</v>
      </c>
      <c r="C1550" s="341"/>
      <c r="D1550" s="341">
        <v>4.7</v>
      </c>
      <c r="E1550" s="341">
        <v>0.2</v>
      </c>
      <c r="F1550" s="341">
        <v>0.05</v>
      </c>
      <c r="G1550" s="341">
        <v>1</v>
      </c>
      <c r="H1550" s="347">
        <f t="shared" si="36"/>
        <v>4.7000000000000007E-2</v>
      </c>
      <c r="I1550" s="1567"/>
      <c r="J1550" s="1543"/>
      <c r="K1550" s="1543"/>
      <c r="L1550" s="1543"/>
      <c r="M1550" s="1543"/>
      <c r="N1550" s="1566"/>
    </row>
    <row r="1551" spans="1:14">
      <c r="A1551" s="1536"/>
      <c r="B1551" s="412" t="s">
        <v>2676</v>
      </c>
      <c r="C1551" s="341"/>
      <c r="D1551" s="341">
        <v>16.02</v>
      </c>
      <c r="E1551" s="341">
        <v>0.2</v>
      </c>
      <c r="F1551" s="341">
        <v>0.05</v>
      </c>
      <c r="G1551" s="341">
        <v>1</v>
      </c>
      <c r="H1551" s="347">
        <f t="shared" si="36"/>
        <v>0.16020000000000001</v>
      </c>
      <c r="I1551" s="1567"/>
      <c r="J1551" s="1543"/>
      <c r="K1551" s="1543"/>
      <c r="L1551" s="1543"/>
      <c r="M1551" s="1543"/>
      <c r="N1551" s="1566"/>
    </row>
    <row r="1552" spans="1:14">
      <c r="A1552" s="1536"/>
      <c r="B1552" s="412" t="s">
        <v>2677</v>
      </c>
      <c r="C1552" s="341"/>
      <c r="D1552" s="341">
        <v>3.12</v>
      </c>
      <c r="E1552" s="341">
        <v>0.2</v>
      </c>
      <c r="F1552" s="341">
        <v>0.05</v>
      </c>
      <c r="G1552" s="341">
        <v>1</v>
      </c>
      <c r="H1552" s="347">
        <f t="shared" si="36"/>
        <v>3.1200000000000006E-2</v>
      </c>
      <c r="I1552" s="1567"/>
      <c r="J1552" s="1543"/>
      <c r="K1552" s="1543"/>
      <c r="L1552" s="1543"/>
      <c r="M1552" s="1543"/>
      <c r="N1552" s="1566"/>
    </row>
    <row r="1553" spans="1:16">
      <c r="A1553" s="1536"/>
      <c r="B1553" s="412" t="s">
        <v>2678</v>
      </c>
      <c r="C1553" s="341"/>
      <c r="D1553" s="341">
        <v>5.9</v>
      </c>
      <c r="E1553" s="341">
        <v>0.2</v>
      </c>
      <c r="F1553" s="341">
        <v>0.05</v>
      </c>
      <c r="G1553" s="341">
        <v>1</v>
      </c>
      <c r="H1553" s="347">
        <f t="shared" si="36"/>
        <v>5.9000000000000011E-2</v>
      </c>
      <c r="I1553" s="1567"/>
      <c r="J1553" s="1543"/>
      <c r="K1553" s="1543"/>
      <c r="L1553" s="1543"/>
      <c r="M1553" s="1543"/>
      <c r="N1553" s="1566"/>
    </row>
    <row r="1554" spans="1:16">
      <c r="A1554" s="1536"/>
      <c r="B1554" s="412" t="s">
        <v>2679</v>
      </c>
      <c r="C1554" s="341"/>
      <c r="D1554" s="341">
        <v>3.12</v>
      </c>
      <c r="E1554" s="341">
        <v>0.2</v>
      </c>
      <c r="F1554" s="341">
        <v>0.05</v>
      </c>
      <c r="G1554" s="341">
        <v>1</v>
      </c>
      <c r="H1554" s="347">
        <f t="shared" si="36"/>
        <v>3.1200000000000006E-2</v>
      </c>
      <c r="I1554" s="1567"/>
      <c r="J1554" s="1543"/>
      <c r="K1554" s="1543"/>
      <c r="L1554" s="1543"/>
      <c r="M1554" s="1543"/>
      <c r="N1554" s="1566"/>
    </row>
    <row r="1555" spans="1:16">
      <c r="A1555" s="1536"/>
      <c r="B1555" s="412" t="s">
        <v>2680</v>
      </c>
      <c r="C1555" s="341"/>
      <c r="D1555" s="341">
        <v>5.6</v>
      </c>
      <c r="E1555" s="341">
        <v>0.2</v>
      </c>
      <c r="F1555" s="341">
        <v>0.05</v>
      </c>
      <c r="G1555" s="341">
        <v>1</v>
      </c>
      <c r="H1555" s="347">
        <f t="shared" si="36"/>
        <v>5.5999999999999994E-2</v>
      </c>
      <c r="I1555" s="1567"/>
      <c r="J1555" s="1543"/>
      <c r="K1555" s="1543"/>
      <c r="L1555" s="1543"/>
      <c r="M1555" s="1543"/>
      <c r="N1555" s="1566"/>
    </row>
    <row r="1556" spans="1:16">
      <c r="A1556" s="1536"/>
      <c r="B1556" s="412" t="s">
        <v>2681</v>
      </c>
      <c r="C1556" s="341"/>
      <c r="D1556" s="341">
        <v>5.35</v>
      </c>
      <c r="E1556" s="341">
        <v>0.3</v>
      </c>
      <c r="F1556" s="341">
        <v>0.05</v>
      </c>
      <c r="G1556" s="341">
        <v>1</v>
      </c>
      <c r="H1556" s="347">
        <f t="shared" si="36"/>
        <v>8.0249999999999988E-2</v>
      </c>
      <c r="I1556" s="1567"/>
      <c r="J1556" s="1543"/>
      <c r="K1556" s="1543"/>
      <c r="L1556" s="1543"/>
      <c r="M1556" s="1543"/>
      <c r="N1556" s="1566"/>
    </row>
    <row r="1557" spans="1:16">
      <c r="A1557" s="1536"/>
      <c r="B1557" s="412" t="s">
        <v>2682</v>
      </c>
      <c r="C1557" s="341"/>
      <c r="D1557" s="341">
        <v>17.28</v>
      </c>
      <c r="E1557" s="341">
        <v>0.2</v>
      </c>
      <c r="F1557" s="341">
        <v>0.05</v>
      </c>
      <c r="G1557" s="341">
        <v>1</v>
      </c>
      <c r="H1557" s="347">
        <f t="shared" si="36"/>
        <v>0.17280000000000004</v>
      </c>
      <c r="I1557" s="1567"/>
      <c r="J1557" s="1543"/>
      <c r="K1557" s="1543"/>
      <c r="L1557" s="1543"/>
      <c r="M1557" s="1543"/>
      <c r="N1557" s="1566"/>
    </row>
    <row r="1558" spans="1:16">
      <c r="A1558" s="1536"/>
      <c r="B1558" s="412" t="s">
        <v>2683</v>
      </c>
      <c r="C1558" s="341"/>
      <c r="D1558" s="341">
        <v>0.67</v>
      </c>
      <c r="E1558" s="341">
        <v>0.2</v>
      </c>
      <c r="F1558" s="341">
        <v>0.05</v>
      </c>
      <c r="G1558" s="341">
        <v>1</v>
      </c>
      <c r="H1558" s="347">
        <f t="shared" si="36"/>
        <v>6.7000000000000011E-3</v>
      </c>
      <c r="I1558" s="1567"/>
      <c r="J1558" s="1543"/>
      <c r="K1558" s="1543"/>
      <c r="L1558" s="1543"/>
      <c r="M1558" s="1543"/>
      <c r="N1558" s="1566"/>
    </row>
    <row r="1559" spans="1:16">
      <c r="A1559" s="1536"/>
      <c r="B1559" s="412" t="s">
        <v>2684</v>
      </c>
      <c r="C1559" s="341"/>
      <c r="D1559" s="341">
        <v>1.95</v>
      </c>
      <c r="E1559" s="341">
        <v>0.15</v>
      </c>
      <c r="F1559" s="341">
        <v>0.05</v>
      </c>
      <c r="G1559" s="341">
        <v>1</v>
      </c>
      <c r="H1559" s="347">
        <f t="shared" si="36"/>
        <v>1.4624999999999999E-2</v>
      </c>
      <c r="I1559" s="1567"/>
      <c r="J1559" s="1543"/>
      <c r="K1559" s="1543"/>
      <c r="L1559" s="1543"/>
      <c r="M1559" s="1543"/>
      <c r="N1559" s="1566"/>
    </row>
    <row r="1560" spans="1:16">
      <c r="A1560" s="1536"/>
      <c r="B1560" s="412" t="s">
        <v>2685</v>
      </c>
      <c r="C1560" s="341"/>
      <c r="D1560" s="341">
        <v>1.95</v>
      </c>
      <c r="E1560" s="341">
        <v>0.15</v>
      </c>
      <c r="F1560" s="341">
        <v>0.05</v>
      </c>
      <c r="G1560" s="341">
        <v>1</v>
      </c>
      <c r="H1560" s="347">
        <f t="shared" si="36"/>
        <v>1.4624999999999999E-2</v>
      </c>
      <c r="I1560" s="1567"/>
      <c r="J1560" s="1543"/>
      <c r="K1560" s="1543"/>
      <c r="L1560" s="1543"/>
      <c r="M1560" s="1543"/>
      <c r="N1560" s="1566"/>
    </row>
    <row r="1561" spans="1:16">
      <c r="A1561" s="1536"/>
      <c r="B1561" s="412" t="s">
        <v>2663</v>
      </c>
      <c r="C1561" s="341"/>
      <c r="D1561" s="341">
        <v>13.28</v>
      </c>
      <c r="E1561" s="341">
        <v>0.15</v>
      </c>
      <c r="F1561" s="341">
        <v>0.05</v>
      </c>
      <c r="G1561" s="341">
        <v>1</v>
      </c>
      <c r="H1561" s="347">
        <f t="shared" si="36"/>
        <v>9.9599999999999994E-2</v>
      </c>
      <c r="I1561" s="1567"/>
      <c r="J1561" s="1543"/>
      <c r="K1561" s="1543"/>
      <c r="L1561" s="1543"/>
      <c r="M1561" s="1543"/>
      <c r="N1561" s="1566"/>
    </row>
    <row r="1562" spans="1:16">
      <c r="A1562" s="1537"/>
      <c r="B1562" s="412"/>
      <c r="C1562" s="341"/>
      <c r="D1562" s="341"/>
      <c r="E1562" s="341"/>
      <c r="F1562" s="341"/>
      <c r="G1562" s="341"/>
      <c r="H1562" s="347"/>
      <c r="I1562" s="1567"/>
      <c r="J1562" s="1543"/>
      <c r="K1562" s="1543"/>
      <c r="L1562" s="1543"/>
      <c r="M1562" s="1543"/>
      <c r="N1562" s="1566"/>
      <c r="P1562" s="475"/>
    </row>
    <row r="1563" spans="1:16">
      <c r="A1563" s="1529" t="s">
        <v>2997</v>
      </c>
      <c r="B1563" s="412"/>
      <c r="C1563" s="341"/>
      <c r="D1563" s="341"/>
      <c r="E1563" s="341"/>
      <c r="F1563" s="341"/>
      <c r="G1563" s="341"/>
      <c r="H1563" s="347"/>
      <c r="I1563" s="1567"/>
      <c r="J1563" s="1543"/>
      <c r="K1563" s="1543"/>
      <c r="L1563" s="1543"/>
      <c r="M1563" s="1543"/>
      <c r="N1563" s="1566"/>
    </row>
    <row r="1564" spans="1:16">
      <c r="A1564" s="1529"/>
      <c r="B1564" s="469" t="s">
        <v>3003</v>
      </c>
      <c r="C1564" s="341"/>
      <c r="D1564" s="470">
        <f>D1505</f>
        <v>10.11</v>
      </c>
      <c r="E1564" s="341">
        <v>0.05</v>
      </c>
      <c r="F1564" s="341">
        <v>0.7</v>
      </c>
      <c r="G1564" s="341"/>
      <c r="H1564" s="347">
        <v>0.35</v>
      </c>
      <c r="I1564" s="1567"/>
      <c r="J1564" s="1543"/>
      <c r="K1564" s="1543"/>
      <c r="L1564" s="1543"/>
      <c r="M1564" s="1543"/>
      <c r="N1564" s="1566"/>
    </row>
    <row r="1565" spans="1:16">
      <c r="A1565" s="1545"/>
      <c r="B1565" s="472" t="s">
        <v>3026</v>
      </c>
      <c r="C1565" s="341"/>
      <c r="D1565" s="470">
        <v>14.35</v>
      </c>
      <c r="E1565" s="341">
        <v>0.05</v>
      </c>
      <c r="F1565" s="341">
        <v>0.7</v>
      </c>
      <c r="G1565" s="341"/>
      <c r="H1565" s="347">
        <f>D1565*E1565*F1565</f>
        <v>0.50224999999999997</v>
      </c>
      <c r="I1565" s="1567"/>
      <c r="J1565" s="1543"/>
      <c r="K1565" s="1543"/>
      <c r="L1565" s="1543"/>
      <c r="M1565" s="1543"/>
      <c r="N1565" s="1566"/>
    </row>
    <row r="1566" spans="1:16">
      <c r="A1566" s="1577" t="s">
        <v>2218</v>
      </c>
      <c r="B1566" s="1542"/>
      <c r="C1566" s="1542"/>
      <c r="D1566" s="1542"/>
      <c r="E1566" s="1542"/>
      <c r="F1566" s="1542"/>
      <c r="G1566" s="1542"/>
      <c r="H1566" s="271">
        <v>8.76</v>
      </c>
      <c r="I1566" s="1567"/>
      <c r="J1566" s="1543"/>
      <c r="K1566" s="1543"/>
      <c r="L1566" s="1543"/>
      <c r="M1566" s="1543"/>
      <c r="N1566" s="1566"/>
    </row>
    <row r="1567" spans="1:16">
      <c r="A1567" s="1519" t="s">
        <v>2219</v>
      </c>
      <c r="B1567" s="1517"/>
      <c r="C1567" s="1517"/>
      <c r="D1567" s="1551"/>
      <c r="E1567" s="1551"/>
      <c r="F1567" s="1551"/>
      <c r="G1567" s="1552"/>
      <c r="H1567" s="272">
        <f>SUM(H1522:H1561)</f>
        <v>7.9362749999999984</v>
      </c>
      <c r="I1567" s="1543"/>
      <c r="J1567" s="1543"/>
      <c r="K1567" s="1543"/>
      <c r="L1567" s="1543"/>
      <c r="M1567" s="1543"/>
      <c r="N1567" s="1566"/>
    </row>
    <row r="1568" spans="1:16" ht="15.75" thickBot="1">
      <c r="A1568" s="1520" t="s">
        <v>2220</v>
      </c>
      <c r="B1568" s="1521"/>
      <c r="C1568" s="1521"/>
      <c r="D1568" s="1521"/>
      <c r="E1568" s="1521"/>
      <c r="F1568" s="1521"/>
      <c r="G1568" s="1522"/>
      <c r="H1568" s="216">
        <v>0.85555000000000003</v>
      </c>
      <c r="I1568" s="1568"/>
      <c r="J1568" s="1568"/>
      <c r="K1568" s="1568"/>
      <c r="L1568" s="1568"/>
      <c r="M1568" s="1568"/>
      <c r="N1568" s="1569"/>
    </row>
    <row r="1569" spans="1:14" ht="15" customHeight="1" thickBot="1">
      <c r="A1569" s="1635"/>
      <c r="B1569" s="1636"/>
      <c r="C1569" s="1636"/>
      <c r="D1569" s="1636"/>
      <c r="E1569" s="1636"/>
      <c r="F1569" s="1636"/>
      <c r="G1569" s="1636"/>
      <c r="H1569" s="1636"/>
      <c r="I1569" s="1636"/>
      <c r="J1569" s="1636"/>
      <c r="K1569" s="1636"/>
      <c r="L1569" s="1636"/>
      <c r="M1569" s="1636"/>
      <c r="N1569" s="1637"/>
    </row>
    <row r="1570" spans="1:14" ht="14.45" customHeight="1">
      <c r="A1570" s="1085" t="s">
        <v>2821</v>
      </c>
      <c r="B1570" s="1494" t="s">
        <v>724</v>
      </c>
      <c r="C1570" s="1495"/>
      <c r="D1570" s="1495"/>
      <c r="E1570" s="1495"/>
      <c r="F1570" s="1495"/>
      <c r="G1570" s="1495"/>
      <c r="H1570" s="1495"/>
      <c r="I1570" s="1495"/>
      <c r="J1570" s="1496"/>
      <c r="K1570" s="196" t="s">
        <v>2329</v>
      </c>
      <c r="L1570" s="1497">
        <v>162.86000000000001</v>
      </c>
      <c r="M1570" s="1498"/>
      <c r="N1570" s="197">
        <f>L1570-H1587</f>
        <v>0</v>
      </c>
    </row>
    <row r="1571" spans="1:14">
      <c r="A1571" s="1499"/>
      <c r="B1571" s="1500"/>
      <c r="C1571" s="352"/>
      <c r="D1571" s="340" t="s">
        <v>2183</v>
      </c>
      <c r="E1571" s="839" t="s">
        <v>2184</v>
      </c>
      <c r="F1571" s="340" t="s">
        <v>2185</v>
      </c>
      <c r="G1571" s="340" t="s">
        <v>2186</v>
      </c>
      <c r="H1571" s="1778" t="s">
        <v>476</v>
      </c>
      <c r="I1571" s="1543"/>
      <c r="J1571" s="1543"/>
      <c r="K1571" s="1543"/>
      <c r="L1571" s="1543"/>
      <c r="M1571" s="1543"/>
      <c r="N1571" s="1566"/>
    </row>
    <row r="1572" spans="1:14">
      <c r="A1572" s="1776"/>
      <c r="B1572" s="1777"/>
      <c r="C1572" s="476" t="s">
        <v>2382</v>
      </c>
      <c r="D1572" s="312" t="s">
        <v>2187</v>
      </c>
      <c r="E1572" s="907" t="s">
        <v>2188</v>
      </c>
      <c r="F1572" s="312" t="s">
        <v>2189</v>
      </c>
      <c r="G1572" s="477" t="s">
        <v>2190</v>
      </c>
      <c r="H1572" s="1779"/>
      <c r="I1572" s="1543"/>
      <c r="J1572" s="1543"/>
      <c r="K1572" s="1543"/>
      <c r="L1572" s="1543"/>
      <c r="M1572" s="1543"/>
      <c r="N1572" s="1566"/>
    </row>
    <row r="1573" spans="1:14">
      <c r="A1573" s="1514" t="s">
        <v>2820</v>
      </c>
      <c r="B1573" s="407" t="s">
        <v>2819</v>
      </c>
      <c r="C1573" s="415">
        <v>14.28</v>
      </c>
      <c r="D1573" s="202"/>
      <c r="E1573" s="346"/>
      <c r="F1573" s="346"/>
      <c r="G1573" s="346">
        <v>1</v>
      </c>
      <c r="H1573" s="403">
        <f t="shared" ref="H1573:H1584" si="37">C1573*G1573</f>
        <v>14.28</v>
      </c>
      <c r="I1573" s="1567"/>
      <c r="J1573" s="1543"/>
      <c r="K1573" s="1543"/>
      <c r="L1573" s="1543"/>
      <c r="M1573" s="1543"/>
      <c r="N1573" s="1566"/>
    </row>
    <row r="1574" spans="1:14">
      <c r="A1574" s="1523"/>
      <c r="B1574" s="373" t="s">
        <v>2818</v>
      </c>
      <c r="C1574" s="354">
        <v>3.18</v>
      </c>
      <c r="D1574" s="198"/>
      <c r="E1574" s="341"/>
      <c r="F1574" s="341"/>
      <c r="G1574" s="341">
        <v>1</v>
      </c>
      <c r="H1574" s="347">
        <f t="shared" si="37"/>
        <v>3.18</v>
      </c>
      <c r="I1574" s="1567"/>
      <c r="J1574" s="1543"/>
      <c r="K1574" s="1543"/>
      <c r="L1574" s="1543"/>
      <c r="M1574" s="1543"/>
      <c r="N1574" s="1566"/>
    </row>
    <row r="1575" spans="1:14">
      <c r="A1575" s="1523"/>
      <c r="B1575" s="373" t="s">
        <v>2817</v>
      </c>
      <c r="C1575" s="354">
        <v>4.2</v>
      </c>
      <c r="D1575" s="198"/>
      <c r="E1575" s="341"/>
      <c r="F1575" s="341"/>
      <c r="G1575" s="341">
        <v>1</v>
      </c>
      <c r="H1575" s="347">
        <f t="shared" si="37"/>
        <v>4.2</v>
      </c>
      <c r="I1575" s="1567"/>
      <c r="J1575" s="1543"/>
      <c r="K1575" s="1543"/>
      <c r="L1575" s="1543"/>
      <c r="M1575" s="1543"/>
      <c r="N1575" s="1566"/>
    </row>
    <row r="1576" spans="1:14">
      <c r="A1576" s="1523"/>
      <c r="B1576" s="373" t="s">
        <v>2816</v>
      </c>
      <c r="C1576" s="354">
        <v>18.38</v>
      </c>
      <c r="D1576" s="198"/>
      <c r="E1576" s="341"/>
      <c r="F1576" s="341"/>
      <c r="G1576" s="341">
        <v>1</v>
      </c>
      <c r="H1576" s="347">
        <f t="shared" si="37"/>
        <v>18.38</v>
      </c>
      <c r="I1576" s="1567"/>
      <c r="J1576" s="1543"/>
      <c r="K1576" s="1543"/>
      <c r="L1576" s="1543"/>
      <c r="M1576" s="1543"/>
      <c r="N1576" s="1566"/>
    </row>
    <row r="1577" spans="1:14">
      <c r="A1577" s="1523"/>
      <c r="B1577" s="373" t="s">
        <v>2815</v>
      </c>
      <c r="C1577" s="354">
        <v>23.6</v>
      </c>
      <c r="D1577" s="198"/>
      <c r="E1577" s="341"/>
      <c r="F1577" s="341"/>
      <c r="G1577" s="341">
        <v>1</v>
      </c>
      <c r="H1577" s="347">
        <f t="shared" si="37"/>
        <v>23.6</v>
      </c>
      <c r="I1577" s="1567"/>
      <c r="J1577" s="1543"/>
      <c r="K1577" s="1543"/>
      <c r="L1577" s="1543"/>
      <c r="M1577" s="1543"/>
      <c r="N1577" s="1566"/>
    </row>
    <row r="1578" spans="1:14">
      <c r="A1578" s="1523"/>
      <c r="B1578" s="373" t="s">
        <v>2814</v>
      </c>
      <c r="C1578" s="354">
        <v>27.72</v>
      </c>
      <c r="D1578" s="198"/>
      <c r="E1578" s="341"/>
      <c r="F1578" s="341"/>
      <c r="G1578" s="341">
        <v>1</v>
      </c>
      <c r="H1578" s="347">
        <f t="shared" si="37"/>
        <v>27.72</v>
      </c>
      <c r="I1578" s="1567"/>
      <c r="J1578" s="1543"/>
      <c r="K1578" s="1543"/>
      <c r="L1578" s="1543"/>
      <c r="M1578" s="1543"/>
      <c r="N1578" s="1566"/>
    </row>
    <row r="1579" spans="1:14">
      <c r="A1579" s="1523"/>
      <c r="B1579" s="373" t="s">
        <v>2813</v>
      </c>
      <c r="C1579" s="354">
        <v>24.06</v>
      </c>
      <c r="D1579" s="198"/>
      <c r="E1579" s="341"/>
      <c r="F1579" s="341"/>
      <c r="G1579" s="341">
        <v>1</v>
      </c>
      <c r="H1579" s="347">
        <f t="shared" si="37"/>
        <v>24.06</v>
      </c>
      <c r="I1579" s="1567"/>
      <c r="J1579" s="1543"/>
      <c r="K1579" s="1543"/>
      <c r="L1579" s="1543"/>
      <c r="M1579" s="1543"/>
      <c r="N1579" s="1566"/>
    </row>
    <row r="1580" spans="1:14">
      <c r="A1580" s="1523"/>
      <c r="B1580" s="373" t="s">
        <v>2812</v>
      </c>
      <c r="C1580" s="354">
        <v>20.83</v>
      </c>
      <c r="D1580" s="198"/>
      <c r="E1580" s="341"/>
      <c r="F1580" s="341"/>
      <c r="G1580" s="341">
        <v>1</v>
      </c>
      <c r="H1580" s="347">
        <f t="shared" si="37"/>
        <v>20.83</v>
      </c>
      <c r="I1580" s="1567"/>
      <c r="J1580" s="1543"/>
      <c r="K1580" s="1543"/>
      <c r="L1580" s="1543"/>
      <c r="M1580" s="1543"/>
      <c r="N1580" s="1566"/>
    </row>
    <row r="1581" spans="1:14">
      <c r="A1581" s="1523"/>
      <c r="B1581" s="373" t="s">
        <v>2811</v>
      </c>
      <c r="C1581" s="354">
        <v>3.75</v>
      </c>
      <c r="D1581" s="198"/>
      <c r="E1581" s="341"/>
      <c r="F1581" s="341"/>
      <c r="G1581" s="341">
        <v>1</v>
      </c>
      <c r="H1581" s="347">
        <f t="shared" si="37"/>
        <v>3.75</v>
      </c>
      <c r="I1581" s="1567"/>
      <c r="J1581" s="1543"/>
      <c r="K1581" s="1543"/>
      <c r="L1581" s="1543"/>
      <c r="M1581" s="1543"/>
      <c r="N1581" s="1566"/>
    </row>
    <row r="1582" spans="1:14">
      <c r="A1582" s="1523"/>
      <c r="B1582" s="373" t="s">
        <v>2810</v>
      </c>
      <c r="C1582" s="354">
        <v>3.27</v>
      </c>
      <c r="D1582" s="198"/>
      <c r="E1582" s="341"/>
      <c r="F1582" s="341"/>
      <c r="G1582" s="341">
        <v>1</v>
      </c>
      <c r="H1582" s="347">
        <f t="shared" si="37"/>
        <v>3.27</v>
      </c>
      <c r="I1582" s="1567"/>
      <c r="J1582" s="1543"/>
      <c r="K1582" s="1543"/>
      <c r="L1582" s="1543"/>
      <c r="M1582" s="1543"/>
      <c r="N1582" s="1566"/>
    </row>
    <row r="1583" spans="1:14">
      <c r="A1583" s="1523"/>
      <c r="B1583" s="373" t="s">
        <v>2809</v>
      </c>
      <c r="C1583" s="354">
        <v>1.46</v>
      </c>
      <c r="D1583" s="198"/>
      <c r="E1583" s="341"/>
      <c r="F1583" s="341"/>
      <c r="G1583" s="341">
        <v>1</v>
      </c>
      <c r="H1583" s="347">
        <f t="shared" si="37"/>
        <v>1.46</v>
      </c>
      <c r="I1583" s="1567"/>
      <c r="J1583" s="1543"/>
      <c r="K1583" s="1543"/>
      <c r="L1583" s="1543"/>
      <c r="M1583" s="1543"/>
      <c r="N1583" s="1566"/>
    </row>
    <row r="1584" spans="1:14">
      <c r="A1584" s="1140" t="s">
        <v>3745</v>
      </c>
      <c r="B1584" s="464" t="s">
        <v>3747</v>
      </c>
      <c r="C1584" s="375">
        <v>18.13</v>
      </c>
      <c r="D1584" s="200"/>
      <c r="E1584" s="376"/>
      <c r="F1584" s="376"/>
      <c r="G1584" s="376">
        <v>1</v>
      </c>
      <c r="H1584" s="377">
        <f t="shared" si="37"/>
        <v>18.13</v>
      </c>
      <c r="I1584" s="1567"/>
      <c r="J1584" s="1543"/>
      <c r="K1584" s="1543"/>
      <c r="L1584" s="1543"/>
      <c r="M1584" s="1543"/>
      <c r="N1584" s="1566"/>
    </row>
    <row r="1585" spans="1:14">
      <c r="A1585" s="1140"/>
      <c r="B1585" s="464"/>
      <c r="C1585" s="375"/>
      <c r="D1585" s="200"/>
      <c r="E1585" s="376"/>
      <c r="F1585" s="376"/>
      <c r="G1585" s="376"/>
      <c r="H1585" s="377"/>
      <c r="I1585" s="1567"/>
      <c r="J1585" s="1543"/>
      <c r="K1585" s="1543"/>
      <c r="L1585" s="1543"/>
      <c r="M1585" s="1543"/>
      <c r="N1585" s="1566"/>
    </row>
    <row r="1586" spans="1:14">
      <c r="A1586" s="1141"/>
      <c r="B1586" s="374"/>
      <c r="C1586" s="478"/>
      <c r="D1586" s="209"/>
      <c r="E1586" s="479"/>
      <c r="F1586" s="479"/>
      <c r="G1586" s="479"/>
      <c r="H1586" s="480"/>
      <c r="I1586" s="1567"/>
      <c r="J1586" s="1543"/>
      <c r="K1586" s="1543"/>
      <c r="L1586" s="1543"/>
      <c r="M1586" s="1543"/>
      <c r="N1586" s="1566"/>
    </row>
    <row r="1587" spans="1:14">
      <c r="A1587" s="1577" t="s">
        <v>2218</v>
      </c>
      <c r="B1587" s="1542"/>
      <c r="C1587" s="1542"/>
      <c r="D1587" s="1542"/>
      <c r="E1587" s="1542"/>
      <c r="F1587" s="1542"/>
      <c r="G1587" s="1542"/>
      <c r="H1587" s="271">
        <f>SUM(H1573:H1584)</f>
        <v>162.86000000000001</v>
      </c>
      <c r="I1587" s="1567"/>
      <c r="J1587" s="1543"/>
      <c r="K1587" s="1543"/>
      <c r="L1587" s="1543"/>
      <c r="M1587" s="1543"/>
      <c r="N1587" s="1566"/>
    </row>
    <row r="1588" spans="1:14">
      <c r="A1588" s="1519" t="s">
        <v>2219</v>
      </c>
      <c r="B1588" s="1517"/>
      <c r="C1588" s="1517"/>
      <c r="D1588" s="1551"/>
      <c r="E1588" s="1551"/>
      <c r="F1588" s="1551"/>
      <c r="G1588" s="1552"/>
      <c r="H1588" s="272">
        <v>0</v>
      </c>
      <c r="I1588" s="1543"/>
      <c r="J1588" s="1543"/>
      <c r="K1588" s="1543"/>
      <c r="L1588" s="1543"/>
      <c r="M1588" s="1543"/>
      <c r="N1588" s="1566"/>
    </row>
    <row r="1589" spans="1:14" ht="15.75" thickBot="1">
      <c r="A1589" s="1520" t="s">
        <v>2220</v>
      </c>
      <c r="B1589" s="1521"/>
      <c r="C1589" s="1521"/>
      <c r="D1589" s="1521"/>
      <c r="E1589" s="1521"/>
      <c r="F1589" s="1521"/>
      <c r="G1589" s="1522"/>
      <c r="H1589" s="216">
        <f>H1587-H1588</f>
        <v>162.86000000000001</v>
      </c>
      <c r="I1589" s="1568"/>
      <c r="J1589" s="1568"/>
      <c r="K1589" s="1568"/>
      <c r="L1589" s="1568"/>
      <c r="M1589" s="1568"/>
      <c r="N1589" s="1569"/>
    </row>
    <row r="1590" spans="1:14" ht="15.75" thickBot="1">
      <c r="A1590" s="1099"/>
      <c r="B1590" s="344"/>
      <c r="C1590" s="343"/>
      <c r="D1590" s="345"/>
      <c r="E1590" s="1265"/>
      <c r="F1590" s="345"/>
      <c r="G1590" s="345"/>
      <c r="H1590" s="219"/>
      <c r="I1590" s="408"/>
      <c r="J1590" s="408"/>
      <c r="K1590" s="408"/>
      <c r="L1590" s="408"/>
      <c r="M1590" s="408"/>
      <c r="N1590" s="409"/>
    </row>
    <row r="1591" spans="1:14" ht="31.15" customHeight="1" thickBot="1">
      <c r="A1591" s="1085" t="s">
        <v>3008</v>
      </c>
      <c r="B1591" s="1737" t="s">
        <v>725</v>
      </c>
      <c r="C1591" s="1738"/>
      <c r="D1591" s="1738"/>
      <c r="E1591" s="1738"/>
      <c r="F1591" s="1738"/>
      <c r="G1591" s="1738"/>
      <c r="H1591" s="1738"/>
      <c r="I1591" s="1738"/>
      <c r="J1591" s="1738"/>
      <c r="K1591" s="1738"/>
      <c r="L1591" s="1738"/>
      <c r="M1591" s="1738"/>
      <c r="N1591" s="1739"/>
    </row>
    <row r="1592" spans="1:14" ht="30" customHeight="1">
      <c r="A1592" s="1085" t="s">
        <v>2600</v>
      </c>
      <c r="B1592" s="1494" t="s">
        <v>113</v>
      </c>
      <c r="C1592" s="1495"/>
      <c r="D1592" s="1495"/>
      <c r="E1592" s="1495"/>
      <c r="F1592" s="1495"/>
      <c r="G1592" s="1495"/>
      <c r="H1592" s="1495"/>
      <c r="I1592" s="1495"/>
      <c r="J1592" s="1496"/>
      <c r="K1592" s="196" t="s">
        <v>2222</v>
      </c>
      <c r="L1592" s="1497">
        <f>'27ª MEDIÇÃO '!F95</f>
        <v>682.28</v>
      </c>
      <c r="M1592" s="1498"/>
      <c r="N1592" s="197">
        <f>L1592-H1712</f>
        <v>4.0000000001327862E-4</v>
      </c>
    </row>
    <row r="1593" spans="1:14">
      <c r="A1593" s="1554"/>
      <c r="B1593" s="1541"/>
      <c r="C1593" s="366"/>
      <c r="D1593" s="367" t="s">
        <v>2183</v>
      </c>
      <c r="E1593" s="1320" t="s">
        <v>2184</v>
      </c>
      <c r="F1593" s="367" t="s">
        <v>2185</v>
      </c>
      <c r="G1593" s="367" t="s">
        <v>2186</v>
      </c>
      <c r="H1593" s="1542" t="s">
        <v>476</v>
      </c>
      <c r="I1593" s="1543"/>
      <c r="J1593" s="1543"/>
      <c r="K1593" s="1543"/>
      <c r="L1593" s="1543"/>
      <c r="M1593" s="1543"/>
      <c r="N1593" s="1566"/>
    </row>
    <row r="1594" spans="1:14">
      <c r="A1594" s="1554"/>
      <c r="B1594" s="1541"/>
      <c r="C1594" s="368" t="s">
        <v>2382</v>
      </c>
      <c r="D1594" s="369" t="s">
        <v>2187</v>
      </c>
      <c r="E1594" s="529" t="s">
        <v>2586</v>
      </c>
      <c r="F1594" s="369" t="s">
        <v>2189</v>
      </c>
      <c r="G1594" s="370" t="s">
        <v>2190</v>
      </c>
      <c r="H1594" s="1542"/>
      <c r="I1594" s="1543"/>
      <c r="J1594" s="1543"/>
      <c r="K1594" s="1543"/>
      <c r="L1594" s="1543"/>
      <c r="M1594" s="1543"/>
      <c r="N1594" s="1566"/>
    </row>
    <row r="1595" spans="1:14" ht="30" customHeight="1">
      <c r="A1595" s="1530" t="s">
        <v>2268</v>
      </c>
      <c r="B1595" s="442" t="s">
        <v>2601</v>
      </c>
      <c r="C1595" s="287"/>
      <c r="D1595" s="202"/>
      <c r="E1595" s="346"/>
      <c r="F1595" s="346"/>
      <c r="G1595" s="346"/>
      <c r="H1595" s="403"/>
      <c r="I1595" s="1567"/>
      <c r="J1595" s="1543"/>
      <c r="K1595" s="1543"/>
      <c r="L1595" s="1543"/>
      <c r="M1595" s="1543"/>
      <c r="N1595" s="1566"/>
    </row>
    <row r="1596" spans="1:14" ht="24">
      <c r="A1596" s="1531"/>
      <c r="B1596" s="406" t="s">
        <v>2602</v>
      </c>
      <c r="C1596" s="292"/>
      <c r="D1596" s="341">
        <v>20.48</v>
      </c>
      <c r="E1596" s="341"/>
      <c r="F1596" s="341">
        <v>1</v>
      </c>
      <c r="G1596" s="341">
        <v>1</v>
      </c>
      <c r="H1596" s="347">
        <f>D1596*F1596*G1596</f>
        <v>20.48</v>
      </c>
      <c r="I1596" s="1567"/>
      <c r="J1596" s="1543"/>
      <c r="K1596" s="1543"/>
      <c r="L1596" s="1543"/>
      <c r="M1596" s="1543"/>
      <c r="N1596" s="1566"/>
    </row>
    <row r="1597" spans="1:14" ht="24">
      <c r="A1597" s="1531"/>
      <c r="B1597" s="406" t="s">
        <v>2603</v>
      </c>
      <c r="C1597" s="292"/>
      <c r="D1597" s="341">
        <v>20.48</v>
      </c>
      <c r="E1597" s="341">
        <f>0.25+0.65+0.45</f>
        <v>1.35</v>
      </c>
      <c r="F1597" s="341"/>
      <c r="G1597" s="341">
        <v>1</v>
      </c>
      <c r="H1597" s="347">
        <f>D1597*E1597</f>
        <v>27.648000000000003</v>
      </c>
      <c r="I1597" s="1567"/>
      <c r="J1597" s="1543"/>
      <c r="K1597" s="1543"/>
      <c r="L1597" s="1543"/>
      <c r="M1597" s="1543"/>
      <c r="N1597" s="1566"/>
    </row>
    <row r="1598" spans="1:14" ht="24">
      <c r="A1598" s="1531"/>
      <c r="B1598" s="406" t="s">
        <v>2604</v>
      </c>
      <c r="C1598" s="292"/>
      <c r="D1598" s="341">
        <v>18.43</v>
      </c>
      <c r="E1598" s="341"/>
      <c r="F1598" s="341">
        <v>1</v>
      </c>
      <c r="G1598" s="341">
        <v>1</v>
      </c>
      <c r="H1598" s="347">
        <f>D1598*F1598*G1598</f>
        <v>18.43</v>
      </c>
      <c r="I1598" s="1567"/>
      <c r="J1598" s="1543"/>
      <c r="K1598" s="1543"/>
      <c r="L1598" s="1543"/>
      <c r="M1598" s="1543"/>
      <c r="N1598" s="1566"/>
    </row>
    <row r="1599" spans="1:14" ht="24">
      <c r="A1599" s="1531"/>
      <c r="B1599" s="406" t="s">
        <v>2605</v>
      </c>
      <c r="C1599" s="292"/>
      <c r="D1599" s="341">
        <v>18.43</v>
      </c>
      <c r="E1599" s="341">
        <f>0.25+0.65+0.45</f>
        <v>1.35</v>
      </c>
      <c r="F1599" s="341"/>
      <c r="G1599" s="341">
        <v>1</v>
      </c>
      <c r="H1599" s="347">
        <f>D1599*E1599</f>
        <v>24.880500000000001</v>
      </c>
      <c r="I1599" s="1567"/>
      <c r="J1599" s="1543"/>
      <c r="K1599" s="1543"/>
      <c r="L1599" s="1543"/>
      <c r="M1599" s="1543"/>
      <c r="N1599" s="1566"/>
    </row>
    <row r="1600" spans="1:14">
      <c r="A1600" s="1702"/>
      <c r="B1600" s="412"/>
      <c r="C1600" s="312"/>
      <c r="D1600" s="341"/>
      <c r="E1600" s="341"/>
      <c r="F1600" s="341"/>
      <c r="G1600" s="341"/>
      <c r="H1600" s="364"/>
      <c r="I1600" s="1567"/>
      <c r="J1600" s="1543"/>
      <c r="K1600" s="1543"/>
      <c r="L1600" s="1543"/>
      <c r="M1600" s="1543"/>
      <c r="N1600" s="1566"/>
    </row>
    <row r="1601" spans="1:14">
      <c r="A1601" s="1536" t="s">
        <v>2476</v>
      </c>
      <c r="B1601" s="406"/>
      <c r="C1601" s="292"/>
      <c r="D1601" s="341"/>
      <c r="E1601" s="341"/>
      <c r="F1601" s="341"/>
      <c r="G1601" s="341"/>
      <c r="H1601" s="347"/>
      <c r="I1601" s="1567"/>
      <c r="J1601" s="1543"/>
      <c r="K1601" s="1543"/>
      <c r="L1601" s="1543"/>
      <c r="M1601" s="1543"/>
      <c r="N1601" s="1566"/>
    </row>
    <row r="1602" spans="1:14">
      <c r="A1602" s="1536"/>
      <c r="B1602" s="406" t="s">
        <v>2606</v>
      </c>
      <c r="C1602" s="292"/>
      <c r="D1602" s="341">
        <v>1.3</v>
      </c>
      <c r="E1602" s="341">
        <v>1.1000000000000001</v>
      </c>
      <c r="F1602" s="341"/>
      <c r="G1602" s="341">
        <v>1</v>
      </c>
      <c r="H1602" s="347">
        <f>D1602*E1602*G1602</f>
        <v>1.4300000000000002</v>
      </c>
      <c r="I1602" s="1567"/>
      <c r="J1602" s="1543"/>
      <c r="K1602" s="1543"/>
      <c r="L1602" s="1543"/>
      <c r="M1602" s="1543"/>
      <c r="N1602" s="1566"/>
    </row>
    <row r="1603" spans="1:14">
      <c r="A1603" s="1536"/>
      <c r="B1603" s="406" t="s">
        <v>2607</v>
      </c>
      <c r="C1603" s="292"/>
      <c r="D1603" s="341">
        <v>1.3</v>
      </c>
      <c r="E1603" s="341">
        <v>0.8</v>
      </c>
      <c r="F1603" s="341"/>
      <c r="G1603" s="341">
        <v>15</v>
      </c>
      <c r="H1603" s="347">
        <f>D1603*E1603*G1603</f>
        <v>15.600000000000001</v>
      </c>
      <c r="I1603" s="1567"/>
      <c r="J1603" s="1543"/>
      <c r="K1603" s="1543"/>
      <c r="L1603" s="1543"/>
      <c r="M1603" s="1543"/>
      <c r="N1603" s="1566"/>
    </row>
    <row r="1604" spans="1:14">
      <c r="A1604" s="1536"/>
      <c r="B1604" s="406" t="s">
        <v>2608</v>
      </c>
      <c r="C1604" s="292"/>
      <c r="D1604" s="341">
        <v>18.420000000000002</v>
      </c>
      <c r="E1604" s="341"/>
      <c r="F1604" s="341">
        <v>0.3</v>
      </c>
      <c r="G1604" s="341">
        <v>2</v>
      </c>
      <c r="H1604" s="347">
        <f>D1604*F1604*G1604</f>
        <v>11.052000000000001</v>
      </c>
      <c r="I1604" s="1567"/>
      <c r="J1604" s="1543"/>
      <c r="K1604" s="1543"/>
      <c r="L1604" s="1543"/>
      <c r="M1604" s="1543"/>
      <c r="N1604" s="1566"/>
    </row>
    <row r="1605" spans="1:14">
      <c r="A1605" s="1536"/>
      <c r="B1605" s="406" t="s">
        <v>2609</v>
      </c>
      <c r="C1605" s="292"/>
      <c r="D1605" s="341">
        <v>2.99</v>
      </c>
      <c r="E1605" s="341"/>
      <c r="F1605" s="341">
        <v>0.3</v>
      </c>
      <c r="G1605" s="341">
        <v>2</v>
      </c>
      <c r="H1605" s="347">
        <f>D1605*F1605*G1605</f>
        <v>1.794</v>
      </c>
      <c r="I1605" s="1567"/>
      <c r="J1605" s="1543"/>
      <c r="K1605" s="1543"/>
      <c r="L1605" s="1543"/>
      <c r="M1605" s="1543"/>
      <c r="N1605" s="1566"/>
    </row>
    <row r="1606" spans="1:14">
      <c r="A1606" s="1536"/>
      <c r="B1606" s="406" t="s">
        <v>2610</v>
      </c>
      <c r="C1606" s="292"/>
      <c r="D1606" s="341">
        <v>19.98</v>
      </c>
      <c r="E1606" s="341"/>
      <c r="F1606" s="341">
        <v>0.3</v>
      </c>
      <c r="G1606" s="341">
        <v>2</v>
      </c>
      <c r="H1606" s="347">
        <f>D1606*F1606*G1606</f>
        <v>11.988</v>
      </c>
      <c r="I1606" s="1567"/>
      <c r="J1606" s="1543"/>
      <c r="K1606" s="1543"/>
      <c r="L1606" s="1543"/>
      <c r="M1606" s="1543"/>
      <c r="N1606" s="1566"/>
    </row>
    <row r="1607" spans="1:14">
      <c r="A1607" s="1630" t="s">
        <v>2662</v>
      </c>
      <c r="B1607" s="481"/>
      <c r="C1607" s="297"/>
      <c r="D1607" s="341"/>
      <c r="E1607" s="341"/>
      <c r="F1607" s="341"/>
      <c r="G1607" s="341"/>
      <c r="H1607" s="371"/>
      <c r="I1607" s="1567"/>
      <c r="J1607" s="1543"/>
      <c r="K1607" s="1543"/>
      <c r="L1607" s="1543"/>
      <c r="M1607" s="1543"/>
      <c r="N1607" s="1566"/>
    </row>
    <row r="1608" spans="1:14">
      <c r="A1608" s="1631"/>
      <c r="B1608" s="458" t="s">
        <v>2740</v>
      </c>
      <c r="C1608" s="292"/>
      <c r="D1608" s="341"/>
      <c r="E1608" s="341"/>
      <c r="F1608" s="341"/>
      <c r="G1608" s="341"/>
      <c r="H1608" s="347"/>
      <c r="I1608" s="1567"/>
      <c r="J1608" s="1543"/>
      <c r="K1608" s="1543"/>
      <c r="L1608" s="1543"/>
      <c r="M1608" s="1543"/>
      <c r="N1608" s="1566"/>
    </row>
    <row r="1609" spans="1:14">
      <c r="A1609" s="1631"/>
      <c r="B1609" s="460" t="s">
        <v>2695</v>
      </c>
      <c r="C1609" s="292"/>
      <c r="D1609" s="341"/>
      <c r="E1609" s="341"/>
      <c r="F1609" s="341"/>
      <c r="G1609" s="341"/>
      <c r="H1609" s="347"/>
      <c r="I1609" s="1567"/>
      <c r="J1609" s="1543"/>
      <c r="K1609" s="1543"/>
      <c r="L1609" s="1543"/>
      <c r="M1609" s="1543"/>
      <c r="N1609" s="1566"/>
    </row>
    <row r="1610" spans="1:14">
      <c r="A1610" s="1631"/>
      <c r="B1610" s="406" t="s">
        <v>2739</v>
      </c>
      <c r="C1610" s="292"/>
      <c r="D1610" s="341"/>
      <c r="E1610" s="341"/>
      <c r="F1610" s="341"/>
      <c r="G1610" s="341"/>
      <c r="H1610" s="347"/>
      <c r="I1610" s="1567"/>
      <c r="J1610" s="1543"/>
      <c r="K1610" s="1543"/>
      <c r="L1610" s="1543"/>
      <c r="M1610" s="1543"/>
      <c r="N1610" s="1566"/>
    </row>
    <row r="1611" spans="1:14">
      <c r="A1611" s="1631"/>
      <c r="B1611" s="406" t="s">
        <v>2690</v>
      </c>
      <c r="C1611" s="292"/>
      <c r="D1611" s="341">
        <v>3.1</v>
      </c>
      <c r="E1611" s="341">
        <v>0.2</v>
      </c>
      <c r="F1611" s="341">
        <v>0.3</v>
      </c>
      <c r="G1611" s="341">
        <v>4</v>
      </c>
      <c r="H1611" s="347">
        <f>2*(F1611+E1611)*D1611*G1611</f>
        <v>12.4</v>
      </c>
      <c r="I1611" s="1567"/>
      <c r="J1611" s="1543"/>
      <c r="K1611" s="1543"/>
      <c r="L1611" s="1543"/>
      <c r="M1611" s="1543"/>
      <c r="N1611" s="1566"/>
    </row>
    <row r="1612" spans="1:14">
      <c r="A1612" s="1631"/>
      <c r="B1612" s="406" t="s">
        <v>2691</v>
      </c>
      <c r="C1612" s="292"/>
      <c r="D1612" s="341">
        <v>0.4</v>
      </c>
      <c r="E1612" s="341">
        <v>4.2</v>
      </c>
      <c r="F1612" s="341">
        <v>0.15</v>
      </c>
      <c r="G1612" s="341">
        <v>2</v>
      </c>
      <c r="H1612" s="347">
        <f>2*(F1612+E1612)*D1612*G1612</f>
        <v>6.9600000000000009</v>
      </c>
      <c r="I1612" s="1567"/>
      <c r="J1612" s="1543"/>
      <c r="K1612" s="1543"/>
      <c r="L1612" s="1543"/>
      <c r="M1612" s="1543"/>
      <c r="N1612" s="1566"/>
    </row>
    <row r="1613" spans="1:14">
      <c r="A1613" s="1631"/>
      <c r="B1613" s="406" t="s">
        <v>2692</v>
      </c>
      <c r="C1613" s="292"/>
      <c r="D1613" s="341">
        <v>0.4</v>
      </c>
      <c r="E1613" s="341">
        <v>5.73</v>
      </c>
      <c r="F1613" s="341">
        <v>0.15</v>
      </c>
      <c r="G1613" s="341">
        <v>2</v>
      </c>
      <c r="H1613" s="347">
        <f>2*(F1613+E1613)*D1613*G1613</f>
        <v>9.4080000000000013</v>
      </c>
      <c r="I1613" s="1567"/>
      <c r="J1613" s="1543"/>
      <c r="K1613" s="1543"/>
      <c r="L1613" s="1543"/>
      <c r="M1613" s="1543"/>
      <c r="N1613" s="1566"/>
    </row>
    <row r="1614" spans="1:14">
      <c r="A1614" s="1631"/>
      <c r="B1614" s="406" t="s">
        <v>2738</v>
      </c>
      <c r="C1614" s="292"/>
      <c r="D1614" s="341">
        <v>0.5</v>
      </c>
      <c r="E1614" s="341">
        <v>1.1000000000000001</v>
      </c>
      <c r="F1614" s="341">
        <v>0.15</v>
      </c>
      <c r="G1614" s="341">
        <v>3</v>
      </c>
      <c r="H1614" s="347">
        <f>2*(F1614+E1614)*D1614*G1614</f>
        <v>3.75</v>
      </c>
      <c r="I1614" s="1567"/>
      <c r="J1614" s="1543"/>
      <c r="K1614" s="1543"/>
      <c r="L1614" s="1543"/>
      <c r="M1614" s="1543"/>
      <c r="N1614" s="1566"/>
    </row>
    <row r="1615" spans="1:14">
      <c r="A1615" s="1631"/>
      <c r="B1615" s="458" t="s">
        <v>2741</v>
      </c>
      <c r="C1615" s="292"/>
      <c r="D1615" s="341"/>
      <c r="E1615" s="341"/>
      <c r="F1615" s="341"/>
      <c r="G1615" s="341"/>
      <c r="H1615" s="347"/>
      <c r="I1615" s="1567"/>
      <c r="J1615" s="1543"/>
      <c r="K1615" s="1543"/>
      <c r="L1615" s="1543"/>
      <c r="M1615" s="1543"/>
      <c r="N1615" s="1566"/>
    </row>
    <row r="1616" spans="1:14">
      <c r="A1616" s="1631"/>
      <c r="B1616" s="404" t="s">
        <v>2742</v>
      </c>
      <c r="C1616" s="292">
        <v>54.57</v>
      </c>
      <c r="D1616" s="341"/>
      <c r="E1616" s="341"/>
      <c r="F1616" s="341"/>
      <c r="G1616" s="341"/>
      <c r="H1616" s="347">
        <f>C1616</f>
        <v>54.57</v>
      </c>
      <c r="I1616" s="1567"/>
      <c r="J1616" s="1543"/>
      <c r="K1616" s="1543"/>
      <c r="L1616" s="1543"/>
      <c r="M1616" s="1543"/>
      <c r="N1616" s="1566"/>
    </row>
    <row r="1617" spans="1:14">
      <c r="A1617" s="1631"/>
      <c r="B1617" s="458" t="s">
        <v>2741</v>
      </c>
      <c r="C1617" s="292"/>
      <c r="D1617" s="341"/>
      <c r="E1617" s="341"/>
      <c r="F1617" s="341"/>
      <c r="G1617" s="341"/>
      <c r="H1617" s="347"/>
      <c r="I1617" s="1567"/>
      <c r="J1617" s="1543"/>
      <c r="K1617" s="1543"/>
      <c r="L1617" s="1543"/>
      <c r="M1617" s="1543"/>
      <c r="N1617" s="1566"/>
    </row>
    <row r="1618" spans="1:14">
      <c r="A1618" s="1631"/>
      <c r="B1618" s="406" t="s">
        <v>2744</v>
      </c>
      <c r="C1618" s="292"/>
      <c r="D1618" s="341">
        <v>75</v>
      </c>
      <c r="E1618" s="341"/>
      <c r="F1618" s="341">
        <v>0.08</v>
      </c>
      <c r="G1618" s="341">
        <v>1</v>
      </c>
      <c r="H1618" s="347">
        <f>D1618*F1618*G1618</f>
        <v>6</v>
      </c>
      <c r="I1618" s="1567"/>
      <c r="J1618" s="1543"/>
      <c r="K1618" s="1543"/>
      <c r="L1618" s="1543"/>
      <c r="M1618" s="1543"/>
      <c r="N1618" s="1566"/>
    </row>
    <row r="1619" spans="1:14">
      <c r="A1619" s="1631"/>
      <c r="B1619" s="406" t="s">
        <v>2743</v>
      </c>
      <c r="C1619" s="292"/>
      <c r="D1619" s="341">
        <v>61.79</v>
      </c>
      <c r="E1619" s="341"/>
      <c r="F1619" s="341">
        <v>0.08</v>
      </c>
      <c r="G1619" s="341">
        <v>1</v>
      </c>
      <c r="H1619" s="347">
        <f>D1619*F1619*G1619</f>
        <v>4.9432</v>
      </c>
      <c r="I1619" s="1567"/>
      <c r="J1619" s="1543"/>
      <c r="K1619" s="1543"/>
      <c r="L1619" s="1543"/>
      <c r="M1619" s="1543"/>
      <c r="N1619" s="1566"/>
    </row>
    <row r="1620" spans="1:14">
      <c r="A1620" s="1632"/>
      <c r="B1620" s="406"/>
      <c r="C1620" s="292"/>
      <c r="D1620" s="341"/>
      <c r="E1620" s="341"/>
      <c r="F1620" s="341"/>
      <c r="G1620" s="341"/>
      <c r="H1620" s="347"/>
      <c r="I1620" s="1567"/>
      <c r="J1620" s="1543"/>
      <c r="K1620" s="1543"/>
      <c r="L1620" s="1543"/>
      <c r="M1620" s="1543"/>
      <c r="N1620" s="1566"/>
    </row>
    <row r="1621" spans="1:14">
      <c r="A1621" s="1630" t="s">
        <v>2749</v>
      </c>
      <c r="B1621" s="406" t="s">
        <v>2798</v>
      </c>
      <c r="C1621" s="292"/>
      <c r="D1621" s="341">
        <v>2.65</v>
      </c>
      <c r="E1621" s="341">
        <v>0.15</v>
      </c>
      <c r="F1621" s="341">
        <v>0.25</v>
      </c>
      <c r="G1621" s="341">
        <v>2</v>
      </c>
      <c r="H1621" s="482">
        <f>(2*(F1621+E1621))*D1621*G1621</f>
        <v>4.24</v>
      </c>
      <c r="I1621" s="1567"/>
      <c r="J1621" s="1543"/>
      <c r="K1621" s="1543"/>
      <c r="L1621" s="1543"/>
      <c r="M1621" s="1543"/>
      <c r="N1621" s="1566"/>
    </row>
    <row r="1622" spans="1:14">
      <c r="A1622" s="1631"/>
      <c r="B1622" s="406" t="s">
        <v>2797</v>
      </c>
      <c r="C1622" s="292"/>
      <c r="D1622" s="341">
        <v>2.65</v>
      </c>
      <c r="E1622" s="341">
        <v>0.15</v>
      </c>
      <c r="F1622" s="341">
        <v>0.25</v>
      </c>
      <c r="G1622" s="341">
        <v>4</v>
      </c>
      <c r="H1622" s="482">
        <f>(2*(F1622+E1622))*D1622*G1622</f>
        <v>8.48</v>
      </c>
      <c r="I1622" s="1567"/>
      <c r="J1622" s="1543"/>
      <c r="K1622" s="1543"/>
      <c r="L1622" s="1543"/>
      <c r="M1622" s="1543"/>
      <c r="N1622" s="1566"/>
    </row>
    <row r="1623" spans="1:14">
      <c r="A1623" s="1631"/>
      <c r="B1623" s="406" t="s">
        <v>2796</v>
      </c>
      <c r="C1623" s="292"/>
      <c r="D1623" s="341">
        <v>2.65</v>
      </c>
      <c r="E1623" s="341">
        <v>0.15</v>
      </c>
      <c r="F1623" s="341">
        <v>0.25</v>
      </c>
      <c r="G1623" s="341">
        <v>2</v>
      </c>
      <c r="H1623" s="482">
        <f>(2*(F1623+E1623))*D1623*G1623</f>
        <v>4.24</v>
      </c>
      <c r="I1623" s="1567"/>
      <c r="J1623" s="1543"/>
      <c r="K1623" s="1543"/>
      <c r="L1623" s="1543"/>
      <c r="M1623" s="1543"/>
      <c r="N1623" s="1566"/>
    </row>
    <row r="1624" spans="1:14" ht="36">
      <c r="A1624" s="1631"/>
      <c r="B1624" s="406" t="s">
        <v>2794</v>
      </c>
      <c r="C1624" s="292"/>
      <c r="D1624" s="341">
        <v>2.65</v>
      </c>
      <c r="E1624" s="341">
        <v>0.15</v>
      </c>
      <c r="F1624" s="341">
        <v>0.25</v>
      </c>
      <c r="G1624" s="341">
        <v>2</v>
      </c>
      <c r="H1624" s="482">
        <f>(2*(F1624+E1624))*D1624*G1624</f>
        <v>4.24</v>
      </c>
      <c r="I1624" s="1567"/>
      <c r="J1624" s="1543"/>
      <c r="K1624" s="1543"/>
      <c r="L1624" s="1543"/>
      <c r="M1624" s="1543"/>
      <c r="N1624" s="1566"/>
    </row>
    <row r="1625" spans="1:14">
      <c r="A1625" s="1631"/>
      <c r="B1625" s="406"/>
      <c r="C1625" s="292"/>
      <c r="D1625" s="341"/>
      <c r="E1625" s="341"/>
      <c r="F1625" s="341"/>
      <c r="G1625" s="341"/>
      <c r="H1625" s="482"/>
      <c r="I1625" s="1567"/>
      <c r="J1625" s="1543"/>
      <c r="K1625" s="1543"/>
      <c r="L1625" s="1543"/>
      <c r="M1625" s="1543"/>
      <c r="N1625" s="1566"/>
    </row>
    <row r="1626" spans="1:14">
      <c r="A1626" s="1631"/>
      <c r="B1626" s="406" t="s">
        <v>2793</v>
      </c>
      <c r="C1626" s="292"/>
      <c r="D1626" s="341">
        <v>3</v>
      </c>
      <c r="E1626" s="341">
        <v>0.2</v>
      </c>
      <c r="F1626" s="341">
        <v>0.3</v>
      </c>
      <c r="G1626" s="341">
        <v>2</v>
      </c>
      <c r="H1626" s="482">
        <f>(2*(F1626+E1626))*D1626*G1626</f>
        <v>6</v>
      </c>
      <c r="I1626" s="1567"/>
      <c r="J1626" s="1543"/>
      <c r="K1626" s="1543"/>
      <c r="L1626" s="1543"/>
      <c r="M1626" s="1543"/>
      <c r="N1626" s="1566"/>
    </row>
    <row r="1627" spans="1:14">
      <c r="A1627" s="1631"/>
      <c r="B1627" s="406" t="s">
        <v>2808</v>
      </c>
      <c r="C1627" s="292"/>
      <c r="D1627" s="341"/>
      <c r="E1627" s="341"/>
      <c r="F1627" s="341"/>
      <c r="G1627" s="341"/>
      <c r="H1627" s="482"/>
      <c r="I1627" s="1567"/>
      <c r="J1627" s="1543"/>
      <c r="K1627" s="1543"/>
      <c r="L1627" s="1543"/>
      <c r="M1627" s="1543"/>
      <c r="N1627" s="1566"/>
    </row>
    <row r="1628" spans="1:14" ht="24">
      <c r="A1628" s="1631"/>
      <c r="B1628" s="406" t="s">
        <v>2792</v>
      </c>
      <c r="C1628" s="292"/>
      <c r="D1628" s="341">
        <v>3.56</v>
      </c>
      <c r="E1628" s="341">
        <v>0.2</v>
      </c>
      <c r="F1628" s="341">
        <v>0.3</v>
      </c>
      <c r="G1628" s="341">
        <v>1</v>
      </c>
      <c r="H1628" s="482">
        <f>(2*(F1628+E1628))*D1628*G1628</f>
        <v>3.56</v>
      </c>
      <c r="I1628" s="1567"/>
      <c r="J1628" s="1543"/>
      <c r="K1628" s="1543"/>
      <c r="L1628" s="1543"/>
      <c r="M1628" s="1543"/>
      <c r="N1628" s="1566"/>
    </row>
    <row r="1629" spans="1:14" ht="24">
      <c r="A1629" s="1631"/>
      <c r="B1629" s="406" t="s">
        <v>2791</v>
      </c>
      <c r="C1629" s="292"/>
      <c r="D1629" s="341">
        <v>3</v>
      </c>
      <c r="E1629" s="341">
        <v>0.2</v>
      </c>
      <c r="F1629" s="341">
        <v>0.3</v>
      </c>
      <c r="G1629" s="341">
        <v>1</v>
      </c>
      <c r="H1629" s="482">
        <f>(2*(F1629+E1629))*D1629*G1629</f>
        <v>3</v>
      </c>
      <c r="I1629" s="1567"/>
      <c r="J1629" s="1543"/>
      <c r="K1629" s="1543"/>
      <c r="L1629" s="1543"/>
      <c r="M1629" s="1543"/>
      <c r="N1629" s="1566"/>
    </row>
    <row r="1630" spans="1:14">
      <c r="A1630" s="1631"/>
      <c r="B1630" s="406"/>
      <c r="C1630" s="292"/>
      <c r="D1630" s="341"/>
      <c r="E1630" s="341"/>
      <c r="F1630" s="341"/>
      <c r="G1630" s="341"/>
      <c r="H1630" s="482"/>
      <c r="I1630" s="1567"/>
      <c r="J1630" s="1543"/>
      <c r="K1630" s="1543"/>
      <c r="L1630" s="1543"/>
      <c r="M1630" s="1543"/>
      <c r="N1630" s="1566"/>
    </row>
    <row r="1631" spans="1:14">
      <c r="A1631" s="1631"/>
      <c r="B1631" s="406" t="s">
        <v>2807</v>
      </c>
      <c r="C1631" s="292"/>
      <c r="D1631" s="341"/>
      <c r="E1631" s="341"/>
      <c r="F1631" s="341"/>
      <c r="G1631" s="341"/>
      <c r="H1631" s="482"/>
      <c r="I1631" s="1567"/>
      <c r="J1631" s="1543"/>
      <c r="K1631" s="1543"/>
      <c r="L1631" s="1543"/>
      <c r="M1631" s="1543"/>
      <c r="N1631" s="1566"/>
    </row>
    <row r="1632" spans="1:14" ht="24">
      <c r="A1632" s="1631"/>
      <c r="B1632" s="406" t="s">
        <v>2790</v>
      </c>
      <c r="C1632" s="292"/>
      <c r="D1632" s="341">
        <v>3</v>
      </c>
      <c r="E1632" s="341">
        <v>0.2</v>
      </c>
      <c r="F1632" s="341">
        <v>0.3</v>
      </c>
      <c r="G1632" s="341">
        <v>1</v>
      </c>
      <c r="H1632" s="482">
        <f>(2*(F1632+E1632))*D1632*G1632</f>
        <v>3</v>
      </c>
      <c r="I1632" s="1567"/>
      <c r="J1632" s="1543"/>
      <c r="K1632" s="1543"/>
      <c r="L1632" s="1543"/>
      <c r="M1632" s="1543"/>
      <c r="N1632" s="1566"/>
    </row>
    <row r="1633" spans="1:14" ht="24">
      <c r="A1633" s="1631"/>
      <c r="B1633" s="406" t="s">
        <v>2789</v>
      </c>
      <c r="C1633" s="292"/>
      <c r="D1633" s="341">
        <v>3.56</v>
      </c>
      <c r="E1633" s="341">
        <v>0.2</v>
      </c>
      <c r="F1633" s="341">
        <v>0.2</v>
      </c>
      <c r="G1633" s="341">
        <v>1</v>
      </c>
      <c r="H1633" s="482">
        <f>(2*(F1633+E1633))*D1633*G1633</f>
        <v>2.8480000000000003</v>
      </c>
      <c r="I1633" s="1567"/>
      <c r="J1633" s="1543"/>
      <c r="K1633" s="1543"/>
      <c r="L1633" s="1543"/>
      <c r="M1633" s="1543"/>
      <c r="N1633" s="1566"/>
    </row>
    <row r="1634" spans="1:14" ht="24">
      <c r="A1634" s="1631"/>
      <c r="B1634" s="406" t="s">
        <v>2788</v>
      </c>
      <c r="C1634" s="292"/>
      <c r="D1634" s="341">
        <v>3</v>
      </c>
      <c r="E1634" s="341">
        <v>0.2</v>
      </c>
      <c r="F1634" s="341">
        <v>0.2</v>
      </c>
      <c r="G1634" s="341">
        <v>1</v>
      </c>
      <c r="H1634" s="482">
        <f>(2*(F1634+E1634))*D1634*G1634</f>
        <v>2.4000000000000004</v>
      </c>
      <c r="I1634" s="1567"/>
      <c r="J1634" s="1543"/>
      <c r="K1634" s="1543"/>
      <c r="L1634" s="1543"/>
      <c r="M1634" s="1543"/>
      <c r="N1634" s="1566"/>
    </row>
    <row r="1635" spans="1:14" ht="24">
      <c r="A1635" s="1631"/>
      <c r="B1635" s="406" t="s">
        <v>2787</v>
      </c>
      <c r="C1635" s="292"/>
      <c r="D1635" s="341">
        <v>3</v>
      </c>
      <c r="E1635" s="341">
        <v>0.2</v>
      </c>
      <c r="F1635" s="341">
        <v>0.2</v>
      </c>
      <c r="G1635" s="341">
        <v>1</v>
      </c>
      <c r="H1635" s="482">
        <f>(2*(F1635+E1635))*D1635*G1635</f>
        <v>2.4000000000000004</v>
      </c>
      <c r="I1635" s="1567"/>
      <c r="J1635" s="1543"/>
      <c r="K1635" s="1543"/>
      <c r="L1635" s="1543"/>
      <c r="M1635" s="1543"/>
      <c r="N1635" s="1566"/>
    </row>
    <row r="1636" spans="1:14">
      <c r="A1636" s="1631"/>
      <c r="B1636" s="406"/>
      <c r="C1636" s="292"/>
      <c r="D1636" s="341"/>
      <c r="E1636" s="341"/>
      <c r="F1636" s="341"/>
      <c r="G1636" s="341"/>
      <c r="H1636" s="482"/>
      <c r="I1636" s="1567"/>
      <c r="J1636" s="1543"/>
      <c r="K1636" s="1543"/>
      <c r="L1636" s="1543"/>
      <c r="M1636" s="1543"/>
      <c r="N1636" s="1566"/>
    </row>
    <row r="1637" spans="1:14">
      <c r="A1637" s="1631"/>
      <c r="B1637" s="406" t="s">
        <v>2806</v>
      </c>
      <c r="C1637" s="292"/>
      <c r="D1637" s="341"/>
      <c r="E1637" s="341"/>
      <c r="F1637" s="341"/>
      <c r="G1637" s="341"/>
      <c r="H1637" s="482"/>
      <c r="I1637" s="1567"/>
      <c r="J1637" s="1543"/>
      <c r="K1637" s="1543"/>
      <c r="L1637" s="1543"/>
      <c r="M1637" s="1543"/>
      <c r="N1637" s="1566"/>
    </row>
    <row r="1638" spans="1:14" ht="24">
      <c r="A1638" s="1631"/>
      <c r="B1638" s="406" t="s">
        <v>2786</v>
      </c>
      <c r="C1638" s="292"/>
      <c r="D1638" s="341">
        <v>3</v>
      </c>
      <c r="E1638" s="341">
        <v>0.2</v>
      </c>
      <c r="F1638" s="341">
        <v>0.2</v>
      </c>
      <c r="G1638" s="341">
        <v>1</v>
      </c>
      <c r="H1638" s="482">
        <f>(2*(F1638+E1638))*D1638*G1638</f>
        <v>2.4000000000000004</v>
      </c>
      <c r="I1638" s="1567"/>
      <c r="J1638" s="1543"/>
      <c r="K1638" s="1543"/>
      <c r="L1638" s="1543"/>
      <c r="M1638" s="1543"/>
      <c r="N1638" s="1566"/>
    </row>
    <row r="1639" spans="1:14" ht="24">
      <c r="A1639" s="1631"/>
      <c r="B1639" s="406" t="s">
        <v>2785</v>
      </c>
      <c r="C1639" s="292"/>
      <c r="D1639" s="341">
        <v>3</v>
      </c>
      <c r="E1639" s="341">
        <v>0.2</v>
      </c>
      <c r="F1639" s="341">
        <v>0.2</v>
      </c>
      <c r="G1639" s="341">
        <v>1</v>
      </c>
      <c r="H1639" s="482">
        <f>(2*(F1639+E1639))*D1639*G1639</f>
        <v>2.4000000000000004</v>
      </c>
      <c r="I1639" s="1567"/>
      <c r="J1639" s="1543"/>
      <c r="K1639" s="1543"/>
      <c r="L1639" s="1543"/>
      <c r="M1639" s="1543"/>
      <c r="N1639" s="1566"/>
    </row>
    <row r="1640" spans="1:14" ht="24">
      <c r="A1640" s="1631"/>
      <c r="B1640" s="406" t="s">
        <v>2784</v>
      </c>
      <c r="C1640" s="292"/>
      <c r="D1640" s="341">
        <v>3</v>
      </c>
      <c r="E1640" s="341">
        <v>0.2</v>
      </c>
      <c r="F1640" s="341">
        <v>0.2</v>
      </c>
      <c r="G1640" s="341">
        <v>1</v>
      </c>
      <c r="H1640" s="482">
        <f>(2*(F1640+E1640))*D1640*G1640</f>
        <v>2.4000000000000004</v>
      </c>
      <c r="I1640" s="1567"/>
      <c r="J1640" s="1543"/>
      <c r="K1640" s="1543"/>
      <c r="L1640" s="1543"/>
      <c r="M1640" s="1543"/>
      <c r="N1640" s="1566"/>
    </row>
    <row r="1641" spans="1:14">
      <c r="A1641" s="1631"/>
      <c r="B1641" s="406"/>
      <c r="C1641" s="292"/>
      <c r="D1641" s="341"/>
      <c r="E1641" s="341"/>
      <c r="F1641" s="341"/>
      <c r="G1641" s="341"/>
      <c r="H1641" s="482"/>
      <c r="I1641" s="1567"/>
      <c r="J1641" s="1543"/>
      <c r="K1641" s="1543"/>
      <c r="L1641" s="1543"/>
      <c r="M1641" s="1543"/>
      <c r="N1641" s="1566"/>
    </row>
    <row r="1642" spans="1:14">
      <c r="A1642" s="1631"/>
      <c r="B1642" s="406" t="s">
        <v>2805</v>
      </c>
      <c r="C1642" s="292"/>
      <c r="D1642" s="341"/>
      <c r="E1642" s="341"/>
      <c r="F1642" s="341"/>
      <c r="G1642" s="341"/>
      <c r="H1642" s="482"/>
      <c r="I1642" s="1567"/>
      <c r="J1642" s="1543"/>
      <c r="K1642" s="1543"/>
      <c r="L1642" s="1543"/>
      <c r="M1642" s="1543"/>
      <c r="N1642" s="1566"/>
    </row>
    <row r="1643" spans="1:14" ht="24">
      <c r="A1643" s="1631"/>
      <c r="B1643" s="406" t="s">
        <v>2783</v>
      </c>
      <c r="C1643" s="292"/>
      <c r="D1643" s="341">
        <v>3</v>
      </c>
      <c r="E1643" s="341">
        <v>0.2</v>
      </c>
      <c r="F1643" s="341">
        <v>0.2</v>
      </c>
      <c r="G1643" s="341">
        <v>1</v>
      </c>
      <c r="H1643" s="482">
        <f>(2*(F1643+E1643))*D1643*G1643</f>
        <v>2.4000000000000004</v>
      </c>
      <c r="I1643" s="1567"/>
      <c r="J1643" s="1543"/>
      <c r="K1643" s="1543"/>
      <c r="L1643" s="1543"/>
      <c r="M1643" s="1543"/>
      <c r="N1643" s="1566"/>
    </row>
    <row r="1644" spans="1:14">
      <c r="A1644" s="1631"/>
      <c r="B1644" s="406"/>
      <c r="C1644" s="292"/>
      <c r="D1644" s="341"/>
      <c r="E1644" s="341"/>
      <c r="F1644" s="341"/>
      <c r="G1644" s="341"/>
      <c r="H1644" s="482"/>
      <c r="I1644" s="1567"/>
      <c r="J1644" s="1543"/>
      <c r="K1644" s="1543"/>
      <c r="L1644" s="1543"/>
      <c r="M1644" s="1543"/>
      <c r="N1644" s="1566"/>
    </row>
    <row r="1645" spans="1:14">
      <c r="A1645" s="1631"/>
      <c r="B1645" s="406" t="s">
        <v>2804</v>
      </c>
      <c r="C1645" s="292"/>
      <c r="D1645" s="341"/>
      <c r="E1645" s="341"/>
      <c r="F1645" s="341"/>
      <c r="G1645" s="341"/>
      <c r="H1645" s="482"/>
      <c r="I1645" s="1567"/>
      <c r="J1645" s="1543"/>
      <c r="K1645" s="1543"/>
      <c r="L1645" s="1543"/>
      <c r="M1645" s="1543"/>
      <c r="N1645" s="1566"/>
    </row>
    <row r="1646" spans="1:14">
      <c r="A1646" s="1631"/>
      <c r="B1646" s="406" t="s">
        <v>2674</v>
      </c>
      <c r="C1646" s="292"/>
      <c r="D1646" s="341">
        <v>13.28</v>
      </c>
      <c r="E1646" s="341">
        <v>0.15</v>
      </c>
      <c r="F1646" s="341">
        <v>0.3</v>
      </c>
      <c r="G1646" s="341">
        <v>1</v>
      </c>
      <c r="H1646" s="482">
        <f>2*(F1646*D1646)*G1646</f>
        <v>7.9679999999999991</v>
      </c>
      <c r="I1646" s="1567"/>
      <c r="J1646" s="1543"/>
      <c r="K1646" s="1543"/>
      <c r="L1646" s="1543"/>
      <c r="M1646" s="1543"/>
      <c r="N1646" s="1566"/>
    </row>
    <row r="1647" spans="1:14">
      <c r="A1647" s="1631"/>
      <c r="B1647" s="406"/>
      <c r="C1647" s="292"/>
      <c r="D1647" s="341"/>
      <c r="E1647" s="341"/>
      <c r="F1647" s="341"/>
      <c r="G1647" s="341"/>
      <c r="H1647" s="482"/>
      <c r="I1647" s="1567"/>
      <c r="J1647" s="1543"/>
      <c r="K1647" s="1543"/>
      <c r="L1647" s="1543"/>
      <c r="M1647" s="1543"/>
      <c r="N1647" s="1566"/>
    </row>
    <row r="1648" spans="1:14">
      <c r="A1648" s="1631"/>
      <c r="B1648" s="406" t="s">
        <v>2803</v>
      </c>
      <c r="C1648" s="292"/>
      <c r="D1648" s="341"/>
      <c r="E1648" s="341"/>
      <c r="F1648" s="341"/>
      <c r="G1648" s="341"/>
      <c r="H1648" s="482">
        <v>21.4</v>
      </c>
      <c r="I1648" s="1567"/>
      <c r="J1648" s="1543"/>
      <c r="K1648" s="1543"/>
      <c r="L1648" s="1543"/>
      <c r="M1648" s="1543"/>
      <c r="N1648" s="1566"/>
    </row>
    <row r="1649" spans="1:14">
      <c r="A1649" s="1631"/>
      <c r="B1649" s="406" t="s">
        <v>2694</v>
      </c>
      <c r="C1649" s="292"/>
      <c r="D1649" s="341">
        <v>38.909999999999997</v>
      </c>
      <c r="E1649" s="341">
        <v>0.15</v>
      </c>
      <c r="F1649" s="341">
        <v>0.3</v>
      </c>
      <c r="G1649" s="341">
        <v>1</v>
      </c>
      <c r="H1649" s="482">
        <f>D1649*((2*F1649)+E1649)</f>
        <v>29.182499999999997</v>
      </c>
      <c r="I1649" s="1567"/>
      <c r="J1649" s="1543"/>
      <c r="K1649" s="1543"/>
      <c r="L1649" s="1543"/>
      <c r="M1649" s="1543"/>
      <c r="N1649" s="1566"/>
    </row>
    <row r="1650" spans="1:14">
      <c r="A1650" s="1632"/>
      <c r="B1650" s="406" t="s">
        <v>2712</v>
      </c>
      <c r="C1650" s="292"/>
      <c r="D1650" s="341"/>
      <c r="E1650" s="341">
        <v>0.65</v>
      </c>
      <c r="F1650" s="341">
        <v>0.85</v>
      </c>
      <c r="G1650" s="341">
        <v>4</v>
      </c>
      <c r="H1650" s="482">
        <f>(E1650+F1650)*G1650</f>
        <v>6</v>
      </c>
      <c r="I1650" s="1567"/>
      <c r="J1650" s="1543"/>
      <c r="K1650" s="1543"/>
      <c r="L1650" s="1543"/>
      <c r="M1650" s="1543"/>
      <c r="N1650" s="1566"/>
    </row>
    <row r="1651" spans="1:14">
      <c r="A1651" s="1631" t="s">
        <v>2843</v>
      </c>
      <c r="B1651" s="406" t="s">
        <v>2851</v>
      </c>
      <c r="C1651" s="292"/>
      <c r="D1651" s="341"/>
      <c r="E1651" s="341"/>
      <c r="F1651" s="341"/>
      <c r="G1651" s="341"/>
      <c r="H1651" s="482"/>
      <c r="I1651" s="1567"/>
      <c r="J1651" s="1543"/>
      <c r="K1651" s="1543"/>
      <c r="L1651" s="1543"/>
      <c r="M1651" s="1543"/>
      <c r="N1651" s="1566"/>
    </row>
    <row r="1652" spans="1:14">
      <c r="A1652" s="1631"/>
      <c r="B1652" s="406" t="s">
        <v>2548</v>
      </c>
      <c r="C1652" s="292"/>
      <c r="D1652" s="341">
        <v>3.93</v>
      </c>
      <c r="E1652" s="341">
        <v>0.15</v>
      </c>
      <c r="F1652" s="341">
        <v>0.4</v>
      </c>
      <c r="G1652" s="341">
        <v>1</v>
      </c>
      <c r="H1652" s="482">
        <f t="shared" ref="H1652:H1662" si="38">D1652*((2*F1652)+E1652)</f>
        <v>3.7335000000000003</v>
      </c>
      <c r="I1652" s="1567"/>
      <c r="J1652" s="1543"/>
      <c r="K1652" s="1543"/>
      <c r="L1652" s="1543"/>
      <c r="M1652" s="1543"/>
      <c r="N1652" s="1566"/>
    </row>
    <row r="1653" spans="1:14">
      <c r="A1653" s="1631"/>
      <c r="B1653" s="406" t="s">
        <v>2549</v>
      </c>
      <c r="C1653" s="292"/>
      <c r="D1653" s="341">
        <v>1.1000000000000001</v>
      </c>
      <c r="E1653" s="341">
        <v>0.15</v>
      </c>
      <c r="F1653" s="341">
        <v>0.4</v>
      </c>
      <c r="G1653" s="341">
        <v>1</v>
      </c>
      <c r="H1653" s="482">
        <f t="shared" si="38"/>
        <v>1.0450000000000002</v>
      </c>
      <c r="I1653" s="1567"/>
      <c r="J1653" s="1543"/>
      <c r="K1653" s="1543"/>
      <c r="L1653" s="1543"/>
      <c r="M1653" s="1543"/>
      <c r="N1653" s="1566"/>
    </row>
    <row r="1654" spans="1:14">
      <c r="A1654" s="1631"/>
      <c r="B1654" s="406" t="s">
        <v>2576</v>
      </c>
      <c r="C1654" s="292"/>
      <c r="D1654" s="341">
        <v>8.77</v>
      </c>
      <c r="E1654" s="341">
        <v>0.2</v>
      </c>
      <c r="F1654" s="341">
        <v>0.5</v>
      </c>
      <c r="G1654" s="341">
        <v>1</v>
      </c>
      <c r="H1654" s="482">
        <f t="shared" si="38"/>
        <v>10.523999999999999</v>
      </c>
      <c r="I1654" s="1567"/>
      <c r="J1654" s="1543"/>
      <c r="K1654" s="1543"/>
      <c r="L1654" s="1543"/>
      <c r="M1654" s="1543"/>
      <c r="N1654" s="1566"/>
    </row>
    <row r="1655" spans="1:14">
      <c r="A1655" s="1631"/>
      <c r="B1655" s="406" t="s">
        <v>2577</v>
      </c>
      <c r="C1655" s="292"/>
      <c r="D1655" s="341">
        <v>8.83</v>
      </c>
      <c r="E1655" s="341">
        <v>0.2</v>
      </c>
      <c r="F1655" s="341">
        <v>0.5</v>
      </c>
      <c r="G1655" s="341">
        <v>1</v>
      </c>
      <c r="H1655" s="482">
        <f t="shared" si="38"/>
        <v>10.596</v>
      </c>
      <c r="I1655" s="1567"/>
      <c r="J1655" s="1543"/>
      <c r="K1655" s="1543"/>
      <c r="L1655" s="1543"/>
      <c r="M1655" s="1543"/>
      <c r="N1655" s="1566"/>
    </row>
    <row r="1656" spans="1:14">
      <c r="A1656" s="1631"/>
      <c r="B1656" s="406" t="s">
        <v>2578</v>
      </c>
      <c r="C1656" s="292"/>
      <c r="D1656" s="341">
        <v>16.2</v>
      </c>
      <c r="E1656" s="341">
        <v>0.2</v>
      </c>
      <c r="F1656" s="341">
        <v>0.5</v>
      </c>
      <c r="G1656" s="341">
        <v>1</v>
      </c>
      <c r="H1656" s="482">
        <f t="shared" si="38"/>
        <v>19.439999999999998</v>
      </c>
      <c r="I1656" s="1567"/>
      <c r="J1656" s="1543"/>
      <c r="K1656" s="1543"/>
      <c r="L1656" s="1543"/>
      <c r="M1656" s="1543"/>
      <c r="N1656" s="1566"/>
    </row>
    <row r="1657" spans="1:14">
      <c r="A1657" s="1631"/>
      <c r="B1657" s="406" t="s">
        <v>2579</v>
      </c>
      <c r="C1657" s="292"/>
      <c r="D1657" s="341">
        <v>10.6</v>
      </c>
      <c r="E1657" s="341">
        <v>0.2</v>
      </c>
      <c r="F1657" s="341">
        <v>0.5</v>
      </c>
      <c r="G1657" s="341">
        <v>1</v>
      </c>
      <c r="H1657" s="482">
        <f t="shared" si="38"/>
        <v>12.719999999999999</v>
      </c>
      <c r="I1657" s="1567"/>
      <c r="J1657" s="1543"/>
      <c r="K1657" s="1543"/>
      <c r="L1657" s="1543"/>
      <c r="M1657" s="1543"/>
      <c r="N1657" s="1566"/>
    </row>
    <row r="1658" spans="1:14">
      <c r="A1658" s="1631"/>
      <c r="B1658" s="406" t="s">
        <v>2671</v>
      </c>
      <c r="C1658" s="292"/>
      <c r="D1658" s="341">
        <v>16.899999999999999</v>
      </c>
      <c r="E1658" s="341">
        <v>0.2</v>
      </c>
      <c r="F1658" s="341">
        <v>0.5</v>
      </c>
      <c r="G1658" s="341">
        <v>1</v>
      </c>
      <c r="H1658" s="482">
        <f t="shared" si="38"/>
        <v>20.279999999999998</v>
      </c>
      <c r="I1658" s="1567"/>
      <c r="J1658" s="1543"/>
      <c r="K1658" s="1543"/>
      <c r="L1658" s="1543"/>
      <c r="M1658" s="1543"/>
      <c r="N1658" s="1566"/>
    </row>
    <row r="1659" spans="1:14">
      <c r="A1659" s="1631"/>
      <c r="B1659" s="406" t="s">
        <v>2672</v>
      </c>
      <c r="C1659" s="292"/>
      <c r="D1659" s="341">
        <v>3.2</v>
      </c>
      <c r="E1659" s="341">
        <v>0.15</v>
      </c>
      <c r="F1659" s="341">
        <v>0.4</v>
      </c>
      <c r="G1659" s="341">
        <v>1</v>
      </c>
      <c r="H1659" s="482">
        <f t="shared" si="38"/>
        <v>3.0400000000000005</v>
      </c>
      <c r="I1659" s="1567"/>
      <c r="J1659" s="1543"/>
      <c r="K1659" s="1543"/>
      <c r="L1659" s="1543"/>
      <c r="M1659" s="1543"/>
      <c r="N1659" s="1566"/>
    </row>
    <row r="1660" spans="1:14">
      <c r="A1660" s="1631"/>
      <c r="B1660" s="406" t="s">
        <v>2673</v>
      </c>
      <c r="C1660" s="292"/>
      <c r="D1660" s="341">
        <v>5</v>
      </c>
      <c r="E1660" s="341">
        <v>0.2</v>
      </c>
      <c r="F1660" s="341">
        <v>0.5</v>
      </c>
      <c r="G1660" s="341">
        <v>1</v>
      </c>
      <c r="H1660" s="482">
        <f t="shared" si="38"/>
        <v>6</v>
      </c>
      <c r="I1660" s="1567"/>
      <c r="J1660" s="1543"/>
      <c r="K1660" s="1543"/>
      <c r="L1660" s="1543"/>
      <c r="M1660" s="1543"/>
      <c r="N1660" s="1566"/>
    </row>
    <row r="1661" spans="1:14">
      <c r="A1661" s="1631"/>
      <c r="B1661" s="406" t="s">
        <v>2675</v>
      </c>
      <c r="C1661" s="292"/>
      <c r="D1661" s="341">
        <v>3.93</v>
      </c>
      <c r="E1661" s="341">
        <v>0.15</v>
      </c>
      <c r="F1661" s="341">
        <v>0.4</v>
      </c>
      <c r="G1661" s="341">
        <v>1</v>
      </c>
      <c r="H1661" s="482">
        <f t="shared" si="38"/>
        <v>3.7335000000000003</v>
      </c>
      <c r="I1661" s="1567"/>
      <c r="J1661" s="1543"/>
      <c r="K1661" s="1543"/>
      <c r="L1661" s="1543"/>
      <c r="M1661" s="1543"/>
      <c r="N1661" s="1566"/>
    </row>
    <row r="1662" spans="1:14">
      <c r="A1662" s="1631"/>
      <c r="B1662" s="406" t="s">
        <v>2678</v>
      </c>
      <c r="C1662" s="292"/>
      <c r="D1662" s="341">
        <v>8.67</v>
      </c>
      <c r="E1662" s="341">
        <v>0.2</v>
      </c>
      <c r="F1662" s="341">
        <v>0.5</v>
      </c>
      <c r="G1662" s="341">
        <v>1</v>
      </c>
      <c r="H1662" s="482">
        <f t="shared" si="38"/>
        <v>10.404</v>
      </c>
      <c r="I1662" s="1567"/>
      <c r="J1662" s="1543"/>
      <c r="K1662" s="1543"/>
      <c r="L1662" s="1543"/>
      <c r="M1662" s="1543"/>
      <c r="N1662" s="1566"/>
    </row>
    <row r="1663" spans="1:14">
      <c r="A1663" s="1631"/>
      <c r="B1663" s="406" t="s">
        <v>2819</v>
      </c>
      <c r="C1663" s="483">
        <v>10.43</v>
      </c>
      <c r="D1663" s="341"/>
      <c r="E1663" s="341"/>
      <c r="F1663" s="341"/>
      <c r="G1663" s="341"/>
      <c r="H1663" s="482">
        <f t="shared" ref="H1663:H1668" si="39">C1663</f>
        <v>10.43</v>
      </c>
      <c r="I1663" s="1567"/>
      <c r="J1663" s="1543"/>
      <c r="K1663" s="1543"/>
      <c r="L1663" s="1543"/>
      <c r="M1663" s="1543"/>
      <c r="N1663" s="1566"/>
    </row>
    <row r="1664" spans="1:14">
      <c r="A1664" s="1631"/>
      <c r="B1664" s="406" t="s">
        <v>2818</v>
      </c>
      <c r="C1664" s="483">
        <v>24.06</v>
      </c>
      <c r="D1664" s="341"/>
      <c r="E1664" s="341"/>
      <c r="F1664" s="341"/>
      <c r="G1664" s="341"/>
      <c r="H1664" s="482">
        <f t="shared" si="39"/>
        <v>24.06</v>
      </c>
      <c r="I1664" s="1567"/>
      <c r="J1664" s="1543"/>
      <c r="K1664" s="1543"/>
      <c r="L1664" s="1543"/>
      <c r="M1664" s="1543"/>
      <c r="N1664" s="1566"/>
    </row>
    <row r="1665" spans="1:14">
      <c r="A1665" s="1631"/>
      <c r="B1665" s="406" t="s">
        <v>2817</v>
      </c>
      <c r="C1665" s="483">
        <v>8.4499999999999993</v>
      </c>
      <c r="D1665" s="341"/>
      <c r="E1665" s="341"/>
      <c r="F1665" s="341"/>
      <c r="G1665" s="341"/>
      <c r="H1665" s="482">
        <f t="shared" si="39"/>
        <v>8.4499999999999993</v>
      </c>
      <c r="I1665" s="1567"/>
      <c r="J1665" s="1543"/>
      <c r="K1665" s="1543"/>
      <c r="L1665" s="1543"/>
      <c r="M1665" s="1543"/>
      <c r="N1665" s="1566"/>
    </row>
    <row r="1666" spans="1:14">
      <c r="A1666" s="1631"/>
      <c r="B1666" s="406" t="s">
        <v>2816</v>
      </c>
      <c r="C1666" s="483">
        <v>1.71</v>
      </c>
      <c r="D1666" s="341"/>
      <c r="E1666" s="341"/>
      <c r="F1666" s="341"/>
      <c r="G1666" s="341"/>
      <c r="H1666" s="482">
        <f t="shared" si="39"/>
        <v>1.71</v>
      </c>
      <c r="I1666" s="1567"/>
      <c r="J1666" s="1543"/>
      <c r="K1666" s="1543"/>
      <c r="L1666" s="1543"/>
      <c r="M1666" s="1543"/>
      <c r="N1666" s="1566"/>
    </row>
    <row r="1667" spans="1:14">
      <c r="A1667" s="1631"/>
      <c r="B1667" s="406" t="s">
        <v>2815</v>
      </c>
      <c r="C1667" s="483">
        <v>27.98</v>
      </c>
      <c r="D1667" s="341"/>
      <c r="E1667" s="341"/>
      <c r="F1667" s="341"/>
      <c r="G1667" s="341"/>
      <c r="H1667" s="482">
        <f t="shared" si="39"/>
        <v>27.98</v>
      </c>
      <c r="I1667" s="1567"/>
      <c r="J1667" s="1543"/>
      <c r="K1667" s="1543"/>
      <c r="L1667" s="1543"/>
      <c r="M1667" s="1543"/>
      <c r="N1667" s="1566"/>
    </row>
    <row r="1668" spans="1:14">
      <c r="A1668" s="1631"/>
      <c r="B1668" s="412" t="s">
        <v>2814</v>
      </c>
      <c r="C1668" s="484">
        <v>19.09</v>
      </c>
      <c r="D1668" s="484"/>
      <c r="E1668" s="351"/>
      <c r="F1668" s="351"/>
      <c r="G1668" s="351"/>
      <c r="H1668" s="485">
        <f t="shared" si="39"/>
        <v>19.09</v>
      </c>
      <c r="I1668" s="1567"/>
      <c r="J1668" s="1543"/>
      <c r="K1668" s="1543"/>
      <c r="L1668" s="1543"/>
      <c r="M1668" s="1543"/>
      <c r="N1668" s="1566"/>
    </row>
    <row r="1669" spans="1:14">
      <c r="A1669" s="1514" t="s">
        <v>2895</v>
      </c>
      <c r="B1669" s="405" t="s">
        <v>2935</v>
      </c>
      <c r="C1669" s="483"/>
      <c r="D1669" s="292"/>
      <c r="E1669" s="901"/>
      <c r="F1669" s="292"/>
      <c r="G1669" s="361"/>
      <c r="H1669" s="482"/>
      <c r="I1669" s="1567"/>
      <c r="J1669" s="1543"/>
      <c r="K1669" s="1543"/>
      <c r="L1669" s="1543"/>
      <c r="M1669" s="1543"/>
      <c r="N1669" s="1566"/>
    </row>
    <row r="1670" spans="1:14">
      <c r="A1670" s="1523"/>
      <c r="B1670" s="405" t="s">
        <v>2548</v>
      </c>
      <c r="C1670" s="276"/>
      <c r="D1670" s="483">
        <v>9.58</v>
      </c>
      <c r="E1670" s="341">
        <v>0.2</v>
      </c>
      <c r="F1670" s="341">
        <v>0.4</v>
      </c>
      <c r="G1670" s="341">
        <v>1</v>
      </c>
      <c r="H1670" s="482">
        <f t="shared" ref="H1670:H1675" si="40">D1670*((2*F1670)+E1670)</f>
        <v>9.58</v>
      </c>
      <c r="I1670" s="1567"/>
      <c r="J1670" s="1543"/>
      <c r="K1670" s="1543"/>
      <c r="L1670" s="1543"/>
      <c r="M1670" s="1543"/>
      <c r="N1670" s="1566"/>
    </row>
    <row r="1671" spans="1:14">
      <c r="A1671" s="1523"/>
      <c r="B1671" s="405" t="s">
        <v>2549</v>
      </c>
      <c r="C1671" s="483"/>
      <c r="D1671" s="483">
        <v>1.4</v>
      </c>
      <c r="E1671" s="341">
        <v>0.15</v>
      </c>
      <c r="F1671" s="341">
        <f>0.25+0.39/2</f>
        <v>0.44500000000000001</v>
      </c>
      <c r="G1671" s="341">
        <v>1</v>
      </c>
      <c r="H1671" s="482">
        <f t="shared" si="40"/>
        <v>1.456</v>
      </c>
      <c r="I1671" s="1567"/>
      <c r="J1671" s="1543"/>
      <c r="K1671" s="1543"/>
      <c r="L1671" s="1543"/>
      <c r="M1671" s="1543"/>
      <c r="N1671" s="1566"/>
    </row>
    <row r="1672" spans="1:14">
      <c r="A1672" s="1523"/>
      <c r="B1672" s="405" t="s">
        <v>2576</v>
      </c>
      <c r="C1672" s="483"/>
      <c r="D1672" s="483">
        <v>1.4</v>
      </c>
      <c r="E1672" s="341">
        <v>0.15</v>
      </c>
      <c r="F1672" s="341">
        <f>0.25+0.39/2</f>
        <v>0.44500000000000001</v>
      </c>
      <c r="G1672" s="341">
        <v>1</v>
      </c>
      <c r="H1672" s="482">
        <f t="shared" si="40"/>
        <v>1.456</v>
      </c>
      <c r="I1672" s="1567"/>
      <c r="J1672" s="1543"/>
      <c r="K1672" s="1543"/>
      <c r="L1672" s="1543"/>
      <c r="M1672" s="1543"/>
      <c r="N1672" s="1566"/>
    </row>
    <row r="1673" spans="1:14">
      <c r="A1673" s="1523"/>
      <c r="B1673" s="405" t="s">
        <v>2577</v>
      </c>
      <c r="C1673" s="483"/>
      <c r="D1673" s="483">
        <v>9.43</v>
      </c>
      <c r="E1673" s="341">
        <v>0.2</v>
      </c>
      <c r="F1673" s="341">
        <v>0.4</v>
      </c>
      <c r="G1673" s="341">
        <v>1</v>
      </c>
      <c r="H1673" s="482">
        <f t="shared" si="40"/>
        <v>9.43</v>
      </c>
      <c r="I1673" s="1567"/>
      <c r="J1673" s="1543"/>
      <c r="K1673" s="1543"/>
      <c r="L1673" s="1543"/>
      <c r="M1673" s="1543"/>
      <c r="N1673" s="1566"/>
    </row>
    <row r="1674" spans="1:14">
      <c r="A1674" s="1523"/>
      <c r="B1674" s="405" t="s">
        <v>2578</v>
      </c>
      <c r="C1674" s="483"/>
      <c r="D1674" s="483">
        <v>10.73</v>
      </c>
      <c r="E1674" s="341">
        <v>0.2</v>
      </c>
      <c r="F1674" s="341">
        <v>0.4</v>
      </c>
      <c r="G1674" s="341">
        <v>1</v>
      </c>
      <c r="H1674" s="482">
        <f t="shared" si="40"/>
        <v>10.73</v>
      </c>
      <c r="I1674" s="1567"/>
      <c r="J1674" s="1543"/>
      <c r="K1674" s="1543"/>
      <c r="L1674" s="1543"/>
      <c r="M1674" s="1543"/>
      <c r="N1674" s="1566"/>
    </row>
    <row r="1675" spans="1:14">
      <c r="A1675" s="1523"/>
      <c r="B1675" s="405" t="s">
        <v>2579</v>
      </c>
      <c r="C1675" s="483"/>
      <c r="D1675" s="483">
        <v>1.8</v>
      </c>
      <c r="E1675" s="341">
        <v>0.15</v>
      </c>
      <c r="F1675" s="341">
        <f>0.15+0.25/2</f>
        <v>0.27500000000000002</v>
      </c>
      <c r="G1675" s="341">
        <v>1</v>
      </c>
      <c r="H1675" s="482">
        <f t="shared" si="40"/>
        <v>1.2600000000000002</v>
      </c>
      <c r="I1675" s="1567"/>
      <c r="J1675" s="1543"/>
      <c r="K1675" s="1543"/>
      <c r="L1675" s="1543"/>
      <c r="M1675" s="1543"/>
      <c r="N1675" s="1566"/>
    </row>
    <row r="1676" spans="1:14">
      <c r="A1676" s="1515"/>
      <c r="B1676" s="405" t="s">
        <v>2671</v>
      </c>
      <c r="C1676" s="483"/>
      <c r="D1676" s="483">
        <v>1.8</v>
      </c>
      <c r="E1676" s="341">
        <v>0.15</v>
      </c>
      <c r="F1676" s="341">
        <f>0.15+0.25/2</f>
        <v>0.27500000000000002</v>
      </c>
      <c r="G1676" s="341">
        <v>1</v>
      </c>
      <c r="H1676" s="482">
        <f>D1676*((2*F1676)+E1676)-0.17</f>
        <v>1.0900000000000003</v>
      </c>
      <c r="I1676" s="1567"/>
      <c r="J1676" s="1543"/>
      <c r="K1676" s="1543"/>
      <c r="L1676" s="1543"/>
      <c r="M1676" s="1543"/>
      <c r="N1676" s="1566"/>
    </row>
    <row r="1677" spans="1:14">
      <c r="A1677" s="1523" t="s">
        <v>2997</v>
      </c>
      <c r="B1677" s="442" t="s">
        <v>2896</v>
      </c>
      <c r="C1677" s="430"/>
      <c r="D1677" s="287"/>
      <c r="E1677" s="531"/>
      <c r="F1677" s="287"/>
      <c r="G1677" s="431"/>
      <c r="H1677" s="486"/>
      <c r="I1677" s="1567"/>
      <c r="J1677" s="1543"/>
      <c r="K1677" s="1543"/>
      <c r="L1677" s="1543"/>
      <c r="M1677" s="1543"/>
      <c r="N1677" s="1566"/>
    </row>
    <row r="1678" spans="1:14">
      <c r="A1678" s="1523"/>
      <c r="B1678" s="406" t="s">
        <v>2897</v>
      </c>
      <c r="C1678" s="483">
        <f>E1678*F1678</f>
        <v>1.26</v>
      </c>
      <c r="D1678" s="483"/>
      <c r="E1678" s="341">
        <f>2.1*4</f>
        <v>8.4</v>
      </c>
      <c r="F1678" s="341">
        <v>0.15</v>
      </c>
      <c r="G1678" s="341">
        <v>2</v>
      </c>
      <c r="H1678" s="482">
        <f>C1678*G1678</f>
        <v>2.52</v>
      </c>
      <c r="I1678" s="1567"/>
      <c r="J1678" s="1543"/>
      <c r="K1678" s="1543"/>
      <c r="L1678" s="1543"/>
      <c r="M1678" s="1543"/>
      <c r="N1678" s="1566"/>
    </row>
    <row r="1679" spans="1:14">
      <c r="A1679" s="1523"/>
      <c r="B1679" s="406" t="s">
        <v>2898</v>
      </c>
      <c r="C1679" s="483">
        <f>2.1*2.1</f>
        <v>4.41</v>
      </c>
      <c r="D1679" s="483"/>
      <c r="E1679" s="341"/>
      <c r="F1679" s="341"/>
      <c r="G1679" s="341">
        <v>2</v>
      </c>
      <c r="H1679" s="482">
        <f>C1679*G1679</f>
        <v>8.82</v>
      </c>
      <c r="I1679" s="1567"/>
      <c r="J1679" s="1543"/>
      <c r="K1679" s="1543"/>
      <c r="L1679" s="1543"/>
      <c r="M1679" s="1543"/>
      <c r="N1679" s="1566"/>
    </row>
    <row r="1680" spans="1:14">
      <c r="A1680" s="1523"/>
      <c r="B1680" s="406"/>
      <c r="C1680" s="483"/>
      <c r="D1680" s="483"/>
      <c r="E1680" s="341"/>
      <c r="F1680" s="341"/>
      <c r="G1680" s="341"/>
      <c r="H1680" s="482"/>
      <c r="I1680" s="1567"/>
      <c r="J1680" s="1543"/>
      <c r="K1680" s="1543"/>
      <c r="L1680" s="1543"/>
      <c r="M1680" s="1543"/>
      <c r="N1680" s="1566"/>
    </row>
    <row r="1681" spans="1:14">
      <c r="A1681" s="1523"/>
      <c r="B1681" s="458" t="s">
        <v>2936</v>
      </c>
      <c r="C1681" s="292"/>
      <c r="D1681" s="341"/>
      <c r="E1681" s="341"/>
      <c r="F1681" s="341"/>
      <c r="G1681" s="341"/>
      <c r="H1681" s="482"/>
      <c r="I1681" s="1567"/>
      <c r="J1681" s="1543"/>
      <c r="K1681" s="1543"/>
      <c r="L1681" s="1543"/>
      <c r="M1681" s="1543"/>
      <c r="N1681" s="1566"/>
    </row>
    <row r="1682" spans="1:14">
      <c r="A1682" s="1523"/>
      <c r="B1682" s="406" t="s">
        <v>2937</v>
      </c>
      <c r="C1682" s="292"/>
      <c r="D1682" s="341">
        <v>1.1000000000000001</v>
      </c>
      <c r="E1682" s="341">
        <v>0.2</v>
      </c>
      <c r="F1682" s="341">
        <v>0.3</v>
      </c>
      <c r="G1682" s="341">
        <v>2</v>
      </c>
      <c r="H1682" s="482">
        <f>(2*(F1682+E1682))*D1682*G1682</f>
        <v>2.2000000000000002</v>
      </c>
      <c r="I1682" s="1567"/>
      <c r="J1682" s="1543"/>
      <c r="K1682" s="1543"/>
      <c r="L1682" s="1543"/>
      <c r="M1682" s="1543"/>
      <c r="N1682" s="1566"/>
    </row>
    <row r="1683" spans="1:14">
      <c r="A1683" s="1523"/>
      <c r="B1683" s="406" t="s">
        <v>2938</v>
      </c>
      <c r="C1683" s="483"/>
      <c r="D1683" s="483">
        <v>1.1000000000000001</v>
      </c>
      <c r="E1683" s="341">
        <v>0.2</v>
      </c>
      <c r="F1683" s="341">
        <v>0.3</v>
      </c>
      <c r="G1683" s="341">
        <v>1</v>
      </c>
      <c r="H1683" s="482">
        <f>(2*(F1683+E1683))*D1683*G1683</f>
        <v>1.1000000000000001</v>
      </c>
      <c r="I1683" s="1567"/>
      <c r="J1683" s="1543"/>
      <c r="K1683" s="1543"/>
      <c r="L1683" s="1543"/>
      <c r="M1683" s="1543"/>
      <c r="N1683" s="1566"/>
    </row>
    <row r="1684" spans="1:14">
      <c r="A1684" s="1523"/>
      <c r="B1684" s="406" t="s">
        <v>2939</v>
      </c>
      <c r="C1684" s="483"/>
      <c r="D1684" s="483">
        <v>1.1000000000000001</v>
      </c>
      <c r="E1684" s="341">
        <v>0.2</v>
      </c>
      <c r="F1684" s="341">
        <v>0.2</v>
      </c>
      <c r="G1684" s="341">
        <v>1</v>
      </c>
      <c r="H1684" s="482">
        <f>(2*(F1684+E1684))*D1684*G1684</f>
        <v>0.88000000000000012</v>
      </c>
      <c r="I1684" s="1567"/>
      <c r="J1684" s="1543"/>
      <c r="K1684" s="1543"/>
      <c r="L1684" s="1543"/>
      <c r="M1684" s="1543"/>
      <c r="N1684" s="1566"/>
    </row>
    <row r="1685" spans="1:14">
      <c r="A1685" s="1523"/>
      <c r="B1685" s="406" t="s">
        <v>2940</v>
      </c>
      <c r="C1685" s="483"/>
      <c r="D1685" s="483">
        <v>1.1000000000000001</v>
      </c>
      <c r="E1685" s="341">
        <v>0.2</v>
      </c>
      <c r="F1685" s="341">
        <v>0.2</v>
      </c>
      <c r="G1685" s="341">
        <v>3</v>
      </c>
      <c r="H1685" s="482">
        <f>(2*(F1685+E1685))*D1685*G1685</f>
        <v>2.6400000000000006</v>
      </c>
      <c r="I1685" s="1567"/>
      <c r="J1685" s="1543"/>
      <c r="K1685" s="1543"/>
      <c r="L1685" s="1543"/>
      <c r="M1685" s="1543"/>
      <c r="N1685" s="1566"/>
    </row>
    <row r="1686" spans="1:14" ht="24">
      <c r="A1686" s="1523"/>
      <c r="B1686" s="406" t="s">
        <v>2941</v>
      </c>
      <c r="C1686" s="483"/>
      <c r="D1686" s="483">
        <v>1.1000000000000001</v>
      </c>
      <c r="E1686" s="341">
        <v>0.15</v>
      </c>
      <c r="F1686" s="341">
        <v>0.26</v>
      </c>
      <c r="G1686" s="341">
        <v>4</v>
      </c>
      <c r="H1686" s="482">
        <f>(2*(F1686+E1686))*D1686*G1686</f>
        <v>3.6080000000000005</v>
      </c>
      <c r="I1686" s="1567"/>
      <c r="J1686" s="1543"/>
      <c r="K1686" s="1543"/>
      <c r="L1686" s="1543"/>
      <c r="M1686" s="1543"/>
      <c r="N1686" s="1566"/>
    </row>
    <row r="1687" spans="1:14">
      <c r="A1687" s="1523"/>
      <c r="B1687" s="513" t="s">
        <v>3019</v>
      </c>
      <c r="C1687" s="291"/>
      <c r="D1687" s="514"/>
      <c r="E1687" s="1330"/>
      <c r="F1687" s="514"/>
      <c r="G1687" s="514"/>
      <c r="H1687" s="815"/>
      <c r="I1687" s="1567"/>
      <c r="J1687" s="1543"/>
      <c r="K1687" s="1543"/>
      <c r="L1687" s="1543"/>
      <c r="M1687" s="1543"/>
      <c r="N1687" s="1566"/>
    </row>
    <row r="1688" spans="1:14">
      <c r="A1688" s="1523"/>
      <c r="B1688" s="515" t="s">
        <v>3020</v>
      </c>
      <c r="C1688" s="291"/>
      <c r="D1688" s="514"/>
      <c r="E1688" s="1330"/>
      <c r="F1688" s="514"/>
      <c r="G1688" s="514"/>
      <c r="H1688" s="815"/>
      <c r="I1688" s="1567"/>
      <c r="J1688" s="1543"/>
      <c r="K1688" s="1543"/>
      <c r="L1688" s="1543"/>
      <c r="M1688" s="1543"/>
      <c r="N1688" s="1566"/>
    </row>
    <row r="1689" spans="1:14">
      <c r="A1689" s="1523"/>
      <c r="B1689" s="516" t="s">
        <v>2548</v>
      </c>
      <c r="C1689" s="291"/>
      <c r="D1689" s="514">
        <f>8.94-0.2</f>
        <v>8.74</v>
      </c>
      <c r="E1689" s="1330">
        <v>0.2</v>
      </c>
      <c r="F1689" s="514">
        <v>0.4</v>
      </c>
      <c r="G1689" s="514">
        <v>1</v>
      </c>
      <c r="H1689" s="482">
        <f>D1689*((2*F1689)+E1689)</f>
        <v>8.74</v>
      </c>
      <c r="I1689" s="1567"/>
      <c r="J1689" s="1543"/>
      <c r="K1689" s="1543"/>
      <c r="L1689" s="1543"/>
      <c r="M1689" s="1543"/>
      <c r="N1689" s="1566"/>
    </row>
    <row r="1690" spans="1:14">
      <c r="A1690" s="1523"/>
      <c r="B1690" s="513" t="s">
        <v>3017</v>
      </c>
      <c r="C1690" s="291"/>
      <c r="D1690" s="514"/>
      <c r="E1690" s="1330"/>
      <c r="F1690" s="514"/>
      <c r="G1690" s="514"/>
      <c r="H1690" s="815"/>
      <c r="I1690" s="1567"/>
      <c r="J1690" s="1543"/>
      <c r="K1690" s="1543"/>
      <c r="L1690" s="1543"/>
      <c r="M1690" s="1543"/>
      <c r="N1690" s="1566"/>
    </row>
    <row r="1691" spans="1:14">
      <c r="A1691" s="1523"/>
      <c r="B1691" s="515" t="s">
        <v>3021</v>
      </c>
      <c r="C1691" s="291"/>
      <c r="D1691" s="514"/>
      <c r="E1691" s="1330"/>
      <c r="F1691" s="514"/>
      <c r="G1691" s="514"/>
      <c r="H1691" s="815"/>
      <c r="I1691" s="1567"/>
      <c r="J1691" s="1543"/>
      <c r="K1691" s="1543"/>
      <c r="L1691" s="1543"/>
      <c r="M1691" s="1543"/>
      <c r="N1691" s="1566"/>
    </row>
    <row r="1692" spans="1:14">
      <c r="A1692" s="1523"/>
      <c r="B1692" s="516" t="s">
        <v>2548</v>
      </c>
      <c r="C1692" s="291"/>
      <c r="D1692" s="514">
        <f>8.94-0.2</f>
        <v>8.74</v>
      </c>
      <c r="E1692" s="1330">
        <v>0.2</v>
      </c>
      <c r="F1692" s="514">
        <v>0.4</v>
      </c>
      <c r="G1692" s="514">
        <v>1</v>
      </c>
      <c r="H1692" s="482">
        <f>D1692*((2*F1692)+E1692)-0.25</f>
        <v>8.49</v>
      </c>
      <c r="I1692" s="1567"/>
      <c r="J1692" s="1543"/>
      <c r="K1692" s="1543"/>
      <c r="L1692" s="1543"/>
      <c r="M1692" s="1543"/>
      <c r="N1692" s="1566"/>
    </row>
    <row r="1693" spans="1:14">
      <c r="A1693" s="1523"/>
      <c r="B1693" s="516" t="s">
        <v>2549</v>
      </c>
      <c r="C1693" s="517" t="s">
        <v>3018</v>
      </c>
      <c r="D1693" s="514">
        <v>6.1159999999999997</v>
      </c>
      <c r="E1693" s="1330">
        <v>0.2</v>
      </c>
      <c r="F1693" s="514">
        <v>0.4</v>
      </c>
      <c r="G1693" s="514">
        <v>1</v>
      </c>
      <c r="H1693" s="815">
        <f>(2*F1693+E1693)*D1693*G1693</f>
        <v>6.1159999999999997</v>
      </c>
      <c r="I1693" s="1567"/>
      <c r="J1693" s="1543"/>
      <c r="K1693" s="1543"/>
      <c r="L1693" s="1543"/>
      <c r="M1693" s="1543"/>
      <c r="N1693" s="1566"/>
    </row>
    <row r="1694" spans="1:14">
      <c r="A1694" s="1523"/>
      <c r="B1694" s="518" t="s">
        <v>2576</v>
      </c>
      <c r="C1694" s="519" t="s">
        <v>3018</v>
      </c>
      <c r="D1694" s="520">
        <v>6.1159999999999997</v>
      </c>
      <c r="E1694" s="1331">
        <v>0.2</v>
      </c>
      <c r="F1694" s="520">
        <v>0.4</v>
      </c>
      <c r="G1694" s="520">
        <v>1</v>
      </c>
      <c r="H1694" s="816">
        <f>(2*F1694+E1694)*D1694*G1694+0.25</f>
        <v>6.3659999999999997</v>
      </c>
      <c r="I1694" s="1567"/>
      <c r="J1694" s="1543"/>
      <c r="K1694" s="1543"/>
      <c r="L1694" s="1543"/>
      <c r="M1694" s="1543"/>
      <c r="N1694" s="1566"/>
    </row>
    <row r="1695" spans="1:14">
      <c r="A1695" s="1523" t="s">
        <v>3217</v>
      </c>
      <c r="B1695" s="442" t="s">
        <v>3167</v>
      </c>
      <c r="C1695" s="430"/>
      <c r="D1695" s="287"/>
      <c r="E1695" s="531"/>
      <c r="F1695" s="287"/>
      <c r="G1695" s="431"/>
      <c r="H1695" s="486">
        <v>25</v>
      </c>
      <c r="I1695" s="1567"/>
      <c r="J1695" s="1543"/>
      <c r="K1695" s="1543"/>
      <c r="L1695" s="1543"/>
      <c r="M1695" s="1543"/>
      <c r="N1695" s="1566"/>
    </row>
    <row r="1696" spans="1:14">
      <c r="A1696" s="1523"/>
      <c r="B1696" s="406"/>
      <c r="C1696" s="483"/>
      <c r="D1696" s="483"/>
      <c r="E1696" s="341"/>
      <c r="F1696" s="341"/>
      <c r="G1696" s="341"/>
      <c r="H1696" s="482">
        <f>C1696*G1696</f>
        <v>0</v>
      </c>
      <c r="I1696" s="1567"/>
      <c r="J1696" s="1543"/>
      <c r="K1696" s="1543"/>
      <c r="L1696" s="1543"/>
      <c r="M1696" s="1543"/>
      <c r="N1696" s="1566"/>
    </row>
    <row r="1697" spans="1:14">
      <c r="A1697" s="1523"/>
      <c r="B1697" s="406"/>
      <c r="C1697" s="483"/>
      <c r="D1697" s="483"/>
      <c r="E1697" s="341"/>
      <c r="F1697" s="341"/>
      <c r="G1697" s="341"/>
      <c r="H1697" s="482">
        <f>C1697*G1697</f>
        <v>0</v>
      </c>
      <c r="I1697" s="1567"/>
      <c r="J1697" s="1543"/>
      <c r="K1697" s="1543"/>
      <c r="L1697" s="1543"/>
      <c r="M1697" s="1543"/>
      <c r="N1697" s="1566"/>
    </row>
    <row r="1698" spans="1:14">
      <c r="A1698" s="1523" t="s">
        <v>3294</v>
      </c>
      <c r="B1698" s="442" t="s">
        <v>3167</v>
      </c>
      <c r="C1698" s="430"/>
      <c r="D1698" s="287"/>
      <c r="E1698" s="531"/>
      <c r="F1698" s="287"/>
      <c r="G1698" s="431"/>
      <c r="H1698" s="486">
        <v>14.75</v>
      </c>
      <c r="I1698" s="1567"/>
      <c r="J1698" s="1543"/>
      <c r="K1698" s="1543"/>
      <c r="L1698" s="1543"/>
      <c r="M1698" s="1543"/>
      <c r="N1698" s="1566"/>
    </row>
    <row r="1699" spans="1:14">
      <c r="A1699" s="1523"/>
      <c r="B1699" s="406"/>
      <c r="C1699" s="483"/>
      <c r="D1699" s="483"/>
      <c r="E1699" s="341"/>
      <c r="F1699" s="341"/>
      <c r="G1699" s="341"/>
      <c r="H1699" s="482">
        <f>C1699*G1699</f>
        <v>0</v>
      </c>
      <c r="I1699" s="1567"/>
      <c r="J1699" s="1543"/>
      <c r="K1699" s="1543"/>
      <c r="L1699" s="1543"/>
      <c r="M1699" s="1543"/>
      <c r="N1699" s="1566"/>
    </row>
    <row r="1700" spans="1:14">
      <c r="A1700" s="1090"/>
      <c r="B1700" s="1142" t="s">
        <v>3761</v>
      </c>
      <c r="C1700" s="1144">
        <f t="shared" ref="C1700:C1705" si="41">0.45-0.21</f>
        <v>0.24000000000000002</v>
      </c>
      <c r="D1700" s="1144">
        <v>2.1</v>
      </c>
      <c r="E1700" s="341"/>
      <c r="F1700" s="341"/>
      <c r="G1700" s="341">
        <v>1</v>
      </c>
      <c r="H1700" s="1149">
        <f t="shared" ref="H1700:H1705" si="42">C1700*D1700</f>
        <v>0.50400000000000011</v>
      </c>
      <c r="I1700" s="1567"/>
      <c r="J1700" s="1543"/>
      <c r="K1700" s="1543"/>
      <c r="L1700" s="1543"/>
      <c r="M1700" s="1543"/>
      <c r="N1700" s="1566"/>
    </row>
    <row r="1701" spans="1:14">
      <c r="A1701" s="1090"/>
      <c r="B1701" s="1142" t="s">
        <v>3762</v>
      </c>
      <c r="C1701" s="1144">
        <f t="shared" si="41"/>
        <v>0.24000000000000002</v>
      </c>
      <c r="D1701" s="1144">
        <v>2.67</v>
      </c>
      <c r="E1701" s="341"/>
      <c r="F1701" s="341"/>
      <c r="G1701" s="341">
        <v>1</v>
      </c>
      <c r="H1701" s="1149">
        <f t="shared" si="42"/>
        <v>0.64080000000000004</v>
      </c>
      <c r="I1701" s="1567"/>
      <c r="J1701" s="1543"/>
      <c r="K1701" s="1543"/>
      <c r="L1701" s="1543"/>
      <c r="M1701" s="1543"/>
      <c r="N1701" s="1566"/>
    </row>
    <row r="1702" spans="1:14">
      <c r="A1702" s="1090"/>
      <c r="B1702" s="1142" t="s">
        <v>3763</v>
      </c>
      <c r="C1702" s="1144">
        <f t="shared" si="41"/>
        <v>0.24000000000000002</v>
      </c>
      <c r="D1702" s="1144">
        <v>1.35</v>
      </c>
      <c r="E1702" s="341"/>
      <c r="F1702" s="341"/>
      <c r="G1702" s="341">
        <v>1</v>
      </c>
      <c r="H1702" s="1149">
        <f t="shared" si="42"/>
        <v>0.32400000000000007</v>
      </c>
      <c r="I1702" s="1567"/>
      <c r="J1702" s="1543"/>
      <c r="K1702" s="1543"/>
      <c r="L1702" s="1543"/>
      <c r="M1702" s="1543"/>
      <c r="N1702" s="1566"/>
    </row>
    <row r="1703" spans="1:14">
      <c r="A1703" s="1090"/>
      <c r="B1703" s="1142" t="s">
        <v>3764</v>
      </c>
      <c r="C1703" s="1144">
        <f t="shared" si="41"/>
        <v>0.24000000000000002</v>
      </c>
      <c r="D1703" s="1144">
        <v>1.35</v>
      </c>
      <c r="E1703" s="341"/>
      <c r="F1703" s="341"/>
      <c r="G1703" s="341">
        <v>1</v>
      </c>
      <c r="H1703" s="1149">
        <f t="shared" si="42"/>
        <v>0.32400000000000007</v>
      </c>
      <c r="I1703" s="1567"/>
      <c r="J1703" s="1543"/>
      <c r="K1703" s="1543"/>
      <c r="L1703" s="1543"/>
      <c r="M1703" s="1543"/>
      <c r="N1703" s="1566"/>
    </row>
    <row r="1704" spans="1:14">
      <c r="A1704" s="1090"/>
      <c r="B1704" s="1143" t="s">
        <v>3755</v>
      </c>
      <c r="C1704" s="1144">
        <f t="shared" si="41"/>
        <v>0.24000000000000002</v>
      </c>
      <c r="D1704" s="1145">
        <v>4.17</v>
      </c>
      <c r="E1704" s="341"/>
      <c r="F1704" s="341"/>
      <c r="G1704" s="341">
        <v>1</v>
      </c>
      <c r="H1704" s="1149">
        <f t="shared" si="42"/>
        <v>1.0008000000000001</v>
      </c>
      <c r="I1704" s="1567"/>
      <c r="J1704" s="1543"/>
      <c r="K1704" s="1543"/>
      <c r="L1704" s="1543"/>
      <c r="M1704" s="1543"/>
      <c r="N1704" s="1566"/>
    </row>
    <row r="1705" spans="1:14">
      <c r="A1705" s="1090"/>
      <c r="B1705" s="1143" t="s">
        <v>3756</v>
      </c>
      <c r="C1705" s="1144">
        <f t="shared" si="41"/>
        <v>0.24000000000000002</v>
      </c>
      <c r="D1705" s="1145">
        <v>1.8</v>
      </c>
      <c r="E1705" s="341"/>
      <c r="F1705" s="341"/>
      <c r="G1705" s="341">
        <v>1</v>
      </c>
      <c r="H1705" s="1149">
        <f t="shared" si="42"/>
        <v>0.43200000000000005</v>
      </c>
      <c r="I1705" s="1567"/>
      <c r="J1705" s="1543"/>
      <c r="K1705" s="1543"/>
      <c r="L1705" s="1543"/>
      <c r="M1705" s="1543"/>
      <c r="N1705" s="1566"/>
    </row>
    <row r="1706" spans="1:14">
      <c r="A1706" s="1090"/>
      <c r="B1706" s="1143" t="s">
        <v>3757</v>
      </c>
      <c r="C1706" s="1147">
        <v>2.0299999999999998</v>
      </c>
      <c r="D1706" s="1145">
        <v>0.3</v>
      </c>
      <c r="E1706" s="1332">
        <v>0.14000000000000001</v>
      </c>
      <c r="F1706" s="341"/>
      <c r="G1706" s="341">
        <v>2</v>
      </c>
      <c r="H1706" s="482">
        <f>(D1706+E1706*2)*C1706*G1706</f>
        <v>2.3548</v>
      </c>
      <c r="I1706" s="1567"/>
      <c r="J1706" s="1543"/>
      <c r="K1706" s="1543"/>
      <c r="L1706" s="1543"/>
      <c r="M1706" s="1543"/>
      <c r="N1706" s="1566"/>
    </row>
    <row r="1707" spans="1:14">
      <c r="A1707" s="1090"/>
      <c r="B1707" s="1143" t="s">
        <v>3758</v>
      </c>
      <c r="C1707" s="1147">
        <v>1.96</v>
      </c>
      <c r="D1707" s="1145">
        <v>0.3</v>
      </c>
      <c r="E1707" s="1332">
        <v>0.14000000000000001</v>
      </c>
      <c r="F1707" s="341"/>
      <c r="G1707" s="341">
        <v>2</v>
      </c>
      <c r="H1707" s="482">
        <f>(D1707+E1707*2)*C1707*G1707</f>
        <v>2.2736000000000001</v>
      </c>
      <c r="I1707" s="1567"/>
      <c r="J1707" s="1543"/>
      <c r="K1707" s="1543"/>
      <c r="L1707" s="1543"/>
      <c r="M1707" s="1543"/>
      <c r="N1707" s="1566"/>
    </row>
    <row r="1708" spans="1:14">
      <c r="A1708" s="1090"/>
      <c r="B1708" s="1143" t="s">
        <v>3759</v>
      </c>
      <c r="C1708" s="1147">
        <v>0.12</v>
      </c>
      <c r="D1708" s="1145">
        <f>2.78+1.07+1.07</f>
        <v>4.92</v>
      </c>
      <c r="E1708" s="1332">
        <f>2.78+1.07</f>
        <v>3.8499999999999996</v>
      </c>
      <c r="F1708" s="341"/>
      <c r="G1708" s="341">
        <v>1</v>
      </c>
      <c r="H1708" s="482">
        <f>C1708*D1708+E1708</f>
        <v>4.4403999999999995</v>
      </c>
      <c r="I1708" s="1567"/>
      <c r="J1708" s="1543"/>
      <c r="K1708" s="1543"/>
      <c r="L1708" s="1543"/>
      <c r="M1708" s="1543"/>
      <c r="N1708" s="1566"/>
    </row>
    <row r="1709" spans="1:14">
      <c r="A1709" s="1090"/>
      <c r="B1709" s="406" t="s">
        <v>3760</v>
      </c>
      <c r="C1709" s="1148">
        <v>2.5</v>
      </c>
      <c r="D1709" s="1146">
        <v>0.25</v>
      </c>
      <c r="E1709" s="1148">
        <v>0.15</v>
      </c>
      <c r="F1709" s="341"/>
      <c r="G1709" s="341">
        <v>1</v>
      </c>
      <c r="H1709" s="482">
        <f>D1709+E1709*C1709</f>
        <v>0.625</v>
      </c>
      <c r="I1709" s="1567"/>
      <c r="J1709" s="1543"/>
      <c r="K1709" s="1543"/>
      <c r="L1709" s="1543"/>
      <c r="M1709" s="1543"/>
      <c r="N1709" s="1566"/>
    </row>
    <row r="1710" spans="1:14">
      <c r="A1710" s="1090"/>
      <c r="B1710" s="406"/>
      <c r="C1710" s="483"/>
      <c r="D1710" s="483"/>
      <c r="E1710" s="341"/>
      <c r="F1710" s="341"/>
      <c r="G1710" s="341"/>
      <c r="H1710" s="482"/>
      <c r="I1710" s="1567"/>
      <c r="J1710" s="1543"/>
      <c r="K1710" s="1543"/>
      <c r="L1710" s="1543"/>
      <c r="M1710" s="1543"/>
      <c r="N1710" s="1566"/>
    </row>
    <row r="1711" spans="1:14">
      <c r="A1711" s="1090"/>
      <c r="B1711" s="406"/>
      <c r="C1711" s="483"/>
      <c r="D1711" s="483"/>
      <c r="E1711" s="341"/>
      <c r="F1711" s="341"/>
      <c r="G1711" s="341"/>
      <c r="H1711" s="482">
        <f>C1711*G1711</f>
        <v>0</v>
      </c>
      <c r="I1711" s="1567"/>
      <c r="J1711" s="1543"/>
      <c r="K1711" s="1543"/>
      <c r="L1711" s="1543"/>
      <c r="M1711" s="1543"/>
      <c r="N1711" s="1566"/>
    </row>
    <row r="1712" spans="1:14">
      <c r="A1712" s="1775" t="s">
        <v>2218</v>
      </c>
      <c r="B1712" s="1504"/>
      <c r="C1712" s="1504"/>
      <c r="D1712" s="1504"/>
      <c r="E1712" s="1504"/>
      <c r="F1712" s="1504"/>
      <c r="G1712" s="1504"/>
      <c r="H1712" s="461">
        <f>SUM(H1595:H1711)</f>
        <v>682.27959999999996</v>
      </c>
      <c r="I1712" s="1567"/>
      <c r="J1712" s="1543"/>
      <c r="K1712" s="1543"/>
      <c r="L1712" s="1543"/>
      <c r="M1712" s="1543"/>
      <c r="N1712" s="1566"/>
    </row>
    <row r="1713" spans="1:14">
      <c r="A1713" s="1519" t="s">
        <v>2219</v>
      </c>
      <c r="B1713" s="1517"/>
      <c r="C1713" s="1517"/>
      <c r="D1713" s="1551"/>
      <c r="E1713" s="1551"/>
      <c r="F1713" s="1551"/>
      <c r="G1713" s="1552"/>
      <c r="H1713" s="272">
        <f>SUM(H1596:H1699)</f>
        <v>669.36020000000008</v>
      </c>
      <c r="I1713" s="1543"/>
      <c r="J1713" s="1543"/>
      <c r="K1713" s="1543"/>
      <c r="L1713" s="1543"/>
      <c r="M1713" s="1543"/>
      <c r="N1713" s="1566"/>
    </row>
    <row r="1714" spans="1:14" ht="13.5" customHeight="1" thickBot="1">
      <c r="A1714" s="1520" t="s">
        <v>2220</v>
      </c>
      <c r="B1714" s="1521"/>
      <c r="C1714" s="1521"/>
      <c r="D1714" s="1521"/>
      <c r="E1714" s="1521"/>
      <c r="F1714" s="1521"/>
      <c r="G1714" s="1522"/>
      <c r="H1714" s="216">
        <f>H1712-H1713</f>
        <v>12.919399999999882</v>
      </c>
      <c r="I1714" s="1568"/>
      <c r="J1714" s="1568"/>
      <c r="K1714" s="1568"/>
      <c r="L1714" s="1568"/>
      <c r="M1714" s="1568"/>
      <c r="N1714" s="1569"/>
    </row>
    <row r="1715" spans="1:14" ht="16.5" customHeight="1" thickBot="1">
      <c r="A1715" s="1099"/>
      <c r="B1715" s="344"/>
      <c r="C1715" s="343"/>
      <c r="D1715" s="345"/>
      <c r="E1715" s="1265"/>
      <c r="F1715" s="345"/>
      <c r="G1715" s="345"/>
      <c r="H1715" s="219"/>
      <c r="I1715" s="408"/>
      <c r="J1715" s="408"/>
      <c r="K1715" s="408"/>
      <c r="L1715" s="408"/>
      <c r="M1715" s="408"/>
      <c r="N1715" s="409"/>
    </row>
    <row r="1716" spans="1:14" ht="30" customHeight="1">
      <c r="A1716" s="1085" t="s">
        <v>2611</v>
      </c>
      <c r="B1716" s="1494" t="s">
        <v>110</v>
      </c>
      <c r="C1716" s="1495"/>
      <c r="D1716" s="1495"/>
      <c r="E1716" s="1495"/>
      <c r="F1716" s="1495"/>
      <c r="G1716" s="1495"/>
      <c r="H1716" s="1495"/>
      <c r="I1716" s="1495"/>
      <c r="J1716" s="1496"/>
      <c r="K1716" s="196" t="s">
        <v>746</v>
      </c>
      <c r="L1716" s="1497">
        <v>462.53</v>
      </c>
      <c r="M1716" s="1498"/>
      <c r="N1716" s="197">
        <f>L1716-H1741</f>
        <v>-180.00999999999988</v>
      </c>
    </row>
    <row r="1717" spans="1:14">
      <c r="A1717" s="1554"/>
      <c r="B1717" s="1541"/>
      <c r="C1717" s="366"/>
      <c r="D1717" s="367" t="s">
        <v>2183</v>
      </c>
      <c r="E1717" s="1320" t="s">
        <v>2184</v>
      </c>
      <c r="F1717" s="367" t="s">
        <v>2185</v>
      </c>
      <c r="G1717" s="367" t="s">
        <v>2186</v>
      </c>
      <c r="H1717" s="1542" t="s">
        <v>476</v>
      </c>
      <c r="I1717" s="1543"/>
      <c r="J1717" s="1543"/>
      <c r="K1717" s="1543"/>
      <c r="L1717" s="1543"/>
      <c r="M1717" s="1543"/>
      <c r="N1717" s="1566"/>
    </row>
    <row r="1718" spans="1:14">
      <c r="A1718" s="1554"/>
      <c r="B1718" s="1541"/>
      <c r="C1718" s="368" t="s">
        <v>2582</v>
      </c>
      <c r="D1718" s="369" t="s">
        <v>2187</v>
      </c>
      <c r="E1718" s="529" t="s">
        <v>2586</v>
      </c>
      <c r="F1718" s="369" t="s">
        <v>2189</v>
      </c>
      <c r="G1718" s="370" t="s">
        <v>2190</v>
      </c>
      <c r="H1718" s="1542"/>
      <c r="I1718" s="1543"/>
      <c r="J1718" s="1543"/>
      <c r="K1718" s="1543"/>
      <c r="L1718" s="1543"/>
      <c r="M1718" s="1543"/>
      <c r="N1718" s="1566"/>
    </row>
    <row r="1719" spans="1:14">
      <c r="A1719" s="1630" t="s">
        <v>2476</v>
      </c>
      <c r="B1719" s="493"/>
      <c r="C1719" s="430"/>
      <c r="D1719" s="287"/>
      <c r="E1719" s="531"/>
      <c r="F1719" s="287"/>
      <c r="G1719" s="431"/>
      <c r="H1719" s="403"/>
      <c r="I1719" s="1567"/>
      <c r="J1719" s="1543"/>
      <c r="K1719" s="1543"/>
      <c r="L1719" s="1543"/>
      <c r="M1719" s="1543"/>
      <c r="N1719" s="1566"/>
    </row>
    <row r="1720" spans="1:14">
      <c r="A1720" s="1631"/>
      <c r="B1720" s="406" t="s">
        <v>2601</v>
      </c>
      <c r="C1720" s="443"/>
      <c r="D1720" s="292"/>
      <c r="E1720" s="901"/>
      <c r="F1720" s="292"/>
      <c r="G1720" s="361"/>
      <c r="H1720" s="347"/>
      <c r="I1720" s="1567"/>
      <c r="J1720" s="1543"/>
      <c r="K1720" s="1543"/>
      <c r="L1720" s="1543"/>
      <c r="M1720" s="1543"/>
      <c r="N1720" s="1566"/>
    </row>
    <row r="1721" spans="1:14">
      <c r="A1721" s="1631"/>
      <c r="B1721" s="406" t="s">
        <v>2612</v>
      </c>
      <c r="C1721" s="443">
        <v>108.9</v>
      </c>
      <c r="D1721" s="292"/>
      <c r="E1721" s="901"/>
      <c r="F1721" s="292"/>
      <c r="G1721" s="361"/>
      <c r="H1721" s="347">
        <f>C1721</f>
        <v>108.9</v>
      </c>
      <c r="I1721" s="1567"/>
      <c r="J1721" s="1543"/>
      <c r="K1721" s="1543"/>
      <c r="L1721" s="1543"/>
      <c r="M1721" s="1543"/>
      <c r="N1721" s="1566"/>
    </row>
    <row r="1722" spans="1:14">
      <c r="A1722" s="1631"/>
      <c r="B1722" s="406" t="s">
        <v>2613</v>
      </c>
      <c r="C1722" s="443"/>
      <c r="D1722" s="292"/>
      <c r="E1722" s="901"/>
      <c r="F1722" s="292"/>
      <c r="G1722" s="361"/>
      <c r="H1722" s="347"/>
      <c r="I1722" s="1567"/>
      <c r="J1722" s="1543"/>
      <c r="K1722" s="1543"/>
      <c r="L1722" s="1543"/>
      <c r="M1722" s="1543"/>
      <c r="N1722" s="1566"/>
    </row>
    <row r="1723" spans="1:14">
      <c r="A1723" s="1631"/>
      <c r="B1723" s="406" t="s">
        <v>2614</v>
      </c>
      <c r="C1723" s="292">
        <f>95.7+35+28.7+7.6+19.9+72.8+66.5+38.8</f>
        <v>365</v>
      </c>
      <c r="D1723" s="198"/>
      <c r="E1723" s="341"/>
      <c r="F1723" s="341"/>
      <c r="G1723" s="341"/>
      <c r="H1723" s="347">
        <f>C1723</f>
        <v>365</v>
      </c>
      <c r="I1723" s="1567"/>
      <c r="J1723" s="1543"/>
      <c r="K1723" s="1543"/>
      <c r="L1723" s="1543"/>
      <c r="M1723" s="1543"/>
      <c r="N1723" s="1566"/>
    </row>
    <row r="1724" spans="1:14">
      <c r="A1724" s="1631"/>
      <c r="B1724" s="406"/>
      <c r="C1724" s="292"/>
      <c r="D1724" s="198"/>
      <c r="E1724" s="341"/>
      <c r="F1724" s="341"/>
      <c r="G1724" s="341"/>
      <c r="H1724" s="347"/>
      <c r="I1724" s="1567"/>
      <c r="J1724" s="1543"/>
      <c r="K1724" s="1543"/>
      <c r="L1724" s="1543"/>
      <c r="M1724" s="1543"/>
      <c r="N1724" s="1566"/>
    </row>
    <row r="1725" spans="1:14">
      <c r="A1725" s="1632"/>
      <c r="B1725" s="406"/>
      <c r="C1725" s="292"/>
      <c r="D1725" s="198"/>
      <c r="E1725" s="341"/>
      <c r="F1725" s="341"/>
      <c r="G1725" s="341"/>
      <c r="H1725" s="347"/>
      <c r="I1725" s="1567"/>
      <c r="J1725" s="1543"/>
      <c r="K1725" s="1543"/>
      <c r="L1725" s="1543"/>
      <c r="M1725" s="1543"/>
      <c r="N1725" s="1566"/>
    </row>
    <row r="1726" spans="1:14">
      <c r="A1726" s="1630" t="s">
        <v>2662</v>
      </c>
      <c r="B1726" s="406"/>
      <c r="C1726" s="292"/>
      <c r="D1726" s="198"/>
      <c r="E1726" s="341"/>
      <c r="F1726" s="341"/>
      <c r="G1726" s="341"/>
      <c r="H1726" s="347"/>
      <c r="I1726" s="1567"/>
      <c r="J1726" s="1543"/>
      <c r="K1726" s="1543"/>
      <c r="L1726" s="1543"/>
      <c r="M1726" s="1543"/>
      <c r="N1726" s="1566"/>
    </row>
    <row r="1727" spans="1:14">
      <c r="A1727" s="1631"/>
      <c r="B1727" s="406" t="s">
        <v>2802</v>
      </c>
      <c r="C1727" s="292"/>
      <c r="D1727" s="198"/>
      <c r="E1727" s="341"/>
      <c r="F1727" s="341"/>
      <c r="G1727" s="341"/>
      <c r="H1727" s="347"/>
      <c r="I1727" s="1567"/>
      <c r="J1727" s="1543"/>
      <c r="K1727" s="1543"/>
      <c r="L1727" s="1543"/>
      <c r="M1727" s="1543"/>
      <c r="N1727" s="1566"/>
    </row>
    <row r="1728" spans="1:14" ht="24" customHeight="1">
      <c r="A1728" s="1631"/>
      <c r="B1728" s="406" t="s">
        <v>2693</v>
      </c>
      <c r="C1728" s="292">
        <v>54.44</v>
      </c>
      <c r="D1728" s="198"/>
      <c r="E1728" s="341"/>
      <c r="F1728" s="341"/>
      <c r="G1728" s="341"/>
      <c r="H1728" s="347">
        <v>54.44</v>
      </c>
      <c r="I1728" s="1567"/>
      <c r="J1728" s="1543"/>
      <c r="K1728" s="1543"/>
      <c r="L1728" s="1543"/>
      <c r="M1728" s="1543"/>
      <c r="N1728" s="1566"/>
    </row>
    <row r="1729" spans="1:14">
      <c r="A1729" s="1514" t="s">
        <v>2843</v>
      </c>
      <c r="B1729" s="406"/>
      <c r="C1729" s="292"/>
      <c r="D1729" s="198"/>
      <c r="E1729" s="341"/>
      <c r="F1729" s="341"/>
      <c r="G1729" s="341"/>
      <c r="H1729" s="347"/>
      <c r="I1729" s="1567"/>
      <c r="J1729" s="1543"/>
      <c r="K1729" s="1543"/>
      <c r="L1729" s="1543"/>
      <c r="M1729" s="1543"/>
      <c r="N1729" s="1566"/>
    </row>
    <row r="1730" spans="1:14">
      <c r="A1730" s="1523"/>
      <c r="B1730" s="406" t="s">
        <v>2882</v>
      </c>
      <c r="C1730" s="292"/>
      <c r="D1730" s="198"/>
      <c r="E1730" s="341"/>
      <c r="F1730" s="341"/>
      <c r="G1730" s="341"/>
      <c r="H1730" s="347"/>
      <c r="I1730" s="1567"/>
      <c r="J1730" s="1543"/>
      <c r="K1730" s="1543"/>
      <c r="L1730" s="1543"/>
      <c r="M1730" s="1543"/>
      <c r="N1730" s="1566"/>
    </row>
    <row r="1731" spans="1:14">
      <c r="A1731" s="1523"/>
      <c r="B1731" s="412" t="s">
        <v>2881</v>
      </c>
      <c r="C1731" s="312">
        <v>54.43</v>
      </c>
      <c r="D1731" s="199"/>
      <c r="E1731" s="351"/>
      <c r="F1731" s="351"/>
      <c r="G1731" s="351"/>
      <c r="H1731" s="364">
        <f>C1731</f>
        <v>54.43</v>
      </c>
      <c r="I1731" s="1567"/>
      <c r="J1731" s="1543"/>
      <c r="K1731" s="1543"/>
      <c r="L1731" s="1543"/>
      <c r="M1731" s="1543"/>
      <c r="N1731" s="1566"/>
    </row>
    <row r="1732" spans="1:14">
      <c r="A1732" s="1090"/>
      <c r="B1732" s="412"/>
      <c r="C1732" s="312"/>
      <c r="D1732" s="199"/>
      <c r="E1732" s="351"/>
      <c r="F1732" s="351"/>
      <c r="G1732" s="351"/>
      <c r="H1732" s="364"/>
      <c r="I1732" s="1567"/>
      <c r="J1732" s="1543"/>
      <c r="K1732" s="1543"/>
      <c r="L1732" s="1543"/>
      <c r="M1732" s="1543"/>
      <c r="N1732" s="1566"/>
    </row>
    <row r="1733" spans="1:14">
      <c r="A1733" s="1523" t="s">
        <v>3745</v>
      </c>
      <c r="B1733" s="412" t="s">
        <v>3765</v>
      </c>
      <c r="C1733" s="312">
        <v>14.69</v>
      </c>
      <c r="D1733" s="199"/>
      <c r="E1733" s="351"/>
      <c r="F1733" s="351"/>
      <c r="G1733" s="351"/>
      <c r="H1733" s="364">
        <f>C1733</f>
        <v>14.69</v>
      </c>
      <c r="I1733" s="1567"/>
      <c r="J1733" s="1543"/>
      <c r="K1733" s="1543"/>
      <c r="L1733" s="1543"/>
      <c r="M1733" s="1543"/>
      <c r="N1733" s="1566"/>
    </row>
    <row r="1734" spans="1:14">
      <c r="A1734" s="1523"/>
      <c r="B1734" s="412" t="s">
        <v>3766</v>
      </c>
      <c r="C1734" s="312">
        <v>14.78</v>
      </c>
      <c r="D1734" s="199"/>
      <c r="E1734" s="351"/>
      <c r="F1734" s="351"/>
      <c r="G1734" s="351"/>
      <c r="H1734" s="364">
        <f>C1734</f>
        <v>14.78</v>
      </c>
      <c r="I1734" s="1567"/>
      <c r="J1734" s="1543"/>
      <c r="K1734" s="1543"/>
      <c r="L1734" s="1543"/>
      <c r="M1734" s="1543"/>
      <c r="N1734" s="1566"/>
    </row>
    <row r="1735" spans="1:14">
      <c r="A1735" s="1523"/>
      <c r="B1735" s="412" t="s">
        <v>3588</v>
      </c>
      <c r="C1735" s="312">
        <v>30.3</v>
      </c>
      <c r="D1735" s="199"/>
      <c r="E1735" s="351"/>
      <c r="F1735" s="351"/>
      <c r="G1735" s="351"/>
      <c r="H1735" s="364">
        <f>C1735</f>
        <v>30.3</v>
      </c>
      <c r="I1735" s="1567"/>
      <c r="J1735" s="1543"/>
      <c r="K1735" s="1543"/>
      <c r="L1735" s="1543"/>
      <c r="M1735" s="1543"/>
      <c r="N1735" s="1566"/>
    </row>
    <row r="1736" spans="1:14">
      <c r="A1736" s="1090"/>
      <c r="B1736" s="412"/>
      <c r="C1736" s="312"/>
      <c r="D1736" s="199"/>
      <c r="E1736" s="351"/>
      <c r="F1736" s="351"/>
      <c r="G1736" s="351"/>
      <c r="H1736" s="364"/>
      <c r="I1736" s="1567"/>
      <c r="J1736" s="1543"/>
      <c r="K1736" s="1543"/>
      <c r="L1736" s="1543"/>
      <c r="M1736" s="1543"/>
      <c r="N1736" s="1566"/>
    </row>
    <row r="1737" spans="1:14">
      <c r="A1737" s="1090"/>
      <c r="B1737" s="412"/>
      <c r="C1737" s="312"/>
      <c r="D1737" s="199"/>
      <c r="E1737" s="351"/>
      <c r="F1737" s="351"/>
      <c r="G1737" s="351"/>
      <c r="H1737" s="364"/>
      <c r="I1737" s="1567"/>
      <c r="J1737" s="1543"/>
      <c r="K1737" s="1543"/>
      <c r="L1737" s="1543"/>
      <c r="M1737" s="1543"/>
      <c r="N1737" s="1566"/>
    </row>
    <row r="1738" spans="1:14">
      <c r="A1738" s="1090"/>
      <c r="B1738" s="412"/>
      <c r="C1738" s="312"/>
      <c r="D1738" s="199"/>
      <c r="E1738" s="351"/>
      <c r="F1738" s="351"/>
      <c r="G1738" s="351"/>
      <c r="H1738" s="364"/>
      <c r="I1738" s="1567"/>
      <c r="J1738" s="1543"/>
      <c r="K1738" s="1543"/>
      <c r="L1738" s="1543"/>
      <c r="M1738" s="1543"/>
      <c r="N1738" s="1566"/>
    </row>
    <row r="1739" spans="1:14">
      <c r="A1739" s="1090"/>
      <c r="B1739" s="412"/>
      <c r="C1739" s="312"/>
      <c r="D1739" s="199"/>
      <c r="E1739" s="351"/>
      <c r="F1739" s="351"/>
      <c r="G1739" s="351"/>
      <c r="H1739" s="364"/>
      <c r="I1739" s="1567"/>
      <c r="J1739" s="1543"/>
      <c r="K1739" s="1543"/>
      <c r="L1739" s="1543"/>
      <c r="M1739" s="1543"/>
      <c r="N1739" s="1566"/>
    </row>
    <row r="1740" spans="1:14" ht="12.6" customHeight="1">
      <c r="A1740" s="1138"/>
      <c r="B1740" s="413"/>
      <c r="C1740" s="294"/>
      <c r="D1740" s="203"/>
      <c r="E1740" s="348"/>
      <c r="F1740" s="348"/>
      <c r="G1740" s="348"/>
      <c r="H1740" s="349"/>
      <c r="I1740" s="1567"/>
      <c r="J1740" s="1543"/>
      <c r="K1740" s="1543"/>
      <c r="L1740" s="1543"/>
      <c r="M1740" s="1543"/>
      <c r="N1740" s="1566"/>
    </row>
    <row r="1741" spans="1:14">
      <c r="A1741" s="1608" t="s">
        <v>2218</v>
      </c>
      <c r="B1741" s="1609"/>
      <c r="C1741" s="1609"/>
      <c r="D1741" s="1609"/>
      <c r="E1741" s="1609"/>
      <c r="F1741" s="1609"/>
      <c r="G1741" s="1610"/>
      <c r="H1741" s="271">
        <f>SUM(H1719:H1740)</f>
        <v>642.53999999999985</v>
      </c>
      <c r="I1741" s="1567"/>
      <c r="J1741" s="1543"/>
      <c r="K1741" s="1543"/>
      <c r="L1741" s="1543"/>
      <c r="M1741" s="1543"/>
      <c r="N1741" s="1566"/>
    </row>
    <row r="1742" spans="1:14">
      <c r="A1742" s="1519" t="s">
        <v>2219</v>
      </c>
      <c r="B1742" s="1517"/>
      <c r="C1742" s="1517"/>
      <c r="D1742" s="1551"/>
      <c r="E1742" s="1551"/>
      <c r="F1742" s="1551"/>
      <c r="G1742" s="1552"/>
      <c r="H1742" s="272">
        <v>582.77</v>
      </c>
      <c r="I1742" s="1543"/>
      <c r="J1742" s="1543"/>
      <c r="K1742" s="1543"/>
      <c r="L1742" s="1543"/>
      <c r="M1742" s="1543"/>
      <c r="N1742" s="1566"/>
    </row>
    <row r="1743" spans="1:14" ht="13.5" customHeight="1" thickBot="1">
      <c r="A1743" s="1520" t="s">
        <v>2220</v>
      </c>
      <c r="B1743" s="1521"/>
      <c r="C1743" s="1521"/>
      <c r="D1743" s="1521"/>
      <c r="E1743" s="1521"/>
      <c r="F1743" s="1521"/>
      <c r="G1743" s="1522"/>
      <c r="H1743" s="216">
        <f>H1741-H1742</f>
        <v>59.769999999999868</v>
      </c>
      <c r="I1743" s="1568"/>
      <c r="J1743" s="1568"/>
      <c r="K1743" s="1568"/>
      <c r="L1743" s="1568"/>
      <c r="M1743" s="1568"/>
      <c r="N1743" s="1569"/>
    </row>
    <row r="1744" spans="1:14" ht="13.15" customHeight="1" thickBot="1">
      <c r="A1744" s="1635"/>
      <c r="B1744" s="1636"/>
      <c r="C1744" s="1636"/>
      <c r="D1744" s="1636"/>
      <c r="E1744" s="1636"/>
      <c r="F1744" s="1636"/>
      <c r="G1744" s="1636"/>
      <c r="H1744" s="1636"/>
      <c r="I1744" s="1636"/>
      <c r="J1744" s="1636"/>
      <c r="K1744" s="1636"/>
      <c r="L1744" s="1636"/>
      <c r="M1744" s="1636"/>
      <c r="N1744" s="1637"/>
    </row>
    <row r="1745" spans="1:14" ht="30" customHeight="1">
      <c r="A1745" s="1085" t="s">
        <v>2615</v>
      </c>
      <c r="B1745" s="1494" t="s">
        <v>104</v>
      </c>
      <c r="C1745" s="1495"/>
      <c r="D1745" s="1495"/>
      <c r="E1745" s="1495"/>
      <c r="F1745" s="1495"/>
      <c r="G1745" s="1495"/>
      <c r="H1745" s="1495"/>
      <c r="I1745" s="1495"/>
      <c r="J1745" s="1496"/>
      <c r="K1745" s="196" t="s">
        <v>746</v>
      </c>
      <c r="L1745" s="1497">
        <f>'27ª MEDIÇÃO '!F97</f>
        <v>2011.57</v>
      </c>
      <c r="M1745" s="1498"/>
      <c r="N1745" s="197">
        <f>L1745-H1786</f>
        <v>162.75</v>
      </c>
    </row>
    <row r="1746" spans="1:14">
      <c r="A1746" s="1554"/>
      <c r="B1746" s="1541"/>
      <c r="C1746" s="366"/>
      <c r="D1746" s="367" t="s">
        <v>2183</v>
      </c>
      <c r="E1746" s="1320" t="s">
        <v>2184</v>
      </c>
      <c r="F1746" s="367" t="s">
        <v>2185</v>
      </c>
      <c r="G1746" s="367" t="s">
        <v>2186</v>
      </c>
      <c r="H1746" s="1542" t="s">
        <v>476</v>
      </c>
      <c r="I1746" s="1543"/>
      <c r="J1746" s="1543"/>
      <c r="K1746" s="1543"/>
      <c r="L1746" s="1543"/>
      <c r="M1746" s="1543"/>
      <c r="N1746" s="1566"/>
    </row>
    <row r="1747" spans="1:14">
      <c r="A1747" s="1554"/>
      <c r="B1747" s="1541"/>
      <c r="C1747" s="368" t="s">
        <v>2582</v>
      </c>
      <c r="D1747" s="369" t="s">
        <v>2187</v>
      </c>
      <c r="E1747" s="529" t="s">
        <v>2586</v>
      </c>
      <c r="F1747" s="369" t="s">
        <v>2189</v>
      </c>
      <c r="G1747" s="370" t="s">
        <v>2190</v>
      </c>
      <c r="H1747" s="1542"/>
      <c r="I1747" s="1543"/>
      <c r="J1747" s="1543"/>
      <c r="K1747" s="1543"/>
      <c r="L1747" s="1543"/>
      <c r="M1747" s="1543"/>
      <c r="N1747" s="1566"/>
    </row>
    <row r="1748" spans="1:14">
      <c r="A1748" s="1544" t="s">
        <v>2268</v>
      </c>
      <c r="B1748" s="419" t="s">
        <v>2617</v>
      </c>
      <c r="C1748" s="287"/>
      <c r="D1748" s="202"/>
      <c r="E1748" s="346"/>
      <c r="F1748" s="346"/>
      <c r="G1748" s="346"/>
      <c r="H1748" s="494"/>
      <c r="I1748" s="1567"/>
      <c r="J1748" s="1543"/>
      <c r="K1748" s="1543"/>
      <c r="L1748" s="1543"/>
      <c r="M1748" s="1543"/>
      <c r="N1748" s="1566"/>
    </row>
    <row r="1749" spans="1:14">
      <c r="A1749" s="1544"/>
      <c r="B1749" s="391" t="s">
        <v>2616</v>
      </c>
      <c r="C1749" s="292">
        <v>592</v>
      </c>
      <c r="D1749" s="198"/>
      <c r="E1749" s="341"/>
      <c r="F1749" s="341"/>
      <c r="G1749" s="341"/>
      <c r="H1749" s="347">
        <f>C1749</f>
        <v>592</v>
      </c>
      <c r="I1749" s="1567"/>
      <c r="J1749" s="1543"/>
      <c r="K1749" s="1543"/>
      <c r="L1749" s="1543"/>
      <c r="M1749" s="1543"/>
      <c r="N1749" s="1566"/>
    </row>
    <row r="1750" spans="1:14">
      <c r="A1750" s="1544"/>
      <c r="B1750" s="391"/>
      <c r="C1750" s="292"/>
      <c r="D1750" s="198"/>
      <c r="E1750" s="341"/>
      <c r="F1750" s="341"/>
      <c r="G1750" s="341"/>
      <c r="H1750" s="347"/>
      <c r="I1750" s="1567"/>
      <c r="J1750" s="1543"/>
      <c r="K1750" s="1543"/>
      <c r="L1750" s="1543"/>
      <c r="M1750" s="1543"/>
      <c r="N1750" s="1566"/>
    </row>
    <row r="1751" spans="1:14">
      <c r="A1751" s="1544" t="s">
        <v>2476</v>
      </c>
      <c r="B1751" s="391"/>
      <c r="C1751" s="443"/>
      <c r="D1751" s="198"/>
      <c r="E1751" s="341"/>
      <c r="F1751" s="341"/>
      <c r="G1751" s="341"/>
      <c r="H1751" s="347"/>
      <c r="I1751" s="1567"/>
      <c r="J1751" s="1543"/>
      <c r="K1751" s="1543"/>
      <c r="L1751" s="1543"/>
      <c r="M1751" s="1543"/>
      <c r="N1751" s="1566"/>
    </row>
    <row r="1752" spans="1:14">
      <c r="A1752" s="1544"/>
      <c r="B1752" s="421" t="s">
        <v>2613</v>
      </c>
      <c r="C1752" s="443"/>
      <c r="D1752" s="198"/>
      <c r="E1752" s="341"/>
      <c r="F1752" s="341"/>
      <c r="G1752" s="341"/>
      <c r="H1752" s="347"/>
      <c r="I1752" s="1567"/>
      <c r="J1752" s="1543"/>
      <c r="K1752" s="1543"/>
      <c r="L1752" s="1543"/>
      <c r="M1752" s="1543"/>
      <c r="N1752" s="1566"/>
    </row>
    <row r="1753" spans="1:14">
      <c r="A1753" s="1544"/>
      <c r="B1753" s="421" t="s">
        <v>2614</v>
      </c>
      <c r="C1753" s="292">
        <f>27.2+14.4+11.5+24+23.4+19.9+20+41.6+89.9+26.6+53.8+93.4+88.6+111.6+86.7</f>
        <v>732.60000000000014</v>
      </c>
      <c r="D1753" s="198"/>
      <c r="E1753" s="341"/>
      <c r="F1753" s="341"/>
      <c r="G1753" s="341"/>
      <c r="H1753" s="347">
        <f>C1753</f>
        <v>732.60000000000014</v>
      </c>
      <c r="I1753" s="1567"/>
      <c r="J1753" s="1543"/>
      <c r="K1753" s="1543"/>
      <c r="L1753" s="1543"/>
      <c r="M1753" s="1543"/>
      <c r="N1753" s="1566"/>
    </row>
    <row r="1754" spans="1:14">
      <c r="A1754" s="1544"/>
      <c r="B1754" s="391"/>
      <c r="C1754" s="292"/>
      <c r="D1754" s="198"/>
      <c r="E1754" s="341"/>
      <c r="F1754" s="341"/>
      <c r="G1754" s="341"/>
      <c r="H1754" s="347"/>
      <c r="I1754" s="1567"/>
      <c r="J1754" s="1543"/>
      <c r="K1754" s="1543"/>
      <c r="L1754" s="1543"/>
      <c r="M1754" s="1543"/>
      <c r="N1754" s="1566"/>
    </row>
    <row r="1755" spans="1:14">
      <c r="A1755" s="1514" t="s">
        <v>2662</v>
      </c>
      <c r="B1755" s="391"/>
      <c r="C1755" s="292"/>
      <c r="D1755" s="198"/>
      <c r="E1755" s="341"/>
      <c r="F1755" s="341"/>
      <c r="G1755" s="341"/>
      <c r="H1755" s="347"/>
      <c r="I1755" s="1567"/>
      <c r="J1755" s="1543"/>
      <c r="K1755" s="1543"/>
      <c r="L1755" s="1543"/>
      <c r="M1755" s="1543"/>
      <c r="N1755" s="1566"/>
    </row>
    <row r="1756" spans="1:14">
      <c r="A1756" s="1523"/>
      <c r="B1756" s="421" t="s">
        <v>2748</v>
      </c>
      <c r="C1756" s="292"/>
      <c r="D1756" s="198"/>
      <c r="E1756" s="341"/>
      <c r="F1756" s="341"/>
      <c r="G1756" s="341"/>
      <c r="H1756" s="347">
        <v>120.4</v>
      </c>
      <c r="I1756" s="1567"/>
      <c r="J1756" s="1543"/>
      <c r="K1756" s="1543"/>
      <c r="L1756" s="1543"/>
      <c r="M1756" s="1543"/>
      <c r="N1756" s="1566"/>
    </row>
    <row r="1757" spans="1:14">
      <c r="A1757" s="1515"/>
      <c r="B1757" s="391"/>
      <c r="C1757" s="292"/>
      <c r="D1757" s="198"/>
      <c r="E1757" s="341"/>
      <c r="F1757" s="341"/>
      <c r="G1757" s="341"/>
      <c r="H1757" s="347"/>
      <c r="I1757" s="1567"/>
      <c r="J1757" s="1543"/>
      <c r="K1757" s="1543"/>
      <c r="L1757" s="1543"/>
      <c r="M1757" s="1543"/>
      <c r="N1757" s="1566"/>
    </row>
    <row r="1758" spans="1:14">
      <c r="A1758" s="1630" t="s">
        <v>2749</v>
      </c>
      <c r="B1758" s="391"/>
      <c r="C1758" s="292"/>
      <c r="D1758" s="198"/>
      <c r="E1758" s="341"/>
      <c r="F1758" s="341"/>
      <c r="G1758" s="341"/>
      <c r="H1758" s="347"/>
      <c r="I1758" s="1567"/>
      <c r="J1758" s="1543"/>
      <c r="K1758" s="1543"/>
      <c r="L1758" s="1543"/>
      <c r="M1758" s="1543"/>
      <c r="N1758" s="1566"/>
    </row>
    <row r="1759" spans="1:14">
      <c r="A1759" s="1631"/>
      <c r="B1759" s="495" t="s">
        <v>2801</v>
      </c>
      <c r="C1759" s="297">
        <v>70.099999999999994</v>
      </c>
      <c r="D1759" s="201"/>
      <c r="E1759" s="350"/>
      <c r="F1759" s="350"/>
      <c r="G1759" s="350"/>
      <c r="H1759" s="371">
        <v>70.099999999999994</v>
      </c>
      <c r="I1759" s="1567"/>
      <c r="J1759" s="1543"/>
      <c r="K1759" s="1543"/>
      <c r="L1759" s="1543"/>
      <c r="M1759" s="1543"/>
      <c r="N1759" s="1566"/>
    </row>
    <row r="1760" spans="1:14">
      <c r="A1760" s="1631"/>
      <c r="B1760" s="406"/>
      <c r="C1760" s="292"/>
      <c r="D1760" s="198"/>
      <c r="E1760" s="341"/>
      <c r="F1760" s="341"/>
      <c r="G1760" s="341"/>
      <c r="H1760" s="347"/>
      <c r="I1760" s="1567"/>
      <c r="J1760" s="1543"/>
      <c r="K1760" s="1543"/>
      <c r="L1760" s="1543"/>
      <c r="M1760" s="1543"/>
      <c r="N1760" s="1566"/>
    </row>
    <row r="1761" spans="1:14">
      <c r="A1761" s="1632"/>
      <c r="B1761" s="391"/>
      <c r="C1761" s="292"/>
      <c r="D1761" s="198"/>
      <c r="E1761" s="341"/>
      <c r="F1761" s="341"/>
      <c r="G1761" s="341"/>
      <c r="H1761" s="347"/>
      <c r="I1761" s="1567"/>
      <c r="J1761" s="1543"/>
      <c r="K1761" s="1543"/>
      <c r="L1761" s="1543"/>
      <c r="M1761" s="1543"/>
      <c r="N1761" s="1566"/>
    </row>
    <row r="1762" spans="1:14">
      <c r="A1762" s="1514" t="s">
        <v>2843</v>
      </c>
      <c r="B1762" s="406"/>
      <c r="C1762" s="292"/>
      <c r="D1762" s="198"/>
      <c r="E1762" s="341"/>
      <c r="F1762" s="341"/>
      <c r="G1762" s="341"/>
      <c r="H1762" s="347"/>
      <c r="I1762" s="1567"/>
      <c r="J1762" s="1543"/>
      <c r="K1762" s="1543"/>
      <c r="L1762" s="1543"/>
      <c r="M1762" s="1543"/>
      <c r="N1762" s="1566"/>
    </row>
    <row r="1763" spans="1:14">
      <c r="A1763" s="1523"/>
      <c r="B1763" s="406" t="s">
        <v>2882</v>
      </c>
      <c r="C1763" s="292"/>
      <c r="D1763" s="198"/>
      <c r="E1763" s="341"/>
      <c r="F1763" s="341"/>
      <c r="G1763" s="341"/>
      <c r="H1763" s="347"/>
      <c r="I1763" s="1567"/>
      <c r="J1763" s="1543"/>
      <c r="K1763" s="1543"/>
      <c r="L1763" s="1543"/>
      <c r="M1763" s="1543"/>
      <c r="N1763" s="1566"/>
    </row>
    <row r="1764" spans="1:14">
      <c r="A1764" s="1523"/>
      <c r="B1764" s="412" t="s">
        <v>2881</v>
      </c>
      <c r="C1764" s="312">
        <v>198.58</v>
      </c>
      <c r="D1764" s="199"/>
      <c r="E1764" s="351"/>
      <c r="F1764" s="351"/>
      <c r="G1764" s="351"/>
      <c r="H1764" s="364">
        <v>198.58</v>
      </c>
      <c r="I1764" s="1567"/>
      <c r="J1764" s="1543"/>
      <c r="K1764" s="1543"/>
      <c r="L1764" s="1543"/>
      <c r="M1764" s="1543"/>
      <c r="N1764" s="1566"/>
    </row>
    <row r="1765" spans="1:14">
      <c r="A1765" s="1515"/>
      <c r="B1765" s="413"/>
      <c r="C1765" s="294"/>
      <c r="D1765" s="203"/>
      <c r="E1765" s="348"/>
      <c r="F1765" s="348"/>
      <c r="G1765" s="348"/>
      <c r="H1765" s="349"/>
      <c r="I1765" s="1567"/>
      <c r="J1765" s="1543"/>
      <c r="K1765" s="1543"/>
      <c r="L1765" s="1543"/>
      <c r="M1765" s="1543"/>
      <c r="N1765" s="1566"/>
    </row>
    <row r="1766" spans="1:14">
      <c r="A1766" s="1705" t="s">
        <v>2997</v>
      </c>
      <c r="B1766" s="496" t="s">
        <v>3009</v>
      </c>
      <c r="C1766" s="497"/>
      <c r="D1766" s="498"/>
      <c r="E1766" s="498"/>
      <c r="F1766" s="498"/>
      <c r="G1766" s="498"/>
      <c r="H1766" s="499"/>
      <c r="I1766" s="1567"/>
      <c r="J1766" s="1543"/>
      <c r="K1766" s="1543"/>
      <c r="L1766" s="1543"/>
      <c r="M1766" s="1543"/>
      <c r="N1766" s="1566"/>
    </row>
    <row r="1767" spans="1:14">
      <c r="A1767" s="1705"/>
      <c r="B1767" s="490" t="s">
        <v>3010</v>
      </c>
      <c r="C1767" s="100">
        <v>6.8</v>
      </c>
      <c r="D1767" s="488">
        <f>6.8/40</f>
        <v>0.16999999999999998</v>
      </c>
      <c r="E1767" s="508">
        <f>40-23</f>
        <v>17</v>
      </c>
      <c r="F1767" s="488">
        <f>D1767*E1767</f>
        <v>2.8899999999999997</v>
      </c>
      <c r="G1767" s="376"/>
      <c r="H1767" s="284">
        <f>C1767-F1767</f>
        <v>3.91</v>
      </c>
      <c r="I1767" s="1567"/>
      <c r="J1767" s="1543"/>
      <c r="K1767" s="1543"/>
      <c r="L1767" s="1543"/>
      <c r="M1767" s="1543"/>
      <c r="N1767" s="1566"/>
    </row>
    <row r="1768" spans="1:14">
      <c r="A1768" s="1705"/>
      <c r="B1768" s="490" t="s">
        <v>3011</v>
      </c>
      <c r="C1768" s="100">
        <v>8.3000000000000007</v>
      </c>
      <c r="D1768" s="488">
        <f>6.8/40</f>
        <v>0.16999999999999998</v>
      </c>
      <c r="E1768" s="508">
        <f>40-23</f>
        <v>17</v>
      </c>
      <c r="F1768" s="488">
        <f>D1768*E1768</f>
        <v>2.8899999999999997</v>
      </c>
      <c r="G1768" s="376"/>
      <c r="H1768" s="284">
        <f>C1768-F1768</f>
        <v>5.410000000000001</v>
      </c>
      <c r="I1768" s="1567"/>
      <c r="J1768" s="1543"/>
      <c r="K1768" s="1543"/>
      <c r="L1768" s="1543"/>
      <c r="M1768" s="1543"/>
      <c r="N1768" s="1566"/>
    </row>
    <row r="1769" spans="1:14">
      <c r="A1769" s="1705"/>
      <c r="B1769" s="490" t="s">
        <v>3012</v>
      </c>
      <c r="C1769" s="100">
        <v>8.3000000000000007</v>
      </c>
      <c r="D1769" s="488">
        <f>6.8/40</f>
        <v>0.16999999999999998</v>
      </c>
      <c r="E1769" s="508">
        <f>40-23</f>
        <v>17</v>
      </c>
      <c r="F1769" s="488">
        <f>D1769*E1769</f>
        <v>2.8899999999999997</v>
      </c>
      <c r="G1769" s="376"/>
      <c r="H1769" s="284">
        <f>C1769-F1769</f>
        <v>5.410000000000001</v>
      </c>
      <c r="I1769" s="1567"/>
      <c r="J1769" s="1543"/>
      <c r="K1769" s="1543"/>
      <c r="L1769" s="1543"/>
      <c r="M1769" s="1543"/>
      <c r="N1769" s="1566"/>
    </row>
    <row r="1770" spans="1:14">
      <c r="A1770" s="1705"/>
      <c r="B1770" s="500" t="s">
        <v>3014</v>
      </c>
      <c r="C1770" s="100"/>
      <c r="D1770" s="100"/>
      <c r="E1770" s="376"/>
      <c r="F1770" s="376"/>
      <c r="G1770" s="376"/>
      <c r="H1770" s="285"/>
      <c r="I1770" s="1567"/>
      <c r="J1770" s="1543"/>
      <c r="K1770" s="1543"/>
      <c r="L1770" s="1543"/>
      <c r="M1770" s="1543"/>
      <c r="N1770" s="1566"/>
    </row>
    <row r="1771" spans="1:14">
      <c r="A1771" s="1705"/>
      <c r="B1771" s="501" t="s">
        <v>3013</v>
      </c>
      <c r="C1771" s="100">
        <v>8.3000000000000007</v>
      </c>
      <c r="D1771" s="488">
        <f>6.8/40</f>
        <v>0.16999999999999998</v>
      </c>
      <c r="E1771" s="508">
        <f>40-23</f>
        <v>17</v>
      </c>
      <c r="F1771" s="488">
        <f>D1771*E1771</f>
        <v>2.8899999999999997</v>
      </c>
      <c r="G1771" s="376"/>
      <c r="H1771" s="284">
        <f>C1771-F1771</f>
        <v>5.410000000000001</v>
      </c>
      <c r="I1771" s="1567"/>
      <c r="J1771" s="1543"/>
      <c r="K1771" s="1543"/>
      <c r="L1771" s="1543"/>
      <c r="M1771" s="1543"/>
      <c r="N1771" s="1566"/>
    </row>
    <row r="1772" spans="1:14" ht="30">
      <c r="A1772" s="1705"/>
      <c r="B1772" s="490" t="s">
        <v>3015</v>
      </c>
      <c r="C1772" s="100">
        <v>1.9</v>
      </c>
      <c r="D1772" s="488"/>
      <c r="E1772" s="508"/>
      <c r="F1772" s="488">
        <v>2</v>
      </c>
      <c r="G1772" s="488"/>
      <c r="H1772" s="284">
        <f>C1772*F1772</f>
        <v>3.8</v>
      </c>
      <c r="I1772" s="1567"/>
      <c r="J1772" s="1543"/>
      <c r="K1772" s="1543"/>
      <c r="L1772" s="1543"/>
      <c r="M1772" s="1543"/>
      <c r="N1772" s="1566"/>
    </row>
    <row r="1773" spans="1:14" ht="30">
      <c r="A1773" s="1705"/>
      <c r="B1773" s="490" t="s">
        <v>3016</v>
      </c>
      <c r="C1773" s="100">
        <v>2.1</v>
      </c>
      <c r="D1773" s="488"/>
      <c r="E1773" s="508"/>
      <c r="F1773" s="488">
        <v>2</v>
      </c>
      <c r="G1773" s="488"/>
      <c r="H1773" s="284">
        <f>C1773*F1773</f>
        <v>4.2</v>
      </c>
      <c r="I1773" s="1567"/>
      <c r="J1773" s="1543"/>
      <c r="K1773" s="1543"/>
      <c r="L1773" s="1543"/>
      <c r="M1773" s="1543"/>
      <c r="N1773" s="1566"/>
    </row>
    <row r="1774" spans="1:14">
      <c r="A1774" s="1705"/>
      <c r="B1774" s="487" t="s">
        <v>3019</v>
      </c>
      <c r="D1774" s="488"/>
      <c r="E1774" s="508"/>
      <c r="F1774" s="488"/>
      <c r="G1774" s="488"/>
      <c r="H1774" s="284"/>
      <c r="I1774" s="1567"/>
      <c r="J1774" s="1543"/>
      <c r="K1774" s="1543"/>
      <c r="L1774" s="1543"/>
      <c r="M1774" s="1543"/>
      <c r="N1774" s="1566"/>
    </row>
    <row r="1775" spans="1:14">
      <c r="A1775" s="1705"/>
      <c r="B1775" s="489" t="s">
        <v>3020</v>
      </c>
      <c r="D1775" s="488"/>
      <c r="E1775" s="508"/>
      <c r="F1775" s="488"/>
      <c r="G1775" s="488"/>
      <c r="H1775" s="284"/>
      <c r="I1775" s="1567"/>
      <c r="J1775" s="1543"/>
      <c r="K1775" s="1543"/>
      <c r="L1775" s="1543"/>
      <c r="M1775" s="1543"/>
      <c r="N1775" s="1566"/>
    </row>
    <row r="1776" spans="1:14">
      <c r="A1776" s="1705"/>
      <c r="B1776" s="490" t="s">
        <v>2548</v>
      </c>
      <c r="C1776" s="468">
        <f>1+3.1</f>
        <v>4.0999999999999996</v>
      </c>
      <c r="D1776" s="488"/>
      <c r="E1776" s="508"/>
      <c r="F1776" s="488">
        <v>1</v>
      </c>
      <c r="G1776" s="488"/>
      <c r="H1776" s="284">
        <f>C1776*F1776</f>
        <v>4.0999999999999996</v>
      </c>
      <c r="I1776" s="1567"/>
      <c r="J1776" s="1543"/>
      <c r="K1776" s="1543"/>
      <c r="L1776" s="1543"/>
      <c r="M1776" s="1543"/>
      <c r="N1776" s="1566"/>
    </row>
    <row r="1777" spans="1:14">
      <c r="A1777" s="1705"/>
      <c r="B1777" s="487" t="s">
        <v>3017</v>
      </c>
      <c r="D1777" s="488"/>
      <c r="E1777" s="508"/>
      <c r="F1777" s="488"/>
      <c r="G1777" s="488"/>
      <c r="H1777" s="284"/>
      <c r="I1777" s="1567"/>
      <c r="J1777" s="1543"/>
      <c r="K1777" s="1543"/>
      <c r="L1777" s="1543"/>
      <c r="M1777" s="1543"/>
      <c r="N1777" s="1566"/>
    </row>
    <row r="1778" spans="1:14">
      <c r="A1778" s="1705"/>
      <c r="B1778" s="489" t="s">
        <v>3021</v>
      </c>
      <c r="D1778" s="488"/>
      <c r="E1778" s="508"/>
      <c r="F1778" s="488"/>
      <c r="G1778" s="488"/>
      <c r="H1778" s="284"/>
      <c r="I1778" s="1567"/>
      <c r="J1778" s="1543"/>
      <c r="K1778" s="1543"/>
      <c r="L1778" s="1543"/>
      <c r="M1778" s="1543"/>
      <c r="N1778" s="1566"/>
    </row>
    <row r="1779" spans="1:14">
      <c r="A1779" s="1705"/>
      <c r="B1779" s="490" t="s">
        <v>2548</v>
      </c>
      <c r="C1779" s="468">
        <f>1+3.1</f>
        <v>4.0999999999999996</v>
      </c>
      <c r="D1779" s="488"/>
      <c r="E1779" s="508"/>
      <c r="F1779" s="488">
        <v>1</v>
      </c>
      <c r="G1779" s="488"/>
      <c r="H1779" s="284">
        <f>C1779*F1779</f>
        <v>4.0999999999999996</v>
      </c>
      <c r="I1779" s="1567"/>
      <c r="J1779" s="1543"/>
      <c r="K1779" s="1543"/>
      <c r="L1779" s="1543"/>
      <c r="M1779" s="1543"/>
      <c r="N1779" s="1566"/>
    </row>
    <row r="1780" spans="1:14">
      <c r="A1780" s="1705"/>
      <c r="B1780" s="490" t="s">
        <v>2549</v>
      </c>
      <c r="C1780" s="502">
        <v>1.1000000000000001</v>
      </c>
      <c r="D1780" s="488"/>
      <c r="E1780" s="508"/>
      <c r="F1780" s="488">
        <v>1</v>
      </c>
      <c r="G1780" s="488"/>
      <c r="H1780" s="284">
        <f>C1780*F1780</f>
        <v>1.1000000000000001</v>
      </c>
      <c r="I1780" s="1567"/>
      <c r="J1780" s="1543"/>
      <c r="K1780" s="1543"/>
      <c r="L1780" s="1543"/>
      <c r="M1780" s="1543"/>
      <c r="N1780" s="1566"/>
    </row>
    <row r="1781" spans="1:14">
      <c r="A1781" s="1706"/>
      <c r="B1781" s="490" t="s">
        <v>2576</v>
      </c>
      <c r="C1781" s="502">
        <f>9</f>
        <v>9</v>
      </c>
      <c r="D1781" s="488"/>
      <c r="E1781" s="508"/>
      <c r="F1781" s="488">
        <v>1</v>
      </c>
      <c r="G1781" s="488"/>
      <c r="H1781" s="284">
        <f>C1781*F1781</f>
        <v>9</v>
      </c>
      <c r="I1781" s="1567"/>
      <c r="J1781" s="1543"/>
      <c r="K1781" s="1543"/>
      <c r="L1781" s="1543"/>
      <c r="M1781" s="1543"/>
      <c r="N1781" s="1566"/>
    </row>
    <row r="1782" spans="1:14">
      <c r="A1782" s="1514" t="s">
        <v>3217</v>
      </c>
      <c r="B1782" s="487" t="s">
        <v>2741</v>
      </c>
      <c r="C1782" s="292"/>
      <c r="D1782" s="198"/>
      <c r="E1782" s="341"/>
      <c r="F1782" s="341"/>
      <c r="G1782" s="341"/>
      <c r="H1782" s="347"/>
      <c r="I1782" s="1567"/>
      <c r="J1782" s="1543"/>
      <c r="K1782" s="1543"/>
      <c r="L1782" s="1543"/>
      <c r="M1782" s="1543"/>
      <c r="N1782" s="1566"/>
    </row>
    <row r="1783" spans="1:14">
      <c r="A1783" s="1523"/>
      <c r="B1783" s="406" t="s">
        <v>3218</v>
      </c>
      <c r="C1783" s="292">
        <v>43.6</v>
      </c>
      <c r="D1783" s="198"/>
      <c r="E1783" s="341"/>
      <c r="F1783" s="341"/>
      <c r="G1783" s="341"/>
      <c r="H1783" s="347">
        <v>43.6</v>
      </c>
      <c r="I1783" s="1567"/>
      <c r="J1783" s="1543"/>
      <c r="K1783" s="1543"/>
      <c r="L1783" s="1543"/>
      <c r="M1783" s="1543"/>
      <c r="N1783" s="1566"/>
    </row>
    <row r="1784" spans="1:14">
      <c r="A1784" s="1523"/>
      <c r="B1784" s="412" t="s">
        <v>3219</v>
      </c>
      <c r="C1784" s="312">
        <v>89.9</v>
      </c>
      <c r="D1784" s="199"/>
      <c r="E1784" s="351"/>
      <c r="F1784" s="351"/>
      <c r="G1784" s="351"/>
      <c r="H1784" s="364">
        <v>45.1</v>
      </c>
      <c r="I1784" s="1567"/>
      <c r="J1784" s="1543"/>
      <c r="K1784" s="1543"/>
      <c r="L1784" s="1543"/>
      <c r="M1784" s="1543"/>
      <c r="N1784" s="1566"/>
    </row>
    <row r="1785" spans="1:14">
      <c r="A1785" s="1515"/>
      <c r="B1785" s="413"/>
      <c r="C1785" s="294"/>
      <c r="D1785" s="203"/>
      <c r="E1785" s="348"/>
      <c r="F1785" s="348"/>
      <c r="G1785" s="348"/>
      <c r="H1785" s="349"/>
      <c r="I1785" s="1567"/>
      <c r="J1785" s="1543"/>
      <c r="K1785" s="1543"/>
      <c r="L1785" s="1543"/>
      <c r="M1785" s="1543"/>
      <c r="N1785" s="1566"/>
    </row>
    <row r="1786" spans="1:14">
      <c r="A1786" s="1608" t="s">
        <v>2218</v>
      </c>
      <c r="B1786" s="1609"/>
      <c r="C1786" s="1609"/>
      <c r="D1786" s="1609"/>
      <c r="E1786" s="1609"/>
      <c r="F1786" s="1609"/>
      <c r="G1786" s="1610"/>
      <c r="H1786" s="271">
        <f>SUM(H1748:H1785)</f>
        <v>1848.82</v>
      </c>
      <c r="I1786" s="1567"/>
      <c r="J1786" s="1543"/>
      <c r="K1786" s="1543"/>
      <c r="L1786" s="1543"/>
      <c r="M1786" s="1543"/>
      <c r="N1786" s="1566"/>
    </row>
    <row r="1787" spans="1:14">
      <c r="A1787" s="1519" t="s">
        <v>2219</v>
      </c>
      <c r="B1787" s="1517"/>
      <c r="C1787" s="1517"/>
      <c r="D1787" s="1517"/>
      <c r="E1787" s="1517"/>
      <c r="F1787" s="1517"/>
      <c r="G1787" s="1518"/>
      <c r="H1787" s="272">
        <f>SUM(H1748:H1781)</f>
        <v>1760.1200000000001</v>
      </c>
      <c r="I1787" s="1543"/>
      <c r="J1787" s="1543"/>
      <c r="K1787" s="1543"/>
      <c r="L1787" s="1543"/>
      <c r="M1787" s="1543"/>
      <c r="N1787" s="1566"/>
    </row>
    <row r="1788" spans="1:14" ht="15.75" thickBot="1">
      <c r="A1788" s="1520" t="s">
        <v>2220</v>
      </c>
      <c r="B1788" s="1521"/>
      <c r="C1788" s="1521"/>
      <c r="D1788" s="1521"/>
      <c r="E1788" s="1521"/>
      <c r="F1788" s="1521"/>
      <c r="G1788" s="1522"/>
      <c r="H1788" s="216">
        <f>H1786-H1787</f>
        <v>88.699999999999818</v>
      </c>
      <c r="I1788" s="1568"/>
      <c r="J1788" s="1568"/>
      <c r="K1788" s="1568"/>
      <c r="L1788" s="1568"/>
      <c r="M1788" s="1568"/>
      <c r="N1788" s="1569"/>
    </row>
    <row r="1789" spans="1:14" ht="15.75" customHeight="1" thickBot="1">
      <c r="A1789" s="1635"/>
      <c r="B1789" s="1636"/>
      <c r="C1789" s="1636"/>
      <c r="D1789" s="1636"/>
      <c r="E1789" s="1636"/>
      <c r="F1789" s="1636"/>
      <c r="G1789" s="1636"/>
      <c r="H1789" s="1636"/>
      <c r="I1789" s="1636"/>
      <c r="J1789" s="1636"/>
      <c r="K1789" s="1636"/>
      <c r="L1789" s="1636"/>
      <c r="M1789" s="1636"/>
      <c r="N1789" s="1637"/>
    </row>
    <row r="1790" spans="1:14" ht="30" customHeight="1">
      <c r="A1790" s="1106" t="s">
        <v>2618</v>
      </c>
      <c r="B1790" s="1494" t="s">
        <v>107</v>
      </c>
      <c r="C1790" s="1495"/>
      <c r="D1790" s="1495"/>
      <c r="E1790" s="1495"/>
      <c r="F1790" s="1495"/>
      <c r="G1790" s="1495"/>
      <c r="H1790" s="1495"/>
      <c r="I1790" s="1495"/>
      <c r="J1790" s="1496"/>
      <c r="K1790" s="196" t="s">
        <v>746</v>
      </c>
      <c r="L1790" s="1497">
        <v>2680.94</v>
      </c>
      <c r="M1790" s="1498"/>
      <c r="N1790" s="197">
        <f>L1790-H1830</f>
        <v>-81.840000000000146</v>
      </c>
    </row>
    <row r="1791" spans="1:14" ht="13.5" customHeight="1">
      <c r="A1791" s="1772"/>
      <c r="B1791" s="1773"/>
      <c r="C1791" s="503"/>
      <c r="D1791" s="504" t="s">
        <v>2183</v>
      </c>
      <c r="E1791" s="1333" t="s">
        <v>2184</v>
      </c>
      <c r="F1791" s="504" t="s">
        <v>2185</v>
      </c>
      <c r="G1791" s="504" t="s">
        <v>2186</v>
      </c>
      <c r="H1791" s="1774" t="s">
        <v>476</v>
      </c>
      <c r="I1791" s="1567"/>
      <c r="J1791" s="1543"/>
      <c r="K1791" s="1543"/>
      <c r="L1791" s="1543"/>
      <c r="M1791" s="1543"/>
      <c r="N1791" s="1566"/>
    </row>
    <row r="1792" spans="1:14" ht="16.5" customHeight="1">
      <c r="A1792" s="1772"/>
      <c r="B1792" s="1773"/>
      <c r="C1792" s="505" t="s">
        <v>2582</v>
      </c>
      <c r="D1792" s="506" t="s">
        <v>2187</v>
      </c>
      <c r="E1792" s="1334" t="s">
        <v>2586</v>
      </c>
      <c r="F1792" s="506" t="s">
        <v>2189</v>
      </c>
      <c r="G1792" s="507" t="s">
        <v>2190</v>
      </c>
      <c r="H1792" s="1774"/>
      <c r="I1792" s="1567"/>
      <c r="J1792" s="1543"/>
      <c r="K1792" s="1543"/>
      <c r="L1792" s="1543"/>
      <c r="M1792" s="1543"/>
      <c r="N1792" s="1566"/>
    </row>
    <row r="1793" spans="1:14">
      <c r="A1793" s="1536" t="s">
        <v>2268</v>
      </c>
      <c r="B1793" s="442" t="s">
        <v>2616</v>
      </c>
      <c r="C1793" s="287"/>
      <c r="D1793" s="202"/>
      <c r="E1793" s="346"/>
      <c r="F1793" s="346"/>
      <c r="G1793" s="346"/>
      <c r="H1793" s="403"/>
      <c r="I1793" s="1567"/>
      <c r="J1793" s="1543"/>
      <c r="K1793" s="1543"/>
      <c r="L1793" s="1543"/>
      <c r="M1793" s="1543"/>
      <c r="N1793" s="1566"/>
    </row>
    <row r="1794" spans="1:14">
      <c r="A1794" s="1536"/>
      <c r="B1794" s="406" t="s">
        <v>2617</v>
      </c>
      <c r="C1794" s="292">
        <v>491.6</v>
      </c>
      <c r="D1794" s="198"/>
      <c r="E1794" s="341"/>
      <c r="F1794" s="341"/>
      <c r="G1794" s="341"/>
      <c r="H1794" s="347">
        <f>C1794</f>
        <v>491.6</v>
      </c>
      <c r="I1794" s="1567"/>
      <c r="J1794" s="1543"/>
      <c r="K1794" s="1543"/>
      <c r="L1794" s="1543"/>
      <c r="M1794" s="1543"/>
      <c r="N1794" s="1566"/>
    </row>
    <row r="1795" spans="1:14">
      <c r="A1795" s="1536"/>
      <c r="B1795" s="406"/>
      <c r="C1795" s="292"/>
      <c r="D1795" s="198"/>
      <c r="E1795" s="341"/>
      <c r="F1795" s="341"/>
      <c r="G1795" s="341"/>
      <c r="H1795" s="347"/>
      <c r="I1795" s="1567"/>
      <c r="J1795" s="1543"/>
      <c r="K1795" s="1543"/>
      <c r="L1795" s="1543"/>
      <c r="M1795" s="1543"/>
      <c r="N1795" s="1566"/>
    </row>
    <row r="1796" spans="1:14">
      <c r="A1796" s="1536"/>
      <c r="B1796" s="406"/>
      <c r="C1796" s="292"/>
      <c r="D1796" s="198"/>
      <c r="E1796" s="341"/>
      <c r="F1796" s="341"/>
      <c r="G1796" s="341"/>
      <c r="H1796" s="347"/>
      <c r="I1796" s="1567"/>
      <c r="J1796" s="1543"/>
      <c r="K1796" s="1543"/>
      <c r="L1796" s="1543"/>
      <c r="M1796" s="1543"/>
      <c r="N1796" s="1566"/>
    </row>
    <row r="1797" spans="1:14">
      <c r="A1797" s="1536" t="s">
        <v>2476</v>
      </c>
      <c r="B1797" s="406"/>
      <c r="C1797" s="292"/>
      <c r="D1797" s="198"/>
      <c r="E1797" s="341"/>
      <c r="F1797" s="341"/>
      <c r="G1797" s="341"/>
      <c r="H1797" s="347"/>
      <c r="I1797" s="1567"/>
      <c r="J1797" s="1543"/>
      <c r="K1797" s="1543"/>
      <c r="L1797" s="1543"/>
      <c r="M1797" s="1543"/>
      <c r="N1797" s="1566"/>
    </row>
    <row r="1798" spans="1:14">
      <c r="A1798" s="1536"/>
      <c r="B1798" s="406" t="s">
        <v>2613</v>
      </c>
      <c r="C1798" s="292"/>
      <c r="D1798" s="198"/>
      <c r="E1798" s="341"/>
      <c r="F1798" s="341"/>
      <c r="G1798" s="341"/>
      <c r="H1798" s="347"/>
      <c r="I1798" s="1567"/>
      <c r="J1798" s="1543"/>
      <c r="K1798" s="1543"/>
      <c r="L1798" s="1543"/>
      <c r="M1798" s="1543"/>
      <c r="N1798" s="1566"/>
    </row>
    <row r="1799" spans="1:14">
      <c r="A1799" s="1536"/>
      <c r="B1799" s="406" t="s">
        <v>2614</v>
      </c>
      <c r="C1799" s="292">
        <f>195+78+69.4+127.8+144.4+97.8+387.1+78.2+50.6</f>
        <v>1228.3</v>
      </c>
      <c r="D1799" s="198"/>
      <c r="E1799" s="341"/>
      <c r="F1799" s="341"/>
      <c r="G1799" s="341"/>
      <c r="H1799" s="347">
        <f>C1799</f>
        <v>1228.3</v>
      </c>
      <c r="I1799" s="1567"/>
      <c r="J1799" s="1543"/>
      <c r="K1799" s="1543"/>
      <c r="L1799" s="1543"/>
      <c r="M1799" s="1543"/>
      <c r="N1799" s="1566"/>
    </row>
    <row r="1800" spans="1:14">
      <c r="A1800" s="1536"/>
      <c r="B1800" s="406"/>
      <c r="C1800" s="292"/>
      <c r="D1800" s="198"/>
      <c r="E1800" s="341"/>
      <c r="F1800" s="341"/>
      <c r="G1800" s="341"/>
      <c r="H1800" s="347"/>
      <c r="I1800" s="1567"/>
      <c r="J1800" s="1543"/>
      <c r="K1800" s="1543"/>
      <c r="L1800" s="1543"/>
      <c r="M1800" s="1543"/>
      <c r="N1800" s="1566"/>
    </row>
    <row r="1801" spans="1:14">
      <c r="A1801" s="1536"/>
      <c r="B1801" s="412"/>
      <c r="C1801" s="312"/>
      <c r="D1801" s="199"/>
      <c r="E1801" s="351"/>
      <c r="F1801" s="351"/>
      <c r="G1801" s="351"/>
      <c r="H1801" s="364"/>
      <c r="I1801" s="1567"/>
      <c r="J1801" s="1543"/>
      <c r="K1801" s="1543"/>
      <c r="L1801" s="1543"/>
      <c r="M1801" s="1543"/>
      <c r="N1801" s="1566"/>
    </row>
    <row r="1802" spans="1:14">
      <c r="A1802" s="1514" t="s">
        <v>2843</v>
      </c>
      <c r="B1802" s="410"/>
      <c r="C1802" s="287"/>
      <c r="D1802" s="202"/>
      <c r="E1802" s="346"/>
      <c r="F1802" s="346"/>
      <c r="G1802" s="346"/>
      <c r="H1802" s="403"/>
      <c r="I1802" s="1567"/>
      <c r="J1802" s="1543"/>
      <c r="K1802" s="1543"/>
      <c r="L1802" s="1543"/>
      <c r="M1802" s="1543"/>
      <c r="N1802" s="1566"/>
    </row>
    <row r="1803" spans="1:14">
      <c r="A1803" s="1523"/>
      <c r="B1803" s="406" t="s">
        <v>2882</v>
      </c>
      <c r="C1803" s="292"/>
      <c r="D1803" s="198"/>
      <c r="E1803" s="341"/>
      <c r="F1803" s="341"/>
      <c r="G1803" s="341"/>
      <c r="H1803" s="347"/>
      <c r="I1803" s="1567"/>
      <c r="J1803" s="1543"/>
      <c r="K1803" s="1543"/>
      <c r="L1803" s="1543"/>
      <c r="M1803" s="1543"/>
      <c r="N1803" s="1566"/>
    </row>
    <row r="1804" spans="1:14">
      <c r="A1804" s="1523"/>
      <c r="B1804" s="412" t="s">
        <v>2881</v>
      </c>
      <c r="C1804" s="312">
        <v>162.82</v>
      </c>
      <c r="D1804" s="199"/>
      <c r="E1804" s="351"/>
      <c r="F1804" s="351"/>
      <c r="G1804" s="351"/>
      <c r="H1804" s="364">
        <v>162.82</v>
      </c>
      <c r="I1804" s="1567"/>
      <c r="J1804" s="1543"/>
      <c r="K1804" s="1543"/>
      <c r="L1804" s="1543"/>
      <c r="M1804" s="1543"/>
      <c r="N1804" s="1566"/>
    </row>
    <row r="1805" spans="1:14">
      <c r="A1805" s="1515"/>
      <c r="B1805" s="413"/>
      <c r="C1805" s="294"/>
      <c r="D1805" s="203"/>
      <c r="E1805" s="348"/>
      <c r="F1805" s="348"/>
      <c r="G1805" s="348"/>
      <c r="H1805" s="349"/>
      <c r="I1805" s="1567"/>
      <c r="J1805" s="1543"/>
      <c r="K1805" s="1543"/>
      <c r="L1805" s="1543"/>
      <c r="M1805" s="1543"/>
      <c r="N1805" s="1566"/>
    </row>
    <row r="1806" spans="1:14">
      <c r="A1806" s="1704" t="s">
        <v>2997</v>
      </c>
      <c r="B1806" s="496" t="s">
        <v>3009</v>
      </c>
      <c r="C1806" s="497"/>
      <c r="D1806" s="498"/>
      <c r="E1806" s="498"/>
      <c r="F1806" s="498"/>
      <c r="G1806" s="498"/>
      <c r="H1806" s="499"/>
      <c r="I1806" s="1567"/>
      <c r="J1806" s="1543"/>
      <c r="K1806" s="1543"/>
      <c r="L1806" s="1543"/>
      <c r="M1806" s="1543"/>
      <c r="N1806" s="1566"/>
    </row>
    <row r="1807" spans="1:14">
      <c r="A1807" s="1705"/>
      <c r="B1807" s="490" t="s">
        <v>3010</v>
      </c>
      <c r="C1807" s="100">
        <f>13.2+33.2</f>
        <v>46.400000000000006</v>
      </c>
      <c r="D1807" s="488">
        <f>C1807/8</f>
        <v>5.8000000000000007</v>
      </c>
      <c r="E1807" s="508">
        <v>4</v>
      </c>
      <c r="F1807" s="488">
        <f>D1807*E1807</f>
        <v>23.200000000000003</v>
      </c>
      <c r="G1807" s="376"/>
      <c r="H1807" s="284">
        <f>C1807-F1807</f>
        <v>23.200000000000003</v>
      </c>
      <c r="I1807" s="1567"/>
      <c r="J1807" s="1543"/>
      <c r="K1807" s="1543"/>
      <c r="L1807" s="1543"/>
      <c r="M1807" s="1543"/>
      <c r="N1807" s="1566"/>
    </row>
    <row r="1808" spans="1:14">
      <c r="A1808" s="1705"/>
      <c r="B1808" s="490" t="s">
        <v>3011</v>
      </c>
      <c r="C1808" s="100">
        <f>19.8+29.2</f>
        <v>49</v>
      </c>
      <c r="D1808" s="488">
        <f>C1808/8</f>
        <v>6.125</v>
      </c>
      <c r="E1808" s="508">
        <v>4</v>
      </c>
      <c r="F1808" s="488">
        <f>D1808*E1808</f>
        <v>24.5</v>
      </c>
      <c r="G1808" s="376"/>
      <c r="H1808" s="284">
        <f>C1808-F1808</f>
        <v>24.5</v>
      </c>
      <c r="I1808" s="1567"/>
      <c r="J1808" s="1543"/>
      <c r="K1808" s="1543"/>
      <c r="L1808" s="1543"/>
      <c r="M1808" s="1543"/>
      <c r="N1808" s="1566"/>
    </row>
    <row r="1809" spans="1:14">
      <c r="A1809" s="1705"/>
      <c r="B1809" s="490" t="s">
        <v>3012</v>
      </c>
      <c r="C1809" s="100">
        <f>19.8+29.2</f>
        <v>49</v>
      </c>
      <c r="D1809" s="488">
        <f>C1809/8</f>
        <v>6.125</v>
      </c>
      <c r="E1809" s="508">
        <v>4</v>
      </c>
      <c r="F1809" s="488">
        <f>D1809*E1809</f>
        <v>24.5</v>
      </c>
      <c r="G1809" s="376"/>
      <c r="H1809" s="284">
        <f>C1809-F1809</f>
        <v>24.5</v>
      </c>
      <c r="I1809" s="1567"/>
      <c r="J1809" s="1543"/>
      <c r="K1809" s="1543"/>
      <c r="L1809" s="1543"/>
      <c r="M1809" s="1543"/>
      <c r="N1809" s="1566"/>
    </row>
    <row r="1810" spans="1:14">
      <c r="A1810" s="1705"/>
      <c r="B1810" s="490"/>
      <c r="C1810" s="100"/>
      <c r="D1810" s="488"/>
      <c r="E1810" s="508"/>
      <c r="F1810" s="488"/>
      <c r="G1810" s="376"/>
      <c r="H1810" s="284"/>
      <c r="I1810" s="1567"/>
      <c r="J1810" s="1543"/>
      <c r="K1810" s="1543"/>
      <c r="L1810" s="1543"/>
      <c r="M1810" s="1543"/>
      <c r="N1810" s="1566"/>
    </row>
    <row r="1811" spans="1:14">
      <c r="A1811" s="1705"/>
      <c r="B1811" s="500" t="s">
        <v>3014</v>
      </c>
      <c r="C1811" s="100"/>
      <c r="D1811" s="100"/>
      <c r="E1811" s="376"/>
      <c r="F1811" s="376"/>
      <c r="G1811" s="376"/>
      <c r="H1811" s="285"/>
      <c r="I1811" s="1567"/>
      <c r="J1811" s="1543"/>
      <c r="K1811" s="1543"/>
      <c r="L1811" s="1543"/>
      <c r="M1811" s="1543"/>
      <c r="N1811" s="1566"/>
    </row>
    <row r="1812" spans="1:14">
      <c r="A1812" s="1705"/>
      <c r="B1812" s="501" t="s">
        <v>3013</v>
      </c>
      <c r="C1812" s="100">
        <f>19.8+29.2</f>
        <v>49</v>
      </c>
      <c r="D1812" s="488">
        <f>C1812/8</f>
        <v>6.125</v>
      </c>
      <c r="E1812" s="508">
        <v>4</v>
      </c>
      <c r="F1812" s="488">
        <f>D1812*E1812</f>
        <v>24.5</v>
      </c>
      <c r="G1812" s="376"/>
      <c r="H1812" s="284">
        <f>C1812-F1812</f>
        <v>24.5</v>
      </c>
      <c r="I1812" s="1567"/>
      <c r="J1812" s="1543"/>
      <c r="K1812" s="1543"/>
      <c r="L1812" s="1543"/>
      <c r="M1812" s="1543"/>
      <c r="N1812" s="1566"/>
    </row>
    <row r="1813" spans="1:14" ht="30">
      <c r="A1813" s="1705"/>
      <c r="B1813" s="490" t="s">
        <v>3015</v>
      </c>
      <c r="C1813" s="100">
        <v>7.7</v>
      </c>
      <c r="D1813" s="488"/>
      <c r="E1813" s="508"/>
      <c r="F1813" s="488">
        <v>2</v>
      </c>
      <c r="G1813" s="488"/>
      <c r="H1813" s="284">
        <f>C1813*F1813</f>
        <v>15.4</v>
      </c>
      <c r="I1813" s="1567"/>
      <c r="J1813" s="1543"/>
      <c r="K1813" s="1543"/>
      <c r="L1813" s="1543"/>
      <c r="M1813" s="1543"/>
      <c r="N1813" s="1566"/>
    </row>
    <row r="1814" spans="1:14" ht="30">
      <c r="A1814" s="1705"/>
      <c r="B1814" s="490" t="s">
        <v>3016</v>
      </c>
      <c r="C1814" s="100">
        <v>7.9</v>
      </c>
      <c r="D1814" s="488"/>
      <c r="E1814" s="508"/>
      <c r="F1814" s="488">
        <v>2</v>
      </c>
      <c r="G1814" s="488"/>
      <c r="H1814" s="284">
        <f>C1814*F1814</f>
        <v>15.8</v>
      </c>
      <c r="I1814" s="1567"/>
      <c r="J1814" s="1543"/>
      <c r="K1814" s="1543"/>
      <c r="L1814" s="1543"/>
      <c r="M1814" s="1543"/>
      <c r="N1814" s="1566"/>
    </row>
    <row r="1815" spans="1:14">
      <c r="A1815" s="1705"/>
      <c r="B1815" s="487" t="s">
        <v>3019</v>
      </c>
      <c r="C1815" s="100"/>
      <c r="D1815" s="488"/>
      <c r="E1815" s="508"/>
      <c r="F1815" s="488"/>
      <c r="G1815" s="488"/>
      <c r="H1815" s="284"/>
      <c r="I1815" s="1567"/>
      <c r="J1815" s="1543"/>
      <c r="K1815" s="1543"/>
      <c r="L1815" s="1543"/>
      <c r="M1815" s="1543"/>
      <c r="N1815" s="1566"/>
    </row>
    <row r="1816" spans="1:14">
      <c r="A1816" s="1705"/>
      <c r="B1816" s="489" t="s">
        <v>3020</v>
      </c>
      <c r="C1816" s="100"/>
      <c r="D1816" s="488"/>
      <c r="E1816" s="508"/>
      <c r="F1816" s="488"/>
      <c r="G1816" s="488"/>
      <c r="H1816" s="284"/>
      <c r="I1816" s="1567"/>
      <c r="J1816" s="1543"/>
      <c r="K1816" s="1543"/>
      <c r="L1816" s="1543"/>
      <c r="M1816" s="1543"/>
      <c r="N1816" s="1566"/>
    </row>
    <row r="1817" spans="1:14">
      <c r="A1817" s="1705"/>
      <c r="B1817" s="490" t="s">
        <v>2548</v>
      </c>
      <c r="C1817" s="100">
        <f>1.8+5.8</f>
        <v>7.6</v>
      </c>
      <c r="D1817" s="488"/>
      <c r="E1817" s="508"/>
      <c r="F1817" s="488">
        <v>1</v>
      </c>
      <c r="G1817" s="488"/>
      <c r="H1817" s="284">
        <f>C1817*F1817</f>
        <v>7.6</v>
      </c>
      <c r="I1817" s="1567"/>
      <c r="J1817" s="1543"/>
      <c r="K1817" s="1543"/>
      <c r="L1817" s="1543"/>
      <c r="M1817" s="1543"/>
      <c r="N1817" s="1566"/>
    </row>
    <row r="1818" spans="1:14">
      <c r="A1818" s="1705"/>
      <c r="B1818" s="487" t="s">
        <v>3017</v>
      </c>
      <c r="C1818" s="100"/>
      <c r="D1818" s="488"/>
      <c r="E1818" s="508"/>
      <c r="F1818" s="488"/>
      <c r="G1818" s="488"/>
      <c r="H1818" s="284"/>
      <c r="I1818" s="1567"/>
      <c r="J1818" s="1543"/>
      <c r="K1818" s="1543"/>
      <c r="L1818" s="1543"/>
      <c r="M1818" s="1543"/>
      <c r="N1818" s="1566"/>
    </row>
    <row r="1819" spans="1:14">
      <c r="A1819" s="1705"/>
      <c r="B1819" s="489" t="s">
        <v>3021</v>
      </c>
      <c r="C1819" s="100"/>
      <c r="D1819" s="488"/>
      <c r="E1819" s="508"/>
      <c r="F1819" s="488"/>
      <c r="G1819" s="488"/>
      <c r="H1819" s="284"/>
      <c r="I1819" s="1567"/>
      <c r="J1819" s="1543"/>
      <c r="K1819" s="1543"/>
      <c r="L1819" s="1543"/>
      <c r="M1819" s="1543"/>
      <c r="N1819" s="1566"/>
    </row>
    <row r="1820" spans="1:14">
      <c r="A1820" s="1705"/>
      <c r="B1820" s="490" t="s">
        <v>2548</v>
      </c>
      <c r="C1820" s="100">
        <f>1.8+5.8</f>
        <v>7.6</v>
      </c>
      <c r="D1820" s="488"/>
      <c r="E1820" s="508"/>
      <c r="F1820" s="488">
        <v>1</v>
      </c>
      <c r="G1820" s="488"/>
      <c r="H1820" s="284">
        <f>C1820*F1820</f>
        <v>7.6</v>
      </c>
      <c r="I1820" s="1567"/>
      <c r="J1820" s="1543"/>
      <c r="K1820" s="1543"/>
      <c r="L1820" s="1543"/>
      <c r="M1820" s="1543"/>
      <c r="N1820" s="1566"/>
    </row>
    <row r="1821" spans="1:14">
      <c r="A1821" s="1705"/>
      <c r="B1821" s="490" t="s">
        <v>2549</v>
      </c>
      <c r="C1821" s="508">
        <v>4.7</v>
      </c>
      <c r="D1821" s="488"/>
      <c r="E1821" s="508"/>
      <c r="F1821" s="488">
        <v>1</v>
      </c>
      <c r="G1821" s="488"/>
      <c r="H1821" s="284">
        <f>C1821*F1821</f>
        <v>4.7</v>
      </c>
      <c r="I1821" s="1567"/>
      <c r="J1821" s="1543"/>
      <c r="K1821" s="1543"/>
      <c r="L1821" s="1543"/>
      <c r="M1821" s="1543"/>
      <c r="N1821" s="1566"/>
    </row>
    <row r="1822" spans="1:14">
      <c r="A1822" s="1706"/>
      <c r="B1822" s="491" t="s">
        <v>2576</v>
      </c>
      <c r="C1822" s="509">
        <f>6.3+19+11.4+7.7</f>
        <v>44.400000000000006</v>
      </c>
      <c r="D1822" s="492"/>
      <c r="E1822" s="509"/>
      <c r="F1822" s="492">
        <v>1</v>
      </c>
      <c r="G1822" s="492"/>
      <c r="H1822" s="284">
        <f>C1822*F1822</f>
        <v>44.400000000000006</v>
      </c>
      <c r="I1822" s="1567"/>
      <c r="J1822" s="1543"/>
      <c r="K1822" s="1543"/>
      <c r="L1822" s="1543"/>
      <c r="M1822" s="1543"/>
      <c r="N1822" s="1566"/>
    </row>
    <row r="1823" spans="1:14">
      <c r="A1823" s="1514" t="s">
        <v>3158</v>
      </c>
      <c r="B1823" s="410"/>
      <c r="C1823" s="287"/>
      <c r="D1823" s="202"/>
      <c r="E1823" s="346"/>
      <c r="F1823" s="346"/>
      <c r="G1823" s="346"/>
      <c r="H1823" s="403"/>
      <c r="I1823" s="1567"/>
      <c r="J1823" s="1543"/>
      <c r="K1823" s="1543"/>
      <c r="L1823" s="1543"/>
      <c r="M1823" s="1543"/>
      <c r="N1823" s="1566"/>
    </row>
    <row r="1824" spans="1:14">
      <c r="A1824" s="1523"/>
      <c r="B1824" s="406" t="s">
        <v>3167</v>
      </c>
      <c r="C1824" s="292"/>
      <c r="D1824" s="198"/>
      <c r="E1824" s="341"/>
      <c r="F1824" s="341"/>
      <c r="G1824" s="341"/>
      <c r="H1824" s="347">
        <v>52.02</v>
      </c>
      <c r="I1824" s="1567"/>
      <c r="J1824" s="1543"/>
      <c r="K1824" s="1543"/>
      <c r="L1824" s="1543"/>
      <c r="M1824" s="1543"/>
      <c r="N1824" s="1566"/>
    </row>
    <row r="1825" spans="1:14">
      <c r="A1825" s="1090"/>
      <c r="B1825" s="412"/>
      <c r="C1825" s="312"/>
      <c r="D1825" s="199"/>
      <c r="E1825" s="351"/>
      <c r="F1825" s="351"/>
      <c r="G1825" s="351"/>
      <c r="H1825" s="364"/>
      <c r="I1825" s="1567"/>
      <c r="J1825" s="1543"/>
      <c r="K1825" s="1543"/>
      <c r="L1825" s="1543"/>
      <c r="M1825" s="1543"/>
      <c r="N1825" s="1566"/>
    </row>
    <row r="1826" spans="1:14">
      <c r="A1826" s="1523" t="s">
        <v>3745</v>
      </c>
      <c r="B1826" s="412" t="s">
        <v>3767</v>
      </c>
      <c r="C1826" s="312">
        <v>573.44000000000005</v>
      </c>
      <c r="D1826" s="199"/>
      <c r="E1826" s="351"/>
      <c r="F1826" s="351"/>
      <c r="G1826" s="351"/>
      <c r="H1826" s="364">
        <f>C1826</f>
        <v>573.44000000000005</v>
      </c>
      <c r="I1826" s="1567"/>
      <c r="J1826" s="1543"/>
      <c r="K1826" s="1543"/>
      <c r="L1826" s="1543"/>
      <c r="M1826" s="1543"/>
      <c r="N1826" s="1566"/>
    </row>
    <row r="1827" spans="1:14">
      <c r="A1827" s="1523"/>
      <c r="B1827" s="412" t="s">
        <v>3768</v>
      </c>
      <c r="C1827" s="312">
        <v>37.4</v>
      </c>
      <c r="D1827" s="199"/>
      <c r="E1827" s="351"/>
      <c r="F1827" s="351"/>
      <c r="G1827" s="351"/>
      <c r="H1827" s="364">
        <f>C1827</f>
        <v>37.4</v>
      </c>
      <c r="I1827" s="1567"/>
      <c r="J1827" s="1543"/>
      <c r="K1827" s="1543"/>
      <c r="L1827" s="1543"/>
      <c r="M1827" s="1543"/>
      <c r="N1827" s="1566"/>
    </row>
    <row r="1828" spans="1:14">
      <c r="A1828" s="1523"/>
      <c r="B1828" s="412" t="s">
        <v>3769</v>
      </c>
      <c r="C1828" s="312">
        <v>25</v>
      </c>
      <c r="D1828" s="199"/>
      <c r="E1828" s="351"/>
      <c r="F1828" s="351"/>
      <c r="G1828" s="351"/>
      <c r="H1828" s="364">
        <f>C1828</f>
        <v>25</v>
      </c>
      <c r="I1828" s="1567"/>
      <c r="J1828" s="1543"/>
      <c r="K1828" s="1543"/>
      <c r="L1828" s="1543"/>
      <c r="M1828" s="1543"/>
      <c r="N1828" s="1566"/>
    </row>
    <row r="1829" spans="1:14">
      <c r="A1829" s="1138"/>
      <c r="B1829" s="413"/>
      <c r="C1829" s="294"/>
      <c r="D1829" s="203"/>
      <c r="E1829" s="348"/>
      <c r="F1829" s="348"/>
      <c r="G1829" s="348"/>
      <c r="H1829" s="349"/>
      <c r="I1829" s="1567"/>
      <c r="J1829" s="1543"/>
      <c r="K1829" s="1543"/>
      <c r="L1829" s="1543"/>
      <c r="M1829" s="1543"/>
      <c r="N1829" s="1566"/>
    </row>
    <row r="1830" spans="1:14">
      <c r="A1830" s="1577" t="s">
        <v>2218</v>
      </c>
      <c r="B1830" s="1542"/>
      <c r="C1830" s="1542"/>
      <c r="D1830" s="1542"/>
      <c r="E1830" s="1542"/>
      <c r="F1830" s="1542"/>
      <c r="G1830" s="1542"/>
      <c r="H1830" s="271">
        <f>SUM(H1793:H1829)</f>
        <v>2762.78</v>
      </c>
      <c r="I1830" s="1567"/>
      <c r="J1830" s="1543"/>
      <c r="K1830" s="1543"/>
      <c r="L1830" s="1543"/>
      <c r="M1830" s="1543"/>
      <c r="N1830" s="1566"/>
    </row>
    <row r="1831" spans="1:14">
      <c r="A1831" s="1519" t="s">
        <v>2219</v>
      </c>
      <c r="B1831" s="1517"/>
      <c r="C1831" s="1517"/>
      <c r="D1831" s="1551"/>
      <c r="E1831" s="1551"/>
      <c r="F1831" s="1551"/>
      <c r="G1831" s="1552"/>
      <c r="H1831" s="272">
        <f>SUM(H1793:H1824)</f>
        <v>2126.94</v>
      </c>
      <c r="I1831" s="1543"/>
      <c r="J1831" s="1543"/>
      <c r="K1831" s="1543"/>
      <c r="L1831" s="1543"/>
      <c r="M1831" s="1543"/>
      <c r="N1831" s="1566"/>
    </row>
    <row r="1832" spans="1:14" ht="15.75" thickBot="1">
      <c r="A1832" s="1520" t="s">
        <v>2220</v>
      </c>
      <c r="B1832" s="1521"/>
      <c r="C1832" s="1521"/>
      <c r="D1832" s="1521"/>
      <c r="E1832" s="1521"/>
      <c r="F1832" s="1521"/>
      <c r="G1832" s="1522"/>
      <c r="H1832" s="216">
        <f>H1830-H1831</f>
        <v>635.84000000000015</v>
      </c>
      <c r="I1832" s="1568"/>
      <c r="J1832" s="1568"/>
      <c r="K1832" s="1568"/>
      <c r="L1832" s="1568"/>
      <c r="M1832" s="1568"/>
      <c r="N1832" s="1569"/>
    </row>
    <row r="1833" spans="1:14" ht="15.75" thickBot="1">
      <c r="A1833" s="1635"/>
      <c r="B1833" s="1636"/>
      <c r="C1833" s="1636"/>
      <c r="D1833" s="1636"/>
      <c r="E1833" s="1636"/>
      <c r="F1833" s="1636"/>
      <c r="G1833" s="1636"/>
      <c r="H1833" s="1636"/>
      <c r="I1833" s="1636"/>
      <c r="J1833" s="1636"/>
      <c r="K1833" s="1636"/>
      <c r="L1833" s="1636"/>
      <c r="M1833" s="1636"/>
      <c r="N1833" s="1637"/>
    </row>
    <row r="1834" spans="1:14" ht="30" customHeight="1">
      <c r="A1834" s="1085" t="s">
        <v>2619</v>
      </c>
      <c r="B1834" s="1494" t="s">
        <v>732</v>
      </c>
      <c r="C1834" s="1495"/>
      <c r="D1834" s="1495"/>
      <c r="E1834" s="1495"/>
      <c r="F1834" s="1495"/>
      <c r="G1834" s="1495"/>
      <c r="H1834" s="1495"/>
      <c r="I1834" s="1495"/>
      <c r="J1834" s="1496"/>
      <c r="K1834" s="196" t="s">
        <v>2182</v>
      </c>
      <c r="L1834" s="1497">
        <f>'27ª MEDIÇÃO '!F99</f>
        <v>55.84</v>
      </c>
      <c r="M1834" s="1498"/>
      <c r="N1834" s="197">
        <f>L1834-H1912</f>
        <v>-5.3499999998507519E-4</v>
      </c>
    </row>
    <row r="1835" spans="1:14">
      <c r="A1835" s="1541"/>
      <c r="B1835" s="1541"/>
      <c r="C1835" s="366"/>
      <c r="D1835" s="367" t="s">
        <v>2183</v>
      </c>
      <c r="E1835" s="1320" t="s">
        <v>2184</v>
      </c>
      <c r="F1835" s="367" t="s">
        <v>2185</v>
      </c>
      <c r="G1835" s="367" t="s">
        <v>2186</v>
      </c>
      <c r="H1835" s="1542" t="s">
        <v>476</v>
      </c>
      <c r="I1835" s="1543"/>
      <c r="J1835" s="1543"/>
      <c r="K1835" s="1543"/>
      <c r="L1835" s="1543"/>
      <c r="M1835" s="1543"/>
      <c r="N1835" s="1566"/>
    </row>
    <row r="1836" spans="1:14">
      <c r="A1836" s="1541"/>
      <c r="B1836" s="1541"/>
      <c r="C1836" s="368"/>
      <c r="D1836" s="369" t="s">
        <v>2187</v>
      </c>
      <c r="E1836" s="529" t="s">
        <v>2596</v>
      </c>
      <c r="F1836" s="369" t="s">
        <v>2189</v>
      </c>
      <c r="G1836" s="370" t="s">
        <v>2190</v>
      </c>
      <c r="H1836" s="1542"/>
      <c r="I1836" s="1543"/>
      <c r="J1836" s="1543"/>
      <c r="K1836" s="1543"/>
      <c r="L1836" s="1543"/>
      <c r="M1836" s="1543"/>
      <c r="N1836" s="1566"/>
    </row>
    <row r="1837" spans="1:14">
      <c r="A1837" s="1514" t="s">
        <v>2268</v>
      </c>
      <c r="B1837" s="442" t="s">
        <v>2616</v>
      </c>
      <c r="C1837" s="287"/>
      <c r="D1837" s="202"/>
      <c r="E1837" s="346"/>
      <c r="F1837" s="346"/>
      <c r="G1837" s="346"/>
      <c r="H1837" s="403"/>
      <c r="I1837" s="1567"/>
      <c r="J1837" s="1543"/>
      <c r="K1837" s="1543"/>
      <c r="L1837" s="1543"/>
      <c r="M1837" s="1543"/>
      <c r="N1837" s="1566"/>
    </row>
    <row r="1838" spans="1:14" ht="24">
      <c r="A1838" s="1523"/>
      <c r="B1838" s="406" t="s">
        <v>2602</v>
      </c>
      <c r="C1838" s="292"/>
      <c r="D1838" s="341">
        <v>20.48</v>
      </c>
      <c r="E1838" s="341">
        <v>0.2</v>
      </c>
      <c r="F1838" s="341">
        <v>1</v>
      </c>
      <c r="G1838" s="341">
        <v>1</v>
      </c>
      <c r="H1838" s="347">
        <f>D1838*E1838*F1838</f>
        <v>4.0960000000000001</v>
      </c>
      <c r="I1838" s="1567"/>
      <c r="J1838" s="1543"/>
      <c r="K1838" s="1543"/>
      <c r="L1838" s="1543"/>
      <c r="M1838" s="1543"/>
      <c r="N1838" s="1566"/>
    </row>
    <row r="1839" spans="1:14" ht="24">
      <c r="A1839" s="1523"/>
      <c r="B1839" s="406" t="s">
        <v>2603</v>
      </c>
      <c r="C1839" s="292"/>
      <c r="D1839" s="341">
        <v>20.48</v>
      </c>
      <c r="E1839" s="341">
        <v>0.15</v>
      </c>
      <c r="F1839" s="341">
        <f>0.45+0.2</f>
        <v>0.65</v>
      </c>
      <c r="G1839" s="341">
        <v>1</v>
      </c>
      <c r="H1839" s="347">
        <f>D1839*E1839*F1839</f>
        <v>1.9968000000000001</v>
      </c>
      <c r="I1839" s="1567"/>
      <c r="J1839" s="1543"/>
      <c r="K1839" s="1543"/>
      <c r="L1839" s="1543"/>
      <c r="M1839" s="1543"/>
      <c r="N1839" s="1566"/>
    </row>
    <row r="1840" spans="1:14" ht="24">
      <c r="A1840" s="1523"/>
      <c r="B1840" s="406" t="s">
        <v>2620</v>
      </c>
      <c r="C1840" s="292"/>
      <c r="D1840" s="341">
        <v>18.43</v>
      </c>
      <c r="E1840" s="341">
        <v>0.2</v>
      </c>
      <c r="F1840" s="341">
        <v>1</v>
      </c>
      <c r="G1840" s="341">
        <v>1</v>
      </c>
      <c r="H1840" s="347">
        <f>D1840*E1840*F1840</f>
        <v>3.6859999999999999</v>
      </c>
      <c r="I1840" s="1567"/>
      <c r="J1840" s="1543"/>
      <c r="K1840" s="1543"/>
      <c r="L1840" s="1543"/>
      <c r="M1840" s="1543"/>
      <c r="N1840" s="1566"/>
    </row>
    <row r="1841" spans="1:14" ht="24">
      <c r="A1841" s="1523"/>
      <c r="B1841" s="406" t="s">
        <v>2621</v>
      </c>
      <c r="C1841" s="292"/>
      <c r="D1841" s="341">
        <v>18.43</v>
      </c>
      <c r="E1841" s="341">
        <v>0.15</v>
      </c>
      <c r="F1841" s="341">
        <f>0.45+0.2</f>
        <v>0.65</v>
      </c>
      <c r="G1841" s="341">
        <v>1</v>
      </c>
      <c r="H1841" s="347">
        <f>D1841*E1841*F1841</f>
        <v>1.7969250000000001</v>
      </c>
      <c r="I1841" s="1567"/>
      <c r="J1841" s="1543"/>
      <c r="K1841" s="1543"/>
      <c r="L1841" s="1543"/>
      <c r="M1841" s="1543"/>
      <c r="N1841" s="1566"/>
    </row>
    <row r="1842" spans="1:14">
      <c r="A1842" s="1515"/>
      <c r="B1842" s="406"/>
      <c r="C1842" s="292"/>
      <c r="D1842" s="341"/>
      <c r="E1842" s="341"/>
      <c r="F1842" s="341"/>
      <c r="G1842" s="341"/>
      <c r="H1842" s="347"/>
      <c r="I1842" s="1567"/>
      <c r="J1842" s="1543"/>
      <c r="K1842" s="1543"/>
      <c r="L1842" s="1543"/>
      <c r="M1842" s="1543"/>
      <c r="N1842" s="1566"/>
    </row>
    <row r="1843" spans="1:14">
      <c r="A1843" s="1514" t="s">
        <v>2476</v>
      </c>
      <c r="B1843" s="406" t="s">
        <v>2606</v>
      </c>
      <c r="C1843" s="292"/>
      <c r="D1843" s="341">
        <v>1.3</v>
      </c>
      <c r="E1843" s="341">
        <v>1</v>
      </c>
      <c r="F1843" s="341">
        <v>0.55000000000000004</v>
      </c>
      <c r="G1843" s="341">
        <v>1</v>
      </c>
      <c r="H1843" s="347">
        <f>D1843*E1843*F1843*G1843</f>
        <v>0.71500000000000008</v>
      </c>
      <c r="I1843" s="1567"/>
      <c r="J1843" s="1543"/>
      <c r="K1843" s="1543"/>
      <c r="L1843" s="1543"/>
      <c r="M1843" s="1543"/>
      <c r="N1843" s="1566"/>
    </row>
    <row r="1844" spans="1:14">
      <c r="A1844" s="1523"/>
      <c r="B1844" s="406" t="s">
        <v>2607</v>
      </c>
      <c r="C1844" s="292"/>
      <c r="D1844" s="341">
        <v>1.3</v>
      </c>
      <c r="E1844" s="341">
        <v>1</v>
      </c>
      <c r="F1844" s="341">
        <v>0.4</v>
      </c>
      <c r="G1844" s="341">
        <v>15</v>
      </c>
      <c r="H1844" s="347">
        <f>D1844*E1844*F1844*G1844</f>
        <v>7.8000000000000007</v>
      </c>
      <c r="I1844" s="1567"/>
      <c r="J1844" s="1543"/>
      <c r="K1844" s="1543"/>
      <c r="L1844" s="1543"/>
      <c r="M1844" s="1543"/>
      <c r="N1844" s="1566"/>
    </row>
    <row r="1845" spans="1:14">
      <c r="A1845" s="1523"/>
      <c r="B1845" s="406" t="s">
        <v>2608</v>
      </c>
      <c r="C1845" s="292"/>
      <c r="D1845" s="341">
        <v>18.420000000000002</v>
      </c>
      <c r="E1845" s="341">
        <v>0.3</v>
      </c>
      <c r="F1845" s="341">
        <v>0.15</v>
      </c>
      <c r="G1845" s="341">
        <v>1</v>
      </c>
      <c r="H1845" s="347">
        <f>D1845*E1845*F1845*G1845</f>
        <v>0.82890000000000008</v>
      </c>
      <c r="I1845" s="1567"/>
      <c r="J1845" s="1543"/>
      <c r="K1845" s="1543"/>
      <c r="L1845" s="1543"/>
      <c r="M1845" s="1543"/>
      <c r="N1845" s="1566"/>
    </row>
    <row r="1846" spans="1:14">
      <c r="A1846" s="1523"/>
      <c r="B1846" s="406" t="s">
        <v>2609</v>
      </c>
      <c r="C1846" s="292"/>
      <c r="D1846" s="341">
        <v>2.99</v>
      </c>
      <c r="E1846" s="341">
        <v>0.3</v>
      </c>
      <c r="F1846" s="341">
        <v>0.15</v>
      </c>
      <c r="G1846" s="341">
        <v>1</v>
      </c>
      <c r="H1846" s="347">
        <f>D1846*E1846*F1846*G1846</f>
        <v>0.13455</v>
      </c>
      <c r="I1846" s="1567"/>
      <c r="J1846" s="1543"/>
      <c r="K1846" s="1543"/>
      <c r="L1846" s="1543"/>
      <c r="M1846" s="1543"/>
      <c r="N1846" s="1566"/>
    </row>
    <row r="1847" spans="1:14">
      <c r="A1847" s="1523"/>
      <c r="B1847" s="406" t="s">
        <v>2610</v>
      </c>
      <c r="C1847" s="292"/>
      <c r="D1847" s="341">
        <v>19.98</v>
      </c>
      <c r="E1847" s="341">
        <v>0.3</v>
      </c>
      <c r="F1847" s="341">
        <v>0.15</v>
      </c>
      <c r="G1847" s="341">
        <v>1</v>
      </c>
      <c r="H1847" s="347">
        <f>D1847*E1847*F1847*G1847</f>
        <v>0.8990999999999999</v>
      </c>
      <c r="I1847" s="1567"/>
      <c r="J1847" s="1543"/>
      <c r="K1847" s="1543"/>
      <c r="L1847" s="1543"/>
      <c r="M1847" s="1543"/>
      <c r="N1847" s="1566"/>
    </row>
    <row r="1848" spans="1:14">
      <c r="A1848" s="1515"/>
      <c r="B1848" s="406"/>
      <c r="C1848" s="292"/>
      <c r="D1848" s="341"/>
      <c r="E1848" s="341"/>
      <c r="F1848" s="341"/>
      <c r="G1848" s="341"/>
      <c r="H1848" s="347"/>
      <c r="I1848" s="1567"/>
      <c r="J1848" s="1543"/>
      <c r="K1848" s="1543"/>
      <c r="L1848" s="1543"/>
      <c r="M1848" s="1543"/>
      <c r="N1848" s="1566"/>
    </row>
    <row r="1849" spans="1:14">
      <c r="A1849" s="1514" t="s">
        <v>2662</v>
      </c>
      <c r="B1849" s="406" t="s">
        <v>2689</v>
      </c>
      <c r="C1849" s="292"/>
      <c r="D1849" s="341"/>
      <c r="E1849" s="341"/>
      <c r="F1849" s="341"/>
      <c r="G1849" s="341"/>
      <c r="H1849" s="347"/>
      <c r="I1849" s="1567"/>
      <c r="J1849" s="1543"/>
      <c r="K1849" s="1543"/>
      <c r="L1849" s="1543"/>
      <c r="M1849" s="1543"/>
      <c r="N1849" s="1566"/>
    </row>
    <row r="1850" spans="1:14" ht="24">
      <c r="A1850" s="1523"/>
      <c r="B1850" s="406" t="s">
        <v>2800</v>
      </c>
      <c r="C1850" s="292"/>
      <c r="D1850" s="341"/>
      <c r="E1850" s="341"/>
      <c r="F1850" s="341"/>
      <c r="G1850" s="341"/>
      <c r="H1850" s="347"/>
      <c r="I1850" s="1567"/>
      <c r="J1850" s="1543"/>
      <c r="K1850" s="1543"/>
      <c r="L1850" s="1543"/>
      <c r="M1850" s="1543"/>
      <c r="N1850" s="1566"/>
    </row>
    <row r="1851" spans="1:14">
      <c r="A1851" s="1523"/>
      <c r="B1851" s="406" t="s">
        <v>2690</v>
      </c>
      <c r="C1851" s="292"/>
      <c r="D1851" s="341">
        <v>3.1</v>
      </c>
      <c r="E1851" s="341">
        <v>0.3</v>
      </c>
      <c r="F1851" s="341">
        <v>0.2</v>
      </c>
      <c r="G1851" s="341">
        <v>4</v>
      </c>
      <c r="H1851" s="347">
        <f>D1851*E1851*F1851*G1851</f>
        <v>0.74399999999999999</v>
      </c>
      <c r="I1851" s="1567"/>
      <c r="J1851" s="1543"/>
      <c r="K1851" s="1543"/>
      <c r="L1851" s="1543"/>
      <c r="M1851" s="1543"/>
      <c r="N1851" s="1566"/>
    </row>
    <row r="1852" spans="1:14">
      <c r="A1852" s="1523"/>
      <c r="B1852" s="406" t="s">
        <v>2799</v>
      </c>
      <c r="C1852" s="292"/>
      <c r="D1852" s="341"/>
      <c r="E1852" s="341"/>
      <c r="F1852" s="341"/>
      <c r="G1852" s="341"/>
      <c r="H1852" s="347"/>
      <c r="I1852" s="1567"/>
      <c r="J1852" s="1543"/>
      <c r="K1852" s="1543"/>
      <c r="L1852" s="1543"/>
      <c r="M1852" s="1543"/>
      <c r="N1852" s="1566"/>
    </row>
    <row r="1853" spans="1:14">
      <c r="A1853" s="1523"/>
      <c r="B1853" s="406" t="s">
        <v>2548</v>
      </c>
      <c r="C1853" s="292"/>
      <c r="D1853" s="341">
        <v>4.2</v>
      </c>
      <c r="E1853" s="341">
        <v>0.4</v>
      </c>
      <c r="F1853" s="341">
        <v>0.15</v>
      </c>
      <c r="G1853" s="341">
        <v>1</v>
      </c>
      <c r="H1853" s="347">
        <f>D1853*E1853*F1853*G1853</f>
        <v>0.252</v>
      </c>
      <c r="I1853" s="1567"/>
      <c r="J1853" s="1543"/>
      <c r="K1853" s="1543"/>
      <c r="L1853" s="1543"/>
      <c r="M1853" s="1543"/>
      <c r="N1853" s="1566"/>
    </row>
    <row r="1854" spans="1:14">
      <c r="A1854" s="1523"/>
      <c r="B1854" s="406" t="s">
        <v>2549</v>
      </c>
      <c r="C1854" s="292"/>
      <c r="D1854" s="341">
        <v>4.2</v>
      </c>
      <c r="E1854" s="341">
        <v>0.4</v>
      </c>
      <c r="F1854" s="341">
        <v>0.15</v>
      </c>
      <c r="G1854" s="341">
        <v>1</v>
      </c>
      <c r="H1854" s="347">
        <f>D1854*E1854*F1854*G1854</f>
        <v>0.252</v>
      </c>
      <c r="I1854" s="1567"/>
      <c r="J1854" s="1543"/>
      <c r="K1854" s="1543"/>
      <c r="L1854" s="1543"/>
      <c r="M1854" s="1543"/>
      <c r="N1854" s="1566"/>
    </row>
    <row r="1855" spans="1:14">
      <c r="A1855" s="1523"/>
      <c r="B1855" s="406" t="s">
        <v>2576</v>
      </c>
      <c r="C1855" s="292"/>
      <c r="D1855" s="341">
        <v>5.73</v>
      </c>
      <c r="E1855" s="341">
        <v>0.4</v>
      </c>
      <c r="F1855" s="341">
        <v>0.15</v>
      </c>
      <c r="G1855" s="341">
        <v>1</v>
      </c>
      <c r="H1855" s="347">
        <f>D1855*E1855*F1855*G1855</f>
        <v>0.34380000000000005</v>
      </c>
      <c r="I1855" s="1567"/>
      <c r="J1855" s="1543"/>
      <c r="K1855" s="1543"/>
      <c r="L1855" s="1543"/>
      <c r="M1855" s="1543"/>
      <c r="N1855" s="1566"/>
    </row>
    <row r="1856" spans="1:14">
      <c r="A1856" s="1515"/>
      <c r="B1856" s="406" t="s">
        <v>2577</v>
      </c>
      <c r="C1856" s="292"/>
      <c r="D1856" s="341">
        <v>5.73</v>
      </c>
      <c r="E1856" s="341">
        <v>0.4</v>
      </c>
      <c r="F1856" s="341">
        <v>0.15</v>
      </c>
      <c r="G1856" s="341">
        <v>1</v>
      </c>
      <c r="H1856" s="347">
        <f>D1856*E1856*F1856*G1856</f>
        <v>0.34380000000000005</v>
      </c>
      <c r="I1856" s="1567"/>
      <c r="J1856" s="1543"/>
      <c r="K1856" s="1543"/>
      <c r="L1856" s="1543"/>
      <c r="M1856" s="1543"/>
      <c r="N1856" s="1566"/>
    </row>
    <row r="1857" spans="1:14">
      <c r="A1857" s="1535" t="s">
        <v>2749</v>
      </c>
      <c r="B1857" s="406"/>
      <c r="C1857" s="292"/>
      <c r="D1857" s="341"/>
      <c r="E1857" s="341"/>
      <c r="F1857" s="341"/>
      <c r="G1857" s="341"/>
      <c r="H1857" s="347"/>
      <c r="I1857" s="1567"/>
      <c r="J1857" s="1543"/>
      <c r="K1857" s="1543"/>
      <c r="L1857" s="1543"/>
      <c r="M1857" s="1543"/>
      <c r="N1857" s="1566"/>
    </row>
    <row r="1858" spans="1:14">
      <c r="A1858" s="1529"/>
      <c r="B1858" s="406" t="s">
        <v>2674</v>
      </c>
      <c r="C1858" s="292"/>
      <c r="D1858" s="341">
        <v>13.28</v>
      </c>
      <c r="E1858" s="341">
        <v>0.3</v>
      </c>
      <c r="F1858" s="341">
        <v>0.15</v>
      </c>
      <c r="G1858" s="341">
        <v>1</v>
      </c>
      <c r="H1858" s="347">
        <v>0.59759999999999991</v>
      </c>
      <c r="I1858" s="1567"/>
      <c r="J1858" s="1543"/>
      <c r="K1858" s="1543"/>
      <c r="L1858" s="1543"/>
      <c r="M1858" s="1543"/>
      <c r="N1858" s="1566"/>
    </row>
    <row r="1859" spans="1:14">
      <c r="A1859" s="1529"/>
      <c r="B1859" s="406" t="s">
        <v>2798</v>
      </c>
      <c r="C1859" s="292"/>
      <c r="D1859" s="341">
        <v>2.65</v>
      </c>
      <c r="E1859" s="341">
        <v>0.25</v>
      </c>
      <c r="F1859" s="341">
        <v>0.15</v>
      </c>
      <c r="G1859" s="341">
        <v>2</v>
      </c>
      <c r="H1859" s="347">
        <v>0.19874999999999998</v>
      </c>
      <c r="I1859" s="1567"/>
      <c r="J1859" s="1543"/>
      <c r="K1859" s="1543"/>
      <c r="L1859" s="1543"/>
      <c r="M1859" s="1543"/>
      <c r="N1859" s="1566"/>
    </row>
    <row r="1860" spans="1:14">
      <c r="A1860" s="1529"/>
      <c r="B1860" s="406" t="s">
        <v>2797</v>
      </c>
      <c r="C1860" s="292"/>
      <c r="D1860" s="341">
        <v>2.65</v>
      </c>
      <c r="E1860" s="341">
        <v>0.25</v>
      </c>
      <c r="F1860" s="341">
        <v>0.15</v>
      </c>
      <c r="G1860" s="341">
        <v>4</v>
      </c>
      <c r="H1860" s="347">
        <v>0.39749999999999996</v>
      </c>
      <c r="I1860" s="1567"/>
      <c r="J1860" s="1543"/>
      <c r="K1860" s="1543"/>
      <c r="L1860" s="1543"/>
      <c r="M1860" s="1543"/>
      <c r="N1860" s="1566"/>
    </row>
    <row r="1861" spans="1:14">
      <c r="A1861" s="1529"/>
      <c r="B1861" s="406" t="s">
        <v>2796</v>
      </c>
      <c r="C1861" s="292"/>
      <c r="D1861" s="341">
        <v>2.65</v>
      </c>
      <c r="E1861" s="341">
        <v>0.25</v>
      </c>
      <c r="F1861" s="341">
        <v>0.15</v>
      </c>
      <c r="G1861" s="341">
        <v>2</v>
      </c>
      <c r="H1861" s="347">
        <v>0.19874999999999998</v>
      </c>
      <c r="I1861" s="1567"/>
      <c r="J1861" s="1543"/>
      <c r="K1861" s="1543"/>
      <c r="L1861" s="1543"/>
      <c r="M1861" s="1543"/>
      <c r="N1861" s="1566"/>
    </row>
    <row r="1862" spans="1:14" ht="36">
      <c r="A1862" s="1529"/>
      <c r="B1862" s="406" t="s">
        <v>2795</v>
      </c>
      <c r="C1862" s="292"/>
      <c r="D1862" s="341">
        <v>2.65</v>
      </c>
      <c r="E1862" s="341">
        <v>0.25</v>
      </c>
      <c r="F1862" s="341">
        <v>0.15</v>
      </c>
      <c r="G1862" s="341">
        <v>2</v>
      </c>
      <c r="H1862" s="347">
        <v>0.19874999999999998</v>
      </c>
      <c r="I1862" s="1567"/>
      <c r="J1862" s="1543"/>
      <c r="K1862" s="1543"/>
      <c r="L1862" s="1543"/>
      <c r="M1862" s="1543"/>
      <c r="N1862" s="1566"/>
    </row>
    <row r="1863" spans="1:14" ht="36">
      <c r="A1863" s="1529"/>
      <c r="B1863" s="406" t="s">
        <v>2794</v>
      </c>
      <c r="C1863" s="292"/>
      <c r="D1863" s="341">
        <v>2.65</v>
      </c>
      <c r="E1863" s="341">
        <v>0.25</v>
      </c>
      <c r="F1863" s="341">
        <v>0.15</v>
      </c>
      <c r="G1863" s="341">
        <v>2</v>
      </c>
      <c r="H1863" s="347">
        <v>0.19874999999999998</v>
      </c>
      <c r="I1863" s="1567"/>
      <c r="J1863" s="1543"/>
      <c r="K1863" s="1543"/>
      <c r="L1863" s="1543"/>
      <c r="M1863" s="1543"/>
      <c r="N1863" s="1566"/>
    </row>
    <row r="1864" spans="1:14">
      <c r="A1864" s="1529"/>
      <c r="B1864" s="406" t="s">
        <v>2793</v>
      </c>
      <c r="C1864" s="292"/>
      <c r="D1864" s="341">
        <v>3</v>
      </c>
      <c r="E1864" s="341">
        <v>0.3</v>
      </c>
      <c r="F1864" s="341">
        <v>0.2</v>
      </c>
      <c r="G1864" s="341">
        <v>2</v>
      </c>
      <c r="H1864" s="347">
        <v>0.36</v>
      </c>
      <c r="I1864" s="1567"/>
      <c r="J1864" s="1543"/>
      <c r="K1864" s="1543"/>
      <c r="L1864" s="1543"/>
      <c r="M1864" s="1543"/>
      <c r="N1864" s="1566"/>
    </row>
    <row r="1865" spans="1:14" ht="24">
      <c r="A1865" s="1529"/>
      <c r="B1865" s="406" t="s">
        <v>2792</v>
      </c>
      <c r="C1865" s="292"/>
      <c r="D1865" s="341">
        <v>3.56</v>
      </c>
      <c r="E1865" s="341">
        <v>0.3</v>
      </c>
      <c r="F1865" s="341">
        <v>0.2</v>
      </c>
      <c r="G1865" s="341">
        <v>1</v>
      </c>
      <c r="H1865" s="347">
        <v>0.21360000000000001</v>
      </c>
      <c r="I1865" s="1567"/>
      <c r="J1865" s="1543"/>
      <c r="K1865" s="1543"/>
      <c r="L1865" s="1543"/>
      <c r="M1865" s="1543"/>
      <c r="N1865" s="1566"/>
    </row>
    <row r="1866" spans="1:14" ht="24">
      <c r="A1866" s="1529"/>
      <c r="B1866" s="406" t="s">
        <v>2791</v>
      </c>
      <c r="C1866" s="292"/>
      <c r="D1866" s="341">
        <v>3</v>
      </c>
      <c r="E1866" s="341">
        <v>0.3</v>
      </c>
      <c r="F1866" s="341">
        <v>0.2</v>
      </c>
      <c r="G1866" s="341">
        <v>1</v>
      </c>
      <c r="H1866" s="347">
        <v>0.18</v>
      </c>
      <c r="I1866" s="1567"/>
      <c r="J1866" s="1543"/>
      <c r="K1866" s="1543"/>
      <c r="L1866" s="1543"/>
      <c r="M1866" s="1543"/>
      <c r="N1866" s="1566"/>
    </row>
    <row r="1867" spans="1:14" ht="24">
      <c r="A1867" s="1529"/>
      <c r="B1867" s="406" t="s">
        <v>2790</v>
      </c>
      <c r="C1867" s="292"/>
      <c r="D1867" s="341">
        <v>3</v>
      </c>
      <c r="E1867" s="341">
        <v>0.3</v>
      </c>
      <c r="F1867" s="341">
        <v>0.2</v>
      </c>
      <c r="G1867" s="341">
        <v>1</v>
      </c>
      <c r="H1867" s="347">
        <v>0.18</v>
      </c>
      <c r="I1867" s="1567"/>
      <c r="J1867" s="1543"/>
      <c r="K1867" s="1543"/>
      <c r="L1867" s="1543"/>
      <c r="M1867" s="1543"/>
      <c r="N1867" s="1566"/>
    </row>
    <row r="1868" spans="1:14" ht="24">
      <c r="A1868" s="1529"/>
      <c r="B1868" s="406" t="s">
        <v>2789</v>
      </c>
      <c r="C1868" s="292"/>
      <c r="D1868" s="341">
        <v>3.56</v>
      </c>
      <c r="E1868" s="341">
        <v>0.2</v>
      </c>
      <c r="F1868" s="341">
        <v>0.2</v>
      </c>
      <c r="G1868" s="341">
        <v>1</v>
      </c>
      <c r="H1868" s="347">
        <v>0.14240000000000003</v>
      </c>
      <c r="I1868" s="1567"/>
      <c r="J1868" s="1543"/>
      <c r="K1868" s="1543"/>
      <c r="L1868" s="1543"/>
      <c r="M1868" s="1543"/>
      <c r="N1868" s="1566"/>
    </row>
    <row r="1869" spans="1:14" ht="24">
      <c r="A1869" s="1529"/>
      <c r="B1869" s="406" t="s">
        <v>2788</v>
      </c>
      <c r="C1869" s="292"/>
      <c r="D1869" s="341">
        <v>3</v>
      </c>
      <c r="E1869" s="341">
        <v>0.2</v>
      </c>
      <c r="F1869" s="341">
        <v>0.2</v>
      </c>
      <c r="G1869" s="341">
        <v>1</v>
      </c>
      <c r="H1869" s="347">
        <v>0.12000000000000002</v>
      </c>
      <c r="I1869" s="1567"/>
      <c r="J1869" s="1543"/>
      <c r="K1869" s="1543"/>
      <c r="L1869" s="1543"/>
      <c r="M1869" s="1543"/>
      <c r="N1869" s="1566"/>
    </row>
    <row r="1870" spans="1:14" ht="24">
      <c r="A1870" s="1529"/>
      <c r="B1870" s="406" t="s">
        <v>2787</v>
      </c>
      <c r="C1870" s="292"/>
      <c r="D1870" s="341">
        <v>3</v>
      </c>
      <c r="E1870" s="341">
        <v>0.2</v>
      </c>
      <c r="F1870" s="341">
        <v>0.2</v>
      </c>
      <c r="G1870" s="341">
        <v>1</v>
      </c>
      <c r="H1870" s="347">
        <v>0.12000000000000002</v>
      </c>
      <c r="I1870" s="1567"/>
      <c r="J1870" s="1543"/>
      <c r="K1870" s="1543"/>
      <c r="L1870" s="1543"/>
      <c r="M1870" s="1543"/>
      <c r="N1870" s="1566"/>
    </row>
    <row r="1871" spans="1:14" ht="24">
      <c r="A1871" s="1529"/>
      <c r="B1871" s="406" t="s">
        <v>2786</v>
      </c>
      <c r="C1871" s="292"/>
      <c r="D1871" s="341">
        <v>3</v>
      </c>
      <c r="E1871" s="341">
        <v>0.2</v>
      </c>
      <c r="F1871" s="341">
        <v>0.2</v>
      </c>
      <c r="G1871" s="341">
        <v>1</v>
      </c>
      <c r="H1871" s="347">
        <v>0.12000000000000002</v>
      </c>
      <c r="I1871" s="1567"/>
      <c r="J1871" s="1543"/>
      <c r="K1871" s="1543"/>
      <c r="L1871" s="1543"/>
      <c r="M1871" s="1543"/>
      <c r="N1871" s="1566"/>
    </row>
    <row r="1872" spans="1:14" ht="24">
      <c r="A1872" s="1529"/>
      <c r="B1872" s="406" t="s">
        <v>2785</v>
      </c>
      <c r="C1872" s="292"/>
      <c r="D1872" s="341">
        <v>3</v>
      </c>
      <c r="E1872" s="341">
        <v>0.2</v>
      </c>
      <c r="F1872" s="341">
        <v>0.2</v>
      </c>
      <c r="G1872" s="341">
        <v>1</v>
      </c>
      <c r="H1872" s="347">
        <v>0.12000000000000002</v>
      </c>
      <c r="I1872" s="1567"/>
      <c r="J1872" s="1543"/>
      <c r="K1872" s="1543"/>
      <c r="L1872" s="1543"/>
      <c r="M1872" s="1543"/>
      <c r="N1872" s="1566"/>
    </row>
    <row r="1873" spans="1:14" ht="24">
      <c r="A1873" s="1529"/>
      <c r="B1873" s="406" t="s">
        <v>2784</v>
      </c>
      <c r="C1873" s="292"/>
      <c r="D1873" s="341">
        <v>3</v>
      </c>
      <c r="E1873" s="341">
        <v>0.2</v>
      </c>
      <c r="F1873" s="341">
        <v>0.2</v>
      </c>
      <c r="G1873" s="341">
        <v>1</v>
      </c>
      <c r="H1873" s="347">
        <v>0.12000000000000002</v>
      </c>
      <c r="I1873" s="1567"/>
      <c r="J1873" s="1543"/>
      <c r="K1873" s="1543"/>
      <c r="L1873" s="1543"/>
      <c r="M1873" s="1543"/>
      <c r="N1873" s="1566"/>
    </row>
    <row r="1874" spans="1:14" ht="24">
      <c r="A1874" s="1529"/>
      <c r="B1874" s="406" t="s">
        <v>2783</v>
      </c>
      <c r="C1874" s="292"/>
      <c r="D1874" s="341">
        <v>3</v>
      </c>
      <c r="E1874" s="341">
        <v>0.2</v>
      </c>
      <c r="F1874" s="341">
        <v>0.2</v>
      </c>
      <c r="G1874" s="341">
        <v>1</v>
      </c>
      <c r="H1874" s="347">
        <v>0.12000000000000002</v>
      </c>
      <c r="I1874" s="1567"/>
      <c r="J1874" s="1543"/>
      <c r="K1874" s="1543"/>
      <c r="L1874" s="1543"/>
      <c r="M1874" s="1543"/>
      <c r="N1874" s="1566"/>
    </row>
    <row r="1875" spans="1:14">
      <c r="A1875" s="1545"/>
      <c r="B1875" s="412"/>
      <c r="C1875" s="312"/>
      <c r="D1875" s="341"/>
      <c r="E1875" s="341"/>
      <c r="F1875" s="341"/>
      <c r="G1875" s="341"/>
      <c r="H1875" s="364"/>
      <c r="I1875" s="1567"/>
      <c r="J1875" s="1543"/>
      <c r="K1875" s="1543"/>
      <c r="L1875" s="1543"/>
      <c r="M1875" s="1543"/>
      <c r="N1875" s="1566"/>
    </row>
    <row r="1876" spans="1:14">
      <c r="A1876" s="1529" t="s">
        <v>2843</v>
      </c>
      <c r="B1876" s="406" t="s">
        <v>2851</v>
      </c>
      <c r="C1876" s="292"/>
      <c r="D1876" s="341"/>
      <c r="E1876" s="341"/>
      <c r="F1876" s="341"/>
      <c r="G1876" s="341"/>
      <c r="H1876" s="482"/>
      <c r="I1876" s="1567"/>
      <c r="J1876" s="1543"/>
      <c r="K1876" s="1543"/>
      <c r="L1876" s="1543"/>
      <c r="M1876" s="1543"/>
      <c r="N1876" s="1566"/>
    </row>
    <row r="1877" spans="1:14">
      <c r="A1877" s="1529"/>
      <c r="B1877" s="406" t="s">
        <v>2548</v>
      </c>
      <c r="C1877" s="292"/>
      <c r="D1877" s="341">
        <v>3.93</v>
      </c>
      <c r="E1877" s="341">
        <v>0.15</v>
      </c>
      <c r="F1877" s="341">
        <v>0.4</v>
      </c>
      <c r="G1877" s="341">
        <v>1</v>
      </c>
      <c r="H1877" s="482">
        <f t="shared" ref="H1877:H1887" si="43">D1877*E1877*F1877*G1877</f>
        <v>0.23580000000000001</v>
      </c>
      <c r="I1877" s="1567"/>
      <c r="J1877" s="1543"/>
      <c r="K1877" s="1543"/>
      <c r="L1877" s="1543"/>
      <c r="M1877" s="1543"/>
      <c r="N1877" s="1566"/>
    </row>
    <row r="1878" spans="1:14">
      <c r="A1878" s="1529"/>
      <c r="B1878" s="406" t="s">
        <v>2549</v>
      </c>
      <c r="C1878" s="292"/>
      <c r="D1878" s="341">
        <v>1.1000000000000001</v>
      </c>
      <c r="E1878" s="341">
        <v>0.15</v>
      </c>
      <c r="F1878" s="341">
        <v>0.4</v>
      </c>
      <c r="G1878" s="341">
        <v>1</v>
      </c>
      <c r="H1878" s="482">
        <f t="shared" si="43"/>
        <v>6.6000000000000003E-2</v>
      </c>
      <c r="I1878" s="1567"/>
      <c r="J1878" s="1543"/>
      <c r="K1878" s="1543"/>
      <c r="L1878" s="1543"/>
      <c r="M1878" s="1543"/>
      <c r="N1878" s="1566"/>
    </row>
    <row r="1879" spans="1:14">
      <c r="A1879" s="1529"/>
      <c r="B1879" s="406" t="s">
        <v>2576</v>
      </c>
      <c r="C1879" s="292"/>
      <c r="D1879" s="341">
        <v>8.77</v>
      </c>
      <c r="E1879" s="341">
        <v>0.2</v>
      </c>
      <c r="F1879" s="341">
        <v>0.5</v>
      </c>
      <c r="G1879" s="341">
        <v>1</v>
      </c>
      <c r="H1879" s="482">
        <f t="shared" si="43"/>
        <v>0.877</v>
      </c>
      <c r="I1879" s="1567"/>
      <c r="J1879" s="1543"/>
      <c r="K1879" s="1543"/>
      <c r="L1879" s="1543"/>
      <c r="M1879" s="1543"/>
      <c r="N1879" s="1566"/>
    </row>
    <row r="1880" spans="1:14">
      <c r="A1880" s="1529"/>
      <c r="B1880" s="406" t="s">
        <v>2577</v>
      </c>
      <c r="C1880" s="292"/>
      <c r="D1880" s="341">
        <v>8.33</v>
      </c>
      <c r="E1880" s="341">
        <v>0.2</v>
      </c>
      <c r="F1880" s="341">
        <v>0.5</v>
      </c>
      <c r="G1880" s="341">
        <v>1</v>
      </c>
      <c r="H1880" s="482">
        <f t="shared" si="43"/>
        <v>0.83300000000000007</v>
      </c>
      <c r="I1880" s="1567"/>
      <c r="J1880" s="1543"/>
      <c r="K1880" s="1543"/>
      <c r="L1880" s="1543"/>
      <c r="M1880" s="1543"/>
      <c r="N1880" s="1566"/>
    </row>
    <row r="1881" spans="1:14">
      <c r="A1881" s="1529"/>
      <c r="B1881" s="406" t="s">
        <v>2578</v>
      </c>
      <c r="C1881" s="292"/>
      <c r="D1881" s="341">
        <v>16.2</v>
      </c>
      <c r="E1881" s="341">
        <v>0.2</v>
      </c>
      <c r="F1881" s="341">
        <v>0.5</v>
      </c>
      <c r="G1881" s="341">
        <v>1</v>
      </c>
      <c r="H1881" s="482">
        <f t="shared" si="43"/>
        <v>1.62</v>
      </c>
      <c r="I1881" s="1567"/>
      <c r="J1881" s="1543"/>
      <c r="K1881" s="1543"/>
      <c r="L1881" s="1543"/>
      <c r="M1881" s="1543"/>
      <c r="N1881" s="1566"/>
    </row>
    <row r="1882" spans="1:14">
      <c r="A1882" s="1529"/>
      <c r="B1882" s="406" t="s">
        <v>2579</v>
      </c>
      <c r="C1882" s="292"/>
      <c r="D1882" s="341">
        <v>10.6</v>
      </c>
      <c r="E1882" s="341">
        <v>0.2</v>
      </c>
      <c r="F1882" s="341">
        <v>0.5</v>
      </c>
      <c r="G1882" s="341">
        <v>1</v>
      </c>
      <c r="H1882" s="482">
        <f t="shared" si="43"/>
        <v>1.06</v>
      </c>
      <c r="I1882" s="1567"/>
      <c r="J1882" s="1543"/>
      <c r="K1882" s="1543"/>
      <c r="L1882" s="1543"/>
      <c r="M1882" s="1543"/>
      <c r="N1882" s="1566"/>
    </row>
    <row r="1883" spans="1:14">
      <c r="A1883" s="1529"/>
      <c r="B1883" s="406" t="s">
        <v>2671</v>
      </c>
      <c r="C1883" s="292"/>
      <c r="D1883" s="341">
        <v>16.899999999999999</v>
      </c>
      <c r="E1883" s="341">
        <v>0.2</v>
      </c>
      <c r="F1883" s="341">
        <v>0.5</v>
      </c>
      <c r="G1883" s="341">
        <v>1</v>
      </c>
      <c r="H1883" s="482">
        <f t="shared" si="43"/>
        <v>1.69</v>
      </c>
      <c r="I1883" s="1567"/>
      <c r="J1883" s="1543"/>
      <c r="K1883" s="1543"/>
      <c r="L1883" s="1543"/>
      <c r="M1883" s="1543"/>
      <c r="N1883" s="1566"/>
    </row>
    <row r="1884" spans="1:14">
      <c r="A1884" s="1529"/>
      <c r="B1884" s="406" t="s">
        <v>2672</v>
      </c>
      <c r="C1884" s="292"/>
      <c r="D1884" s="341">
        <v>3.2</v>
      </c>
      <c r="E1884" s="341">
        <v>0.15</v>
      </c>
      <c r="F1884" s="341">
        <v>0.4</v>
      </c>
      <c r="G1884" s="341">
        <v>1</v>
      </c>
      <c r="H1884" s="482">
        <f t="shared" si="43"/>
        <v>0.192</v>
      </c>
      <c r="I1884" s="1567"/>
      <c r="J1884" s="1543"/>
      <c r="K1884" s="1543"/>
      <c r="L1884" s="1543"/>
      <c r="M1884" s="1543"/>
      <c r="N1884" s="1566"/>
    </row>
    <row r="1885" spans="1:14">
      <c r="A1885" s="1529"/>
      <c r="B1885" s="406" t="s">
        <v>2673</v>
      </c>
      <c r="C1885" s="292"/>
      <c r="D1885" s="341">
        <v>5</v>
      </c>
      <c r="E1885" s="341">
        <v>0.2</v>
      </c>
      <c r="F1885" s="341">
        <v>0.5</v>
      </c>
      <c r="G1885" s="341">
        <v>1</v>
      </c>
      <c r="H1885" s="482">
        <f t="shared" si="43"/>
        <v>0.5</v>
      </c>
      <c r="I1885" s="1567"/>
      <c r="J1885" s="1543"/>
      <c r="K1885" s="1543"/>
      <c r="L1885" s="1543"/>
      <c r="M1885" s="1543"/>
      <c r="N1885" s="1566"/>
    </row>
    <row r="1886" spans="1:14">
      <c r="A1886" s="1529"/>
      <c r="B1886" s="406" t="s">
        <v>2675</v>
      </c>
      <c r="C1886" s="292"/>
      <c r="D1886" s="341">
        <v>3.93</v>
      </c>
      <c r="E1886" s="341">
        <v>0.15</v>
      </c>
      <c r="F1886" s="341">
        <v>0.4</v>
      </c>
      <c r="G1886" s="341">
        <v>1</v>
      </c>
      <c r="H1886" s="482">
        <f t="shared" si="43"/>
        <v>0.23580000000000001</v>
      </c>
      <c r="I1886" s="1567"/>
      <c r="J1886" s="1543"/>
      <c r="K1886" s="1543"/>
      <c r="L1886" s="1543"/>
      <c r="M1886" s="1543"/>
      <c r="N1886" s="1566"/>
    </row>
    <row r="1887" spans="1:14">
      <c r="A1887" s="1529"/>
      <c r="B1887" s="406" t="s">
        <v>2678</v>
      </c>
      <c r="C1887" s="292"/>
      <c r="D1887" s="341">
        <v>8.67</v>
      </c>
      <c r="E1887" s="341">
        <v>0.2</v>
      </c>
      <c r="F1887" s="341">
        <v>0.5</v>
      </c>
      <c r="G1887" s="341">
        <v>1</v>
      </c>
      <c r="H1887" s="482">
        <f t="shared" si="43"/>
        <v>0.86699999999999999</v>
      </c>
      <c r="I1887" s="1567"/>
      <c r="J1887" s="1543"/>
      <c r="K1887" s="1543"/>
      <c r="L1887" s="1543"/>
      <c r="M1887" s="1543"/>
      <c r="N1887" s="1566"/>
    </row>
    <row r="1888" spans="1:14">
      <c r="A1888" s="1529"/>
      <c r="B1888" s="406" t="s">
        <v>2819</v>
      </c>
      <c r="C1888" s="341">
        <v>10.43</v>
      </c>
      <c r="D1888" s="341"/>
      <c r="E1888" s="341">
        <v>0.12</v>
      </c>
      <c r="F1888" s="341"/>
      <c r="G1888" s="341">
        <v>1</v>
      </c>
      <c r="H1888" s="482">
        <f t="shared" ref="H1888:H1893" si="44">C1888*E1888*G1888</f>
        <v>1.2515999999999998</v>
      </c>
      <c r="I1888" s="1567"/>
      <c r="J1888" s="1543"/>
      <c r="K1888" s="1543"/>
      <c r="L1888" s="1543"/>
      <c r="M1888" s="1543"/>
      <c r="N1888" s="1566"/>
    </row>
    <row r="1889" spans="1:14">
      <c r="A1889" s="1529"/>
      <c r="B1889" s="406" t="s">
        <v>2818</v>
      </c>
      <c r="C1889" s="341">
        <v>24.06</v>
      </c>
      <c r="D1889" s="341"/>
      <c r="E1889" s="341">
        <v>0.12</v>
      </c>
      <c r="F1889" s="341"/>
      <c r="G1889" s="341">
        <v>1</v>
      </c>
      <c r="H1889" s="482">
        <f t="shared" si="44"/>
        <v>2.8871999999999995</v>
      </c>
      <c r="I1889" s="1567"/>
      <c r="J1889" s="1543"/>
      <c r="K1889" s="1543"/>
      <c r="L1889" s="1543"/>
      <c r="M1889" s="1543"/>
      <c r="N1889" s="1566"/>
    </row>
    <row r="1890" spans="1:14">
      <c r="A1890" s="1529"/>
      <c r="B1890" s="406" t="s">
        <v>2817</v>
      </c>
      <c r="C1890" s="341">
        <v>8.4499999999999993</v>
      </c>
      <c r="D1890" s="341"/>
      <c r="E1890" s="341">
        <v>0.12</v>
      </c>
      <c r="F1890" s="341"/>
      <c r="G1890" s="341">
        <v>1</v>
      </c>
      <c r="H1890" s="482">
        <f t="shared" si="44"/>
        <v>1.0139999999999998</v>
      </c>
      <c r="I1890" s="1567"/>
      <c r="J1890" s="1543"/>
      <c r="K1890" s="1543"/>
      <c r="L1890" s="1543"/>
      <c r="M1890" s="1543"/>
      <c r="N1890" s="1566"/>
    </row>
    <row r="1891" spans="1:14">
      <c r="A1891" s="1529"/>
      <c r="B1891" s="406" t="s">
        <v>2816</v>
      </c>
      <c r="C1891" s="341">
        <v>1.71</v>
      </c>
      <c r="D1891" s="341"/>
      <c r="E1891" s="341">
        <v>0.12</v>
      </c>
      <c r="F1891" s="341"/>
      <c r="G1891" s="341">
        <v>1</v>
      </c>
      <c r="H1891" s="482">
        <f t="shared" si="44"/>
        <v>0.20519999999999999</v>
      </c>
      <c r="I1891" s="1567"/>
      <c r="J1891" s="1543"/>
      <c r="K1891" s="1543"/>
      <c r="L1891" s="1543"/>
      <c r="M1891" s="1543"/>
      <c r="N1891" s="1566"/>
    </row>
    <row r="1892" spans="1:14">
      <c r="A1892" s="1529"/>
      <c r="B1892" s="406" t="s">
        <v>2815</v>
      </c>
      <c r="C1892" s="341">
        <v>27.98</v>
      </c>
      <c r="D1892" s="341"/>
      <c r="E1892" s="341">
        <v>0.12</v>
      </c>
      <c r="F1892" s="341"/>
      <c r="G1892" s="341">
        <v>1</v>
      </c>
      <c r="H1892" s="482">
        <f t="shared" si="44"/>
        <v>3.3576000000000001</v>
      </c>
      <c r="I1892" s="1567"/>
      <c r="J1892" s="1543"/>
      <c r="K1892" s="1543"/>
      <c r="L1892" s="1543"/>
      <c r="M1892" s="1543"/>
      <c r="N1892" s="1566"/>
    </row>
    <row r="1893" spans="1:14">
      <c r="A1893" s="1529"/>
      <c r="B1893" s="412" t="s">
        <v>2814</v>
      </c>
      <c r="C1893" s="351">
        <v>19.09</v>
      </c>
      <c r="D1893" s="351"/>
      <c r="E1893" s="351">
        <v>0.12</v>
      </c>
      <c r="F1893" s="351"/>
      <c r="G1893" s="351">
        <v>1</v>
      </c>
      <c r="H1893" s="485">
        <f t="shared" si="44"/>
        <v>2.2907999999999999</v>
      </c>
      <c r="I1893" s="1567"/>
      <c r="J1893" s="1543"/>
      <c r="K1893" s="1543"/>
      <c r="L1893" s="1543"/>
      <c r="M1893" s="1543"/>
      <c r="N1893" s="1566"/>
    </row>
    <row r="1894" spans="1:14" ht="30" customHeight="1">
      <c r="A1894" s="1107" t="s">
        <v>2895</v>
      </c>
      <c r="B1894" s="510" t="s">
        <v>3027</v>
      </c>
      <c r="C1894" s="511"/>
      <c r="D1894" s="511"/>
      <c r="E1894" s="511"/>
      <c r="F1894" s="511"/>
      <c r="G1894" s="511"/>
      <c r="H1894" s="512">
        <v>0.73</v>
      </c>
      <c r="I1894" s="1567"/>
      <c r="J1894" s="1543"/>
      <c r="K1894" s="1543"/>
      <c r="L1894" s="1543"/>
      <c r="M1894" s="1543"/>
      <c r="N1894" s="1566"/>
    </row>
    <row r="1895" spans="1:14">
      <c r="A1895" s="1704" t="s">
        <v>2997</v>
      </c>
      <c r="B1895" s="442" t="s">
        <v>2936</v>
      </c>
      <c r="C1895" s="287"/>
      <c r="D1895" s="346"/>
      <c r="E1895" s="346"/>
      <c r="F1895" s="346"/>
      <c r="G1895" s="346"/>
      <c r="H1895" s="486"/>
      <c r="I1895" s="1567"/>
      <c r="J1895" s="1543"/>
      <c r="K1895" s="1543"/>
      <c r="L1895" s="1543"/>
      <c r="M1895" s="1543"/>
      <c r="N1895" s="1566"/>
    </row>
    <row r="1896" spans="1:14">
      <c r="A1896" s="1705"/>
      <c r="B1896" s="406" t="s">
        <v>2937</v>
      </c>
      <c r="C1896" s="292"/>
      <c r="D1896" s="341">
        <v>1.1000000000000001</v>
      </c>
      <c r="E1896" s="341">
        <v>0.2</v>
      </c>
      <c r="F1896" s="341">
        <v>0.3</v>
      </c>
      <c r="G1896" s="341">
        <v>2</v>
      </c>
      <c r="H1896" s="482">
        <f>E1896*F1896*D1896*G1896</f>
        <v>0.13200000000000001</v>
      </c>
      <c r="I1896" s="1567"/>
      <c r="J1896" s="1543"/>
      <c r="K1896" s="1543"/>
      <c r="L1896" s="1543"/>
      <c r="M1896" s="1543"/>
      <c r="N1896" s="1566"/>
    </row>
    <row r="1897" spans="1:14">
      <c r="A1897" s="1705"/>
      <c r="B1897" s="406" t="s">
        <v>2938</v>
      </c>
      <c r="C1897" s="483"/>
      <c r="D1897" s="483">
        <v>1.1000000000000001</v>
      </c>
      <c r="E1897" s="341">
        <v>0.2</v>
      </c>
      <c r="F1897" s="341">
        <v>0.3</v>
      </c>
      <c r="G1897" s="341">
        <v>1</v>
      </c>
      <c r="H1897" s="482">
        <f>E1897*F1897*D1897*G1897</f>
        <v>6.6000000000000003E-2</v>
      </c>
      <c r="I1897" s="1567"/>
      <c r="J1897" s="1543"/>
      <c r="K1897" s="1543"/>
      <c r="L1897" s="1543"/>
      <c r="M1897" s="1543"/>
      <c r="N1897" s="1566"/>
    </row>
    <row r="1898" spans="1:14">
      <c r="A1898" s="1705"/>
      <c r="B1898" s="406" t="s">
        <v>2939</v>
      </c>
      <c r="C1898" s="483"/>
      <c r="D1898" s="483">
        <v>1.1000000000000001</v>
      </c>
      <c r="E1898" s="341">
        <v>0.2</v>
      </c>
      <c r="F1898" s="341">
        <v>0.2</v>
      </c>
      <c r="G1898" s="341">
        <v>1</v>
      </c>
      <c r="H1898" s="482">
        <f>E1898*F1898*D1898*G1898</f>
        <v>4.4000000000000011E-2</v>
      </c>
      <c r="I1898" s="1567"/>
      <c r="J1898" s="1543"/>
      <c r="K1898" s="1543"/>
      <c r="L1898" s="1543"/>
      <c r="M1898" s="1543"/>
      <c r="N1898" s="1566"/>
    </row>
    <row r="1899" spans="1:14">
      <c r="A1899" s="1705"/>
      <c r="B1899" s="406" t="s">
        <v>2940</v>
      </c>
      <c r="C1899" s="483"/>
      <c r="D1899" s="483">
        <v>1.1000000000000001</v>
      </c>
      <c r="E1899" s="341">
        <v>0.2</v>
      </c>
      <c r="F1899" s="341">
        <v>0.2</v>
      </c>
      <c r="G1899" s="341">
        <v>3</v>
      </c>
      <c r="H1899" s="482">
        <f>E1899*F1899*D1899*G1899</f>
        <v>0.13200000000000003</v>
      </c>
      <c r="I1899" s="1567"/>
      <c r="J1899" s="1543"/>
      <c r="K1899" s="1543"/>
      <c r="L1899" s="1543"/>
      <c r="M1899" s="1543"/>
      <c r="N1899" s="1566"/>
    </row>
    <row r="1900" spans="1:14" ht="24">
      <c r="A1900" s="1705"/>
      <c r="B1900" s="406" t="s">
        <v>2941</v>
      </c>
      <c r="C1900" s="483"/>
      <c r="D1900" s="483">
        <v>1.1000000000000001</v>
      </c>
      <c r="E1900" s="341">
        <v>0.15</v>
      </c>
      <c r="F1900" s="341">
        <v>0.26</v>
      </c>
      <c r="G1900" s="341">
        <v>4</v>
      </c>
      <c r="H1900" s="482">
        <f>E1900*F1900*D1900*G1900</f>
        <v>0.1716</v>
      </c>
      <c r="I1900" s="1567"/>
      <c r="J1900" s="1543"/>
      <c r="K1900" s="1543"/>
      <c r="L1900" s="1543"/>
      <c r="M1900" s="1543"/>
      <c r="N1900" s="1566"/>
    </row>
    <row r="1901" spans="1:14">
      <c r="A1901" s="1705"/>
      <c r="B1901" s="513" t="s">
        <v>3019</v>
      </c>
      <c r="C1901" s="291"/>
      <c r="D1901" s="514"/>
      <c r="E1901" s="1330"/>
      <c r="F1901" s="514"/>
      <c r="G1901" s="514"/>
      <c r="H1901" s="482"/>
      <c r="I1901" s="1567"/>
      <c r="J1901" s="1543"/>
      <c r="K1901" s="1543"/>
      <c r="L1901" s="1543"/>
      <c r="M1901" s="1543"/>
      <c r="N1901" s="1566"/>
    </row>
    <row r="1902" spans="1:14">
      <c r="A1902" s="1705"/>
      <c r="B1902" s="515" t="s">
        <v>3020</v>
      </c>
      <c r="C1902" s="291"/>
      <c r="D1902" s="514"/>
      <c r="E1902" s="1330"/>
      <c r="F1902" s="514"/>
      <c r="G1902" s="514"/>
      <c r="H1902" s="482"/>
      <c r="I1902" s="1567"/>
      <c r="J1902" s="1543"/>
      <c r="K1902" s="1543"/>
      <c r="L1902" s="1543"/>
      <c r="M1902" s="1543"/>
      <c r="N1902" s="1566"/>
    </row>
    <row r="1903" spans="1:14">
      <c r="A1903" s="1705"/>
      <c r="B1903" s="516" t="s">
        <v>2548</v>
      </c>
      <c r="C1903" s="291"/>
      <c r="D1903" s="514">
        <f>8.94-0.2</f>
        <v>8.74</v>
      </c>
      <c r="E1903" s="1330">
        <v>0.2</v>
      </c>
      <c r="F1903" s="514">
        <v>0.4</v>
      </c>
      <c r="G1903" s="514">
        <v>1</v>
      </c>
      <c r="H1903" s="482">
        <f>E1903*F1903*D1903*G1903</f>
        <v>0.69920000000000015</v>
      </c>
      <c r="I1903" s="1567"/>
      <c r="J1903" s="1543"/>
      <c r="K1903" s="1543"/>
      <c r="L1903" s="1543"/>
      <c r="M1903" s="1543"/>
      <c r="N1903" s="1566"/>
    </row>
    <row r="1904" spans="1:14">
      <c r="A1904" s="1705"/>
      <c r="B1904" s="513" t="s">
        <v>3017</v>
      </c>
      <c r="C1904" s="291"/>
      <c r="D1904" s="514"/>
      <c r="E1904" s="1330"/>
      <c r="F1904" s="514"/>
      <c r="G1904" s="514"/>
      <c r="H1904" s="482"/>
      <c r="I1904" s="1567"/>
      <c r="J1904" s="1543"/>
      <c r="K1904" s="1543"/>
      <c r="L1904" s="1543"/>
      <c r="M1904" s="1543"/>
      <c r="N1904" s="1566"/>
    </row>
    <row r="1905" spans="1:14">
      <c r="A1905" s="1705"/>
      <c r="B1905" s="515" t="s">
        <v>3021</v>
      </c>
      <c r="C1905" s="291"/>
      <c r="D1905" s="514"/>
      <c r="E1905" s="1330"/>
      <c r="F1905" s="514"/>
      <c r="G1905" s="514"/>
      <c r="H1905" s="482"/>
      <c r="I1905" s="1567"/>
      <c r="J1905" s="1543"/>
      <c r="K1905" s="1543"/>
      <c r="L1905" s="1543"/>
      <c r="M1905" s="1543"/>
      <c r="N1905" s="1566"/>
    </row>
    <row r="1906" spans="1:14">
      <c r="A1906" s="1705"/>
      <c r="B1906" s="516" t="s">
        <v>2548</v>
      </c>
      <c r="C1906" s="291"/>
      <c r="D1906" s="514">
        <f>8.94-0.2</f>
        <v>8.74</v>
      </c>
      <c r="E1906" s="1330">
        <v>0.2</v>
      </c>
      <c r="F1906" s="514">
        <v>0.4</v>
      </c>
      <c r="G1906" s="514">
        <v>1</v>
      </c>
      <c r="H1906" s="482">
        <f>E1906*F1906*D1906*G1906</f>
        <v>0.69920000000000015</v>
      </c>
      <c r="I1906" s="1567"/>
      <c r="J1906" s="1543"/>
      <c r="K1906" s="1543"/>
      <c r="L1906" s="1543"/>
      <c r="M1906" s="1543"/>
      <c r="N1906" s="1566"/>
    </row>
    <row r="1907" spans="1:14">
      <c r="A1907" s="1705"/>
      <c r="B1907" s="516" t="s">
        <v>2549</v>
      </c>
      <c r="C1907" s="517" t="s">
        <v>3018</v>
      </c>
      <c r="D1907" s="514">
        <v>6.1159999999999997</v>
      </c>
      <c r="E1907" s="1330">
        <v>0.2</v>
      </c>
      <c r="F1907" s="514">
        <v>0.4</v>
      </c>
      <c r="G1907" s="514">
        <v>1</v>
      </c>
      <c r="H1907" s="482">
        <f>E1907*F1907*D1907*G1907</f>
        <v>0.48928000000000005</v>
      </c>
      <c r="I1907" s="1567"/>
      <c r="J1907" s="1543"/>
      <c r="K1907" s="1543"/>
      <c r="L1907" s="1543"/>
      <c r="M1907" s="1543"/>
      <c r="N1907" s="1566"/>
    </row>
    <row r="1908" spans="1:14">
      <c r="A1908" s="1705"/>
      <c r="B1908" s="518" t="s">
        <v>2576</v>
      </c>
      <c r="C1908" s="519" t="s">
        <v>3018</v>
      </c>
      <c r="D1908" s="520">
        <v>6.1159999999999997</v>
      </c>
      <c r="E1908" s="1331">
        <v>0.2</v>
      </c>
      <c r="F1908" s="520">
        <v>0.4</v>
      </c>
      <c r="G1908" s="520">
        <v>1</v>
      </c>
      <c r="H1908" s="521">
        <f>E1908*F1908*D1908*G1908</f>
        <v>0.48928000000000005</v>
      </c>
      <c r="I1908" s="1567"/>
      <c r="J1908" s="1543"/>
      <c r="K1908" s="1543"/>
      <c r="L1908" s="1543"/>
      <c r="M1908" s="1543"/>
      <c r="N1908" s="1566"/>
    </row>
    <row r="1909" spans="1:14">
      <c r="A1909" s="1631" t="s">
        <v>3299</v>
      </c>
      <c r="B1909" s="516"/>
      <c r="C1909" s="291"/>
      <c r="D1909" s="514"/>
      <c r="E1909" s="1330"/>
      <c r="F1909" s="514"/>
      <c r="G1909" s="514"/>
      <c r="H1909" s="482"/>
      <c r="I1909" s="1567"/>
      <c r="J1909" s="1543"/>
      <c r="K1909" s="1543"/>
      <c r="L1909" s="1543"/>
      <c r="M1909" s="1543"/>
      <c r="N1909" s="1566"/>
    </row>
    <row r="1910" spans="1:14">
      <c r="A1910" s="1631"/>
      <c r="B1910" s="516" t="s">
        <v>3167</v>
      </c>
      <c r="C1910" s="517"/>
      <c r="D1910" s="514"/>
      <c r="E1910" s="1330"/>
      <c r="F1910" s="514"/>
      <c r="G1910" s="514"/>
      <c r="H1910" s="482">
        <v>5.53</v>
      </c>
      <c r="I1910" s="1567"/>
      <c r="J1910" s="1543"/>
      <c r="K1910" s="1543"/>
      <c r="L1910" s="1543"/>
      <c r="M1910" s="1543"/>
      <c r="N1910" s="1566"/>
    </row>
    <row r="1911" spans="1:14">
      <c r="A1911" s="1632"/>
      <c r="B1911" s="518"/>
      <c r="C1911" s="519"/>
      <c r="D1911" s="520"/>
      <c r="E1911" s="1331"/>
      <c r="F1911" s="520"/>
      <c r="G1911" s="520"/>
      <c r="H1911" s="521"/>
      <c r="I1911" s="1567"/>
      <c r="J1911" s="1543"/>
      <c r="K1911" s="1543"/>
      <c r="L1911" s="1543"/>
      <c r="M1911" s="1543"/>
      <c r="N1911" s="1566"/>
    </row>
    <row r="1912" spans="1:14">
      <c r="A1912" s="1577" t="s">
        <v>2218</v>
      </c>
      <c r="B1912" s="1542"/>
      <c r="C1912" s="1542"/>
      <c r="D1912" s="1542"/>
      <c r="E1912" s="1542"/>
      <c r="F1912" s="1542"/>
      <c r="G1912" s="1542"/>
      <c r="H1912" s="271">
        <f>SUM(H1837:H1911)</f>
        <v>55.840534999999988</v>
      </c>
      <c r="I1912" s="1567"/>
      <c r="J1912" s="1543"/>
      <c r="K1912" s="1543"/>
      <c r="L1912" s="1543"/>
      <c r="M1912" s="1543"/>
      <c r="N1912" s="1566"/>
    </row>
    <row r="1913" spans="1:14">
      <c r="A1913" s="1519" t="s">
        <v>2219</v>
      </c>
      <c r="B1913" s="1517"/>
      <c r="C1913" s="1517"/>
      <c r="D1913" s="1551"/>
      <c r="E1913" s="1551"/>
      <c r="F1913" s="1551"/>
      <c r="G1913" s="1552"/>
      <c r="H1913" s="272">
        <f>SUM(H1838:H1908)</f>
        <v>50.310534999999987</v>
      </c>
      <c r="I1913" s="1543"/>
      <c r="J1913" s="1543"/>
      <c r="K1913" s="1543"/>
      <c r="L1913" s="1543"/>
      <c r="M1913" s="1543"/>
      <c r="N1913" s="1566"/>
    </row>
    <row r="1914" spans="1:14" ht="15.75" thickBot="1">
      <c r="A1914" s="1520" t="s">
        <v>2220</v>
      </c>
      <c r="B1914" s="1521"/>
      <c r="C1914" s="1521"/>
      <c r="D1914" s="1521"/>
      <c r="E1914" s="1521"/>
      <c r="F1914" s="1521"/>
      <c r="G1914" s="1522"/>
      <c r="H1914" s="216">
        <f>H1912-H1913</f>
        <v>5.5300000000000011</v>
      </c>
      <c r="I1914" s="1568"/>
      <c r="J1914" s="1568"/>
      <c r="K1914" s="1568"/>
      <c r="L1914" s="1568"/>
      <c r="M1914" s="1568"/>
      <c r="N1914" s="1569"/>
    </row>
    <row r="1915" spans="1:14" ht="15.6" customHeight="1" thickBot="1">
      <c r="A1915" s="1635"/>
      <c r="B1915" s="1636"/>
      <c r="C1915" s="1636"/>
      <c r="D1915" s="1636"/>
      <c r="E1915" s="1636"/>
      <c r="F1915" s="1636"/>
      <c r="G1915" s="1636"/>
      <c r="H1915" s="1636"/>
      <c r="I1915" s="1636"/>
      <c r="J1915" s="1636"/>
      <c r="K1915" s="1636"/>
      <c r="L1915" s="1636"/>
      <c r="M1915" s="1636"/>
      <c r="N1915" s="1637"/>
    </row>
    <row r="1916" spans="1:14" ht="15.6" customHeight="1">
      <c r="A1916" s="1085" t="s">
        <v>3293</v>
      </c>
      <c r="B1916" s="1494" t="str">
        <f>[9]Planilha1!D100</f>
        <v>Fornecimento e lançamento de concreto para grouteamento com adição de pedrisco (50% em peso), utilizando Sikagrout ou produto equivalente, exclusive forma</v>
      </c>
      <c r="C1916" s="1495"/>
      <c r="D1916" s="1495"/>
      <c r="E1916" s="1495"/>
      <c r="F1916" s="1495"/>
      <c r="G1916" s="1495"/>
      <c r="H1916" s="1495"/>
      <c r="I1916" s="1495"/>
      <c r="J1916" s="1496"/>
      <c r="K1916" s="196" t="s">
        <v>92</v>
      </c>
      <c r="L1916" s="1497">
        <f>[9]Planilha1!G100</f>
        <v>1.64</v>
      </c>
      <c r="M1916" s="1498"/>
      <c r="N1916" s="197">
        <f>L1916-H1923</f>
        <v>-1.4800000000001479E-3</v>
      </c>
    </row>
    <row r="1917" spans="1:14" ht="15.6" customHeight="1">
      <c r="A1917" s="1541"/>
      <c r="B1917" s="1541"/>
      <c r="C1917" s="366"/>
      <c r="D1917" s="367" t="s">
        <v>2183</v>
      </c>
      <c r="E1917" s="1320" t="s">
        <v>2184</v>
      </c>
      <c r="F1917" s="367" t="s">
        <v>2185</v>
      </c>
      <c r="G1917" s="367" t="s">
        <v>2186</v>
      </c>
      <c r="H1917" s="1542" t="s">
        <v>476</v>
      </c>
      <c r="I1917" s="1543"/>
      <c r="J1917" s="1543"/>
      <c r="K1917" s="1543"/>
      <c r="L1917" s="1543"/>
      <c r="M1917" s="1543"/>
      <c r="N1917" s="1566"/>
    </row>
    <row r="1918" spans="1:14" ht="15.6" customHeight="1">
      <c r="A1918" s="1541"/>
      <c r="B1918" s="1541"/>
      <c r="C1918" s="368" t="s">
        <v>2582</v>
      </c>
      <c r="D1918" s="369" t="s">
        <v>2187</v>
      </c>
      <c r="E1918" s="529" t="s">
        <v>2596</v>
      </c>
      <c r="F1918" s="369" t="s">
        <v>2189</v>
      </c>
      <c r="G1918" s="370" t="s">
        <v>2190</v>
      </c>
      <c r="H1918" s="1542"/>
      <c r="I1918" s="1543"/>
      <c r="J1918" s="1543"/>
      <c r="K1918" s="1543"/>
      <c r="L1918" s="1543"/>
      <c r="M1918" s="1543"/>
      <c r="N1918" s="1566"/>
    </row>
    <row r="1919" spans="1:14" ht="15.6" customHeight="1">
      <c r="A1919" s="1108"/>
      <c r="B1919" s="522" t="s">
        <v>2597</v>
      </c>
      <c r="C1919" s="523"/>
      <c r="D1919" s="297"/>
      <c r="E1919" s="903"/>
      <c r="F1919" s="297"/>
      <c r="G1919" s="524"/>
      <c r="H1919" s="525"/>
      <c r="I1919" s="1567"/>
      <c r="J1919" s="1543"/>
      <c r="K1919" s="1543"/>
      <c r="L1919" s="1543"/>
      <c r="M1919" s="1543"/>
      <c r="N1919" s="1566"/>
    </row>
    <row r="1920" spans="1:14" ht="15.6" customHeight="1">
      <c r="A1920" s="1536" t="s">
        <v>2476</v>
      </c>
      <c r="B1920" s="406" t="s">
        <v>2622</v>
      </c>
      <c r="C1920" s="292"/>
      <c r="D1920" s="341">
        <v>75</v>
      </c>
      <c r="E1920" s="341">
        <v>0.08</v>
      </c>
      <c r="F1920" s="341">
        <v>0.15</v>
      </c>
      <c r="G1920" s="341"/>
      <c r="H1920" s="347">
        <f>D1920*E1920*F1920</f>
        <v>0.89999999999999991</v>
      </c>
      <c r="I1920" s="1567"/>
      <c r="J1920" s="1543"/>
      <c r="K1920" s="1543"/>
      <c r="L1920" s="1543"/>
      <c r="M1920" s="1543"/>
      <c r="N1920" s="1566"/>
    </row>
    <row r="1921" spans="1:14" ht="15.6" customHeight="1">
      <c r="A1921" s="1536"/>
      <c r="B1921" s="406" t="s">
        <v>2623</v>
      </c>
      <c r="C1921" s="292"/>
      <c r="D1921" s="341">
        <v>61.79</v>
      </c>
      <c r="E1921" s="341">
        <v>0.08</v>
      </c>
      <c r="F1921" s="341">
        <v>0.15</v>
      </c>
      <c r="G1921" s="341"/>
      <c r="H1921" s="347">
        <f>D1921*E1921*F1921</f>
        <v>0.74148000000000003</v>
      </c>
      <c r="I1921" s="1567"/>
      <c r="J1921" s="1543"/>
      <c r="K1921" s="1543"/>
      <c r="L1921" s="1543"/>
      <c r="M1921" s="1543"/>
      <c r="N1921" s="1566"/>
    </row>
    <row r="1922" spans="1:14" ht="15.6" customHeight="1">
      <c r="A1922" s="1536"/>
      <c r="B1922" s="406"/>
      <c r="C1922" s="292"/>
      <c r="D1922" s="198"/>
      <c r="E1922" s="341"/>
      <c r="F1922" s="341"/>
      <c r="G1922" s="341"/>
      <c r="H1922" s="347"/>
      <c r="I1922" s="1567"/>
      <c r="J1922" s="1543"/>
      <c r="K1922" s="1543"/>
      <c r="L1922" s="1543"/>
      <c r="M1922" s="1543"/>
      <c r="N1922" s="1566"/>
    </row>
    <row r="1923" spans="1:14" ht="15.6" customHeight="1">
      <c r="A1923" s="1577" t="s">
        <v>2218</v>
      </c>
      <c r="B1923" s="1542"/>
      <c r="C1923" s="1542"/>
      <c r="D1923" s="1542"/>
      <c r="E1923" s="1542"/>
      <c r="F1923" s="1542"/>
      <c r="G1923" s="1542"/>
      <c r="H1923" s="271">
        <f>SUM(H1920:H1922)</f>
        <v>1.6414800000000001</v>
      </c>
      <c r="I1923" s="1567"/>
      <c r="J1923" s="1543"/>
      <c r="K1923" s="1543"/>
      <c r="L1923" s="1543"/>
      <c r="M1923" s="1543"/>
      <c r="N1923" s="1566"/>
    </row>
    <row r="1924" spans="1:14" ht="15.6" customHeight="1">
      <c r="A1924" s="1519" t="s">
        <v>2219</v>
      </c>
      <c r="B1924" s="1517"/>
      <c r="C1924" s="1517"/>
      <c r="D1924" s="1551"/>
      <c r="E1924" s="1551"/>
      <c r="F1924" s="1551"/>
      <c r="G1924" s="1552"/>
      <c r="H1924" s="272"/>
      <c r="I1924" s="1543"/>
      <c r="J1924" s="1543"/>
      <c r="K1924" s="1543"/>
      <c r="L1924" s="1543"/>
      <c r="M1924" s="1543"/>
      <c r="N1924" s="1566"/>
    </row>
    <row r="1925" spans="1:14" ht="15.6" customHeight="1" thickBot="1">
      <c r="A1925" s="1520" t="s">
        <v>2220</v>
      </c>
      <c r="B1925" s="1521"/>
      <c r="C1925" s="1521"/>
      <c r="D1925" s="1521"/>
      <c r="E1925" s="1521"/>
      <c r="F1925" s="1521"/>
      <c r="G1925" s="1522"/>
      <c r="H1925" s="216">
        <f>H1923-H1924</f>
        <v>1.6414800000000001</v>
      </c>
      <c r="I1925" s="1568"/>
      <c r="J1925" s="1568"/>
      <c r="K1925" s="1568"/>
      <c r="L1925" s="1568"/>
      <c r="M1925" s="1568"/>
      <c r="N1925" s="1569"/>
    </row>
    <row r="1926" spans="1:14" ht="15.6" customHeight="1" thickBot="1">
      <c r="A1926" s="1104"/>
      <c r="B1926" s="278"/>
      <c r="C1926" s="278"/>
      <c r="D1926" s="281"/>
      <c r="E1926" s="1319"/>
      <c r="F1926" s="278"/>
      <c r="G1926" s="278"/>
      <c r="H1926" s="217"/>
      <c r="I1926" s="279"/>
      <c r="J1926" s="321"/>
      <c r="K1926" s="322"/>
      <c r="L1926" s="322"/>
      <c r="M1926" s="321"/>
      <c r="N1926" s="323"/>
    </row>
    <row r="1927" spans="1:14" ht="31.15" customHeight="1" thickBot="1">
      <c r="A1927" s="1085" t="s">
        <v>3367</v>
      </c>
      <c r="B1927" s="1737" t="s">
        <v>3368</v>
      </c>
      <c r="C1927" s="1738"/>
      <c r="D1927" s="1738"/>
      <c r="E1927" s="1738"/>
      <c r="F1927" s="1738"/>
      <c r="G1927" s="1738"/>
      <c r="H1927" s="1738"/>
      <c r="I1927" s="1738"/>
      <c r="J1927" s="1738"/>
      <c r="K1927" s="1738"/>
      <c r="L1927" s="1738"/>
      <c r="M1927" s="1738"/>
      <c r="N1927" s="1739"/>
    </row>
    <row r="1928" spans="1:14" ht="39.6" customHeight="1">
      <c r="A1928" s="1085" t="s">
        <v>2624</v>
      </c>
      <c r="B1928" s="1494" t="s">
        <v>2126</v>
      </c>
      <c r="C1928" s="1495"/>
      <c r="D1928" s="1495"/>
      <c r="E1928" s="1495"/>
      <c r="F1928" s="1495"/>
      <c r="G1928" s="1495"/>
      <c r="H1928" s="1495"/>
      <c r="I1928" s="1495"/>
      <c r="J1928" s="1496"/>
      <c r="K1928" s="196" t="s">
        <v>92</v>
      </c>
      <c r="L1928" s="1497">
        <v>2173.9699999999998</v>
      </c>
      <c r="M1928" s="1498"/>
      <c r="N1928" s="197">
        <f>L1928-H1934</f>
        <v>0</v>
      </c>
    </row>
    <row r="1929" spans="1:14" ht="15.6" customHeight="1">
      <c r="A1929" s="1541"/>
      <c r="B1929" s="1541"/>
      <c r="C1929" s="366"/>
      <c r="D1929" s="367" t="s">
        <v>2183</v>
      </c>
      <c r="E1929" s="1320" t="s">
        <v>2184</v>
      </c>
      <c r="F1929" s="367" t="s">
        <v>2185</v>
      </c>
      <c r="G1929" s="367" t="s">
        <v>2186</v>
      </c>
      <c r="H1929" s="1542" t="s">
        <v>476</v>
      </c>
      <c r="I1929" s="1543"/>
      <c r="J1929" s="1543"/>
      <c r="K1929" s="1543"/>
      <c r="L1929" s="1543"/>
      <c r="M1929" s="1543"/>
      <c r="N1929" s="1566"/>
    </row>
    <row r="1930" spans="1:14" ht="15.6" customHeight="1">
      <c r="A1930" s="1541"/>
      <c r="B1930" s="1541"/>
      <c r="C1930" s="368" t="s">
        <v>2582</v>
      </c>
      <c r="D1930" s="369" t="s">
        <v>2187</v>
      </c>
      <c r="E1930" s="529" t="s">
        <v>2596</v>
      </c>
      <c r="F1930" s="369" t="s">
        <v>2189</v>
      </c>
      <c r="G1930" s="370" t="s">
        <v>2190</v>
      </c>
      <c r="H1930" s="1542"/>
      <c r="I1930" s="1543"/>
      <c r="J1930" s="1543"/>
      <c r="K1930" s="1543"/>
      <c r="L1930" s="1543"/>
      <c r="M1930" s="1543"/>
      <c r="N1930" s="1566"/>
    </row>
    <row r="1931" spans="1:14">
      <c r="A1931" s="1536" t="s">
        <v>2476</v>
      </c>
      <c r="B1931" s="404" t="s">
        <v>2625</v>
      </c>
      <c r="C1931" s="297">
        <v>2173.9699999999998</v>
      </c>
      <c r="D1931" s="201"/>
      <c r="E1931" s="350"/>
      <c r="F1931" s="350"/>
      <c r="G1931" s="350"/>
      <c r="H1931" s="371">
        <f>C1931</f>
        <v>2173.9699999999998</v>
      </c>
      <c r="I1931" s="1567"/>
      <c r="J1931" s="1543"/>
      <c r="K1931" s="1543"/>
      <c r="L1931" s="1543"/>
      <c r="M1931" s="1543"/>
      <c r="N1931" s="1566"/>
    </row>
    <row r="1932" spans="1:14">
      <c r="A1932" s="1536"/>
      <c r="B1932" s="406"/>
      <c r="C1932" s="292"/>
      <c r="D1932" s="198"/>
      <c r="E1932" s="341"/>
      <c r="F1932" s="341"/>
      <c r="G1932" s="341"/>
      <c r="H1932" s="347"/>
      <c r="I1932" s="1567"/>
      <c r="J1932" s="1543"/>
      <c r="K1932" s="1543"/>
      <c r="L1932" s="1543"/>
      <c r="M1932" s="1543"/>
      <c r="N1932" s="1566"/>
    </row>
    <row r="1933" spans="1:14">
      <c r="A1933" s="1088"/>
      <c r="B1933" s="413"/>
      <c r="C1933" s="294"/>
      <c r="D1933" s="203"/>
      <c r="E1933" s="348"/>
      <c r="F1933" s="348"/>
      <c r="G1933" s="348"/>
      <c r="H1933" s="349"/>
      <c r="I1933" s="1567"/>
      <c r="J1933" s="1543"/>
      <c r="K1933" s="1543"/>
      <c r="L1933" s="1543"/>
      <c r="M1933" s="1543"/>
      <c r="N1933" s="1566"/>
    </row>
    <row r="1934" spans="1:14">
      <c r="A1934" s="1577" t="s">
        <v>2218</v>
      </c>
      <c r="B1934" s="1542"/>
      <c r="C1934" s="1542"/>
      <c r="D1934" s="1542"/>
      <c r="E1934" s="1542"/>
      <c r="F1934" s="1542"/>
      <c r="G1934" s="1542"/>
      <c r="H1934" s="271">
        <f>SUM(H1931:H1932)</f>
        <v>2173.9699999999998</v>
      </c>
      <c r="I1934" s="1567"/>
      <c r="J1934" s="1543"/>
      <c r="K1934" s="1543"/>
      <c r="L1934" s="1543"/>
      <c r="M1934" s="1543"/>
      <c r="N1934" s="1566"/>
    </row>
    <row r="1935" spans="1:14">
      <c r="A1935" s="1519" t="s">
        <v>2219</v>
      </c>
      <c r="B1935" s="1517"/>
      <c r="C1935" s="1517"/>
      <c r="D1935" s="1551"/>
      <c r="E1935" s="1551"/>
      <c r="F1935" s="1551"/>
      <c r="G1935" s="1552"/>
      <c r="H1935" s="272"/>
      <c r="I1935" s="1543"/>
      <c r="J1935" s="1543"/>
      <c r="K1935" s="1543"/>
      <c r="L1935" s="1543"/>
      <c r="M1935" s="1543"/>
      <c r="N1935" s="1566"/>
    </row>
    <row r="1936" spans="1:14" ht="15.75" thickBot="1">
      <c r="A1936" s="1520" t="s">
        <v>2220</v>
      </c>
      <c r="B1936" s="1521"/>
      <c r="C1936" s="1521"/>
      <c r="D1936" s="1521"/>
      <c r="E1936" s="1521"/>
      <c r="F1936" s="1521"/>
      <c r="G1936" s="1522"/>
      <c r="H1936" s="216">
        <f>H1934-H1935</f>
        <v>2173.9699999999998</v>
      </c>
      <c r="I1936" s="1568"/>
      <c r="J1936" s="1568"/>
      <c r="K1936" s="1568"/>
      <c r="L1936" s="1568"/>
      <c r="M1936" s="1568"/>
      <c r="N1936" s="1569"/>
    </row>
    <row r="1937" spans="1:14" ht="15.75" customHeight="1" thickBot="1">
      <c r="A1937" s="1635"/>
      <c r="B1937" s="1636"/>
      <c r="C1937" s="1636"/>
      <c r="D1937" s="1636"/>
      <c r="E1937" s="1636"/>
      <c r="F1937" s="1636"/>
      <c r="G1937" s="1636"/>
      <c r="H1937" s="1636"/>
      <c r="I1937" s="1636"/>
      <c r="J1937" s="1636"/>
      <c r="K1937" s="1636"/>
      <c r="L1937" s="1636"/>
      <c r="M1937" s="1636"/>
      <c r="N1937" s="1637"/>
    </row>
    <row r="1938" spans="1:14" ht="14.45" customHeight="1">
      <c r="A1938" s="1085" t="s">
        <v>2626</v>
      </c>
      <c r="B1938" s="1494" t="s">
        <v>742</v>
      </c>
      <c r="C1938" s="1495"/>
      <c r="D1938" s="1495"/>
      <c r="E1938" s="1495"/>
      <c r="F1938" s="1495"/>
      <c r="G1938" s="1495"/>
      <c r="H1938" s="1495"/>
      <c r="I1938" s="1495"/>
      <c r="J1938" s="1496"/>
      <c r="K1938" s="196" t="s">
        <v>92</v>
      </c>
      <c r="L1938" s="1497">
        <f>'[8]BMS  5ª medição'!G104</f>
        <v>938</v>
      </c>
      <c r="M1938" s="1498"/>
      <c r="N1938" s="197">
        <f>L1938-H1967</f>
        <v>-308</v>
      </c>
    </row>
    <row r="1939" spans="1:14">
      <c r="A1939" s="1541"/>
      <c r="B1939" s="1541"/>
      <c r="C1939" s="366"/>
      <c r="D1939" s="367" t="s">
        <v>2183</v>
      </c>
      <c r="E1939" s="1320" t="s">
        <v>2184</v>
      </c>
      <c r="F1939" s="367" t="s">
        <v>2185</v>
      </c>
      <c r="G1939" s="367" t="s">
        <v>2186</v>
      </c>
      <c r="H1939" s="1542" t="s">
        <v>476</v>
      </c>
      <c r="I1939" s="1543"/>
      <c r="J1939" s="1543"/>
      <c r="K1939" s="1543"/>
      <c r="L1939" s="1543"/>
      <c r="M1939" s="1543"/>
      <c r="N1939" s="1566"/>
    </row>
    <row r="1940" spans="1:14">
      <c r="A1940" s="1541"/>
      <c r="B1940" s="1541"/>
      <c r="C1940" s="368" t="s">
        <v>2627</v>
      </c>
      <c r="D1940" s="369" t="s">
        <v>2187</v>
      </c>
      <c r="E1940" s="529" t="s">
        <v>2596</v>
      </c>
      <c r="F1940" s="369" t="s">
        <v>2189</v>
      </c>
      <c r="G1940" s="370" t="s">
        <v>2190</v>
      </c>
      <c r="H1940" s="1542"/>
      <c r="I1940" s="1543"/>
      <c r="J1940" s="1543"/>
      <c r="K1940" s="1543"/>
      <c r="L1940" s="1543"/>
      <c r="M1940" s="1543"/>
      <c r="N1940" s="1566"/>
    </row>
    <row r="1941" spans="1:14">
      <c r="A1941" s="1514" t="s">
        <v>2476</v>
      </c>
      <c r="B1941" s="526" t="s">
        <v>2628</v>
      </c>
      <c r="C1941" s="430"/>
      <c r="D1941" s="287"/>
      <c r="E1941" s="531"/>
      <c r="F1941" s="287"/>
      <c r="G1941" s="431"/>
      <c r="H1941" s="527"/>
      <c r="I1941" s="1567"/>
      <c r="J1941" s="1543"/>
      <c r="K1941" s="1543"/>
      <c r="L1941" s="1543"/>
      <c r="M1941" s="1543"/>
      <c r="N1941" s="1566"/>
    </row>
    <row r="1942" spans="1:14">
      <c r="A1942" s="1523"/>
      <c r="B1942" s="406" t="s">
        <v>2629</v>
      </c>
      <c r="C1942" s="292">
        <v>8</v>
      </c>
      <c r="D1942" s="198"/>
      <c r="E1942" s="341"/>
      <c r="F1942" s="341"/>
      <c r="G1942" s="341">
        <v>16</v>
      </c>
      <c r="H1942" s="347">
        <f>C1942*G1942</f>
        <v>128</v>
      </c>
      <c r="I1942" s="1567"/>
      <c r="J1942" s="1543"/>
      <c r="K1942" s="1543"/>
      <c r="L1942" s="1543"/>
      <c r="M1942" s="1543"/>
      <c r="N1942" s="1566"/>
    </row>
    <row r="1943" spans="1:14">
      <c r="A1943" s="1523"/>
      <c r="B1943" s="406" t="s">
        <v>2630</v>
      </c>
      <c r="C1943" s="292">
        <v>1</v>
      </c>
      <c r="D1943" s="198"/>
      <c r="E1943" s="341"/>
      <c r="F1943" s="341"/>
      <c r="G1943" s="341">
        <v>48</v>
      </c>
      <c r="H1943" s="347">
        <f>C1943*G1943-24</f>
        <v>24</v>
      </c>
      <c r="I1943" s="1567"/>
      <c r="J1943" s="1543"/>
      <c r="K1943" s="1543"/>
      <c r="L1943" s="1543"/>
      <c r="M1943" s="1543"/>
      <c r="N1943" s="1566"/>
    </row>
    <row r="1944" spans="1:14">
      <c r="A1944" s="1523"/>
      <c r="B1944" s="406"/>
      <c r="C1944" s="292"/>
      <c r="D1944" s="198"/>
      <c r="E1944" s="341"/>
      <c r="F1944" s="341"/>
      <c r="G1944" s="341"/>
      <c r="H1944" s="528"/>
      <c r="I1944" s="1567"/>
      <c r="J1944" s="1543"/>
      <c r="K1944" s="1543"/>
      <c r="L1944" s="1543"/>
      <c r="M1944" s="1543"/>
      <c r="N1944" s="1566"/>
    </row>
    <row r="1945" spans="1:14">
      <c r="A1945" s="1535" t="s">
        <v>2662</v>
      </c>
      <c r="B1945" s="458" t="s">
        <v>2695</v>
      </c>
      <c r="C1945" s="292"/>
      <c r="D1945" s="198"/>
      <c r="E1945" s="341"/>
      <c r="F1945" s="341"/>
      <c r="G1945" s="341"/>
      <c r="H1945" s="528"/>
      <c r="I1945" s="1567"/>
      <c r="J1945" s="1543"/>
      <c r="K1945" s="1543"/>
      <c r="L1945" s="1543"/>
      <c r="M1945" s="1543"/>
      <c r="N1945" s="1566"/>
    </row>
    <row r="1946" spans="1:14">
      <c r="A1946" s="1529"/>
      <c r="B1946" s="406" t="s">
        <v>2696</v>
      </c>
      <c r="C1946" s="292"/>
      <c r="D1946" s="198"/>
      <c r="E1946" s="341"/>
      <c r="F1946" s="341"/>
      <c r="G1946" s="341"/>
      <c r="H1946" s="528"/>
      <c r="I1946" s="1567"/>
      <c r="J1946" s="1543"/>
      <c r="K1946" s="1543"/>
      <c r="L1946" s="1543"/>
      <c r="M1946" s="1543"/>
      <c r="N1946" s="1566"/>
    </row>
    <row r="1947" spans="1:14">
      <c r="A1947" s="1529"/>
      <c r="B1947" s="406" t="s">
        <v>2697</v>
      </c>
      <c r="C1947" s="292">
        <v>4</v>
      </c>
      <c r="D1947" s="198"/>
      <c r="E1947" s="341"/>
      <c r="F1947" s="341"/>
      <c r="G1947" s="341">
        <v>4</v>
      </c>
      <c r="H1947" s="347">
        <f>C1947*G1947</f>
        <v>16</v>
      </c>
      <c r="I1947" s="1567"/>
      <c r="J1947" s="1543"/>
      <c r="K1947" s="1543"/>
      <c r="L1947" s="1543"/>
      <c r="M1947" s="1543"/>
      <c r="N1947" s="1566"/>
    </row>
    <row r="1948" spans="1:14">
      <c r="A1948" s="1529"/>
      <c r="B1948" s="406" t="s">
        <v>2698</v>
      </c>
      <c r="C1948" s="292">
        <v>11</v>
      </c>
      <c r="D1948" s="198"/>
      <c r="E1948" s="341"/>
      <c r="F1948" s="341"/>
      <c r="G1948" s="341">
        <v>4</v>
      </c>
      <c r="H1948" s="347">
        <f>C1948*G1948</f>
        <v>44</v>
      </c>
      <c r="I1948" s="1567"/>
      <c r="J1948" s="1543"/>
      <c r="K1948" s="1543"/>
      <c r="L1948" s="1543"/>
      <c r="M1948" s="1543"/>
      <c r="N1948" s="1566"/>
    </row>
    <row r="1949" spans="1:14">
      <c r="A1949" s="1529"/>
      <c r="B1949" s="458" t="s">
        <v>2699</v>
      </c>
      <c r="C1949" s="292"/>
      <c r="D1949" s="198"/>
      <c r="E1949" s="341"/>
      <c r="F1949" s="341"/>
      <c r="G1949" s="341"/>
      <c r="H1949" s="528"/>
      <c r="I1949" s="1567"/>
      <c r="J1949" s="1543"/>
      <c r="K1949" s="1543"/>
      <c r="L1949" s="1543"/>
      <c r="M1949" s="1543"/>
      <c r="N1949" s="1566"/>
    </row>
    <row r="1950" spans="1:14">
      <c r="A1950" s="1529"/>
      <c r="B1950" s="406" t="s">
        <v>2745</v>
      </c>
      <c r="C1950" s="292">
        <v>8</v>
      </c>
      <c r="D1950" s="198"/>
      <c r="E1950" s="341"/>
      <c r="F1950" s="341"/>
      <c r="G1950" s="341">
        <v>14</v>
      </c>
      <c r="H1950" s="347">
        <f>C1950*G1950</f>
        <v>112</v>
      </c>
      <c r="I1950" s="1567"/>
      <c r="J1950" s="1543"/>
      <c r="K1950" s="1543"/>
      <c r="L1950" s="1543"/>
      <c r="M1950" s="1543"/>
      <c r="N1950" s="1566"/>
    </row>
    <row r="1951" spans="1:14" ht="24">
      <c r="A1951" s="1529"/>
      <c r="B1951" s="406" t="s">
        <v>2701</v>
      </c>
      <c r="C1951" s="292">
        <v>42</v>
      </c>
      <c r="D1951" s="198"/>
      <c r="E1951" s="341"/>
      <c r="F1951" s="341"/>
      <c r="G1951" s="341">
        <v>1</v>
      </c>
      <c r="H1951" s="347">
        <f>C1951*G1951</f>
        <v>42</v>
      </c>
      <c r="I1951" s="1567"/>
      <c r="J1951" s="1543"/>
      <c r="K1951" s="1543"/>
      <c r="L1951" s="1543"/>
      <c r="M1951" s="1543"/>
      <c r="N1951" s="1566"/>
    </row>
    <row r="1952" spans="1:14">
      <c r="A1952" s="1529"/>
      <c r="B1952" s="406" t="s">
        <v>2702</v>
      </c>
      <c r="C1952" s="292">
        <v>30</v>
      </c>
      <c r="D1952" s="198"/>
      <c r="E1952" s="341"/>
      <c r="F1952" s="341"/>
      <c r="G1952" s="341">
        <v>1</v>
      </c>
      <c r="H1952" s="347">
        <f>C1952*G1952</f>
        <v>30</v>
      </c>
      <c r="I1952" s="1567"/>
      <c r="J1952" s="1543"/>
      <c r="K1952" s="1543"/>
      <c r="L1952" s="1543"/>
      <c r="M1952" s="1543"/>
      <c r="N1952" s="1566"/>
    </row>
    <row r="1953" spans="1:15">
      <c r="A1953" s="1529"/>
      <c r="B1953" s="458" t="s">
        <v>2746</v>
      </c>
      <c r="C1953" s="292"/>
      <c r="D1953" s="198"/>
      <c r="E1953" s="341"/>
      <c r="F1953" s="341"/>
      <c r="G1953" s="341"/>
      <c r="H1953" s="347"/>
      <c r="I1953" s="1567"/>
      <c r="J1953" s="1543"/>
      <c r="K1953" s="1543"/>
      <c r="L1953" s="1543"/>
      <c r="M1953" s="1543"/>
      <c r="N1953" s="1566"/>
    </row>
    <row r="1954" spans="1:15">
      <c r="A1954" s="1529"/>
      <c r="B1954" s="406" t="s">
        <v>2747</v>
      </c>
      <c r="C1954" s="292">
        <f>470</f>
        <v>470</v>
      </c>
      <c r="D1954" s="198"/>
      <c r="E1954" s="341"/>
      <c r="F1954" s="341"/>
      <c r="G1954" s="341">
        <v>1</v>
      </c>
      <c r="H1954" s="347">
        <f>C1954*G1954</f>
        <v>470</v>
      </c>
      <c r="I1954" s="1567"/>
      <c r="J1954" s="1543"/>
      <c r="K1954" s="1543"/>
      <c r="L1954" s="1543"/>
      <c r="M1954" s="1543"/>
      <c r="N1954" s="1566"/>
    </row>
    <row r="1955" spans="1:15">
      <c r="A1955" s="1545"/>
      <c r="B1955" s="406"/>
      <c r="C1955" s="292"/>
      <c r="D1955" s="198"/>
      <c r="E1955" s="341"/>
      <c r="F1955" s="341"/>
      <c r="G1955" s="341"/>
      <c r="H1955" s="347"/>
      <c r="I1955" s="1567"/>
      <c r="J1955" s="1543"/>
      <c r="K1955" s="1543"/>
      <c r="L1955" s="1543"/>
      <c r="M1955" s="1543"/>
      <c r="N1955" s="1566"/>
    </row>
    <row r="1956" spans="1:15">
      <c r="A1956" s="1630" t="s">
        <v>2749</v>
      </c>
      <c r="B1956" s="458"/>
      <c r="C1956" s="292"/>
      <c r="D1956" s="198"/>
      <c r="E1956" s="341"/>
      <c r="F1956" s="341"/>
      <c r="G1956" s="341"/>
      <c r="H1956" s="347"/>
      <c r="I1956" s="1567"/>
      <c r="J1956" s="1543"/>
      <c r="K1956" s="1543"/>
      <c r="L1956" s="1543"/>
      <c r="M1956" s="1543"/>
      <c r="N1956" s="1566"/>
    </row>
    <row r="1957" spans="1:15">
      <c r="A1957" s="1632"/>
      <c r="B1957" s="406" t="s">
        <v>2747</v>
      </c>
      <c r="C1957" s="292">
        <v>72</v>
      </c>
      <c r="D1957" s="198"/>
      <c r="E1957" s="341"/>
      <c r="F1957" s="341"/>
      <c r="G1957" s="341"/>
      <c r="H1957" s="347">
        <v>48</v>
      </c>
      <c r="I1957" s="1567"/>
      <c r="J1957" s="1543"/>
      <c r="K1957" s="1543"/>
      <c r="L1957" s="1543"/>
      <c r="M1957" s="1543"/>
      <c r="N1957" s="1566"/>
    </row>
    <row r="1958" spans="1:15">
      <c r="A1958" s="1630" t="s">
        <v>2843</v>
      </c>
      <c r="B1958" s="406"/>
      <c r="C1958" s="292"/>
      <c r="D1958" s="198"/>
      <c r="E1958" s="341"/>
      <c r="F1958" s="341"/>
      <c r="G1958" s="341"/>
      <c r="H1958" s="347"/>
      <c r="I1958" s="1567"/>
      <c r="J1958" s="1543"/>
      <c r="K1958" s="1543"/>
      <c r="L1958" s="1543"/>
      <c r="M1958" s="1543"/>
      <c r="N1958" s="1566"/>
    </row>
    <row r="1959" spans="1:15">
      <c r="A1959" s="1631"/>
      <c r="B1959" s="406" t="s">
        <v>2747</v>
      </c>
      <c r="C1959" s="292">
        <v>24</v>
      </c>
      <c r="D1959" s="198"/>
      <c r="E1959" s="341"/>
      <c r="F1959" s="341"/>
      <c r="G1959" s="341"/>
      <c r="H1959" s="347">
        <v>24</v>
      </c>
      <c r="I1959" s="1567"/>
      <c r="J1959" s="1543"/>
      <c r="K1959" s="1543"/>
      <c r="L1959" s="1543"/>
      <c r="M1959" s="1543"/>
      <c r="N1959" s="1566"/>
    </row>
    <row r="1960" spans="1:15">
      <c r="A1960" s="1632"/>
      <c r="B1960" s="406"/>
      <c r="C1960" s="292"/>
      <c r="D1960" s="198"/>
      <c r="E1960" s="341"/>
      <c r="F1960" s="341"/>
      <c r="G1960" s="341"/>
      <c r="H1960" s="347"/>
      <c r="I1960" s="1567"/>
      <c r="J1960" s="1543"/>
      <c r="K1960" s="1543"/>
      <c r="L1960" s="1543"/>
      <c r="M1960" s="1543"/>
      <c r="N1960" s="1566"/>
    </row>
    <row r="1961" spans="1:15">
      <c r="A1961" s="1630" t="s">
        <v>2895</v>
      </c>
      <c r="B1961" s="406"/>
      <c r="C1961" s="292"/>
      <c r="D1961" s="198"/>
      <c r="E1961" s="341"/>
      <c r="F1961" s="341"/>
      <c r="G1961" s="341"/>
      <c r="H1961" s="347"/>
      <c r="I1961" s="1567"/>
      <c r="J1961" s="1543"/>
      <c r="K1961" s="1543"/>
      <c r="L1961" s="1543"/>
      <c r="M1961" s="1543"/>
      <c r="N1961" s="1566"/>
    </row>
    <row r="1962" spans="1:15" ht="24">
      <c r="A1962" s="1631"/>
      <c r="B1962" s="406" t="s">
        <v>2899</v>
      </c>
      <c r="C1962" s="292">
        <v>77</v>
      </c>
      <c r="D1962" s="198"/>
      <c r="E1962" s="341"/>
      <c r="F1962" s="341"/>
      <c r="G1962" s="341">
        <v>2</v>
      </c>
      <c r="H1962" s="347">
        <f>C1962*G1962</f>
        <v>154</v>
      </c>
      <c r="I1962" s="1567"/>
      <c r="J1962" s="1543"/>
      <c r="K1962" s="1543"/>
      <c r="L1962" s="1543"/>
      <c r="M1962" s="1543"/>
      <c r="N1962" s="1566"/>
      <c r="O1962" t="s">
        <v>2900</v>
      </c>
    </row>
    <row r="1963" spans="1:15">
      <c r="A1963" s="1150"/>
      <c r="B1963" s="406"/>
      <c r="C1963" s="292"/>
      <c r="D1963" s="198"/>
      <c r="E1963" s="341"/>
      <c r="F1963" s="341"/>
      <c r="G1963" s="341"/>
      <c r="H1963" s="347"/>
      <c r="I1963" s="1567"/>
      <c r="J1963" s="1543"/>
      <c r="K1963" s="1543"/>
      <c r="L1963" s="1543"/>
      <c r="M1963" s="1543"/>
      <c r="N1963" s="1566"/>
    </row>
    <row r="1964" spans="1:15" ht="25.5">
      <c r="A1964" s="1631"/>
      <c r="B1964" s="1071" t="s">
        <v>3770</v>
      </c>
      <c r="C1964" s="1072">
        <v>77</v>
      </c>
      <c r="D1964" s="198"/>
      <c r="E1964" s="341"/>
      <c r="F1964" s="341"/>
      <c r="G1964" s="341"/>
      <c r="H1964" s="347">
        <f>C1964</f>
        <v>77</v>
      </c>
      <c r="I1964" s="1567"/>
      <c r="J1964" s="1543"/>
      <c r="K1964" s="1543"/>
      <c r="L1964" s="1543"/>
      <c r="M1964" s="1543"/>
      <c r="N1964" s="1566"/>
    </row>
    <row r="1965" spans="1:15" ht="25.5">
      <c r="A1965" s="1631"/>
      <c r="B1965" s="1071" t="s">
        <v>3771</v>
      </c>
      <c r="C1965" s="1072">
        <v>77</v>
      </c>
      <c r="D1965" s="198"/>
      <c r="E1965" s="341"/>
      <c r="F1965" s="341"/>
      <c r="G1965" s="341"/>
      <c r="H1965" s="347">
        <f>C1965</f>
        <v>77</v>
      </c>
      <c r="I1965" s="1567"/>
      <c r="J1965" s="1543"/>
      <c r="K1965" s="1543"/>
      <c r="L1965" s="1543"/>
      <c r="M1965" s="1543"/>
      <c r="N1965" s="1566"/>
    </row>
    <row r="1966" spans="1:15">
      <c r="A1966" s="1151"/>
      <c r="B1966" s="406"/>
      <c r="C1966" s="292"/>
      <c r="D1966" s="198"/>
      <c r="E1966" s="341"/>
      <c r="F1966" s="341"/>
      <c r="G1966" s="341"/>
      <c r="H1966" s="347"/>
      <c r="I1966" s="1567"/>
      <c r="J1966" s="1543"/>
      <c r="K1966" s="1543"/>
      <c r="L1966" s="1543"/>
      <c r="M1966" s="1543"/>
      <c r="N1966" s="1566"/>
    </row>
    <row r="1967" spans="1:15">
      <c r="A1967" s="1577" t="s">
        <v>2218</v>
      </c>
      <c r="B1967" s="1542"/>
      <c r="C1967" s="1542"/>
      <c r="D1967" s="1542"/>
      <c r="E1967" s="1542"/>
      <c r="F1967" s="1542"/>
      <c r="G1967" s="1542"/>
      <c r="H1967" s="271">
        <f>SUM(H1942:H1966)</f>
        <v>1246</v>
      </c>
      <c r="I1967" s="1567"/>
      <c r="J1967" s="1543"/>
      <c r="K1967" s="1543"/>
      <c r="L1967" s="1543"/>
      <c r="M1967" s="1543"/>
      <c r="N1967" s="1566"/>
    </row>
    <row r="1968" spans="1:15">
      <c r="A1968" s="1519" t="s">
        <v>2219</v>
      </c>
      <c r="B1968" s="1517"/>
      <c r="C1968" s="1517"/>
      <c r="D1968" s="1551"/>
      <c r="E1968" s="1551"/>
      <c r="F1968" s="1551"/>
      <c r="G1968" s="1552"/>
      <c r="H1968" s="272">
        <f>SUM(H1942:H1962)</f>
        <v>1092</v>
      </c>
      <c r="I1968" s="1543"/>
      <c r="J1968" s="1543"/>
      <c r="K1968" s="1543"/>
      <c r="L1968" s="1543"/>
      <c r="M1968" s="1543"/>
      <c r="N1968" s="1566"/>
    </row>
    <row r="1969" spans="1:14" ht="15.75" thickBot="1">
      <c r="A1969" s="1520" t="s">
        <v>2220</v>
      </c>
      <c r="B1969" s="1521"/>
      <c r="C1969" s="1521"/>
      <c r="D1969" s="1521"/>
      <c r="E1969" s="1521"/>
      <c r="F1969" s="1521"/>
      <c r="G1969" s="1522"/>
      <c r="H1969" s="216">
        <f>H1967-H1968</f>
        <v>154</v>
      </c>
      <c r="I1969" s="1568"/>
      <c r="J1969" s="1568"/>
      <c r="K1969" s="1568"/>
      <c r="L1969" s="1568"/>
      <c r="M1969" s="1568"/>
      <c r="N1969" s="1569"/>
    </row>
    <row r="1970" spans="1:14" ht="15.75" thickBot="1">
      <c r="A1970" s="1635"/>
      <c r="B1970" s="1636"/>
      <c r="C1970" s="1636"/>
      <c r="D1970" s="1636"/>
      <c r="E1970" s="1636"/>
      <c r="F1970" s="1636"/>
      <c r="G1970" s="1636"/>
      <c r="H1970" s="1636"/>
      <c r="I1970" s="1636"/>
      <c r="J1970" s="1636"/>
      <c r="K1970" s="1636"/>
      <c r="L1970" s="1636"/>
      <c r="M1970" s="1636"/>
      <c r="N1970" s="1637"/>
    </row>
    <row r="1971" spans="1:14" ht="32.450000000000003" customHeight="1">
      <c r="A1971" s="1085" t="s">
        <v>2631</v>
      </c>
      <c r="B1971" s="1494" t="s">
        <v>745</v>
      </c>
      <c r="C1971" s="1495"/>
      <c r="D1971" s="1495"/>
      <c r="E1971" s="1495"/>
      <c r="F1971" s="1495"/>
      <c r="G1971" s="1495"/>
      <c r="H1971" s="1495"/>
      <c r="I1971" s="1495"/>
      <c r="J1971" s="1496"/>
      <c r="K1971" s="196" t="s">
        <v>92</v>
      </c>
      <c r="L1971" s="1497">
        <f>'[8]BMS  5ª medição'!G105</f>
        <v>10.31</v>
      </c>
      <c r="M1971" s="1498"/>
      <c r="N1971" s="197">
        <f>L1971-H1993</f>
        <v>-2.1492395219677718E-3</v>
      </c>
    </row>
    <row r="1972" spans="1:14">
      <c r="A1972" s="1541"/>
      <c r="B1972" s="1541"/>
      <c r="C1972" s="366"/>
      <c r="D1972" s="367" t="s">
        <v>2183</v>
      </c>
      <c r="E1972" s="1320" t="s">
        <v>2184</v>
      </c>
      <c r="F1972" s="367" t="s">
        <v>2185</v>
      </c>
      <c r="G1972" s="367" t="s">
        <v>2186</v>
      </c>
      <c r="H1972" s="1542" t="s">
        <v>476</v>
      </c>
      <c r="I1972" s="1567"/>
      <c r="J1972" s="1543"/>
      <c r="K1972" s="1543"/>
      <c r="L1972" s="1543"/>
      <c r="M1972" s="1543"/>
      <c r="N1972" s="1566"/>
    </row>
    <row r="1973" spans="1:14" ht="36">
      <c r="A1973" s="1541"/>
      <c r="B1973" s="1541"/>
      <c r="C1973" s="368" t="s">
        <v>2632</v>
      </c>
      <c r="D1973" s="529" t="s">
        <v>2633</v>
      </c>
      <c r="E1973" s="529" t="s">
        <v>2634</v>
      </c>
      <c r="F1973" s="529" t="s">
        <v>2635</v>
      </c>
      <c r="G1973" s="370" t="s">
        <v>2636</v>
      </c>
      <c r="H1973" s="1542"/>
      <c r="I1973" s="1567"/>
      <c r="J1973" s="1543"/>
      <c r="K1973" s="1543"/>
      <c r="L1973" s="1543"/>
      <c r="M1973" s="1543"/>
      <c r="N1973" s="1566"/>
    </row>
    <row r="1974" spans="1:14">
      <c r="A1974" s="1771" t="s">
        <v>2476</v>
      </c>
      <c r="B1974" s="530" t="s">
        <v>2628</v>
      </c>
      <c r="C1974" s="430"/>
      <c r="D1974" s="531"/>
      <c r="E1974" s="531"/>
      <c r="F1974" s="531"/>
      <c r="G1974" s="431"/>
      <c r="H1974" s="527"/>
      <c r="I1974" s="1567"/>
      <c r="J1974" s="1543"/>
      <c r="K1974" s="1543"/>
      <c r="L1974" s="1543"/>
      <c r="M1974" s="1543"/>
      <c r="N1974" s="1566"/>
    </row>
    <row r="1975" spans="1:14">
      <c r="A1975" s="1771"/>
      <c r="B1975" s="391" t="s">
        <v>2629</v>
      </c>
      <c r="C1975" s="292">
        <v>128</v>
      </c>
      <c r="D1975" s="292">
        <v>12.5</v>
      </c>
      <c r="E1975" s="901">
        <v>0.1</v>
      </c>
      <c r="F1975" s="292">
        <v>1.67</v>
      </c>
      <c r="G1975" s="292">
        <v>3</v>
      </c>
      <c r="H1975" s="347">
        <f>2*PI()*(D1975/1000/2)*E1975*F1975*G1975*C1975</f>
        <v>2.5183006711175784</v>
      </c>
      <c r="I1975" s="1567"/>
      <c r="J1975" s="1543"/>
      <c r="K1975" s="1543"/>
      <c r="L1975" s="1543"/>
      <c r="M1975" s="1543"/>
      <c r="N1975" s="1566"/>
    </row>
    <row r="1976" spans="1:14">
      <c r="A1976" s="1771"/>
      <c r="B1976" s="391" t="s">
        <v>2630</v>
      </c>
      <c r="C1976" s="292">
        <v>28</v>
      </c>
      <c r="D1976" s="292">
        <v>10</v>
      </c>
      <c r="E1976" s="901">
        <v>0.1</v>
      </c>
      <c r="F1976" s="292">
        <v>1.67</v>
      </c>
      <c r="G1976" s="292">
        <v>3</v>
      </c>
      <c r="H1976" s="347">
        <f>2*PI()*(D1976/1000/2)*E1976*F1976*G1976*C1976</f>
        <v>0.44070261744557615</v>
      </c>
      <c r="I1976" s="1567"/>
      <c r="J1976" s="1543"/>
      <c r="K1976" s="1543"/>
      <c r="L1976" s="1543"/>
      <c r="M1976" s="1543"/>
      <c r="N1976" s="1566"/>
    </row>
    <row r="1977" spans="1:14">
      <c r="A1977" s="1771"/>
      <c r="B1977" s="391" t="s">
        <v>2630</v>
      </c>
      <c r="C1977" s="292">
        <v>8</v>
      </c>
      <c r="D1977" s="292">
        <v>5</v>
      </c>
      <c r="E1977" s="901">
        <v>0.1</v>
      </c>
      <c r="F1977" s="292">
        <v>1.67</v>
      </c>
      <c r="G1977" s="292">
        <v>3</v>
      </c>
      <c r="H1977" s="347">
        <f>2*PI()*(D1977/1000/2)*E1977*F1977*G1977*C1977</f>
        <v>6.2957516777939454E-2</v>
      </c>
      <c r="I1977" s="1567"/>
      <c r="J1977" s="1543"/>
      <c r="K1977" s="1543"/>
      <c r="L1977" s="1543"/>
      <c r="M1977" s="1543"/>
      <c r="N1977" s="1566"/>
    </row>
    <row r="1978" spans="1:14">
      <c r="A1978" s="1771"/>
      <c r="B1978" s="391" t="s">
        <v>2630</v>
      </c>
      <c r="C1978" s="292">
        <v>8</v>
      </c>
      <c r="D1978" s="292">
        <v>6.3</v>
      </c>
      <c r="E1978" s="901">
        <v>0.1</v>
      </c>
      <c r="F1978" s="292">
        <v>1.67</v>
      </c>
      <c r="G1978" s="292">
        <v>3</v>
      </c>
      <c r="H1978" s="347">
        <f>2*PI()*(D1978/1000/2)*E1978*F1978*G1978*C1978</f>
        <v>7.9326471140203705E-2</v>
      </c>
      <c r="I1978" s="1567"/>
      <c r="J1978" s="1543"/>
      <c r="K1978" s="1543"/>
      <c r="L1978" s="1543"/>
      <c r="M1978" s="1543"/>
      <c r="N1978" s="1566"/>
    </row>
    <row r="1979" spans="1:14">
      <c r="A1979" s="1771"/>
      <c r="B1979" s="391"/>
      <c r="C1979" s="292"/>
      <c r="D1979" s="292"/>
      <c r="E1979" s="901"/>
      <c r="F1979" s="292"/>
      <c r="G1979" s="292"/>
      <c r="H1979" s="347"/>
      <c r="I1979" s="1567"/>
      <c r="J1979" s="1543"/>
      <c r="K1979" s="1543"/>
      <c r="L1979" s="1543"/>
      <c r="M1979" s="1543"/>
      <c r="N1979" s="1566"/>
    </row>
    <row r="1980" spans="1:14">
      <c r="A1980" s="1544" t="s">
        <v>2662</v>
      </c>
      <c r="B1980" s="391" t="s">
        <v>2698</v>
      </c>
      <c r="C1980" s="292">
        <v>44</v>
      </c>
      <c r="D1980" s="292">
        <v>10</v>
      </c>
      <c r="E1980" s="901">
        <v>0.1</v>
      </c>
      <c r="F1980" s="292">
        <v>1.67</v>
      </c>
      <c r="G1980" s="292">
        <v>3</v>
      </c>
      <c r="H1980" s="347">
        <f>2*PI()*(D1980/1000/2)*E1980*F1980*G1980*C1980</f>
        <v>0.69253268455733397</v>
      </c>
      <c r="I1980" s="1567"/>
      <c r="J1980" s="1543"/>
      <c r="K1980" s="1543"/>
      <c r="L1980" s="1543"/>
      <c r="M1980" s="1543"/>
      <c r="N1980" s="1566"/>
    </row>
    <row r="1981" spans="1:14" ht="24">
      <c r="A1981" s="1544"/>
      <c r="B1981" s="391" t="s">
        <v>2700</v>
      </c>
      <c r="C1981" s="292">
        <v>112</v>
      </c>
      <c r="D1981" s="292">
        <v>12.5</v>
      </c>
      <c r="E1981" s="901">
        <v>0.1</v>
      </c>
      <c r="F1981" s="292">
        <v>1.67</v>
      </c>
      <c r="G1981" s="292">
        <v>3</v>
      </c>
      <c r="H1981" s="347">
        <f>2*PI()*(D1981/1000/2)*E1981*F1981*G1981*C1981</f>
        <v>2.203513087227881</v>
      </c>
      <c r="I1981" s="1567"/>
      <c r="J1981" s="1543"/>
      <c r="K1981" s="1543"/>
      <c r="L1981" s="1543"/>
      <c r="M1981" s="1543"/>
      <c r="N1981" s="1566"/>
    </row>
    <row r="1982" spans="1:14">
      <c r="A1982" s="1544"/>
      <c r="B1982" s="391" t="s">
        <v>2703</v>
      </c>
      <c r="C1982" s="292">
        <v>42</v>
      </c>
      <c r="D1982" s="292">
        <v>12.5</v>
      </c>
      <c r="E1982" s="901">
        <v>0.15</v>
      </c>
      <c r="F1982" s="292">
        <v>1.67</v>
      </c>
      <c r="G1982" s="292">
        <v>3</v>
      </c>
      <c r="H1982" s="347">
        <f>2*PI()*(D1982/1000/2)*E1982*F1982*G1982*C1982</f>
        <v>1.2394761115656829</v>
      </c>
      <c r="I1982" s="1567"/>
      <c r="J1982" s="1543"/>
      <c r="K1982" s="1543"/>
      <c r="L1982" s="1543"/>
      <c r="M1982" s="1543"/>
      <c r="N1982" s="1566"/>
    </row>
    <row r="1983" spans="1:14">
      <c r="A1983" s="1544"/>
      <c r="B1983" s="391" t="s">
        <v>2702</v>
      </c>
      <c r="C1983" s="292">
        <v>18</v>
      </c>
      <c r="D1983" s="292">
        <v>12.5</v>
      </c>
      <c r="E1983" s="901">
        <v>0.15</v>
      </c>
      <c r="F1983" s="292">
        <v>1.67</v>
      </c>
      <c r="G1983" s="292">
        <v>3</v>
      </c>
      <c r="H1983" s="347">
        <f>2*PI()*(D1983/1000/2)*E1983*F1983*G1983*C1983</f>
        <v>0.5312040478138641</v>
      </c>
      <c r="I1983" s="1567"/>
      <c r="J1983" s="1543"/>
      <c r="K1983" s="1543"/>
      <c r="L1983" s="1543"/>
      <c r="M1983" s="1543"/>
      <c r="N1983" s="1566"/>
    </row>
    <row r="1984" spans="1:14">
      <c r="A1984" s="1544"/>
      <c r="B1984" s="391" t="s">
        <v>2702</v>
      </c>
      <c r="C1984" s="292">
        <v>12</v>
      </c>
      <c r="D1984" s="292">
        <v>12.5</v>
      </c>
      <c r="E1984" s="901">
        <v>0.15</v>
      </c>
      <c r="F1984" s="292">
        <v>1.67</v>
      </c>
      <c r="G1984" s="292">
        <v>3</v>
      </c>
      <c r="H1984" s="347">
        <f>2*PI()*(D1984/1000/2)*E1984*F1984*G1984*C1984</f>
        <v>0.35413603187590942</v>
      </c>
      <c r="I1984" s="1567"/>
      <c r="J1984" s="1543"/>
      <c r="K1984" s="1543"/>
      <c r="L1984" s="1543"/>
      <c r="M1984" s="1543"/>
      <c r="N1984" s="1566"/>
    </row>
    <row r="1985" spans="1:14">
      <c r="A1985" s="1771" t="s">
        <v>2749</v>
      </c>
      <c r="B1985" s="406"/>
      <c r="C1985" s="292"/>
      <c r="D1985" s="292"/>
      <c r="E1985" s="901"/>
      <c r="F1985" s="292"/>
      <c r="G1985" s="292"/>
      <c r="H1985" s="347"/>
      <c r="I1985" s="1567"/>
      <c r="J1985" s="1543"/>
      <c r="K1985" s="1543"/>
      <c r="L1985" s="1543"/>
      <c r="M1985" s="1543"/>
      <c r="N1985" s="1566"/>
    </row>
    <row r="1986" spans="1:14">
      <c r="A1986" s="1771"/>
      <c r="B1986" s="406" t="s">
        <v>2747</v>
      </c>
      <c r="C1986" s="292">
        <v>72</v>
      </c>
      <c r="D1986" s="292">
        <v>12.5</v>
      </c>
      <c r="E1986" s="901">
        <v>0.15</v>
      </c>
      <c r="F1986" s="292">
        <v>1.67</v>
      </c>
      <c r="G1986" s="292">
        <v>3</v>
      </c>
      <c r="H1986" s="347">
        <v>2.12</v>
      </c>
      <c r="I1986" s="1567"/>
      <c r="J1986" s="1543"/>
      <c r="K1986" s="1543"/>
      <c r="L1986" s="1543"/>
      <c r="M1986" s="1543"/>
      <c r="N1986" s="1566"/>
    </row>
    <row r="1987" spans="1:14">
      <c r="A1987" s="1771"/>
      <c r="B1987" s="406"/>
      <c r="C1987" s="292"/>
      <c r="D1987" s="198"/>
      <c r="E1987" s="341"/>
      <c r="F1987" s="204"/>
      <c r="G1987" s="341"/>
      <c r="H1987" s="347"/>
      <c r="I1987" s="1567"/>
      <c r="J1987" s="1543"/>
      <c r="K1987" s="1543"/>
      <c r="L1987" s="1543"/>
      <c r="M1987" s="1543"/>
      <c r="N1987" s="1566"/>
    </row>
    <row r="1988" spans="1:14">
      <c r="A1988" s="1771"/>
      <c r="B1988" s="406"/>
      <c r="C1988" s="292"/>
      <c r="D1988" s="198"/>
      <c r="E1988" s="341"/>
      <c r="F1988" s="204"/>
      <c r="G1988" s="341"/>
      <c r="H1988" s="347"/>
      <c r="I1988" s="1567"/>
      <c r="J1988" s="1543"/>
      <c r="K1988" s="1543"/>
      <c r="L1988" s="1543"/>
      <c r="M1988" s="1543"/>
      <c r="N1988" s="1566"/>
    </row>
    <row r="1989" spans="1:14">
      <c r="A1989" s="1771"/>
      <c r="B1989" s="392"/>
      <c r="C1989" s="294"/>
      <c r="D1989" s="203"/>
      <c r="E1989" s="348"/>
      <c r="F1989" s="215"/>
      <c r="G1989" s="348"/>
      <c r="H1989" s="286"/>
      <c r="I1989" s="1567"/>
      <c r="J1989" s="1543"/>
      <c r="K1989" s="1543"/>
      <c r="L1989" s="1543"/>
      <c r="M1989" s="1543"/>
      <c r="N1989" s="1566"/>
    </row>
    <row r="1990" spans="1:14">
      <c r="A1990" s="1514" t="s">
        <v>3158</v>
      </c>
      <c r="B1990" s="410"/>
      <c r="C1990" s="287"/>
      <c r="D1990" s="202"/>
      <c r="E1990" s="346"/>
      <c r="F1990" s="346"/>
      <c r="G1990" s="346"/>
      <c r="H1990" s="403"/>
      <c r="I1990" s="1567"/>
      <c r="J1990" s="1543"/>
      <c r="K1990" s="1543"/>
      <c r="L1990" s="1543"/>
      <c r="M1990" s="1543"/>
      <c r="N1990" s="1566"/>
    </row>
    <row r="1991" spans="1:14">
      <c r="A1991" s="1523"/>
      <c r="B1991" s="406" t="s">
        <v>3167</v>
      </c>
      <c r="C1991" s="292"/>
      <c r="D1991" s="198"/>
      <c r="E1991" s="341"/>
      <c r="F1991" s="341"/>
      <c r="G1991" s="341"/>
      <c r="H1991" s="347">
        <v>7.0000000000000007E-2</v>
      </c>
      <c r="I1991" s="1567"/>
      <c r="J1991" s="1543"/>
      <c r="K1991" s="1543"/>
      <c r="L1991" s="1543"/>
      <c r="M1991" s="1543"/>
      <c r="N1991" s="1566"/>
    </row>
    <row r="1992" spans="1:14">
      <c r="A1992" s="1515"/>
      <c r="B1992" s="413"/>
      <c r="C1992" s="294"/>
      <c r="D1992" s="203"/>
      <c r="E1992" s="348"/>
      <c r="F1992" s="348"/>
      <c r="G1992" s="348"/>
      <c r="H1992" s="349"/>
      <c r="I1992" s="1567"/>
      <c r="J1992" s="1543"/>
      <c r="K1992" s="1543"/>
      <c r="L1992" s="1543"/>
      <c r="M1992" s="1543"/>
      <c r="N1992" s="1566"/>
    </row>
    <row r="1993" spans="1:14">
      <c r="A1993" s="1608" t="s">
        <v>2218</v>
      </c>
      <c r="B1993" s="1609"/>
      <c r="C1993" s="1609"/>
      <c r="D1993" s="1609"/>
      <c r="E1993" s="1609"/>
      <c r="F1993" s="1609"/>
      <c r="G1993" s="1610"/>
      <c r="H1993" s="271">
        <f>SUM(H1975:H1992)</f>
        <v>10.312149239521968</v>
      </c>
      <c r="I1993" s="1567"/>
      <c r="J1993" s="1543"/>
      <c r="K1993" s="1543"/>
      <c r="L1993" s="1543"/>
      <c r="M1993" s="1543"/>
      <c r="N1993" s="1566"/>
    </row>
    <row r="1994" spans="1:14">
      <c r="A1994" s="1519" t="s">
        <v>2219</v>
      </c>
      <c r="B1994" s="1517"/>
      <c r="C1994" s="1517"/>
      <c r="D1994" s="1517"/>
      <c r="E1994" s="1517"/>
      <c r="F1994" s="1517"/>
      <c r="G1994" s="1518"/>
      <c r="H1994" s="272">
        <f>SUM(H1974:H1989)</f>
        <v>10.242149239521968</v>
      </c>
      <c r="I1994" s="1543"/>
      <c r="J1994" s="1543"/>
      <c r="K1994" s="1543"/>
      <c r="L1994" s="1543"/>
      <c r="M1994" s="1543"/>
      <c r="N1994" s="1566"/>
    </row>
    <row r="1995" spans="1:14" ht="15.75" thickBot="1">
      <c r="A1995" s="1520" t="s">
        <v>2220</v>
      </c>
      <c r="B1995" s="1521"/>
      <c r="C1995" s="1521"/>
      <c r="D1995" s="1521"/>
      <c r="E1995" s="1521"/>
      <c r="F1995" s="1521"/>
      <c r="G1995" s="1522"/>
      <c r="H1995" s="216">
        <f>H1993-H1994</f>
        <v>7.0000000000000284E-2</v>
      </c>
      <c r="I1995" s="1568"/>
      <c r="J1995" s="1568"/>
      <c r="K1995" s="1568"/>
      <c r="L1995" s="1568"/>
      <c r="M1995" s="1568"/>
      <c r="N1995" s="1569"/>
    </row>
    <row r="1996" spans="1:14" ht="15.75" thickBot="1">
      <c r="A1996" s="1104"/>
      <c r="B1996" s="428"/>
      <c r="C1996" s="278"/>
      <c r="D1996" s="281"/>
      <c r="E1996" s="631"/>
      <c r="F1996" s="281"/>
      <c r="G1996" s="281"/>
      <c r="H1996" s="217"/>
      <c r="I1996" s="279"/>
      <c r="J1996" s="321"/>
      <c r="K1996" s="322"/>
      <c r="L1996" s="322"/>
      <c r="M1996" s="321"/>
      <c r="N1996" s="323"/>
    </row>
    <row r="1997" spans="1:14" ht="14.45" customHeight="1">
      <c r="A1997" s="1085" t="s">
        <v>2637</v>
      </c>
      <c r="B1997" s="1494" t="s">
        <v>750</v>
      </c>
      <c r="C1997" s="1495"/>
      <c r="D1997" s="1495"/>
      <c r="E1997" s="1495"/>
      <c r="F1997" s="1495"/>
      <c r="G1997" s="1495"/>
      <c r="H1997" s="1495"/>
      <c r="I1997" s="1495"/>
      <c r="J1997" s="1496"/>
      <c r="K1997" s="196" t="s">
        <v>28</v>
      </c>
      <c r="L1997" s="1497">
        <v>1</v>
      </c>
      <c r="M1997" s="1498"/>
      <c r="N1997" s="197">
        <f>L1997-H2004</f>
        <v>0</v>
      </c>
    </row>
    <row r="1998" spans="1:14">
      <c r="A1998" s="1554"/>
      <c r="B1998" s="1541"/>
      <c r="C1998" s="366"/>
      <c r="D1998" s="367" t="s">
        <v>2183</v>
      </c>
      <c r="E1998" s="1320" t="s">
        <v>2184</v>
      </c>
      <c r="F1998" s="367" t="s">
        <v>2185</v>
      </c>
      <c r="G1998" s="367" t="s">
        <v>2186</v>
      </c>
      <c r="H1998" s="1542" t="s">
        <v>476</v>
      </c>
      <c r="I1998" s="1543"/>
      <c r="J1998" s="1543"/>
      <c r="K1998" s="1543"/>
      <c r="L1998" s="1543"/>
      <c r="M1998" s="1543"/>
      <c r="N1998" s="1566"/>
    </row>
    <row r="1999" spans="1:14">
      <c r="A1999" s="1554"/>
      <c r="B1999" s="1541"/>
      <c r="C1999" s="368" t="s">
        <v>2627</v>
      </c>
      <c r="D1999" s="369" t="s">
        <v>2187</v>
      </c>
      <c r="E1999" s="529" t="s">
        <v>2596</v>
      </c>
      <c r="F1999" s="369" t="s">
        <v>2189</v>
      </c>
      <c r="G1999" s="370" t="s">
        <v>2190</v>
      </c>
      <c r="H1999" s="1542"/>
      <c r="I1999" s="1543"/>
      <c r="J1999" s="1543"/>
      <c r="K1999" s="1543"/>
      <c r="L1999" s="1543"/>
      <c r="M1999" s="1543"/>
      <c r="N1999" s="1566"/>
    </row>
    <row r="2000" spans="1:14">
      <c r="A2000" s="1710" t="s">
        <v>2476</v>
      </c>
      <c r="B2000" s="532" t="s">
        <v>2638</v>
      </c>
      <c r="C2000" s="533"/>
      <c r="D2000" s="534"/>
      <c r="E2000" s="1335"/>
      <c r="F2000" s="534"/>
      <c r="G2000" s="535"/>
      <c r="H2000" s="536"/>
      <c r="I2000" s="1567"/>
      <c r="J2000" s="1543"/>
      <c r="K2000" s="1543"/>
      <c r="L2000" s="1543"/>
      <c r="M2000" s="1543"/>
      <c r="N2000" s="1566"/>
    </row>
    <row r="2001" spans="1:14">
      <c r="A2001" s="1536"/>
      <c r="B2001" s="360" t="s">
        <v>2639</v>
      </c>
      <c r="C2001" s="354">
        <v>1</v>
      </c>
      <c r="D2001" s="205"/>
      <c r="E2001" s="537"/>
      <c r="F2001" s="537"/>
      <c r="G2001" s="537">
        <v>1</v>
      </c>
      <c r="H2001" s="538">
        <f>C2001*G2001</f>
        <v>1</v>
      </c>
      <c r="I2001" s="1567"/>
      <c r="J2001" s="1543"/>
      <c r="K2001" s="1543"/>
      <c r="L2001" s="1543"/>
      <c r="M2001" s="1543"/>
      <c r="N2001" s="1566"/>
    </row>
    <row r="2002" spans="1:14">
      <c r="A2002" s="1536"/>
      <c r="B2002" s="303"/>
      <c r="C2002" s="301"/>
      <c r="D2002" s="206"/>
      <c r="E2002" s="539"/>
      <c r="F2002" s="539"/>
      <c r="G2002" s="539"/>
      <c r="H2002" s="540"/>
      <c r="I2002" s="1567"/>
      <c r="J2002" s="1543"/>
      <c r="K2002" s="1543"/>
      <c r="L2002" s="1543"/>
      <c r="M2002" s="1543"/>
      <c r="N2002" s="1566"/>
    </row>
    <row r="2003" spans="1:14">
      <c r="A2003" s="1537"/>
      <c r="B2003" s="541"/>
      <c r="C2003" s="542"/>
      <c r="D2003" s="207"/>
      <c r="E2003" s="543"/>
      <c r="F2003" s="543"/>
      <c r="G2003" s="543"/>
      <c r="H2003" s="544"/>
      <c r="I2003" s="1567"/>
      <c r="J2003" s="1543"/>
      <c r="K2003" s="1543"/>
      <c r="L2003" s="1543"/>
      <c r="M2003" s="1543"/>
      <c r="N2003" s="1566"/>
    </row>
    <row r="2004" spans="1:14">
      <c r="A2004" s="1577" t="s">
        <v>2218</v>
      </c>
      <c r="B2004" s="1542"/>
      <c r="C2004" s="1542"/>
      <c r="D2004" s="1542"/>
      <c r="E2004" s="1542"/>
      <c r="F2004" s="1542"/>
      <c r="G2004" s="1542"/>
      <c r="H2004" s="271">
        <f>SUM(H2001:H2003)</f>
        <v>1</v>
      </c>
      <c r="I2004" s="1567"/>
      <c r="J2004" s="1543"/>
      <c r="K2004" s="1543"/>
      <c r="L2004" s="1543"/>
      <c r="M2004" s="1543"/>
      <c r="N2004" s="1566"/>
    </row>
    <row r="2005" spans="1:14" ht="14.45" customHeight="1">
      <c r="A2005" s="1519" t="s">
        <v>2219</v>
      </c>
      <c r="B2005" s="1517"/>
      <c r="C2005" s="1517"/>
      <c r="D2005" s="1551"/>
      <c r="E2005" s="1551"/>
      <c r="F2005" s="1551"/>
      <c r="G2005" s="1552"/>
      <c r="H2005" s="272"/>
      <c r="I2005" s="1543"/>
      <c r="J2005" s="1543"/>
      <c r="K2005" s="1543"/>
      <c r="L2005" s="1543"/>
      <c r="M2005" s="1543"/>
      <c r="N2005" s="1566"/>
    </row>
    <row r="2006" spans="1:14" ht="15.75" thickBot="1">
      <c r="A2006" s="1520" t="s">
        <v>2220</v>
      </c>
      <c r="B2006" s="1521"/>
      <c r="C2006" s="1521"/>
      <c r="D2006" s="1521"/>
      <c r="E2006" s="1521"/>
      <c r="F2006" s="1521"/>
      <c r="G2006" s="1522"/>
      <c r="H2006" s="216">
        <f>H2004-H2005</f>
        <v>1</v>
      </c>
      <c r="I2006" s="1568"/>
      <c r="J2006" s="1568"/>
      <c r="K2006" s="1568"/>
      <c r="L2006" s="1568"/>
      <c r="M2006" s="1568"/>
      <c r="N2006" s="1569"/>
    </row>
    <row r="2007" spans="1:14" ht="14.45" customHeight="1">
      <c r="A2007" s="1085" t="s">
        <v>2640</v>
      </c>
      <c r="B2007" s="1494" t="s">
        <v>753</v>
      </c>
      <c r="C2007" s="1495"/>
      <c r="D2007" s="1495"/>
      <c r="E2007" s="1495"/>
      <c r="F2007" s="1495"/>
      <c r="G2007" s="1495"/>
      <c r="H2007" s="1495"/>
      <c r="I2007" s="1495"/>
      <c r="J2007" s="1496"/>
      <c r="K2007" s="196" t="s">
        <v>44</v>
      </c>
      <c r="L2007" s="1497">
        <v>144</v>
      </c>
      <c r="M2007" s="1498"/>
      <c r="N2007" s="197">
        <f>L2007-H2014</f>
        <v>0</v>
      </c>
    </row>
    <row r="2008" spans="1:14">
      <c r="A2008" s="1554"/>
      <c r="B2008" s="1541"/>
      <c r="C2008" s="366"/>
      <c r="D2008" s="367" t="s">
        <v>2183</v>
      </c>
      <c r="E2008" s="1320" t="s">
        <v>2184</v>
      </c>
      <c r="F2008" s="367" t="s">
        <v>2185</v>
      </c>
      <c r="G2008" s="367" t="s">
        <v>2186</v>
      </c>
      <c r="H2008" s="1542" t="s">
        <v>476</v>
      </c>
      <c r="I2008" s="1543"/>
      <c r="J2008" s="1543"/>
      <c r="K2008" s="1543"/>
      <c r="L2008" s="1543"/>
      <c r="M2008" s="1543"/>
      <c r="N2008" s="1566"/>
    </row>
    <row r="2009" spans="1:14">
      <c r="A2009" s="1554"/>
      <c r="B2009" s="1541"/>
      <c r="C2009" s="368" t="s">
        <v>2627</v>
      </c>
      <c r="D2009" s="369" t="s">
        <v>2187</v>
      </c>
      <c r="E2009" s="529" t="s">
        <v>2596</v>
      </c>
      <c r="F2009" s="369" t="s">
        <v>2189</v>
      </c>
      <c r="G2009" s="370" t="s">
        <v>2190</v>
      </c>
      <c r="H2009" s="1542"/>
      <c r="I2009" s="1543"/>
      <c r="J2009" s="1543"/>
      <c r="K2009" s="1543"/>
      <c r="L2009" s="1543"/>
      <c r="M2009" s="1543"/>
      <c r="N2009" s="1566"/>
    </row>
    <row r="2010" spans="1:14">
      <c r="A2010" s="1710" t="s">
        <v>2476</v>
      </c>
      <c r="B2010" s="426" t="s">
        <v>2641</v>
      </c>
      <c r="C2010" s="430"/>
      <c r="D2010" s="287"/>
      <c r="E2010" s="531"/>
      <c r="F2010" s="287"/>
      <c r="G2010" s="431"/>
      <c r="H2010" s="432"/>
      <c r="I2010" s="1567"/>
      <c r="J2010" s="1543"/>
      <c r="K2010" s="1543"/>
      <c r="L2010" s="1543"/>
      <c r="M2010" s="1543"/>
      <c r="N2010" s="1566"/>
    </row>
    <row r="2011" spans="1:14">
      <c r="A2011" s="1536"/>
      <c r="B2011" s="360" t="s">
        <v>2642</v>
      </c>
      <c r="C2011" s="354"/>
      <c r="D2011" s="537">
        <v>12</v>
      </c>
      <c r="E2011" s="537"/>
      <c r="F2011" s="537"/>
      <c r="G2011" s="537">
        <v>12</v>
      </c>
      <c r="H2011" s="538">
        <f>D2011*G2011</f>
        <v>144</v>
      </c>
      <c r="I2011" s="1567"/>
      <c r="J2011" s="1543"/>
      <c r="K2011" s="1543"/>
      <c r="L2011" s="1543"/>
      <c r="M2011" s="1543"/>
      <c r="N2011" s="1566"/>
    </row>
    <row r="2012" spans="1:14">
      <c r="A2012" s="1536"/>
      <c r="B2012" s="303"/>
      <c r="C2012" s="301"/>
      <c r="D2012" s="206"/>
      <c r="E2012" s="539"/>
      <c r="F2012" s="539"/>
      <c r="G2012" s="539"/>
      <c r="H2012" s="540"/>
      <c r="I2012" s="1567"/>
      <c r="J2012" s="1543"/>
      <c r="K2012" s="1543"/>
      <c r="L2012" s="1543"/>
      <c r="M2012" s="1543"/>
      <c r="N2012" s="1566"/>
    </row>
    <row r="2013" spans="1:14">
      <c r="A2013" s="1537"/>
      <c r="B2013" s="541"/>
      <c r="C2013" s="542"/>
      <c r="D2013" s="207"/>
      <c r="E2013" s="543"/>
      <c r="F2013" s="543"/>
      <c r="G2013" s="543"/>
      <c r="H2013" s="544"/>
      <c r="I2013" s="1567"/>
      <c r="J2013" s="1543"/>
      <c r="K2013" s="1543"/>
      <c r="L2013" s="1543"/>
      <c r="M2013" s="1543"/>
      <c r="N2013" s="1566"/>
    </row>
    <row r="2014" spans="1:14">
      <c r="A2014" s="1577" t="s">
        <v>2218</v>
      </c>
      <c r="B2014" s="1542"/>
      <c r="C2014" s="1542"/>
      <c r="D2014" s="1542"/>
      <c r="E2014" s="1542"/>
      <c r="F2014" s="1542"/>
      <c r="G2014" s="1542"/>
      <c r="H2014" s="271">
        <f>SUM(H2011:H2013)</f>
        <v>144</v>
      </c>
      <c r="I2014" s="1567"/>
      <c r="J2014" s="1543"/>
      <c r="K2014" s="1543"/>
      <c r="L2014" s="1543"/>
      <c r="M2014" s="1543"/>
      <c r="N2014" s="1566"/>
    </row>
    <row r="2015" spans="1:14">
      <c r="A2015" s="1519" t="s">
        <v>2219</v>
      </c>
      <c r="B2015" s="1517"/>
      <c r="C2015" s="1517"/>
      <c r="D2015" s="1551"/>
      <c r="E2015" s="1551"/>
      <c r="F2015" s="1551"/>
      <c r="G2015" s="1552"/>
      <c r="H2015" s="272"/>
      <c r="I2015" s="1543"/>
      <c r="J2015" s="1543"/>
      <c r="K2015" s="1543"/>
      <c r="L2015" s="1543"/>
      <c r="M2015" s="1543"/>
      <c r="N2015" s="1566"/>
    </row>
    <row r="2016" spans="1:14" ht="15.75" thickBot="1">
      <c r="A2016" s="1520" t="s">
        <v>2220</v>
      </c>
      <c r="B2016" s="1521"/>
      <c r="C2016" s="1521"/>
      <c r="D2016" s="1521"/>
      <c r="E2016" s="1521"/>
      <c r="F2016" s="1521"/>
      <c r="G2016" s="1522"/>
      <c r="H2016" s="216">
        <f>H2014-H2015</f>
        <v>144</v>
      </c>
      <c r="I2016" s="1568"/>
      <c r="J2016" s="1568"/>
      <c r="K2016" s="1568"/>
      <c r="L2016" s="1568"/>
      <c r="M2016" s="1568"/>
      <c r="N2016" s="1569"/>
    </row>
    <row r="2017" spans="1:14" ht="14.45" customHeight="1">
      <c r="A2017" s="1085" t="s">
        <v>2643</v>
      </c>
      <c r="B2017" s="1494" t="s">
        <v>756</v>
      </c>
      <c r="C2017" s="1495"/>
      <c r="D2017" s="1495"/>
      <c r="E2017" s="1495"/>
      <c r="F2017" s="1495"/>
      <c r="G2017" s="1495"/>
      <c r="H2017" s="1495"/>
      <c r="I2017" s="1495"/>
      <c r="J2017" s="1496"/>
      <c r="K2017" s="196" t="s">
        <v>44</v>
      </c>
      <c r="L2017" s="1497">
        <v>132</v>
      </c>
      <c r="M2017" s="1498"/>
      <c r="N2017" s="197">
        <f>L2017-H2023</f>
        <v>0</v>
      </c>
    </row>
    <row r="2018" spans="1:14">
      <c r="A2018" s="1554"/>
      <c r="B2018" s="1541"/>
      <c r="C2018" s="366"/>
      <c r="D2018" s="367" t="s">
        <v>2183</v>
      </c>
      <c r="E2018" s="1320" t="s">
        <v>2184</v>
      </c>
      <c r="F2018" s="367" t="s">
        <v>2185</v>
      </c>
      <c r="G2018" s="367" t="s">
        <v>2186</v>
      </c>
      <c r="H2018" s="1542" t="s">
        <v>476</v>
      </c>
      <c r="I2018" s="1543"/>
      <c r="J2018" s="1543"/>
      <c r="K2018" s="1543"/>
      <c r="L2018" s="1543"/>
      <c r="M2018" s="1543"/>
      <c r="N2018" s="1566"/>
    </row>
    <row r="2019" spans="1:14">
      <c r="A2019" s="1554"/>
      <c r="B2019" s="1541"/>
      <c r="C2019" s="368" t="s">
        <v>2627</v>
      </c>
      <c r="D2019" s="369" t="s">
        <v>2187</v>
      </c>
      <c r="E2019" s="529" t="s">
        <v>2596</v>
      </c>
      <c r="F2019" s="369" t="s">
        <v>2189</v>
      </c>
      <c r="G2019" s="370" t="s">
        <v>2190</v>
      </c>
      <c r="H2019" s="1542"/>
      <c r="I2019" s="1543"/>
      <c r="J2019" s="1543"/>
      <c r="K2019" s="1543"/>
      <c r="L2019" s="1543"/>
      <c r="M2019" s="1543"/>
      <c r="N2019" s="1566"/>
    </row>
    <row r="2020" spans="1:14" ht="14.45" customHeight="1">
      <c r="A2020" s="1536" t="s">
        <v>2476</v>
      </c>
      <c r="B2020" s="414" t="s">
        <v>2641</v>
      </c>
      <c r="C2020" s="415"/>
      <c r="D2020" s="208"/>
      <c r="E2020" s="545"/>
      <c r="F2020" s="545"/>
      <c r="G2020" s="545"/>
      <c r="H2020" s="546"/>
      <c r="I2020" s="1567"/>
      <c r="J2020" s="1543"/>
      <c r="K2020" s="1543"/>
      <c r="L2020" s="1543"/>
      <c r="M2020" s="1543"/>
      <c r="N2020" s="1566"/>
    </row>
    <row r="2021" spans="1:14">
      <c r="A2021" s="1536"/>
      <c r="B2021" s="303" t="s">
        <v>2644</v>
      </c>
      <c r="C2021" s="301"/>
      <c r="D2021" s="539">
        <v>11</v>
      </c>
      <c r="E2021" s="539"/>
      <c r="F2021" s="539"/>
      <c r="G2021" s="539">
        <v>12</v>
      </c>
      <c r="H2021" s="540">
        <f>D2021*G2021</f>
        <v>132</v>
      </c>
      <c r="I2021" s="1567"/>
      <c r="J2021" s="1543"/>
      <c r="K2021" s="1543"/>
      <c r="L2021" s="1543"/>
      <c r="M2021" s="1543"/>
      <c r="N2021" s="1566"/>
    </row>
    <row r="2022" spans="1:14">
      <c r="A2022" s="1536"/>
      <c r="B2022" s="541"/>
      <c r="C2022" s="542"/>
      <c r="D2022" s="207"/>
      <c r="E2022" s="543"/>
      <c r="F2022" s="543"/>
      <c r="G2022" s="543"/>
      <c r="H2022" s="544"/>
      <c r="I2022" s="1567"/>
      <c r="J2022" s="1543"/>
      <c r="K2022" s="1543"/>
      <c r="L2022" s="1543"/>
      <c r="M2022" s="1543"/>
      <c r="N2022" s="1566"/>
    </row>
    <row r="2023" spans="1:14">
      <c r="A2023" s="1577" t="s">
        <v>2218</v>
      </c>
      <c r="B2023" s="1542"/>
      <c r="C2023" s="1542"/>
      <c r="D2023" s="1542"/>
      <c r="E2023" s="1542"/>
      <c r="F2023" s="1542"/>
      <c r="G2023" s="1542"/>
      <c r="H2023" s="271">
        <f>SUM(H2020:H2022)</f>
        <v>132</v>
      </c>
      <c r="I2023" s="1567"/>
      <c r="J2023" s="1543"/>
      <c r="K2023" s="1543"/>
      <c r="L2023" s="1543"/>
      <c r="M2023" s="1543"/>
      <c r="N2023" s="1566"/>
    </row>
    <row r="2024" spans="1:14">
      <c r="A2024" s="1519" t="s">
        <v>2219</v>
      </c>
      <c r="B2024" s="1517"/>
      <c r="C2024" s="1517"/>
      <c r="D2024" s="1551"/>
      <c r="E2024" s="1551"/>
      <c r="F2024" s="1551"/>
      <c r="G2024" s="1552"/>
      <c r="H2024" s="272"/>
      <c r="I2024" s="1543"/>
      <c r="J2024" s="1543"/>
      <c r="K2024" s="1543"/>
      <c r="L2024" s="1543"/>
      <c r="M2024" s="1543"/>
      <c r="N2024" s="1566"/>
    </row>
    <row r="2025" spans="1:14" ht="15.75" thickBot="1">
      <c r="A2025" s="1520" t="s">
        <v>2220</v>
      </c>
      <c r="B2025" s="1521"/>
      <c r="C2025" s="1521"/>
      <c r="D2025" s="1521"/>
      <c r="E2025" s="1521"/>
      <c r="F2025" s="1521"/>
      <c r="G2025" s="1522"/>
      <c r="H2025" s="216">
        <f>H2023-H2024</f>
        <v>132</v>
      </c>
      <c r="I2025" s="1568"/>
      <c r="J2025" s="1568"/>
      <c r="K2025" s="1568"/>
      <c r="L2025" s="1568"/>
      <c r="M2025" s="1568"/>
      <c r="N2025" s="1569"/>
    </row>
    <row r="2026" spans="1:14" ht="15.75" thickBot="1">
      <c r="A2026" s="1104"/>
      <c r="B2026" s="428"/>
      <c r="C2026" s="278"/>
      <c r="D2026" s="281"/>
      <c r="E2026" s="631"/>
      <c r="F2026" s="281"/>
      <c r="G2026" s="281"/>
      <c r="H2026" s="217"/>
      <c r="I2026" s="279"/>
      <c r="J2026" s="321"/>
      <c r="K2026" s="322"/>
      <c r="L2026" s="322"/>
      <c r="M2026" s="321"/>
      <c r="N2026" s="323"/>
    </row>
    <row r="2027" spans="1:14" ht="14.45" customHeight="1">
      <c r="A2027" s="1085" t="s">
        <v>2782</v>
      </c>
      <c r="B2027" s="1494" t="s">
        <v>763</v>
      </c>
      <c r="C2027" s="1495"/>
      <c r="D2027" s="1495"/>
      <c r="E2027" s="1495"/>
      <c r="F2027" s="1495"/>
      <c r="G2027" s="1495"/>
      <c r="H2027" s="1495"/>
      <c r="I2027" s="1495"/>
      <c r="J2027" s="1496"/>
      <c r="K2027" s="196" t="s">
        <v>2222</v>
      </c>
      <c r="L2027" s="1497">
        <v>220</v>
      </c>
      <c r="M2027" s="1498"/>
      <c r="N2027" s="197">
        <f>L2027-H2033</f>
        <v>0</v>
      </c>
    </row>
    <row r="2028" spans="1:14">
      <c r="A2028" s="1554"/>
      <c r="B2028" s="1541"/>
      <c r="C2028" s="366"/>
      <c r="D2028" s="367" t="s">
        <v>2183</v>
      </c>
      <c r="E2028" s="1320" t="s">
        <v>2184</v>
      </c>
      <c r="F2028" s="367" t="s">
        <v>2185</v>
      </c>
      <c r="G2028" s="367" t="s">
        <v>2186</v>
      </c>
      <c r="H2028" s="1542" t="s">
        <v>476</v>
      </c>
      <c r="I2028" s="1543"/>
      <c r="J2028" s="1543"/>
      <c r="K2028" s="1543"/>
      <c r="L2028" s="1543"/>
      <c r="M2028" s="1543"/>
      <c r="N2028" s="1566"/>
    </row>
    <row r="2029" spans="1:14">
      <c r="A2029" s="1554"/>
      <c r="B2029" s="1541"/>
      <c r="C2029" s="368" t="s">
        <v>2627</v>
      </c>
      <c r="D2029" s="369" t="s">
        <v>2187</v>
      </c>
      <c r="E2029" s="529" t="s">
        <v>2596</v>
      </c>
      <c r="F2029" s="369" t="s">
        <v>2189</v>
      </c>
      <c r="G2029" s="370" t="s">
        <v>2190</v>
      </c>
      <c r="H2029" s="1542"/>
      <c r="I2029" s="1543"/>
      <c r="J2029" s="1543"/>
      <c r="K2029" s="1543"/>
      <c r="L2029" s="1543"/>
      <c r="M2029" s="1543"/>
      <c r="N2029" s="1566"/>
    </row>
    <row r="2030" spans="1:14">
      <c r="A2030" s="1710" t="s">
        <v>2749</v>
      </c>
      <c r="B2030" s="414"/>
      <c r="C2030" s="415"/>
      <c r="D2030" s="539"/>
      <c r="E2030" s="545"/>
      <c r="F2030" s="545"/>
      <c r="G2030" s="545"/>
      <c r="H2030" s="546"/>
      <c r="I2030" s="1567"/>
      <c r="J2030" s="1543"/>
      <c r="K2030" s="1543"/>
      <c r="L2030" s="1543"/>
      <c r="M2030" s="1543"/>
      <c r="N2030" s="1566"/>
    </row>
    <row r="2031" spans="1:14" ht="24">
      <c r="A2031" s="1536"/>
      <c r="B2031" s="303" t="s">
        <v>2781</v>
      </c>
      <c r="C2031" s="301">
        <v>220</v>
      </c>
      <c r="D2031" s="539"/>
      <c r="E2031" s="539"/>
      <c r="F2031" s="539"/>
      <c r="G2031" s="539">
        <v>1</v>
      </c>
      <c r="H2031" s="540">
        <f>C2031*G2031</f>
        <v>220</v>
      </c>
      <c r="I2031" s="1567"/>
      <c r="J2031" s="1543"/>
      <c r="K2031" s="1543"/>
      <c r="L2031" s="1543"/>
      <c r="M2031" s="1543"/>
      <c r="N2031" s="1566"/>
    </row>
    <row r="2032" spans="1:14">
      <c r="A2032" s="1536"/>
      <c r="B2032" s="303"/>
      <c r="C2032" s="301"/>
      <c r="D2032" s="539"/>
      <c r="E2032" s="539"/>
      <c r="F2032" s="539"/>
      <c r="G2032" s="539"/>
      <c r="H2032" s="540"/>
      <c r="I2032" s="1567"/>
      <c r="J2032" s="1543"/>
      <c r="K2032" s="1543"/>
      <c r="L2032" s="1543"/>
      <c r="M2032" s="1543"/>
      <c r="N2032" s="1566"/>
    </row>
    <row r="2033" spans="1:14">
      <c r="A2033" s="1577" t="s">
        <v>2218</v>
      </c>
      <c r="B2033" s="1542"/>
      <c r="C2033" s="1542"/>
      <c r="D2033" s="1542"/>
      <c r="E2033" s="1542"/>
      <c r="F2033" s="1542"/>
      <c r="G2033" s="1542"/>
      <c r="H2033" s="271">
        <f>SUM(H2030:H2032)</f>
        <v>220</v>
      </c>
      <c r="I2033" s="1567"/>
      <c r="J2033" s="1543"/>
      <c r="K2033" s="1543"/>
      <c r="L2033" s="1543"/>
      <c r="M2033" s="1543"/>
      <c r="N2033" s="1566"/>
    </row>
    <row r="2034" spans="1:14">
      <c r="A2034" s="1519" t="s">
        <v>2219</v>
      </c>
      <c r="B2034" s="1517"/>
      <c r="C2034" s="1517"/>
      <c r="D2034" s="1551"/>
      <c r="E2034" s="1551"/>
      <c r="F2034" s="1551"/>
      <c r="G2034" s="1552"/>
      <c r="H2034" s="272">
        <v>0</v>
      </c>
      <c r="I2034" s="1543"/>
      <c r="J2034" s="1543"/>
      <c r="K2034" s="1543"/>
      <c r="L2034" s="1543"/>
      <c r="M2034" s="1543"/>
      <c r="N2034" s="1566"/>
    </row>
    <row r="2035" spans="1:14">
      <c r="A2035" s="1558" t="s">
        <v>2220</v>
      </c>
      <c r="B2035" s="1559"/>
      <c r="C2035" s="1559"/>
      <c r="D2035" s="1559"/>
      <c r="E2035" s="1559"/>
      <c r="F2035" s="1559"/>
      <c r="G2035" s="1560"/>
      <c r="H2035" s="220">
        <f>H2033-H2034</f>
        <v>220</v>
      </c>
      <c r="I2035" s="1547"/>
      <c r="J2035" s="1547"/>
      <c r="K2035" s="1547"/>
      <c r="L2035" s="1547"/>
      <c r="M2035" s="1547"/>
      <c r="N2035" s="1770"/>
    </row>
    <row r="2036" spans="1:14" ht="15.75" thickBot="1">
      <c r="A2036" s="1104"/>
      <c r="B2036" s="278"/>
      <c r="C2036" s="278"/>
      <c r="D2036" s="281"/>
      <c r="E2036" s="1319"/>
      <c r="F2036" s="278"/>
      <c r="G2036" s="278"/>
      <c r="H2036" s="217"/>
      <c r="I2036" s="279"/>
      <c r="J2036" s="279"/>
      <c r="K2036" s="279"/>
      <c r="L2036" s="279"/>
      <c r="M2036" s="279"/>
      <c r="N2036" s="441"/>
    </row>
    <row r="2037" spans="1:14" s="547" customFormat="1" ht="20.45" customHeight="1">
      <c r="A2037" s="1109" t="s">
        <v>2125</v>
      </c>
      <c r="B2037" s="1766" t="s">
        <v>764</v>
      </c>
      <c r="C2037" s="1766"/>
      <c r="D2037" s="1766"/>
      <c r="E2037" s="1766"/>
      <c r="F2037" s="1766"/>
      <c r="G2037" s="1766"/>
      <c r="H2037" s="1766"/>
      <c r="I2037" s="1766"/>
      <c r="J2037" s="1766"/>
      <c r="K2037" s="1766"/>
      <c r="L2037" s="1766"/>
      <c r="M2037" s="1766"/>
      <c r="N2037" s="1767"/>
    </row>
    <row r="2038" spans="1:14" s="549" customFormat="1" ht="22.15" customHeight="1">
      <c r="A2038" s="1110" t="s">
        <v>3028</v>
      </c>
      <c r="B2038" s="1768" t="s">
        <v>79</v>
      </c>
      <c r="C2038" s="1768"/>
      <c r="D2038" s="1768"/>
      <c r="E2038" s="1768"/>
      <c r="F2038" s="1768"/>
      <c r="G2038" s="1768"/>
      <c r="H2038" s="1768"/>
      <c r="I2038" s="1768"/>
      <c r="J2038" s="1768"/>
      <c r="K2038" s="818" t="s">
        <v>12</v>
      </c>
      <c r="L2038" s="1769">
        <f>'27ª MEDIÇÃO '!F114</f>
        <v>32.56</v>
      </c>
      <c r="M2038" s="1769"/>
      <c r="N2038" s="265">
        <f>L2038-H2048</f>
        <v>1.5000000000071623E-3</v>
      </c>
    </row>
    <row r="2039" spans="1:14" s="550" customFormat="1">
      <c r="A2039" s="1554"/>
      <c r="B2039" s="1541"/>
      <c r="C2039" s="366"/>
      <c r="D2039" s="367"/>
      <c r="E2039" s="1320"/>
      <c r="F2039" s="367"/>
      <c r="G2039" s="367"/>
      <c r="H2039" s="1542" t="s">
        <v>476</v>
      </c>
      <c r="I2039" s="1762"/>
      <c r="J2039" s="1762"/>
      <c r="K2039" s="1762"/>
      <c r="L2039" s="1762"/>
      <c r="M2039" s="1762"/>
      <c r="N2039" s="1763"/>
    </row>
    <row r="2040" spans="1:14" s="550" customFormat="1" ht="30">
      <c r="A2040" s="1554"/>
      <c r="B2040" s="1541"/>
      <c r="C2040" s="211" t="s">
        <v>3031</v>
      </c>
      <c r="D2040" s="211" t="s">
        <v>2945</v>
      </c>
      <c r="E2040" s="551" t="s">
        <v>3032</v>
      </c>
      <c r="F2040" s="551" t="s">
        <v>3033</v>
      </c>
      <c r="G2040" s="370" t="s">
        <v>2190</v>
      </c>
      <c r="H2040" s="1542"/>
      <c r="I2040" s="1762"/>
      <c r="J2040" s="1762"/>
      <c r="K2040" s="1762"/>
      <c r="L2040" s="1762"/>
      <c r="M2040" s="1762"/>
      <c r="N2040" s="1763"/>
    </row>
    <row r="2041" spans="1:14" s="550" customFormat="1" ht="30">
      <c r="A2041" s="1535" t="s">
        <v>2997</v>
      </c>
      <c r="B2041" s="552" t="s">
        <v>3034</v>
      </c>
      <c r="C2041" s="211"/>
      <c r="D2041" s="211"/>
      <c r="E2041" s="551"/>
      <c r="F2041" s="551"/>
      <c r="G2041" s="553">
        <v>7</v>
      </c>
      <c r="H2041" s="554">
        <f>G2041</f>
        <v>7</v>
      </c>
      <c r="I2041" s="1762"/>
      <c r="J2041" s="1762"/>
      <c r="K2041" s="1762"/>
      <c r="L2041" s="1762"/>
      <c r="M2041" s="1762"/>
      <c r="N2041" s="1763"/>
    </row>
    <row r="2042" spans="1:14" s="550" customFormat="1" ht="30">
      <c r="A2042" s="1529"/>
      <c r="B2042" s="552" t="s">
        <v>3029</v>
      </c>
      <c r="C2042" s="212">
        <v>75</v>
      </c>
      <c r="D2042" s="212">
        <v>0.15</v>
      </c>
      <c r="E2042" s="553">
        <v>1</v>
      </c>
      <c r="F2042" s="369"/>
      <c r="G2042" s="212">
        <f>C2042*D2042*E2042</f>
        <v>11.25</v>
      </c>
      <c r="H2042" s="554">
        <f>G2042</f>
        <v>11.25</v>
      </c>
      <c r="I2042" s="1762"/>
      <c r="J2042" s="1762"/>
      <c r="K2042" s="1762"/>
      <c r="L2042" s="1762"/>
      <c r="M2042" s="1762"/>
      <c r="N2042" s="1763"/>
    </row>
    <row r="2043" spans="1:14" s="550" customFormat="1" ht="30">
      <c r="A2043" s="1545"/>
      <c r="B2043" s="552" t="s">
        <v>3030</v>
      </c>
      <c r="C2043" s="212">
        <v>61.79</v>
      </c>
      <c r="D2043" s="212">
        <v>0.15</v>
      </c>
      <c r="E2043" s="553">
        <v>1</v>
      </c>
      <c r="F2043" s="369"/>
      <c r="G2043" s="212">
        <f>C2043*D2043*E2043</f>
        <v>9.2684999999999995</v>
      </c>
      <c r="H2043" s="554">
        <f>G2043</f>
        <v>9.2684999999999995</v>
      </c>
      <c r="I2043" s="1762"/>
      <c r="J2043" s="1762"/>
      <c r="K2043" s="1762"/>
      <c r="L2043" s="1762"/>
      <c r="M2043" s="1762"/>
      <c r="N2043" s="1763"/>
    </row>
    <row r="2044" spans="1:14" s="550" customFormat="1" ht="28.9" customHeight="1">
      <c r="A2044" s="1535" t="s">
        <v>3158</v>
      </c>
      <c r="B2044" s="1754" t="s">
        <v>3029</v>
      </c>
      <c r="C2044" s="1750">
        <v>21</v>
      </c>
      <c r="D2044" s="1750">
        <v>0.15</v>
      </c>
      <c r="E2044" s="1756">
        <v>1</v>
      </c>
      <c r="F2044" s="1758"/>
      <c r="G2044" s="1750">
        <f>C2044*D2044*E2044</f>
        <v>3.15</v>
      </c>
      <c r="H2044" s="1752">
        <f>G2044</f>
        <v>3.15</v>
      </c>
      <c r="I2044" s="1762"/>
      <c r="J2044" s="1762"/>
      <c r="K2044" s="1762"/>
      <c r="L2044" s="1762"/>
      <c r="M2044" s="1762"/>
      <c r="N2044" s="1763"/>
    </row>
    <row r="2045" spans="1:14" s="550" customFormat="1">
      <c r="A2045" s="1545"/>
      <c r="B2045" s="1755"/>
      <c r="C2045" s="1751"/>
      <c r="D2045" s="1751"/>
      <c r="E2045" s="1757"/>
      <c r="F2045" s="1759"/>
      <c r="G2045" s="1751"/>
      <c r="H2045" s="1753"/>
      <c r="I2045" s="1762"/>
      <c r="J2045" s="1762"/>
      <c r="K2045" s="1762"/>
      <c r="L2045" s="1762"/>
      <c r="M2045" s="1762"/>
      <c r="N2045" s="1763"/>
    </row>
    <row r="2046" spans="1:14" s="550" customFormat="1" ht="28.9" customHeight="1">
      <c r="A2046" s="1535" t="s">
        <v>3217</v>
      </c>
      <c r="B2046" s="1754" t="s">
        <v>3167</v>
      </c>
      <c r="C2046" s="1750"/>
      <c r="D2046" s="1750"/>
      <c r="E2046" s="1756"/>
      <c r="F2046" s="1758"/>
      <c r="G2046" s="1750"/>
      <c r="H2046" s="1752">
        <v>1.89</v>
      </c>
      <c r="I2046" s="1762"/>
      <c r="J2046" s="1762"/>
      <c r="K2046" s="1762"/>
      <c r="L2046" s="1762"/>
      <c r="M2046" s="1762"/>
      <c r="N2046" s="1763"/>
    </row>
    <row r="2047" spans="1:14" s="550" customFormat="1">
      <c r="A2047" s="1545"/>
      <c r="B2047" s="1755"/>
      <c r="C2047" s="1751"/>
      <c r="D2047" s="1751"/>
      <c r="E2047" s="1757"/>
      <c r="F2047" s="1759"/>
      <c r="G2047" s="1751"/>
      <c r="H2047" s="1753"/>
      <c r="I2047" s="1762"/>
      <c r="J2047" s="1762"/>
      <c r="K2047" s="1762"/>
      <c r="L2047" s="1762"/>
      <c r="M2047" s="1762"/>
      <c r="N2047" s="1763"/>
    </row>
    <row r="2048" spans="1:14">
      <c r="A2048" s="1577" t="s">
        <v>2218</v>
      </c>
      <c r="B2048" s="1542"/>
      <c r="C2048" s="1542"/>
      <c r="D2048" s="1542"/>
      <c r="E2048" s="1542"/>
      <c r="F2048" s="1542"/>
      <c r="G2048" s="1542"/>
      <c r="H2048" s="271">
        <f>SUM(H2041:H2047)</f>
        <v>32.558499999999995</v>
      </c>
      <c r="I2048" s="1762"/>
      <c r="J2048" s="1762"/>
      <c r="K2048" s="1762"/>
      <c r="L2048" s="1762"/>
      <c r="M2048" s="1762"/>
      <c r="N2048" s="1763"/>
    </row>
    <row r="2049" spans="1:14">
      <c r="A2049" s="1578" t="s">
        <v>2219</v>
      </c>
      <c r="B2049" s="1538"/>
      <c r="C2049" s="1538"/>
      <c r="D2049" s="1538"/>
      <c r="E2049" s="1538"/>
      <c r="F2049" s="1538"/>
      <c r="G2049" s="1538"/>
      <c r="H2049" s="320">
        <f>SUM(H2041:H2045)</f>
        <v>30.668499999999998</v>
      </c>
      <c r="I2049" s="1762"/>
      <c r="J2049" s="1762"/>
      <c r="K2049" s="1762"/>
      <c r="L2049" s="1762"/>
      <c r="M2049" s="1762"/>
      <c r="N2049" s="1763"/>
    </row>
    <row r="2050" spans="1:14" ht="15.75" thickBot="1">
      <c r="A2050" s="1579" t="s">
        <v>2220</v>
      </c>
      <c r="B2050" s="1580"/>
      <c r="C2050" s="1580"/>
      <c r="D2050" s="1580"/>
      <c r="E2050" s="1580"/>
      <c r="F2050" s="1580"/>
      <c r="G2050" s="1580"/>
      <c r="H2050" s="221">
        <f>H2048-H2049</f>
        <v>1.889999999999997</v>
      </c>
      <c r="I2050" s="1764"/>
      <c r="J2050" s="1764"/>
      <c r="K2050" s="1764"/>
      <c r="L2050" s="1764"/>
      <c r="M2050" s="1764"/>
      <c r="N2050" s="1765"/>
    </row>
    <row r="2051" spans="1:14" s="550" customFormat="1" ht="15.75" thickBot="1">
      <c r="A2051" s="281"/>
      <c r="B2051" s="281"/>
      <c r="C2051" s="555"/>
      <c r="D2051" s="375"/>
      <c r="E2051" s="1312"/>
      <c r="F2051" s="375"/>
      <c r="G2051" s="556"/>
      <c r="H2051" s="428"/>
      <c r="I2051" s="557"/>
      <c r="J2051" s="557"/>
      <c r="K2051" s="558"/>
      <c r="L2051" s="558"/>
      <c r="M2051" s="558"/>
      <c r="N2051" s="268"/>
    </row>
    <row r="2052" spans="1:14" s="549" customFormat="1" ht="28.9" customHeight="1">
      <c r="A2052" s="1111" t="s">
        <v>766</v>
      </c>
      <c r="B2052" s="1760" t="s">
        <v>85</v>
      </c>
      <c r="C2052" s="1760"/>
      <c r="D2052" s="1760"/>
      <c r="E2052" s="1760"/>
      <c r="F2052" s="1760"/>
      <c r="G2052" s="1760"/>
      <c r="H2052" s="1760"/>
      <c r="I2052" s="1760"/>
      <c r="J2052" s="1760"/>
      <c r="K2052" s="548" t="s">
        <v>12</v>
      </c>
      <c r="L2052" s="1761">
        <v>32.56</v>
      </c>
      <c r="M2052" s="1761"/>
      <c r="N2052" s="197">
        <f>L2052-H2062</f>
        <v>1.5000000000071623E-3</v>
      </c>
    </row>
    <row r="2053" spans="1:14" s="550" customFormat="1">
      <c r="A2053" s="1554"/>
      <c r="B2053" s="1541"/>
      <c r="C2053" s="366"/>
      <c r="D2053" s="367" t="s">
        <v>2183</v>
      </c>
      <c r="E2053" s="1320" t="s">
        <v>2184</v>
      </c>
      <c r="F2053" s="367" t="s">
        <v>2185</v>
      </c>
      <c r="G2053" s="367" t="s">
        <v>2186</v>
      </c>
      <c r="H2053" s="1542" t="s">
        <v>476</v>
      </c>
      <c r="I2053" s="1762"/>
      <c r="J2053" s="1762"/>
      <c r="K2053" s="1762"/>
      <c r="L2053" s="1762"/>
      <c r="M2053" s="1762"/>
      <c r="N2053" s="1763"/>
    </row>
    <row r="2054" spans="1:14" s="550" customFormat="1">
      <c r="A2054" s="1554"/>
      <c r="B2054" s="1541"/>
      <c r="C2054" s="368"/>
      <c r="D2054" s="369" t="s">
        <v>2187</v>
      </c>
      <c r="E2054" s="529" t="s">
        <v>2596</v>
      </c>
      <c r="F2054" s="369" t="s">
        <v>2189</v>
      </c>
      <c r="G2054" s="370" t="s">
        <v>2190</v>
      </c>
      <c r="H2054" s="1542"/>
      <c r="I2054" s="1762"/>
      <c r="J2054" s="1762"/>
      <c r="K2054" s="1762"/>
      <c r="L2054" s="1762"/>
      <c r="M2054" s="1762"/>
      <c r="N2054" s="1763"/>
    </row>
    <row r="2055" spans="1:14" s="550" customFormat="1" ht="30">
      <c r="A2055" s="1642" t="s">
        <v>2997</v>
      </c>
      <c r="B2055" s="552" t="s">
        <v>3034</v>
      </c>
      <c r="C2055" s="211"/>
      <c r="D2055" s="211"/>
      <c r="E2055" s="551"/>
      <c r="F2055" s="551"/>
      <c r="G2055" s="553">
        <v>7</v>
      </c>
      <c r="H2055" s="554">
        <f>G2055</f>
        <v>7</v>
      </c>
      <c r="I2055" s="1762"/>
      <c r="J2055" s="1762"/>
      <c r="K2055" s="1762"/>
      <c r="L2055" s="1762"/>
      <c r="M2055" s="1762"/>
      <c r="N2055" s="1763"/>
    </row>
    <row r="2056" spans="1:14" s="550" customFormat="1" ht="30">
      <c r="A2056" s="1642"/>
      <c r="B2056" s="552" t="s">
        <v>3029</v>
      </c>
      <c r="C2056" s="212">
        <v>75</v>
      </c>
      <c r="D2056" s="212">
        <v>0.15</v>
      </c>
      <c r="E2056" s="553">
        <v>1</v>
      </c>
      <c r="F2056" s="369"/>
      <c r="G2056" s="212">
        <f>C2056*D2056*E2056</f>
        <v>11.25</v>
      </c>
      <c r="H2056" s="554">
        <f>G2056</f>
        <v>11.25</v>
      </c>
      <c r="I2056" s="1762"/>
      <c r="J2056" s="1762"/>
      <c r="K2056" s="1762"/>
      <c r="L2056" s="1762"/>
      <c r="M2056" s="1762"/>
      <c r="N2056" s="1763"/>
    </row>
    <row r="2057" spans="1:14" s="550" customFormat="1" ht="30">
      <c r="A2057" s="1642"/>
      <c r="B2057" s="552" t="s">
        <v>3030</v>
      </c>
      <c r="C2057" s="212">
        <v>61.79</v>
      </c>
      <c r="D2057" s="212">
        <v>0.15</v>
      </c>
      <c r="E2057" s="553">
        <v>1</v>
      </c>
      <c r="F2057" s="369"/>
      <c r="G2057" s="212">
        <f>C2057*D2057*E2057</f>
        <v>9.2684999999999995</v>
      </c>
      <c r="H2057" s="554">
        <f>G2057</f>
        <v>9.2684999999999995</v>
      </c>
      <c r="I2057" s="1762"/>
      <c r="J2057" s="1762"/>
      <c r="K2057" s="1762"/>
      <c r="L2057" s="1762"/>
      <c r="M2057" s="1762"/>
      <c r="N2057" s="1763"/>
    </row>
    <row r="2058" spans="1:14" s="550" customFormat="1">
      <c r="A2058" s="1535" t="s">
        <v>3158</v>
      </c>
      <c r="B2058" s="1754" t="s">
        <v>3029</v>
      </c>
      <c r="C2058" s="1750">
        <v>21</v>
      </c>
      <c r="D2058" s="1750">
        <v>0.15</v>
      </c>
      <c r="E2058" s="1756">
        <v>1</v>
      </c>
      <c r="F2058" s="1758"/>
      <c r="G2058" s="1750">
        <f>C2058*D2058*E2058</f>
        <v>3.15</v>
      </c>
      <c r="H2058" s="1752">
        <f>G2058</f>
        <v>3.15</v>
      </c>
      <c r="I2058" s="1762"/>
      <c r="J2058" s="1762"/>
      <c r="K2058" s="1762"/>
      <c r="L2058" s="1762"/>
      <c r="M2058" s="1762"/>
      <c r="N2058" s="1763"/>
    </row>
    <row r="2059" spans="1:14" s="550" customFormat="1">
      <c r="A2059" s="1545"/>
      <c r="B2059" s="1755"/>
      <c r="C2059" s="1751"/>
      <c r="D2059" s="1751"/>
      <c r="E2059" s="1757"/>
      <c r="F2059" s="1759"/>
      <c r="G2059" s="1751"/>
      <c r="H2059" s="1753"/>
      <c r="I2059" s="1762"/>
      <c r="J2059" s="1762"/>
      <c r="K2059" s="1762"/>
      <c r="L2059" s="1762"/>
      <c r="M2059" s="1762"/>
      <c r="N2059" s="1763"/>
    </row>
    <row r="2060" spans="1:14" s="550" customFormat="1" ht="28.9" customHeight="1">
      <c r="A2060" s="1535" t="s">
        <v>3217</v>
      </c>
      <c r="B2060" s="1754" t="s">
        <v>3167</v>
      </c>
      <c r="C2060" s="1750"/>
      <c r="D2060" s="1750"/>
      <c r="E2060" s="1756"/>
      <c r="F2060" s="1758"/>
      <c r="G2060" s="1750"/>
      <c r="H2060" s="1752">
        <v>1.89</v>
      </c>
      <c r="I2060" s="1762"/>
      <c r="J2060" s="1762"/>
      <c r="K2060" s="1762"/>
      <c r="L2060" s="1762"/>
      <c r="M2060" s="1762"/>
      <c r="N2060" s="1763"/>
    </row>
    <row r="2061" spans="1:14" s="550" customFormat="1">
      <c r="A2061" s="1545"/>
      <c r="B2061" s="1755"/>
      <c r="C2061" s="1751"/>
      <c r="D2061" s="1751"/>
      <c r="E2061" s="1757"/>
      <c r="F2061" s="1759"/>
      <c r="G2061" s="1751"/>
      <c r="H2061" s="1753"/>
      <c r="I2061" s="1762"/>
      <c r="J2061" s="1762"/>
      <c r="K2061" s="1762"/>
      <c r="L2061" s="1762"/>
      <c r="M2061" s="1762"/>
      <c r="N2061" s="1763"/>
    </row>
    <row r="2062" spans="1:14">
      <c r="A2062" s="1577" t="s">
        <v>2218</v>
      </c>
      <c r="B2062" s="1542"/>
      <c r="C2062" s="1542"/>
      <c r="D2062" s="1542"/>
      <c r="E2062" s="1542"/>
      <c r="F2062" s="1542"/>
      <c r="G2062" s="1542"/>
      <c r="H2062" s="271">
        <f>SUM(H2055:H2061)</f>
        <v>32.558499999999995</v>
      </c>
      <c r="I2062" s="1762"/>
      <c r="J2062" s="1762"/>
      <c r="K2062" s="1762"/>
      <c r="L2062" s="1762"/>
      <c r="M2062" s="1762"/>
      <c r="N2062" s="1763"/>
    </row>
    <row r="2063" spans="1:14">
      <c r="A2063" s="1578" t="s">
        <v>2219</v>
      </c>
      <c r="B2063" s="1538"/>
      <c r="C2063" s="1538"/>
      <c r="D2063" s="1538"/>
      <c r="E2063" s="1538"/>
      <c r="F2063" s="1538"/>
      <c r="G2063" s="1538"/>
      <c r="H2063" s="320">
        <f>SUM(H2055:H2059)</f>
        <v>30.668499999999998</v>
      </c>
      <c r="I2063" s="1762"/>
      <c r="J2063" s="1762"/>
      <c r="K2063" s="1762"/>
      <c r="L2063" s="1762"/>
      <c r="M2063" s="1762"/>
      <c r="N2063" s="1763"/>
    </row>
    <row r="2064" spans="1:14" ht="15.75" thickBot="1">
      <c r="A2064" s="1579" t="s">
        <v>2220</v>
      </c>
      <c r="B2064" s="1580"/>
      <c r="C2064" s="1580"/>
      <c r="D2064" s="1580"/>
      <c r="E2064" s="1580"/>
      <c r="F2064" s="1580"/>
      <c r="G2064" s="1580"/>
      <c r="H2064" s="221">
        <f>H2062-H2063</f>
        <v>1.889999999999997</v>
      </c>
      <c r="I2064" s="1764"/>
      <c r="J2064" s="1764"/>
      <c r="K2064" s="1764"/>
      <c r="L2064" s="1764"/>
      <c r="M2064" s="1764"/>
      <c r="N2064" s="1765"/>
    </row>
    <row r="2065" spans="1:14" s="550" customFormat="1" ht="15.75" thickBot="1">
      <c r="A2065" s="281"/>
      <c r="B2065" s="281"/>
      <c r="C2065" s="555"/>
      <c r="D2065" s="375"/>
      <c r="E2065" s="1312"/>
      <c r="F2065" s="375"/>
      <c r="G2065" s="556"/>
      <c r="H2065" s="428"/>
      <c r="I2065" s="557"/>
      <c r="J2065" s="557"/>
      <c r="K2065" s="558"/>
      <c r="L2065" s="558"/>
      <c r="M2065" s="558"/>
      <c r="N2065" s="559"/>
    </row>
    <row r="2066" spans="1:14" s="549" customFormat="1" ht="27.6" customHeight="1">
      <c r="A2066" s="1111" t="s">
        <v>767</v>
      </c>
      <c r="B2066" s="1760" t="s">
        <v>88</v>
      </c>
      <c r="C2066" s="1760"/>
      <c r="D2066" s="1760"/>
      <c r="E2066" s="1760"/>
      <c r="F2066" s="1760"/>
      <c r="G2066" s="1760"/>
      <c r="H2066" s="1760"/>
      <c r="I2066" s="1760"/>
      <c r="J2066" s="1760"/>
      <c r="K2066" s="548" t="s">
        <v>12</v>
      </c>
      <c r="L2066" s="1761">
        <v>32.56</v>
      </c>
      <c r="M2066" s="1761"/>
      <c r="N2066" s="197">
        <f>L2066-H2076</f>
        <v>1.5000000000071623E-3</v>
      </c>
    </row>
    <row r="2067" spans="1:14" s="550" customFormat="1">
      <c r="A2067" s="1554"/>
      <c r="B2067" s="1541"/>
      <c r="C2067" s="366"/>
      <c r="D2067" s="367" t="s">
        <v>2183</v>
      </c>
      <c r="E2067" s="1320" t="s">
        <v>2184</v>
      </c>
      <c r="F2067" s="367" t="s">
        <v>2185</v>
      </c>
      <c r="G2067" s="367" t="s">
        <v>2186</v>
      </c>
      <c r="H2067" s="1542" t="s">
        <v>476</v>
      </c>
      <c r="I2067" s="1762"/>
      <c r="J2067" s="1762"/>
      <c r="K2067" s="1762"/>
      <c r="L2067" s="1762"/>
      <c r="M2067" s="1762"/>
      <c r="N2067" s="1763"/>
    </row>
    <row r="2068" spans="1:14" s="550" customFormat="1">
      <c r="A2068" s="1554"/>
      <c r="B2068" s="1541"/>
      <c r="C2068" s="368"/>
      <c r="D2068" s="369" t="s">
        <v>2187</v>
      </c>
      <c r="E2068" s="529" t="s">
        <v>2596</v>
      </c>
      <c r="F2068" s="369" t="s">
        <v>2189</v>
      </c>
      <c r="G2068" s="370" t="s">
        <v>2190</v>
      </c>
      <c r="H2068" s="1542"/>
      <c r="I2068" s="1762"/>
      <c r="J2068" s="1762"/>
      <c r="K2068" s="1762"/>
      <c r="L2068" s="1762"/>
      <c r="M2068" s="1762"/>
      <c r="N2068" s="1763"/>
    </row>
    <row r="2069" spans="1:14" s="550" customFormat="1" ht="30">
      <c r="A2069" s="1642" t="s">
        <v>2997</v>
      </c>
      <c r="B2069" s="552" t="s">
        <v>3034</v>
      </c>
      <c r="C2069" s="211"/>
      <c r="D2069" s="211"/>
      <c r="E2069" s="551"/>
      <c r="F2069" s="551"/>
      <c r="G2069" s="553">
        <v>7</v>
      </c>
      <c r="H2069" s="554">
        <f>G2069</f>
        <v>7</v>
      </c>
      <c r="I2069" s="1762"/>
      <c r="J2069" s="1762"/>
      <c r="K2069" s="1762"/>
      <c r="L2069" s="1762"/>
      <c r="M2069" s="1762"/>
      <c r="N2069" s="1763"/>
    </row>
    <row r="2070" spans="1:14" s="550" customFormat="1" ht="30">
      <c r="A2070" s="1642"/>
      <c r="B2070" s="552" t="s">
        <v>3029</v>
      </c>
      <c r="C2070" s="212">
        <v>75</v>
      </c>
      <c r="D2070" s="212">
        <v>0.15</v>
      </c>
      <c r="E2070" s="553">
        <v>1</v>
      </c>
      <c r="F2070" s="369"/>
      <c r="G2070" s="212">
        <f>C2070*D2070*E2070</f>
        <v>11.25</v>
      </c>
      <c r="H2070" s="554">
        <f>G2070</f>
        <v>11.25</v>
      </c>
      <c r="I2070" s="1762"/>
      <c r="J2070" s="1762"/>
      <c r="K2070" s="1762"/>
      <c r="L2070" s="1762"/>
      <c r="M2070" s="1762"/>
      <c r="N2070" s="1763"/>
    </row>
    <row r="2071" spans="1:14" s="550" customFormat="1" ht="30">
      <c r="A2071" s="1642"/>
      <c r="B2071" s="552" t="s">
        <v>3030</v>
      </c>
      <c r="C2071" s="212">
        <v>61.79</v>
      </c>
      <c r="D2071" s="212">
        <v>0.15</v>
      </c>
      <c r="E2071" s="553">
        <v>1</v>
      </c>
      <c r="F2071" s="369"/>
      <c r="G2071" s="212">
        <f>C2071*D2071*E2071</f>
        <v>9.2684999999999995</v>
      </c>
      <c r="H2071" s="554">
        <f>G2071</f>
        <v>9.2684999999999995</v>
      </c>
      <c r="I2071" s="1762"/>
      <c r="J2071" s="1762"/>
      <c r="K2071" s="1762"/>
      <c r="L2071" s="1762"/>
      <c r="M2071" s="1762"/>
      <c r="N2071" s="1763"/>
    </row>
    <row r="2072" spans="1:14" s="550" customFormat="1">
      <c r="A2072" s="1535" t="s">
        <v>3158</v>
      </c>
      <c r="B2072" s="1754" t="s">
        <v>3029</v>
      </c>
      <c r="C2072" s="1750">
        <v>21</v>
      </c>
      <c r="D2072" s="1750">
        <v>0.15</v>
      </c>
      <c r="E2072" s="1756">
        <v>1</v>
      </c>
      <c r="F2072" s="1758"/>
      <c r="G2072" s="1750">
        <f>C2072*D2072*E2072</f>
        <v>3.15</v>
      </c>
      <c r="H2072" s="1752">
        <f>G2072</f>
        <v>3.15</v>
      </c>
      <c r="I2072" s="1762"/>
      <c r="J2072" s="1762"/>
      <c r="K2072" s="1762"/>
      <c r="L2072" s="1762"/>
      <c r="M2072" s="1762"/>
      <c r="N2072" s="1763"/>
    </row>
    <row r="2073" spans="1:14" s="550" customFormat="1">
      <c r="A2073" s="1545"/>
      <c r="B2073" s="1755"/>
      <c r="C2073" s="1751"/>
      <c r="D2073" s="1751"/>
      <c r="E2073" s="1757"/>
      <c r="F2073" s="1759"/>
      <c r="G2073" s="1751"/>
      <c r="H2073" s="1753"/>
      <c r="I2073" s="1762"/>
      <c r="J2073" s="1762"/>
      <c r="K2073" s="1762"/>
      <c r="L2073" s="1762"/>
      <c r="M2073" s="1762"/>
      <c r="N2073" s="1763"/>
    </row>
    <row r="2074" spans="1:14" s="550" customFormat="1" ht="28.9" customHeight="1">
      <c r="A2074" s="1535" t="s">
        <v>3217</v>
      </c>
      <c r="B2074" s="1754" t="s">
        <v>3167</v>
      </c>
      <c r="C2074" s="1750"/>
      <c r="D2074" s="1750"/>
      <c r="E2074" s="1756"/>
      <c r="F2074" s="1758"/>
      <c r="G2074" s="1750"/>
      <c r="H2074" s="1752">
        <v>1.89</v>
      </c>
      <c r="I2074" s="1762"/>
      <c r="J2074" s="1762"/>
      <c r="K2074" s="1762"/>
      <c r="L2074" s="1762"/>
      <c r="M2074" s="1762"/>
      <c r="N2074" s="1763"/>
    </row>
    <row r="2075" spans="1:14" s="550" customFormat="1">
      <c r="A2075" s="1545"/>
      <c r="B2075" s="1755"/>
      <c r="C2075" s="1751"/>
      <c r="D2075" s="1751"/>
      <c r="E2075" s="1757"/>
      <c r="F2075" s="1759"/>
      <c r="G2075" s="1751"/>
      <c r="H2075" s="1753"/>
      <c r="I2075" s="1762"/>
      <c r="J2075" s="1762"/>
      <c r="K2075" s="1762"/>
      <c r="L2075" s="1762"/>
      <c r="M2075" s="1762"/>
      <c r="N2075" s="1763"/>
    </row>
    <row r="2076" spans="1:14">
      <c r="A2076" s="1577" t="s">
        <v>2218</v>
      </c>
      <c r="B2076" s="1542"/>
      <c r="C2076" s="1542"/>
      <c r="D2076" s="1542"/>
      <c r="E2076" s="1542"/>
      <c r="F2076" s="1542"/>
      <c r="G2076" s="1542"/>
      <c r="H2076" s="271">
        <f>SUM(H2069:H2075)</f>
        <v>32.558499999999995</v>
      </c>
      <c r="I2076" s="1762"/>
      <c r="J2076" s="1762"/>
      <c r="K2076" s="1762"/>
      <c r="L2076" s="1762"/>
      <c r="M2076" s="1762"/>
      <c r="N2076" s="1763"/>
    </row>
    <row r="2077" spans="1:14">
      <c r="A2077" s="1578" t="s">
        <v>2219</v>
      </c>
      <c r="B2077" s="1538"/>
      <c r="C2077" s="1538"/>
      <c r="D2077" s="1538"/>
      <c r="E2077" s="1538"/>
      <c r="F2077" s="1538"/>
      <c r="G2077" s="1538"/>
      <c r="H2077" s="320">
        <f>SUM(H2069:H2073)</f>
        <v>30.668499999999998</v>
      </c>
      <c r="I2077" s="1762"/>
      <c r="J2077" s="1762"/>
      <c r="K2077" s="1762"/>
      <c r="L2077" s="1762"/>
      <c r="M2077" s="1762"/>
      <c r="N2077" s="1763"/>
    </row>
    <row r="2078" spans="1:14" ht="15.75" thickBot="1">
      <c r="A2078" s="1579" t="s">
        <v>2220</v>
      </c>
      <c r="B2078" s="1580"/>
      <c r="C2078" s="1580"/>
      <c r="D2078" s="1580"/>
      <c r="E2078" s="1580"/>
      <c r="F2078" s="1580"/>
      <c r="G2078" s="1580"/>
      <c r="H2078" s="221">
        <f>H2076-H2077</f>
        <v>1.889999999999997</v>
      </c>
      <c r="I2078" s="1764"/>
      <c r="J2078" s="1764"/>
      <c r="K2078" s="1764"/>
      <c r="L2078" s="1764"/>
      <c r="M2078" s="1764"/>
      <c r="N2078" s="1765"/>
    </row>
    <row r="2079" spans="1:14" s="550" customFormat="1" ht="15.75" thickBot="1">
      <c r="A2079" s="281"/>
      <c r="B2079" s="281"/>
      <c r="C2079" s="555"/>
      <c r="D2079" s="375"/>
      <c r="E2079" s="1312"/>
      <c r="F2079" s="375"/>
      <c r="G2079" s="556"/>
      <c r="H2079" s="428"/>
      <c r="I2079" s="557"/>
      <c r="J2079" s="557"/>
      <c r="K2079" s="558"/>
      <c r="L2079" s="558"/>
      <c r="M2079" s="558"/>
      <c r="N2079" s="559"/>
    </row>
    <row r="2080" spans="1:14" s="549" customFormat="1" ht="25.15" customHeight="1">
      <c r="A2080" s="1111" t="s">
        <v>768</v>
      </c>
      <c r="B2080" s="1760" t="s">
        <v>95</v>
      </c>
      <c r="C2080" s="1760"/>
      <c r="D2080" s="1760"/>
      <c r="E2080" s="1760"/>
      <c r="F2080" s="1760"/>
      <c r="G2080" s="1760"/>
      <c r="H2080" s="1760"/>
      <c r="I2080" s="1760"/>
      <c r="J2080" s="1760"/>
      <c r="K2080" s="548" t="s">
        <v>12</v>
      </c>
      <c r="L2080" s="1761">
        <v>32.56</v>
      </c>
      <c r="M2080" s="1761"/>
      <c r="N2080" s="197">
        <f>L2080-H2090</f>
        <v>1.5000000000071623E-3</v>
      </c>
    </row>
    <row r="2081" spans="1:14">
      <c r="A2081" s="1554"/>
      <c r="B2081" s="1541"/>
      <c r="C2081" s="366"/>
      <c r="D2081" s="367" t="s">
        <v>2183</v>
      </c>
      <c r="E2081" s="1320" t="s">
        <v>2184</v>
      </c>
      <c r="F2081" s="367" t="s">
        <v>2185</v>
      </c>
      <c r="G2081" s="367" t="s">
        <v>2186</v>
      </c>
      <c r="H2081" s="1542" t="s">
        <v>476</v>
      </c>
      <c r="I2081" s="1543"/>
      <c r="J2081" s="1543"/>
      <c r="K2081" s="1543"/>
      <c r="L2081" s="1543"/>
      <c r="M2081" s="1543"/>
      <c r="N2081" s="1566"/>
    </row>
    <row r="2082" spans="1:14">
      <c r="A2082" s="1554"/>
      <c r="B2082" s="1541"/>
      <c r="C2082" s="368"/>
      <c r="D2082" s="369" t="s">
        <v>2187</v>
      </c>
      <c r="E2082" s="529" t="s">
        <v>2596</v>
      </c>
      <c r="F2082" s="369" t="s">
        <v>2189</v>
      </c>
      <c r="G2082" s="370" t="s">
        <v>2190</v>
      </c>
      <c r="H2082" s="1542"/>
      <c r="I2082" s="1543"/>
      <c r="J2082" s="1543"/>
      <c r="K2082" s="1543"/>
      <c r="L2082" s="1543"/>
      <c r="M2082" s="1543"/>
      <c r="N2082" s="1566"/>
    </row>
    <row r="2083" spans="1:14" s="550" customFormat="1" ht="30">
      <c r="A2083" s="1642" t="s">
        <v>2997</v>
      </c>
      <c r="B2083" s="552" t="s">
        <v>3034</v>
      </c>
      <c r="C2083" s="211"/>
      <c r="D2083" s="211"/>
      <c r="E2083" s="551"/>
      <c r="F2083" s="551"/>
      <c r="G2083" s="553">
        <v>7</v>
      </c>
      <c r="H2083" s="554">
        <f>G2083</f>
        <v>7</v>
      </c>
      <c r="I2083" s="1543"/>
      <c r="J2083" s="1543"/>
      <c r="K2083" s="1543"/>
      <c r="L2083" s="1543"/>
      <c r="M2083" s="1543"/>
      <c r="N2083" s="1566"/>
    </row>
    <row r="2084" spans="1:14" s="550" customFormat="1" ht="30">
      <c r="A2084" s="1642"/>
      <c r="B2084" s="552" t="s">
        <v>3029</v>
      </c>
      <c r="C2084" s="212">
        <v>75</v>
      </c>
      <c r="D2084" s="212">
        <v>0.15</v>
      </c>
      <c r="E2084" s="553">
        <v>1</v>
      </c>
      <c r="F2084" s="369"/>
      <c r="G2084" s="212">
        <f>C2084*D2084*E2084</f>
        <v>11.25</v>
      </c>
      <c r="H2084" s="554">
        <f>G2084</f>
        <v>11.25</v>
      </c>
      <c r="I2084" s="1543"/>
      <c r="J2084" s="1543"/>
      <c r="K2084" s="1543"/>
      <c r="L2084" s="1543"/>
      <c r="M2084" s="1543"/>
      <c r="N2084" s="1566"/>
    </row>
    <row r="2085" spans="1:14" s="550" customFormat="1" ht="30">
      <c r="A2085" s="1642"/>
      <c r="B2085" s="552" t="s">
        <v>3030</v>
      </c>
      <c r="C2085" s="212">
        <v>61.79</v>
      </c>
      <c r="D2085" s="212">
        <v>0.15</v>
      </c>
      <c r="E2085" s="553">
        <v>1</v>
      </c>
      <c r="F2085" s="369"/>
      <c r="G2085" s="212">
        <f>C2085*D2085*E2085</f>
        <v>9.2684999999999995</v>
      </c>
      <c r="H2085" s="554">
        <f>G2085</f>
        <v>9.2684999999999995</v>
      </c>
      <c r="I2085" s="1543"/>
      <c r="J2085" s="1543"/>
      <c r="K2085" s="1543"/>
      <c r="L2085" s="1543"/>
      <c r="M2085" s="1543"/>
      <c r="N2085" s="1566"/>
    </row>
    <row r="2086" spans="1:14" s="550" customFormat="1">
      <c r="A2086" s="1535" t="s">
        <v>3158</v>
      </c>
      <c r="B2086" s="1754" t="s">
        <v>3029</v>
      </c>
      <c r="C2086" s="1750">
        <v>21</v>
      </c>
      <c r="D2086" s="1750">
        <v>0.15</v>
      </c>
      <c r="E2086" s="1756">
        <v>1</v>
      </c>
      <c r="F2086" s="1758"/>
      <c r="G2086" s="1750">
        <f>C2086*D2086*E2086</f>
        <v>3.15</v>
      </c>
      <c r="H2086" s="1752">
        <f>G2086</f>
        <v>3.15</v>
      </c>
      <c r="I2086" s="1543"/>
      <c r="J2086" s="1543"/>
      <c r="K2086" s="1543"/>
      <c r="L2086" s="1543"/>
      <c r="M2086" s="1543"/>
      <c r="N2086" s="1566"/>
    </row>
    <row r="2087" spans="1:14" s="550" customFormat="1">
      <c r="A2087" s="1545"/>
      <c r="B2087" s="1755"/>
      <c r="C2087" s="1751"/>
      <c r="D2087" s="1751"/>
      <c r="E2087" s="1757"/>
      <c r="F2087" s="1759"/>
      <c r="G2087" s="1751"/>
      <c r="H2087" s="1753"/>
      <c r="I2087" s="1543"/>
      <c r="J2087" s="1543"/>
      <c r="K2087" s="1543"/>
      <c r="L2087" s="1543"/>
      <c r="M2087" s="1543"/>
      <c r="N2087" s="1566"/>
    </row>
    <row r="2088" spans="1:14" s="550" customFormat="1" ht="28.9" customHeight="1">
      <c r="A2088" s="1535" t="s">
        <v>3217</v>
      </c>
      <c r="B2088" s="1754" t="s">
        <v>3167</v>
      </c>
      <c r="C2088" s="1750"/>
      <c r="D2088" s="1750"/>
      <c r="E2088" s="1756"/>
      <c r="F2088" s="1758"/>
      <c r="G2088" s="1750"/>
      <c r="H2088" s="1752">
        <v>1.89</v>
      </c>
      <c r="I2088" s="1543"/>
      <c r="J2088" s="1543"/>
      <c r="K2088" s="1543"/>
      <c r="L2088" s="1543"/>
      <c r="M2088" s="1543"/>
      <c r="N2088" s="1566"/>
    </row>
    <row r="2089" spans="1:14" s="550" customFormat="1">
      <c r="A2089" s="1545"/>
      <c r="B2089" s="1755"/>
      <c r="C2089" s="1751"/>
      <c r="D2089" s="1751"/>
      <c r="E2089" s="1757"/>
      <c r="F2089" s="1759"/>
      <c r="G2089" s="1751"/>
      <c r="H2089" s="1753"/>
      <c r="I2089" s="1543"/>
      <c r="J2089" s="1543"/>
      <c r="K2089" s="1543"/>
      <c r="L2089" s="1543"/>
      <c r="M2089" s="1543"/>
      <c r="N2089" s="1566"/>
    </row>
    <row r="2090" spans="1:14">
      <c r="A2090" s="1577" t="s">
        <v>2218</v>
      </c>
      <c r="B2090" s="1542"/>
      <c r="C2090" s="1542"/>
      <c r="D2090" s="1542"/>
      <c r="E2090" s="1542"/>
      <c r="F2090" s="1542"/>
      <c r="G2090" s="1542"/>
      <c r="H2090" s="271">
        <f>SUM(H2083:H2089)</f>
        <v>32.558499999999995</v>
      </c>
      <c r="I2090" s="1543"/>
      <c r="J2090" s="1543"/>
      <c r="K2090" s="1543"/>
      <c r="L2090" s="1543"/>
      <c r="M2090" s="1543"/>
      <c r="N2090" s="1566"/>
    </row>
    <row r="2091" spans="1:14">
      <c r="A2091" s="1578" t="s">
        <v>2219</v>
      </c>
      <c r="B2091" s="1538"/>
      <c r="C2091" s="1538"/>
      <c r="D2091" s="1538"/>
      <c r="E2091" s="1538"/>
      <c r="F2091" s="1538"/>
      <c r="G2091" s="1538"/>
      <c r="H2091" s="320">
        <f>SUM(H2083:H2087)</f>
        <v>30.668499999999998</v>
      </c>
      <c r="I2091" s="1543"/>
      <c r="J2091" s="1543"/>
      <c r="K2091" s="1543"/>
      <c r="L2091" s="1543"/>
      <c r="M2091" s="1543"/>
      <c r="N2091" s="1566"/>
    </row>
    <row r="2092" spans="1:14" ht="15.75" thickBot="1">
      <c r="A2092" s="1579" t="s">
        <v>2220</v>
      </c>
      <c r="B2092" s="1580"/>
      <c r="C2092" s="1580"/>
      <c r="D2092" s="1580"/>
      <c r="E2092" s="1580"/>
      <c r="F2092" s="1580"/>
      <c r="G2092" s="1580"/>
      <c r="H2092" s="221">
        <f>H2090-H2091</f>
        <v>1.889999999999997</v>
      </c>
      <c r="I2092" s="1568"/>
      <c r="J2092" s="1568"/>
      <c r="K2092" s="1568"/>
      <c r="L2092" s="1568"/>
      <c r="M2092" s="1568"/>
      <c r="N2092" s="1569"/>
    </row>
    <row r="2093" spans="1:14" ht="15.75" thickBot="1">
      <c r="A2093" s="278"/>
      <c r="B2093" s="278"/>
      <c r="C2093" s="278"/>
      <c r="D2093" s="281"/>
      <c r="E2093" s="1319"/>
      <c r="F2093" s="278"/>
      <c r="G2093" s="278"/>
      <c r="H2093" s="217"/>
      <c r="I2093" s="279"/>
      <c r="J2093" s="279"/>
      <c r="K2093" s="279"/>
      <c r="L2093" s="279"/>
      <c r="M2093" s="279"/>
      <c r="N2093" s="279"/>
    </row>
    <row r="2094" spans="1:14" ht="30" customHeight="1">
      <c r="A2094" s="1085" t="s">
        <v>3466</v>
      </c>
      <c r="B2094" s="1494" t="s">
        <v>773</v>
      </c>
      <c r="C2094" s="1495"/>
      <c r="D2094" s="1495"/>
      <c r="E2094" s="1495"/>
      <c r="F2094" s="1495"/>
      <c r="G2094" s="1495"/>
      <c r="H2094" s="1495"/>
      <c r="I2094" s="1495"/>
      <c r="J2094" s="1496"/>
      <c r="K2094" s="196" t="s">
        <v>44</v>
      </c>
      <c r="L2094" s="1497">
        <f>'27ª MEDIÇÃO '!F120</f>
        <v>17.939999999999998</v>
      </c>
      <c r="M2094" s="1498"/>
      <c r="N2094" s="197">
        <v>0</v>
      </c>
    </row>
    <row r="2095" spans="1:14">
      <c r="A2095" s="1554"/>
      <c r="B2095" s="1541"/>
      <c r="C2095" s="366"/>
      <c r="D2095" s="367" t="s">
        <v>2183</v>
      </c>
      <c r="E2095" s="1320" t="s">
        <v>2184</v>
      </c>
      <c r="F2095" s="367" t="s">
        <v>2185</v>
      </c>
      <c r="G2095" s="367" t="s">
        <v>2186</v>
      </c>
      <c r="H2095" s="1542" t="s">
        <v>476</v>
      </c>
      <c r="I2095" s="1543"/>
      <c r="J2095" s="1543"/>
      <c r="K2095" s="1543"/>
      <c r="L2095" s="1543"/>
      <c r="M2095" s="1543"/>
      <c r="N2095" s="1566"/>
    </row>
    <row r="2096" spans="1:14">
      <c r="A2096" s="1554"/>
      <c r="B2096" s="1541"/>
      <c r="C2096" s="368" t="s">
        <v>2382</v>
      </c>
      <c r="D2096" s="369" t="s">
        <v>2187</v>
      </c>
      <c r="E2096" s="529" t="s">
        <v>2188</v>
      </c>
      <c r="F2096" s="369" t="s">
        <v>2189</v>
      </c>
      <c r="G2096" s="370" t="s">
        <v>2879</v>
      </c>
      <c r="H2096" s="1542"/>
      <c r="I2096" s="1543"/>
      <c r="J2096" s="1543"/>
      <c r="K2096" s="1543"/>
      <c r="L2096" s="1543"/>
      <c r="M2096" s="1543"/>
      <c r="N2096" s="1566"/>
    </row>
    <row r="2097" spans="1:14">
      <c r="A2097" s="1611" t="s">
        <v>3465</v>
      </c>
      <c r="B2097" s="360" t="s">
        <v>2339</v>
      </c>
      <c r="C2097" s="354"/>
      <c r="D2097" s="341">
        <v>1.4</v>
      </c>
      <c r="E2097" s="350">
        <v>1.8</v>
      </c>
      <c r="F2097" s="350"/>
      <c r="G2097" s="350">
        <v>1</v>
      </c>
      <c r="H2097" s="371">
        <f>D2097*E2097*G2097</f>
        <v>2.52</v>
      </c>
      <c r="I2097" s="1567"/>
      <c r="J2097" s="1543"/>
      <c r="K2097" s="1543"/>
      <c r="L2097" s="1543"/>
      <c r="M2097" s="1543"/>
      <c r="N2097" s="1566"/>
    </row>
    <row r="2098" spans="1:14">
      <c r="A2098" s="1612"/>
      <c r="B2098" s="360"/>
      <c r="C2098" s="354"/>
      <c r="D2098" s="341"/>
      <c r="E2098" s="341"/>
      <c r="F2098" s="341"/>
      <c r="G2098" s="341"/>
      <c r="H2098" s="371"/>
      <c r="I2098" s="1567"/>
      <c r="J2098" s="1543"/>
      <c r="K2098" s="1543"/>
      <c r="L2098" s="1543"/>
      <c r="M2098" s="1543"/>
      <c r="N2098" s="1566"/>
    </row>
    <row r="2099" spans="1:14">
      <c r="A2099" s="1611" t="s">
        <v>3620</v>
      </c>
      <c r="B2099" s="360" t="s">
        <v>3626</v>
      </c>
      <c r="C2099" s="354"/>
      <c r="D2099" s="341">
        <v>1.32</v>
      </c>
      <c r="E2099" s="350">
        <v>1.8</v>
      </c>
      <c r="F2099" s="350"/>
      <c r="G2099" s="350">
        <v>2</v>
      </c>
      <c r="H2099" s="371">
        <v>3.22</v>
      </c>
      <c r="I2099" s="1567"/>
      <c r="J2099" s="1543"/>
      <c r="K2099" s="1543"/>
      <c r="L2099" s="1543"/>
      <c r="M2099" s="1543"/>
      <c r="N2099" s="1566"/>
    </row>
    <row r="2100" spans="1:14">
      <c r="A2100" s="1612"/>
      <c r="B2100" s="360"/>
      <c r="C2100" s="354"/>
      <c r="D2100" s="341"/>
      <c r="E2100" s="350"/>
      <c r="F2100" s="350"/>
      <c r="G2100" s="350"/>
      <c r="H2100" s="371"/>
      <c r="I2100" s="1567"/>
      <c r="J2100" s="1543"/>
      <c r="K2100" s="1543"/>
      <c r="L2100" s="1543"/>
      <c r="M2100" s="1543"/>
      <c r="N2100" s="1566"/>
    </row>
    <row r="2101" spans="1:14">
      <c r="A2101" s="1612" t="s">
        <v>3745</v>
      </c>
      <c r="B2101" s="360" t="s">
        <v>3791</v>
      </c>
      <c r="C2101" s="354"/>
      <c r="D2101" s="341">
        <v>0.55000000000000004</v>
      </c>
      <c r="E2101" s="350">
        <v>1.8</v>
      </c>
      <c r="F2101" s="350"/>
      <c r="G2101" s="350">
        <v>3</v>
      </c>
      <c r="H2101" s="371">
        <f>D2101*E2101*G2101</f>
        <v>2.97</v>
      </c>
      <c r="I2101" s="1567"/>
      <c r="J2101" s="1543"/>
      <c r="K2101" s="1543"/>
      <c r="L2101" s="1543"/>
      <c r="M2101" s="1543"/>
      <c r="N2101" s="1566"/>
    </row>
    <row r="2102" spans="1:14">
      <c r="A2102" s="1612"/>
      <c r="B2102" s="360"/>
      <c r="C2102" s="354"/>
      <c r="D2102" s="341">
        <v>1.5</v>
      </c>
      <c r="E2102" s="350">
        <v>1.8</v>
      </c>
      <c r="F2102" s="350"/>
      <c r="G2102" s="350">
        <v>3</v>
      </c>
      <c r="H2102" s="371">
        <f>D2102*E2102*G2102</f>
        <v>8.1000000000000014</v>
      </c>
      <c r="I2102" s="1567"/>
      <c r="J2102" s="1543"/>
      <c r="K2102" s="1543"/>
      <c r="L2102" s="1543"/>
      <c r="M2102" s="1543"/>
      <c r="N2102" s="1566"/>
    </row>
    <row r="2103" spans="1:14">
      <c r="A2103" s="1100" t="s">
        <v>3892</v>
      </c>
      <c r="B2103" s="360" t="s">
        <v>3626</v>
      </c>
      <c r="C2103" s="354"/>
      <c r="D2103" s="341">
        <v>0.59</v>
      </c>
      <c r="E2103" s="350">
        <v>1.8</v>
      </c>
      <c r="F2103" s="350"/>
      <c r="G2103" s="350">
        <v>2</v>
      </c>
      <c r="H2103" s="371">
        <f>D2103*E2103*G2103</f>
        <v>2.1240000000000001</v>
      </c>
      <c r="I2103" s="1567"/>
      <c r="J2103" s="1543"/>
      <c r="K2103" s="1543"/>
      <c r="L2103" s="1543"/>
      <c r="M2103" s="1543"/>
      <c r="N2103" s="1566"/>
    </row>
    <row r="2104" spans="1:14">
      <c r="A2104" s="1203"/>
      <c r="B2104" s="360"/>
      <c r="C2104" s="354"/>
      <c r="D2104" s="341"/>
      <c r="E2104" s="350"/>
      <c r="F2104" s="350"/>
      <c r="G2104" s="350"/>
      <c r="H2104" s="371"/>
      <c r="I2104" s="1567"/>
      <c r="J2104" s="1543"/>
      <c r="K2104" s="1543"/>
      <c r="L2104" s="1543"/>
      <c r="M2104" s="1543"/>
      <c r="N2104" s="1566"/>
    </row>
    <row r="2105" spans="1:14">
      <c r="A2105" s="1608" t="s">
        <v>2218</v>
      </c>
      <c r="B2105" s="1609"/>
      <c r="C2105" s="1609"/>
      <c r="D2105" s="1609"/>
      <c r="E2105" s="1609"/>
      <c r="F2105" s="1609"/>
      <c r="G2105" s="1610"/>
      <c r="H2105" s="271">
        <f>SUM(H2097:H2104)</f>
        <v>18.934000000000001</v>
      </c>
      <c r="I2105" s="1567"/>
      <c r="J2105" s="1543"/>
      <c r="K2105" s="1543"/>
      <c r="L2105" s="1543"/>
      <c r="M2105" s="1543"/>
      <c r="N2105" s="1566"/>
    </row>
    <row r="2106" spans="1:14">
      <c r="A2106" s="1519" t="s">
        <v>2219</v>
      </c>
      <c r="B2106" s="1517"/>
      <c r="C2106" s="1517"/>
      <c r="D2106" s="1517"/>
      <c r="E2106" s="1517"/>
      <c r="F2106" s="1517"/>
      <c r="G2106" s="1518"/>
      <c r="H2106" s="272">
        <f>SUM(H2097:H2102)</f>
        <v>16.810000000000002</v>
      </c>
      <c r="I2106" s="1543"/>
      <c r="J2106" s="1543"/>
      <c r="K2106" s="1543"/>
      <c r="L2106" s="1543"/>
      <c r="M2106" s="1543"/>
      <c r="N2106" s="1566"/>
    </row>
    <row r="2107" spans="1:14" ht="15.75" thickBot="1">
      <c r="A2107" s="1520" t="s">
        <v>2220</v>
      </c>
      <c r="B2107" s="1521"/>
      <c r="C2107" s="1521"/>
      <c r="D2107" s="1521"/>
      <c r="E2107" s="1521"/>
      <c r="F2107" s="1521"/>
      <c r="G2107" s="1522"/>
      <c r="H2107" s="216">
        <v>2.15</v>
      </c>
      <c r="I2107" s="1568"/>
      <c r="J2107" s="1568"/>
      <c r="K2107" s="1568"/>
      <c r="L2107" s="1568"/>
      <c r="M2107" s="1568"/>
      <c r="N2107" s="1569"/>
    </row>
    <row r="2108" spans="1:14" ht="15.75" thickBot="1">
      <c r="A2108" s="1099"/>
      <c r="B2108" s="344"/>
      <c r="C2108" s="343"/>
      <c r="D2108" s="345"/>
      <c r="E2108" s="1265"/>
      <c r="F2108" s="345"/>
      <c r="G2108" s="345"/>
      <c r="H2108" s="219"/>
      <c r="I2108" s="408"/>
      <c r="J2108" s="408"/>
      <c r="K2108" s="408"/>
      <c r="L2108" s="408"/>
      <c r="M2108" s="408"/>
      <c r="N2108" s="409"/>
    </row>
    <row r="2109" spans="1:14" ht="30" customHeight="1">
      <c r="A2109" s="1085" t="s">
        <v>2645</v>
      </c>
      <c r="B2109" s="1494" t="s">
        <v>777</v>
      </c>
      <c r="C2109" s="1495"/>
      <c r="D2109" s="1495"/>
      <c r="E2109" s="1495"/>
      <c r="F2109" s="1495"/>
      <c r="G2109" s="1495"/>
      <c r="H2109" s="1495"/>
      <c r="I2109" s="1495"/>
      <c r="J2109" s="1496"/>
      <c r="K2109" s="196" t="s">
        <v>51</v>
      </c>
      <c r="L2109" s="1497">
        <v>11.89</v>
      </c>
      <c r="M2109" s="1498"/>
      <c r="N2109" s="197">
        <f>L2109-I2175</f>
        <v>-0.94039999999999857</v>
      </c>
    </row>
    <row r="2110" spans="1:14">
      <c r="A2110" s="1554"/>
      <c r="B2110" s="1541"/>
      <c r="C2110" s="366"/>
      <c r="D2110" s="367" t="s">
        <v>2183</v>
      </c>
      <c r="E2110" s="1320" t="s">
        <v>2184</v>
      </c>
      <c r="F2110" s="367" t="s">
        <v>2185</v>
      </c>
      <c r="G2110" s="367" t="s">
        <v>2186</v>
      </c>
      <c r="H2110" s="560"/>
      <c r="I2110" s="1542" t="s">
        <v>476</v>
      </c>
      <c r="J2110" s="1506"/>
      <c r="K2110" s="1506"/>
      <c r="L2110" s="1506"/>
      <c r="M2110" s="1506"/>
      <c r="N2110" s="1507"/>
    </row>
    <row r="2111" spans="1:14">
      <c r="A2111" s="1554"/>
      <c r="B2111" s="1541"/>
      <c r="C2111" s="368" t="s">
        <v>2627</v>
      </c>
      <c r="D2111" s="369" t="s">
        <v>2187</v>
      </c>
      <c r="E2111" s="529" t="s">
        <v>2596</v>
      </c>
      <c r="F2111" s="369" t="s">
        <v>2189</v>
      </c>
      <c r="G2111" s="370" t="s">
        <v>2190</v>
      </c>
      <c r="H2111" s="560"/>
      <c r="I2111" s="1542"/>
      <c r="J2111" s="1509"/>
      <c r="K2111" s="1509"/>
      <c r="L2111" s="1509"/>
      <c r="M2111" s="1509"/>
      <c r="N2111" s="1510"/>
    </row>
    <row r="2112" spans="1:14">
      <c r="A2112" s="1535" t="s">
        <v>2476</v>
      </c>
      <c r="B2112" s="410" t="s">
        <v>2646</v>
      </c>
      <c r="C2112" s="287"/>
      <c r="D2112" s="346">
        <v>1.1000000000000001</v>
      </c>
      <c r="E2112" s="346">
        <v>0.2</v>
      </c>
      <c r="F2112" s="346">
        <v>0.15</v>
      </c>
      <c r="G2112" s="346">
        <v>3</v>
      </c>
      <c r="H2112" s="561"/>
      <c r="I2112" s="562">
        <f>D2112*E2112*F2112*G2112</f>
        <v>9.9000000000000005E-2</v>
      </c>
      <c r="J2112" s="1509"/>
      <c r="K2112" s="1509"/>
      <c r="L2112" s="1509"/>
      <c r="M2112" s="1509"/>
      <c r="N2112" s="1510"/>
    </row>
    <row r="2113" spans="1:14">
      <c r="A2113" s="1529"/>
      <c r="B2113" s="406" t="s">
        <v>2366</v>
      </c>
      <c r="C2113" s="292"/>
      <c r="D2113" s="341">
        <v>1.2</v>
      </c>
      <c r="E2113" s="341">
        <v>0.2</v>
      </c>
      <c r="F2113" s="341">
        <v>0.15</v>
      </c>
      <c r="G2113" s="341">
        <v>1</v>
      </c>
      <c r="I2113" s="564">
        <f>D2113*E2113*F2113*G2113</f>
        <v>3.5999999999999997E-2</v>
      </c>
      <c r="J2113" s="1509"/>
      <c r="K2113" s="1509"/>
      <c r="L2113" s="1509"/>
      <c r="M2113" s="1509"/>
      <c r="N2113" s="1510"/>
    </row>
    <row r="2114" spans="1:14">
      <c r="A2114" s="1529"/>
      <c r="B2114" s="406" t="s">
        <v>2647</v>
      </c>
      <c r="C2114" s="292"/>
      <c r="D2114" s="341">
        <v>1.4</v>
      </c>
      <c r="E2114" s="341">
        <v>0.2</v>
      </c>
      <c r="F2114" s="341">
        <v>0.15</v>
      </c>
      <c r="G2114" s="341">
        <v>1</v>
      </c>
      <c r="I2114" s="564">
        <f>D2114*E2114*F2114*G2114</f>
        <v>4.1999999999999996E-2</v>
      </c>
      <c r="J2114" s="1509"/>
      <c r="K2114" s="1509"/>
      <c r="L2114" s="1509"/>
      <c r="M2114" s="1509"/>
      <c r="N2114" s="1510"/>
    </row>
    <row r="2115" spans="1:14">
      <c r="A2115" s="1529"/>
      <c r="B2115" s="406" t="s">
        <v>2397</v>
      </c>
      <c r="C2115" s="292"/>
      <c r="D2115" s="341">
        <v>1</v>
      </c>
      <c r="E2115" s="341">
        <v>0.2</v>
      </c>
      <c r="F2115" s="341">
        <v>0.15</v>
      </c>
      <c r="G2115" s="341">
        <v>3</v>
      </c>
      <c r="I2115" s="564">
        <f>D2115*E2115*F2115*G2115</f>
        <v>0.09</v>
      </c>
      <c r="J2115" s="1509"/>
      <c r="K2115" s="1509"/>
      <c r="L2115" s="1509"/>
      <c r="M2115" s="1509"/>
      <c r="N2115" s="1510"/>
    </row>
    <row r="2116" spans="1:14">
      <c r="A2116" s="1529"/>
      <c r="B2116" s="413" t="s">
        <v>2386</v>
      </c>
      <c r="C2116" s="294"/>
      <c r="D2116" s="348">
        <v>0.8</v>
      </c>
      <c r="E2116" s="348">
        <v>0.2</v>
      </c>
      <c r="F2116" s="348">
        <v>0.15</v>
      </c>
      <c r="G2116" s="348">
        <v>1</v>
      </c>
      <c r="H2116" s="565"/>
      <c r="I2116" s="566">
        <f>D2116*E2116*F2116*G2116</f>
        <v>2.4000000000000004E-2</v>
      </c>
      <c r="J2116" s="1509"/>
      <c r="K2116" s="1509"/>
      <c r="L2116" s="1509"/>
      <c r="M2116" s="1509"/>
      <c r="N2116" s="1510"/>
    </row>
    <row r="2117" spans="1:14">
      <c r="A2117" s="1514" t="s">
        <v>2662</v>
      </c>
      <c r="B2117" s="410"/>
      <c r="C2117" s="287"/>
      <c r="D2117" s="202"/>
      <c r="E2117" s="346"/>
      <c r="F2117" s="346"/>
      <c r="G2117" s="346"/>
      <c r="H2117" s="561"/>
      <c r="I2117" s="562"/>
      <c r="J2117" s="1509"/>
      <c r="K2117" s="1509"/>
      <c r="L2117" s="1509"/>
      <c r="M2117" s="1509"/>
      <c r="N2117" s="1510"/>
    </row>
    <row r="2118" spans="1:14">
      <c r="A2118" s="1515"/>
      <c r="B2118" s="413" t="s">
        <v>2397</v>
      </c>
      <c r="C2118" s="294"/>
      <c r="D2118" s="348">
        <v>1</v>
      </c>
      <c r="E2118" s="348">
        <v>0.2</v>
      </c>
      <c r="F2118" s="348">
        <v>0.15</v>
      </c>
      <c r="G2118" s="348">
        <v>2</v>
      </c>
      <c r="H2118" s="565"/>
      <c r="I2118" s="566">
        <f>D2118*E2118*F2118*G2118</f>
        <v>0.06</v>
      </c>
      <c r="J2118" s="1509"/>
      <c r="K2118" s="1509"/>
      <c r="L2118" s="1509"/>
      <c r="M2118" s="1509"/>
      <c r="N2118" s="1510"/>
    </row>
    <row r="2119" spans="1:14">
      <c r="A2119" s="1514" t="s">
        <v>2843</v>
      </c>
      <c r="B2119" s="567" t="s">
        <v>2857</v>
      </c>
      <c r="C2119" s="287"/>
      <c r="D2119" s="202"/>
      <c r="E2119" s="346"/>
      <c r="F2119" s="346"/>
      <c r="G2119" s="346"/>
      <c r="H2119" s="561"/>
      <c r="I2119" s="562"/>
      <c r="J2119" s="1509"/>
      <c r="K2119" s="1509"/>
      <c r="L2119" s="1509"/>
      <c r="M2119" s="1509"/>
      <c r="N2119" s="1510"/>
    </row>
    <row r="2120" spans="1:14">
      <c r="A2120" s="1523"/>
      <c r="B2120" s="406" t="s">
        <v>2365</v>
      </c>
      <c r="C2120" s="292"/>
      <c r="D2120" s="198">
        <f>(0.6+0.3*2)</f>
        <v>1.2</v>
      </c>
      <c r="E2120" s="341">
        <v>0.15</v>
      </c>
      <c r="F2120" s="341">
        <v>0.2</v>
      </c>
      <c r="G2120" s="341">
        <v>2</v>
      </c>
      <c r="I2120" s="564">
        <f t="shared" ref="I2120:I2126" si="45">D2120*E2120*F2120*G2120</f>
        <v>7.1999999999999995E-2</v>
      </c>
      <c r="J2120" s="1509"/>
      <c r="K2120" s="1509"/>
      <c r="L2120" s="1509"/>
      <c r="M2120" s="1509"/>
      <c r="N2120" s="1510"/>
    </row>
    <row r="2121" spans="1:14">
      <c r="A2121" s="1523"/>
      <c r="B2121" s="406" t="s">
        <v>2366</v>
      </c>
      <c r="C2121" s="312"/>
      <c r="D2121" s="199">
        <f>(0.8+0.3*2)</f>
        <v>1.4</v>
      </c>
      <c r="E2121" s="351">
        <v>0.15</v>
      </c>
      <c r="F2121" s="351">
        <v>0.2</v>
      </c>
      <c r="G2121" s="351">
        <v>3</v>
      </c>
      <c r="I2121" s="564">
        <f t="shared" si="45"/>
        <v>0.126</v>
      </c>
      <c r="J2121" s="1509"/>
      <c r="K2121" s="1509"/>
      <c r="L2121" s="1509"/>
      <c r="M2121" s="1509"/>
      <c r="N2121" s="1510"/>
    </row>
    <row r="2122" spans="1:14">
      <c r="A2122" s="1523"/>
      <c r="B2122" s="412" t="s">
        <v>2852</v>
      </c>
      <c r="C2122" s="312"/>
      <c r="D2122" s="199">
        <f>(0.9+0.3*2)</f>
        <v>1.5</v>
      </c>
      <c r="E2122" s="351">
        <v>0.15</v>
      </c>
      <c r="F2122" s="351">
        <v>0.2</v>
      </c>
      <c r="G2122" s="351">
        <v>1</v>
      </c>
      <c r="I2122" s="564">
        <f t="shared" si="45"/>
        <v>4.4999999999999998E-2</v>
      </c>
      <c r="J2122" s="1509"/>
      <c r="K2122" s="1509"/>
      <c r="L2122" s="1509"/>
      <c r="M2122" s="1509"/>
      <c r="N2122" s="1510"/>
    </row>
    <row r="2123" spans="1:14">
      <c r="A2123" s="1523"/>
      <c r="B2123" s="412" t="s">
        <v>2853</v>
      </c>
      <c r="C2123" s="312"/>
      <c r="D2123" s="199">
        <f>(0.9+0.3*2)</f>
        <v>1.5</v>
      </c>
      <c r="E2123" s="351">
        <v>0.15</v>
      </c>
      <c r="F2123" s="351">
        <v>0.2</v>
      </c>
      <c r="G2123" s="351">
        <v>2</v>
      </c>
      <c r="I2123" s="568">
        <f t="shared" si="45"/>
        <v>0.09</v>
      </c>
      <c r="J2123" s="1509"/>
      <c r="K2123" s="1509"/>
      <c r="L2123" s="1509"/>
      <c r="M2123" s="1509"/>
      <c r="N2123" s="1510"/>
    </row>
    <row r="2124" spans="1:14">
      <c r="A2124" s="1523"/>
      <c r="B2124" s="412" t="s">
        <v>2854</v>
      </c>
      <c r="C2124" s="312"/>
      <c r="D2124" s="199">
        <f>(0.8+0.3*2)</f>
        <v>1.4</v>
      </c>
      <c r="E2124" s="351">
        <v>0.15</v>
      </c>
      <c r="F2124" s="351">
        <v>0.2</v>
      </c>
      <c r="G2124" s="351">
        <v>2</v>
      </c>
      <c r="I2124" s="568">
        <f t="shared" si="45"/>
        <v>8.4000000000000005E-2</v>
      </c>
      <c r="J2124" s="1509"/>
      <c r="K2124" s="1509"/>
      <c r="L2124" s="1509"/>
      <c r="M2124" s="1509"/>
      <c r="N2124" s="1510"/>
    </row>
    <row r="2125" spans="1:14">
      <c r="A2125" s="1523"/>
      <c r="B2125" s="412" t="s">
        <v>2855</v>
      </c>
      <c r="C2125" s="312"/>
      <c r="D2125" s="199">
        <f>(1.5+0.3*2)</f>
        <v>2.1</v>
      </c>
      <c r="E2125" s="351">
        <v>0.15</v>
      </c>
      <c r="F2125" s="351">
        <v>0.2</v>
      </c>
      <c r="G2125" s="351">
        <v>2</v>
      </c>
      <c r="I2125" s="568">
        <f t="shared" si="45"/>
        <v>0.126</v>
      </c>
      <c r="J2125" s="1509"/>
      <c r="K2125" s="1509"/>
      <c r="L2125" s="1509"/>
      <c r="M2125" s="1509"/>
      <c r="N2125" s="1510"/>
    </row>
    <row r="2126" spans="1:14">
      <c r="A2126" s="1523"/>
      <c r="B2126" s="412" t="s">
        <v>2856</v>
      </c>
      <c r="C2126" s="312"/>
      <c r="D2126" s="199">
        <f>(2+0.3*2)</f>
        <v>2.6</v>
      </c>
      <c r="E2126" s="351">
        <v>0.15</v>
      </c>
      <c r="F2126" s="351">
        <v>0.2</v>
      </c>
      <c r="G2126" s="351">
        <v>2</v>
      </c>
      <c r="I2126" s="568">
        <f t="shared" si="45"/>
        <v>0.15600000000000003</v>
      </c>
      <c r="J2126" s="1509"/>
      <c r="K2126" s="1509"/>
      <c r="L2126" s="1509"/>
      <c r="M2126" s="1509"/>
      <c r="N2126" s="1510"/>
    </row>
    <row r="2127" spans="1:14">
      <c r="A2127" s="1523"/>
      <c r="B2127" s="569" t="s">
        <v>2858</v>
      </c>
      <c r="C2127" s="312"/>
      <c r="D2127" s="199"/>
      <c r="E2127" s="351"/>
      <c r="F2127" s="351"/>
      <c r="G2127" s="351"/>
      <c r="I2127" s="568"/>
      <c r="J2127" s="1509"/>
      <c r="K2127" s="1509"/>
      <c r="L2127" s="1509"/>
      <c r="M2127" s="1509"/>
      <c r="N2127" s="1510"/>
    </row>
    <row r="2128" spans="1:14">
      <c r="A2128" s="1523"/>
      <c r="B2128" s="413" t="s">
        <v>2252</v>
      </c>
      <c r="C2128" s="294"/>
      <c r="D2128" s="203">
        <f>(2+0.3*2)</f>
        <v>2.6</v>
      </c>
      <c r="E2128" s="348">
        <v>0.15</v>
      </c>
      <c r="F2128" s="348">
        <v>0.2</v>
      </c>
      <c r="G2128" s="348">
        <v>2</v>
      </c>
      <c r="H2128" s="565"/>
      <c r="I2128" s="566">
        <f>D2128*E2128*F2128*G2128</f>
        <v>0.15600000000000003</v>
      </c>
      <c r="J2128" s="1509"/>
      <c r="K2128" s="1509"/>
      <c r="L2128" s="1509"/>
      <c r="M2128" s="1509"/>
      <c r="N2128" s="1510"/>
    </row>
    <row r="2129" spans="1:14" ht="30">
      <c r="A2129" s="1514" t="s">
        <v>2997</v>
      </c>
      <c r="B2129" s="570" t="s">
        <v>2727</v>
      </c>
      <c r="C2129" s="211" t="s">
        <v>2923</v>
      </c>
      <c r="D2129" s="211" t="s">
        <v>3044</v>
      </c>
      <c r="E2129" s="211" t="s">
        <v>3045</v>
      </c>
      <c r="F2129" s="211" t="s">
        <v>3046</v>
      </c>
      <c r="G2129" s="211" t="s">
        <v>3047</v>
      </c>
      <c r="H2129" s="571" t="s">
        <v>3048</v>
      </c>
      <c r="I2129" s="572"/>
      <c r="J2129" s="1509"/>
      <c r="K2129" s="1509"/>
      <c r="L2129" s="1509"/>
      <c r="M2129" s="1509"/>
      <c r="N2129" s="1510"/>
    </row>
    <row r="2130" spans="1:14">
      <c r="A2130" s="1523"/>
      <c r="B2130" s="573" t="s">
        <v>3035</v>
      </c>
      <c r="C2130" s="574"/>
      <c r="D2130" s="270"/>
      <c r="E2130" s="575"/>
      <c r="F2130" s="575"/>
      <c r="G2130" s="575"/>
      <c r="H2130" s="576"/>
      <c r="I2130" s="577"/>
      <c r="J2130" s="1509"/>
      <c r="K2130" s="1509"/>
      <c r="L2130" s="1509"/>
      <c r="M2130" s="1509"/>
      <c r="N2130" s="1510"/>
    </row>
    <row r="2131" spans="1:14">
      <c r="A2131" s="1523"/>
      <c r="B2131" s="578" t="s">
        <v>3036</v>
      </c>
      <c r="C2131" s="237">
        <v>0.8</v>
      </c>
      <c r="D2131" s="579">
        <v>0.3</v>
      </c>
      <c r="E2131" s="579">
        <v>1</v>
      </c>
      <c r="F2131" s="579">
        <v>0.2</v>
      </c>
      <c r="G2131" s="237">
        <v>0.15</v>
      </c>
      <c r="H2131" s="580">
        <f>1+1+1+1+1+1+1</f>
        <v>7</v>
      </c>
      <c r="I2131" s="581">
        <f>(C2131+D2131*2)*E2131*F2131*G2131*H2131-I2113-I2121</f>
        <v>0.13200000000000001</v>
      </c>
      <c r="J2131" s="1509"/>
      <c r="K2131" s="1509"/>
      <c r="L2131" s="1509"/>
      <c r="M2131" s="1509"/>
      <c r="N2131" s="1510"/>
    </row>
    <row r="2132" spans="1:14">
      <c r="A2132" s="1523"/>
      <c r="B2132" s="578" t="s">
        <v>3037</v>
      </c>
      <c r="C2132" s="237">
        <v>0.9</v>
      </c>
      <c r="D2132" s="579">
        <v>0.3</v>
      </c>
      <c r="E2132" s="579">
        <v>1</v>
      </c>
      <c r="F2132" s="579">
        <v>0.2</v>
      </c>
      <c r="G2132" s="237">
        <v>0.15</v>
      </c>
      <c r="H2132" s="580">
        <f>1+1+1</f>
        <v>3</v>
      </c>
      <c r="I2132" s="581">
        <f>(C2132+D2132*2)*E2132*F2132*G2132*H2132-I2122</f>
        <v>9.0000000000000011E-2</v>
      </c>
      <c r="J2132" s="1509"/>
      <c r="K2132" s="1509"/>
      <c r="L2132" s="1509"/>
      <c r="M2132" s="1509"/>
      <c r="N2132" s="1510"/>
    </row>
    <row r="2133" spans="1:14">
      <c r="A2133" s="1523"/>
      <c r="B2133" s="578" t="s">
        <v>3038</v>
      </c>
      <c r="C2133" s="237">
        <v>0.6</v>
      </c>
      <c r="D2133" s="579">
        <v>0.3</v>
      </c>
      <c r="E2133" s="579">
        <v>1</v>
      </c>
      <c r="F2133" s="579">
        <v>0.2</v>
      </c>
      <c r="G2133" s="237">
        <v>0.15</v>
      </c>
      <c r="H2133" s="580">
        <v>2</v>
      </c>
      <c r="I2133" s="581">
        <f>(C2133+D2133*2)*E2133*F2133*G2133*H2133</f>
        <v>7.1999999999999995E-2</v>
      </c>
      <c r="J2133" s="1509"/>
      <c r="K2133" s="1509"/>
      <c r="L2133" s="1509"/>
      <c r="M2133" s="1509"/>
      <c r="N2133" s="1510"/>
    </row>
    <row r="2134" spans="1:14">
      <c r="A2134" s="1523"/>
      <c r="B2134" s="578" t="s">
        <v>3039</v>
      </c>
      <c r="C2134" s="237">
        <v>0.9</v>
      </c>
      <c r="D2134" s="579">
        <v>0.3</v>
      </c>
      <c r="E2134" s="579">
        <v>1</v>
      </c>
      <c r="F2134" s="579">
        <v>0.2</v>
      </c>
      <c r="G2134" s="237">
        <v>0.15</v>
      </c>
      <c r="H2134" s="580">
        <v>1</v>
      </c>
      <c r="I2134" s="581">
        <f>(C2134+D2134*2)*E2134*F2134*G2134*H2134</f>
        <v>4.5000000000000005E-2</v>
      </c>
      <c r="J2134" s="1509"/>
      <c r="K2134" s="1509"/>
      <c r="L2134" s="1509"/>
      <c r="M2134" s="1509"/>
      <c r="N2134" s="1510"/>
    </row>
    <row r="2135" spans="1:14">
      <c r="A2135" s="1523"/>
      <c r="B2135" s="582" t="s">
        <v>3040</v>
      </c>
      <c r="C2135" s="237"/>
      <c r="D2135" s="583"/>
      <c r="E2135" s="579"/>
      <c r="F2135" s="579"/>
      <c r="G2135" s="237"/>
      <c r="H2135" s="580"/>
      <c r="I2135" s="581"/>
      <c r="J2135" s="1509"/>
      <c r="K2135" s="1509"/>
      <c r="L2135" s="1509"/>
      <c r="M2135" s="1509"/>
      <c r="N2135" s="1510"/>
    </row>
    <row r="2136" spans="1:14">
      <c r="A2136" s="1523"/>
      <c r="B2136" s="578" t="s">
        <v>2853</v>
      </c>
      <c r="C2136" s="237">
        <v>0.9</v>
      </c>
      <c r="D2136" s="583">
        <v>0.3</v>
      </c>
      <c r="E2136" s="579">
        <v>2</v>
      </c>
      <c r="F2136" s="579">
        <v>0.2</v>
      </c>
      <c r="G2136" s="237">
        <v>0.15</v>
      </c>
      <c r="H2136" s="580">
        <f>1+1</f>
        <v>2</v>
      </c>
      <c r="I2136" s="581">
        <f>(C2136+D2136*2)*E2136*F2136*G2136*H2136-I2123</f>
        <v>9.0000000000000024E-2</v>
      </c>
      <c r="J2136" s="1509"/>
      <c r="K2136" s="1509"/>
      <c r="L2136" s="1509"/>
      <c r="M2136" s="1509"/>
      <c r="N2136" s="1510"/>
    </row>
    <row r="2137" spans="1:14">
      <c r="A2137" s="1523"/>
      <c r="B2137" s="578" t="s">
        <v>3041</v>
      </c>
      <c r="C2137" s="237">
        <v>1</v>
      </c>
      <c r="D2137" s="583">
        <v>0.3</v>
      </c>
      <c r="E2137" s="579">
        <v>2</v>
      </c>
      <c r="F2137" s="579">
        <v>0.2</v>
      </c>
      <c r="G2137" s="237">
        <v>0.15</v>
      </c>
      <c r="H2137" s="580">
        <f>1+1</f>
        <v>2</v>
      </c>
      <c r="I2137" s="581">
        <f>(C2137+D2137*2)*E2137*F2137*G2137*H2137</f>
        <v>0.19200000000000003</v>
      </c>
      <c r="J2137" s="1509"/>
      <c r="K2137" s="1509"/>
      <c r="L2137" s="1509"/>
      <c r="M2137" s="1509"/>
      <c r="N2137" s="1510"/>
    </row>
    <row r="2138" spans="1:14">
      <c r="A2138" s="1523"/>
      <c r="B2138" s="578" t="s">
        <v>3042</v>
      </c>
      <c r="C2138" s="237">
        <v>1.6</v>
      </c>
      <c r="D2138" s="583">
        <v>0.3</v>
      </c>
      <c r="E2138" s="579">
        <v>2</v>
      </c>
      <c r="F2138" s="579">
        <v>0.2</v>
      </c>
      <c r="G2138" s="237">
        <v>0.15</v>
      </c>
      <c r="H2138" s="580">
        <f>1</f>
        <v>1</v>
      </c>
      <c r="I2138" s="581">
        <f>(C2138+D2138*2)*E2138*F2138*G2138*H2138</f>
        <v>0.13200000000000001</v>
      </c>
      <c r="J2138" s="1509"/>
      <c r="K2138" s="1509"/>
      <c r="L2138" s="1509"/>
      <c r="M2138" s="1509"/>
      <c r="N2138" s="1510"/>
    </row>
    <row r="2139" spans="1:14">
      <c r="A2139" s="1523"/>
      <c r="B2139" s="582" t="s">
        <v>3043</v>
      </c>
      <c r="C2139" s="237"/>
      <c r="D2139" s="583"/>
      <c r="E2139" s="579"/>
      <c r="F2139" s="579"/>
      <c r="G2139" s="237"/>
      <c r="H2139" s="580"/>
      <c r="I2139" s="581"/>
      <c r="J2139" s="1509"/>
      <c r="K2139" s="1509"/>
      <c r="L2139" s="1509"/>
      <c r="M2139" s="1509"/>
      <c r="N2139" s="1510"/>
    </row>
    <row r="2140" spans="1:14">
      <c r="A2140" s="1523"/>
      <c r="B2140" s="578" t="s">
        <v>2854</v>
      </c>
      <c r="C2140" s="237">
        <v>0.8</v>
      </c>
      <c r="D2140" s="583">
        <v>0.3</v>
      </c>
      <c r="E2140" s="579">
        <v>2</v>
      </c>
      <c r="F2140" s="579">
        <v>0.2</v>
      </c>
      <c r="G2140" s="237">
        <v>0.15</v>
      </c>
      <c r="H2140" s="580">
        <f>1+1+1+1+1</f>
        <v>5</v>
      </c>
      <c r="I2140" s="581">
        <f>(C2140+D2140*2)*E2140*F2140*G2140*H2140</f>
        <v>0.41999999999999993</v>
      </c>
      <c r="J2140" s="1509"/>
      <c r="K2140" s="1509"/>
      <c r="L2140" s="1509"/>
      <c r="M2140" s="1509"/>
      <c r="N2140" s="1510"/>
    </row>
    <row r="2141" spans="1:14">
      <c r="A2141" s="1523"/>
      <c r="B2141" s="578"/>
      <c r="C2141" s="237"/>
      <c r="D2141" s="583"/>
      <c r="E2141" s="579"/>
      <c r="F2141" s="579"/>
      <c r="G2141" s="237"/>
      <c r="H2141" s="580"/>
      <c r="I2141" s="581"/>
      <c r="J2141" s="1509"/>
      <c r="K2141" s="1509"/>
      <c r="L2141" s="1509"/>
      <c r="M2141" s="1509"/>
      <c r="N2141" s="1510"/>
    </row>
    <row r="2142" spans="1:14">
      <c r="A2142" s="1523"/>
      <c r="B2142" s="487" t="s">
        <v>2929</v>
      </c>
      <c r="C2142" s="237"/>
      <c r="D2142" s="583"/>
      <c r="E2142" s="579"/>
      <c r="F2142" s="579"/>
      <c r="G2142" s="237"/>
      <c r="H2142" s="580"/>
      <c r="I2142" s="581"/>
      <c r="J2142" s="1509"/>
      <c r="K2142" s="1509"/>
      <c r="L2142" s="1509"/>
      <c r="M2142" s="1509"/>
      <c r="N2142" s="1510"/>
    </row>
    <row r="2143" spans="1:14">
      <c r="A2143" s="1523"/>
      <c r="B2143" s="582" t="s">
        <v>3035</v>
      </c>
      <c r="C2143" s="237"/>
      <c r="D2143" s="583"/>
      <c r="E2143" s="579"/>
      <c r="F2143" s="579"/>
      <c r="G2143" s="237"/>
      <c r="H2143" s="580"/>
      <c r="I2143" s="581"/>
      <c r="J2143" s="1509"/>
      <c r="K2143" s="1509"/>
      <c r="L2143" s="1509"/>
      <c r="M2143" s="1509"/>
      <c r="N2143" s="1510"/>
    </row>
    <row r="2144" spans="1:14">
      <c r="A2144" s="1523"/>
      <c r="B2144" s="578" t="s">
        <v>2646</v>
      </c>
      <c r="C2144" s="237">
        <v>0.6</v>
      </c>
      <c r="D2144" s="583">
        <v>0.3</v>
      </c>
      <c r="E2144" s="579">
        <v>1</v>
      </c>
      <c r="F2144" s="579">
        <v>0.2</v>
      </c>
      <c r="G2144" s="237">
        <v>0.15</v>
      </c>
      <c r="H2144" s="580">
        <f>1+1</f>
        <v>2</v>
      </c>
      <c r="I2144" s="581">
        <f>(C2144+D2144*2)*E2144*F2144*G2144*H2144</f>
        <v>7.1999999999999995E-2</v>
      </c>
      <c r="J2144" s="1509"/>
      <c r="K2144" s="1509"/>
      <c r="L2144" s="1509"/>
      <c r="M2144" s="1509"/>
      <c r="N2144" s="1510"/>
    </row>
    <row r="2145" spans="1:14">
      <c r="A2145" s="1523"/>
      <c r="B2145" s="578" t="s">
        <v>3049</v>
      </c>
      <c r="C2145" s="237">
        <v>0.6</v>
      </c>
      <c r="D2145" s="583">
        <v>0.3</v>
      </c>
      <c r="E2145" s="579">
        <v>1</v>
      </c>
      <c r="F2145" s="579">
        <v>0.2</v>
      </c>
      <c r="G2145" s="237">
        <v>0.15</v>
      </c>
      <c r="H2145" s="580">
        <f>1</f>
        <v>1</v>
      </c>
      <c r="I2145" s="581">
        <f>(C2145+D2145*2)*E2145*F2145*G2145*H2145</f>
        <v>3.5999999999999997E-2</v>
      </c>
      <c r="J2145" s="1509"/>
      <c r="K2145" s="1509"/>
      <c r="L2145" s="1509"/>
      <c r="M2145" s="1509"/>
      <c r="N2145" s="1510"/>
    </row>
    <row r="2146" spans="1:14">
      <c r="A2146" s="1523"/>
      <c r="B2146" s="578" t="s">
        <v>3036</v>
      </c>
      <c r="C2146" s="237">
        <v>0.8</v>
      </c>
      <c r="D2146" s="583">
        <v>0.3</v>
      </c>
      <c r="E2146" s="579">
        <v>1</v>
      </c>
      <c r="F2146" s="579">
        <v>0.2</v>
      </c>
      <c r="G2146" s="237">
        <v>0.15</v>
      </c>
      <c r="H2146" s="580">
        <f>1</f>
        <v>1</v>
      </c>
      <c r="I2146" s="581">
        <f>(C2146+D2146*2)*E2146*F2146*G2146*H2146</f>
        <v>4.1999999999999996E-2</v>
      </c>
      <c r="J2146" s="1509"/>
      <c r="K2146" s="1509"/>
      <c r="L2146" s="1509"/>
      <c r="M2146" s="1509"/>
      <c r="N2146" s="1510"/>
    </row>
    <row r="2147" spans="1:14">
      <c r="A2147" s="1523"/>
      <c r="B2147" s="578" t="s">
        <v>3037</v>
      </c>
      <c r="C2147" s="237">
        <v>0.9</v>
      </c>
      <c r="D2147" s="583">
        <v>0.3</v>
      </c>
      <c r="E2147" s="579">
        <v>1</v>
      </c>
      <c r="F2147" s="579">
        <v>0.2</v>
      </c>
      <c r="G2147" s="237">
        <v>0.15</v>
      </c>
      <c r="H2147" s="580">
        <f>1+1</f>
        <v>2</v>
      </c>
      <c r="I2147" s="581">
        <f>(C2147+D2147*2)*E2147*F2147*G2147*H2147</f>
        <v>9.0000000000000011E-2</v>
      </c>
      <c r="J2147" s="1509"/>
      <c r="K2147" s="1509"/>
      <c r="L2147" s="1509"/>
      <c r="M2147" s="1509"/>
      <c r="N2147" s="1510"/>
    </row>
    <row r="2148" spans="1:14">
      <c r="A2148" s="1523"/>
      <c r="B2148" s="578" t="s">
        <v>2647</v>
      </c>
      <c r="C2148" s="237">
        <v>1</v>
      </c>
      <c r="D2148" s="583">
        <v>0.3</v>
      </c>
      <c r="E2148" s="579">
        <v>1</v>
      </c>
      <c r="F2148" s="579">
        <v>0.2</v>
      </c>
      <c r="G2148" s="237">
        <v>0.15</v>
      </c>
      <c r="H2148" s="580">
        <v>1</v>
      </c>
      <c r="I2148" s="581">
        <f>(C2148+D2148*2)*E2148*F2148*G2148*H2148</f>
        <v>4.8000000000000008E-2</v>
      </c>
      <c r="J2148" s="1509"/>
      <c r="K2148" s="1509"/>
      <c r="L2148" s="1509"/>
      <c r="M2148" s="1509"/>
      <c r="N2148" s="1510"/>
    </row>
    <row r="2149" spans="1:14">
      <c r="A2149" s="1523"/>
      <c r="B2149" s="582" t="s">
        <v>3040</v>
      </c>
      <c r="C2149" s="237"/>
      <c r="D2149" s="583"/>
      <c r="E2149" s="579"/>
      <c r="F2149" s="579"/>
      <c r="G2149" s="237"/>
      <c r="H2149" s="580"/>
      <c r="I2149" s="581"/>
      <c r="J2149" s="1509"/>
      <c r="K2149" s="1509"/>
      <c r="L2149" s="1509"/>
      <c r="M2149" s="1509"/>
      <c r="N2149" s="1510"/>
    </row>
    <row r="2150" spans="1:14">
      <c r="A2150" s="1523"/>
      <c r="B2150" s="578" t="s">
        <v>2395</v>
      </c>
      <c r="C2150" s="237">
        <v>1.8</v>
      </c>
      <c r="D2150" s="583">
        <v>0.3</v>
      </c>
      <c r="E2150" s="579">
        <v>2</v>
      </c>
      <c r="F2150" s="579">
        <v>0.2</v>
      </c>
      <c r="G2150" s="237">
        <v>0.15</v>
      </c>
      <c r="H2150" s="580">
        <v>1</v>
      </c>
      <c r="I2150" s="581">
        <f>(C2150+D2150*2)*E2150*F2150*G2150*H2150</f>
        <v>0.14399999999999999</v>
      </c>
      <c r="J2150" s="1509"/>
      <c r="K2150" s="1509"/>
      <c r="L2150" s="1509"/>
      <c r="M2150" s="1509"/>
      <c r="N2150" s="1510"/>
    </row>
    <row r="2151" spans="1:14">
      <c r="A2151" s="1523"/>
      <c r="B2151" s="578" t="s">
        <v>2252</v>
      </c>
      <c r="C2151" s="237">
        <v>2</v>
      </c>
      <c r="D2151" s="583">
        <v>0.3</v>
      </c>
      <c r="E2151" s="579">
        <v>2</v>
      </c>
      <c r="F2151" s="579">
        <v>0.2</v>
      </c>
      <c r="G2151" s="237">
        <v>0.15</v>
      </c>
      <c r="H2151" s="580">
        <v>2</v>
      </c>
      <c r="I2151" s="581">
        <f>(C2151+D2151*2)*E2151*F2151*G2151*H2151</f>
        <v>0.312</v>
      </c>
      <c r="J2151" s="1509"/>
      <c r="K2151" s="1509"/>
      <c r="L2151" s="1509"/>
      <c r="M2151" s="1509"/>
      <c r="N2151" s="1510"/>
    </row>
    <row r="2152" spans="1:14">
      <c r="A2152" s="1523"/>
      <c r="B2152" s="582" t="s">
        <v>3043</v>
      </c>
      <c r="C2152" s="237"/>
      <c r="D2152" s="579"/>
      <c r="E2152" s="579"/>
      <c r="F2152" s="579"/>
      <c r="G2152" s="237"/>
      <c r="H2152" s="580"/>
      <c r="I2152" s="581"/>
      <c r="J2152" s="1509"/>
      <c r="K2152" s="1509"/>
      <c r="L2152" s="1509"/>
      <c r="M2152" s="1509"/>
      <c r="N2152" s="1510"/>
    </row>
    <row r="2153" spans="1:14">
      <c r="A2153" s="1523"/>
      <c r="B2153" s="578" t="s">
        <v>2258</v>
      </c>
      <c r="C2153" s="237">
        <v>0.55000000000000004</v>
      </c>
      <c r="D2153" s="579">
        <v>0.3</v>
      </c>
      <c r="E2153" s="579">
        <v>2</v>
      </c>
      <c r="F2153" s="579">
        <v>0.2</v>
      </c>
      <c r="G2153" s="237">
        <v>0.15</v>
      </c>
      <c r="H2153" s="580">
        <v>2</v>
      </c>
      <c r="I2153" s="581">
        <f>(C2153+D2153*2)*E2153*F2153*G2153*H2153</f>
        <v>0.13799999999999998</v>
      </c>
      <c r="J2153" s="1509"/>
      <c r="K2153" s="1509"/>
      <c r="L2153" s="1509"/>
      <c r="M2153" s="1509"/>
      <c r="N2153" s="1510"/>
    </row>
    <row r="2154" spans="1:14">
      <c r="A2154" s="1523"/>
      <c r="B2154" s="578" t="s">
        <v>2854</v>
      </c>
      <c r="C2154" s="237">
        <v>0.8</v>
      </c>
      <c r="D2154" s="583">
        <v>0.3</v>
      </c>
      <c r="E2154" s="579">
        <v>2</v>
      </c>
      <c r="F2154" s="579">
        <v>0.2</v>
      </c>
      <c r="G2154" s="237">
        <v>0.15</v>
      </c>
      <c r="H2154" s="580">
        <f>1+1+1</f>
        <v>3</v>
      </c>
      <c r="I2154" s="581">
        <f>(C2154+D2154*2)*E2154*F2154*G2154*H2154</f>
        <v>0.252</v>
      </c>
      <c r="J2154" s="1509"/>
      <c r="K2154" s="1509"/>
      <c r="L2154" s="1509"/>
      <c r="M2154" s="1509"/>
      <c r="N2154" s="1510"/>
    </row>
    <row r="2155" spans="1:14">
      <c r="A2155" s="1523"/>
      <c r="B2155" s="578" t="s">
        <v>3050</v>
      </c>
      <c r="C2155" s="237">
        <v>0.8</v>
      </c>
      <c r="D2155" s="583">
        <v>0.3</v>
      </c>
      <c r="E2155" s="579">
        <v>2</v>
      </c>
      <c r="F2155" s="579">
        <v>0.2</v>
      </c>
      <c r="G2155" s="237">
        <v>0.25</v>
      </c>
      <c r="H2155" s="580">
        <v>1</v>
      </c>
      <c r="I2155" s="581">
        <f>(C2155+D2155*2)*E2155*F2155*G2155*H2155</f>
        <v>0.13999999999999999</v>
      </c>
      <c r="J2155" s="1509"/>
      <c r="K2155" s="1509"/>
      <c r="L2155" s="1509"/>
      <c r="M2155" s="1509"/>
      <c r="N2155" s="1510"/>
    </row>
    <row r="2156" spans="1:14">
      <c r="A2156" s="1523"/>
      <c r="B2156" s="582" t="s">
        <v>3051</v>
      </c>
      <c r="C2156" s="237"/>
      <c r="D2156" s="583"/>
      <c r="E2156" s="579"/>
      <c r="F2156" s="579"/>
      <c r="G2156" s="237"/>
      <c r="H2156" s="580"/>
      <c r="I2156" s="581"/>
      <c r="J2156" s="1509"/>
      <c r="K2156" s="1509"/>
      <c r="L2156" s="1509"/>
      <c r="M2156" s="1509"/>
      <c r="N2156" s="1510"/>
    </row>
    <row r="2157" spans="1:14">
      <c r="A2157" s="1515"/>
      <c r="B2157" s="584" t="s">
        <v>3052</v>
      </c>
      <c r="C2157" s="585">
        <v>8.5399999999999991</v>
      </c>
      <c r="D2157" s="586">
        <v>0.5</v>
      </c>
      <c r="E2157" s="587">
        <v>2</v>
      </c>
      <c r="F2157" s="587">
        <v>0.2</v>
      </c>
      <c r="G2157" s="585">
        <v>0.15</v>
      </c>
      <c r="H2157" s="588">
        <v>2</v>
      </c>
      <c r="I2157" s="589">
        <f>(C2157+D2157*2)*E2157*F2157*G2157*H2157</f>
        <v>1.1447999999999998</v>
      </c>
      <c r="J2157" s="1509"/>
      <c r="K2157" s="1509"/>
      <c r="L2157" s="1509"/>
      <c r="M2157" s="1509"/>
      <c r="N2157" s="1510"/>
    </row>
    <row r="2158" spans="1:14" ht="30">
      <c r="A2158" s="1514" t="s">
        <v>3217</v>
      </c>
      <c r="B2158" s="570" t="s">
        <v>2727</v>
      </c>
      <c r="C2158" s="211" t="s">
        <v>2923</v>
      </c>
      <c r="D2158" s="211" t="s">
        <v>3044</v>
      </c>
      <c r="E2158" s="211" t="s">
        <v>3045</v>
      </c>
      <c r="F2158" s="211" t="s">
        <v>3046</v>
      </c>
      <c r="G2158" s="211" t="s">
        <v>3047</v>
      </c>
      <c r="H2158" s="571" t="s">
        <v>3048</v>
      </c>
      <c r="I2158" s="572"/>
      <c r="J2158" s="1509"/>
      <c r="K2158" s="1509"/>
      <c r="L2158" s="1509"/>
      <c r="M2158" s="1509"/>
      <c r="N2158" s="1510"/>
    </row>
    <row r="2159" spans="1:14">
      <c r="A2159" s="1523"/>
      <c r="B2159" s="573" t="s">
        <v>3225</v>
      </c>
      <c r="C2159" s="574"/>
      <c r="D2159" s="270"/>
      <c r="E2159" s="575"/>
      <c r="F2159" s="575"/>
      <c r="G2159" s="575"/>
      <c r="H2159" s="576"/>
      <c r="I2159" s="577"/>
      <c r="J2159" s="1509"/>
      <c r="K2159" s="1509"/>
      <c r="L2159" s="1509"/>
      <c r="M2159" s="1509"/>
      <c r="N2159" s="1510"/>
    </row>
    <row r="2160" spans="1:14">
      <c r="A2160" s="1523"/>
      <c r="B2160" s="578" t="s">
        <v>3226</v>
      </c>
      <c r="C2160" s="237">
        <v>4.22</v>
      </c>
      <c r="D2160" s="579">
        <v>0.4</v>
      </c>
      <c r="E2160" s="579">
        <v>1</v>
      </c>
      <c r="F2160" s="579">
        <v>0.2</v>
      </c>
      <c r="G2160" s="237">
        <v>0.15</v>
      </c>
      <c r="H2160" s="580">
        <v>1</v>
      </c>
      <c r="I2160" s="581">
        <f>(C2160+D2160*2)*E2160*F2160*G2160*H2160</f>
        <v>0.15059999999999998</v>
      </c>
      <c r="J2160" s="1509"/>
      <c r="K2160" s="1509"/>
      <c r="L2160" s="1509"/>
      <c r="M2160" s="1509"/>
      <c r="N2160" s="1510"/>
    </row>
    <row r="2161" spans="1:14">
      <c r="A2161" s="1523"/>
      <c r="B2161" s="582" t="s">
        <v>3040</v>
      </c>
      <c r="C2161" s="237"/>
      <c r="D2161" s="583"/>
      <c r="E2161" s="579"/>
      <c r="F2161" s="579"/>
      <c r="G2161" s="237"/>
      <c r="H2161" s="580"/>
      <c r="I2161" s="581"/>
      <c r="J2161" s="1509"/>
      <c r="K2161" s="1509"/>
      <c r="L2161" s="1509"/>
      <c r="M2161" s="1509"/>
      <c r="N2161" s="1510"/>
    </row>
    <row r="2162" spans="1:14">
      <c r="A2162" s="1523"/>
      <c r="B2162" s="578" t="s">
        <v>3227</v>
      </c>
      <c r="C2162" s="237">
        <v>8.8000000000000007</v>
      </c>
      <c r="D2162" s="583">
        <v>0.3</v>
      </c>
      <c r="E2162" s="579">
        <v>2</v>
      </c>
      <c r="F2162" s="579">
        <v>0.2</v>
      </c>
      <c r="G2162" s="237">
        <v>0.15</v>
      </c>
      <c r="H2162" s="580">
        <v>1</v>
      </c>
      <c r="I2162" s="581">
        <f>(C2162+D2162*2)*E2162*F2162*G2162*H2162-I2152</f>
        <v>0.56400000000000006</v>
      </c>
      <c r="J2162" s="1509"/>
      <c r="K2162" s="1509"/>
      <c r="L2162" s="1509"/>
      <c r="M2162" s="1509"/>
      <c r="N2162" s="1510"/>
    </row>
    <row r="2163" spans="1:14">
      <c r="A2163" s="1523"/>
      <c r="B2163" s="582" t="s">
        <v>3043</v>
      </c>
      <c r="C2163" s="237"/>
      <c r="D2163" s="583"/>
      <c r="E2163" s="579"/>
      <c r="F2163" s="579"/>
      <c r="G2163" s="237"/>
      <c r="H2163" s="580"/>
      <c r="I2163" s="581"/>
      <c r="J2163" s="1509"/>
      <c r="K2163" s="1509"/>
      <c r="L2163" s="1509"/>
      <c r="M2163" s="1509"/>
      <c r="N2163" s="1510"/>
    </row>
    <row r="2164" spans="1:14">
      <c r="A2164" s="1523"/>
      <c r="B2164" s="578" t="s">
        <v>2855</v>
      </c>
      <c r="C2164" s="237">
        <v>1.5</v>
      </c>
      <c r="D2164" s="583">
        <v>0.3</v>
      </c>
      <c r="E2164" s="579">
        <v>2</v>
      </c>
      <c r="F2164" s="579">
        <v>0.2</v>
      </c>
      <c r="G2164" s="237">
        <v>0.15</v>
      </c>
      <c r="H2164" s="580">
        <v>1</v>
      </c>
      <c r="I2164" s="581">
        <f>(C2164+D2164*2)*E2164*F2164*G2164*H2164</f>
        <v>0.126</v>
      </c>
      <c r="J2164" s="1509"/>
      <c r="K2164" s="1509"/>
      <c r="L2164" s="1509"/>
      <c r="M2164" s="1509"/>
      <c r="N2164" s="1510"/>
    </row>
    <row r="2165" spans="1:14">
      <c r="A2165" s="1523"/>
      <c r="B2165" s="578" t="s">
        <v>2856</v>
      </c>
      <c r="C2165" s="237">
        <v>2</v>
      </c>
      <c r="D2165" s="583">
        <v>0.3</v>
      </c>
      <c r="E2165" s="579">
        <v>2</v>
      </c>
      <c r="F2165" s="579">
        <v>0.2</v>
      </c>
      <c r="G2165" s="237">
        <v>0.15</v>
      </c>
      <c r="H2165" s="580">
        <v>1</v>
      </c>
      <c r="I2165" s="581">
        <f>(C2165+D2165*2)*E2165*F2165*G2165*H2165</f>
        <v>0.156</v>
      </c>
      <c r="J2165" s="1509"/>
      <c r="K2165" s="1509"/>
      <c r="L2165" s="1509"/>
      <c r="M2165" s="1509"/>
      <c r="N2165" s="1510"/>
    </row>
    <row r="2166" spans="1:14">
      <c r="A2166" s="1523"/>
      <c r="B2166" s="578" t="s">
        <v>3228</v>
      </c>
      <c r="C2166" s="237">
        <v>3</v>
      </c>
      <c r="D2166" s="583">
        <v>0.3</v>
      </c>
      <c r="E2166" s="579">
        <v>2</v>
      </c>
      <c r="F2166" s="579">
        <v>0.2</v>
      </c>
      <c r="G2166" s="237">
        <v>0.15</v>
      </c>
      <c r="H2166" s="580">
        <v>1</v>
      </c>
      <c r="I2166" s="581">
        <f>(C2166+D2166*2)*E2166*F2166*G2166*H2166</f>
        <v>0.21600000000000003</v>
      </c>
      <c r="J2166" s="1509"/>
      <c r="K2166" s="1509"/>
      <c r="L2166" s="1509"/>
      <c r="M2166" s="1509"/>
      <c r="N2166" s="1510"/>
    </row>
    <row r="2167" spans="1:14">
      <c r="A2167" s="1523"/>
      <c r="B2167" s="578"/>
      <c r="C2167" s="237"/>
      <c r="D2167" s="583"/>
      <c r="E2167" s="579"/>
      <c r="F2167" s="579"/>
      <c r="G2167" s="237"/>
      <c r="H2167" s="580"/>
      <c r="I2167" s="581"/>
      <c r="J2167" s="1509"/>
      <c r="K2167" s="1509"/>
      <c r="L2167" s="1509"/>
      <c r="M2167" s="1509"/>
      <c r="N2167" s="1510"/>
    </row>
    <row r="2168" spans="1:14">
      <c r="A2168" s="1523"/>
      <c r="B2168" s="487" t="s">
        <v>2929</v>
      </c>
      <c r="C2168" s="237"/>
      <c r="D2168" s="583"/>
      <c r="E2168" s="579"/>
      <c r="F2168" s="579"/>
      <c r="G2168" s="237"/>
      <c r="H2168" s="580"/>
      <c r="I2168" s="581"/>
      <c r="J2168" s="1509"/>
      <c r="K2168" s="1509"/>
      <c r="L2168" s="1509"/>
      <c r="M2168" s="1509"/>
      <c r="N2168" s="1510"/>
    </row>
    <row r="2169" spans="1:14">
      <c r="A2169" s="1523"/>
      <c r="B2169" s="582" t="s">
        <v>3040</v>
      </c>
      <c r="C2169" s="237"/>
      <c r="D2169" s="583"/>
      <c r="E2169" s="579"/>
      <c r="F2169" s="579"/>
      <c r="G2169" s="237"/>
      <c r="H2169" s="580"/>
      <c r="I2169" s="581"/>
      <c r="J2169" s="1509"/>
      <c r="K2169" s="1509"/>
      <c r="L2169" s="1509"/>
      <c r="M2169" s="1509"/>
      <c r="N2169" s="1510"/>
    </row>
    <row r="2170" spans="1:14">
      <c r="A2170" s="1523"/>
      <c r="B2170" s="578" t="s">
        <v>2396</v>
      </c>
      <c r="C2170" s="237">
        <v>11.4</v>
      </c>
      <c r="D2170" s="583">
        <v>0.3</v>
      </c>
      <c r="E2170" s="579">
        <v>2</v>
      </c>
      <c r="F2170" s="579">
        <v>0.2</v>
      </c>
      <c r="G2170" s="237">
        <v>0.15</v>
      </c>
      <c r="H2170" s="580">
        <v>2</v>
      </c>
      <c r="I2170" s="581">
        <f>(C2170+D2170*2)*E2170*F2170*G2170*H2170</f>
        <v>1.4400000000000002</v>
      </c>
      <c r="J2170" s="1509"/>
      <c r="K2170" s="1509"/>
      <c r="L2170" s="1509"/>
      <c r="M2170" s="1509"/>
      <c r="N2170" s="1510"/>
    </row>
    <row r="2171" spans="1:14" ht="30">
      <c r="A2171" s="1514" t="s">
        <v>3364</v>
      </c>
      <c r="B2171" s="570"/>
      <c r="C2171" s="211" t="s">
        <v>2923</v>
      </c>
      <c r="D2171" s="211" t="s">
        <v>3044</v>
      </c>
      <c r="E2171" s="211" t="s">
        <v>3045</v>
      </c>
      <c r="F2171" s="211" t="s">
        <v>3046</v>
      </c>
      <c r="G2171" s="211" t="s">
        <v>3047</v>
      </c>
      <c r="H2171" s="571" t="s">
        <v>3048</v>
      </c>
      <c r="I2171" s="572"/>
      <c r="J2171" s="1509"/>
      <c r="K2171" s="1509"/>
      <c r="L2171" s="1509"/>
      <c r="M2171" s="1509"/>
      <c r="N2171" s="1510"/>
    </row>
    <row r="2172" spans="1:14">
      <c r="A2172" s="1523"/>
      <c r="B2172" s="578" t="s">
        <v>3167</v>
      </c>
      <c r="C2172" s="237"/>
      <c r="D2172" s="579"/>
      <c r="E2172" s="579"/>
      <c r="F2172" s="579"/>
      <c r="G2172" s="237"/>
      <c r="H2172" s="580"/>
      <c r="I2172" s="581">
        <v>4.4400000000000004</v>
      </c>
      <c r="J2172" s="1509"/>
      <c r="K2172" s="1509"/>
      <c r="L2172" s="1509"/>
      <c r="M2172" s="1509"/>
      <c r="N2172" s="1510"/>
    </row>
    <row r="2173" spans="1:14">
      <c r="A2173" s="1090" t="s">
        <v>3850</v>
      </c>
      <c r="B2173" s="582" t="s">
        <v>3852</v>
      </c>
      <c r="C2173" s="237"/>
      <c r="D2173" s="583"/>
      <c r="E2173" s="579"/>
      <c r="F2173" s="579"/>
      <c r="G2173" s="237"/>
      <c r="H2173" s="580"/>
      <c r="I2173" s="581">
        <v>0.94</v>
      </c>
      <c r="J2173" s="1509"/>
      <c r="K2173" s="1509"/>
      <c r="L2173" s="1509"/>
      <c r="M2173" s="1509"/>
      <c r="N2173" s="1510"/>
    </row>
    <row r="2174" spans="1:14">
      <c r="A2174" s="1090"/>
      <c r="B2174" s="578"/>
      <c r="C2174" s="237"/>
      <c r="D2174" s="583"/>
      <c r="E2174" s="579"/>
      <c r="F2174" s="579"/>
      <c r="G2174" s="237"/>
      <c r="H2174" s="580"/>
      <c r="I2174" s="581"/>
      <c r="J2174" s="1509"/>
      <c r="K2174" s="1509"/>
      <c r="L2174" s="1509"/>
      <c r="M2174" s="1509"/>
      <c r="N2174" s="1510"/>
    </row>
    <row r="2175" spans="1:14">
      <c r="A2175" s="1542" t="s">
        <v>2218</v>
      </c>
      <c r="B2175" s="1542"/>
      <c r="C2175" s="1542"/>
      <c r="D2175" s="1542"/>
      <c r="E2175" s="1542"/>
      <c r="F2175" s="1542"/>
      <c r="G2175" s="1542"/>
      <c r="H2175" s="1542"/>
      <c r="I2175" s="271">
        <f>SUM(I2112:I2174)</f>
        <v>12.830399999999999</v>
      </c>
      <c r="J2175" s="1509"/>
      <c r="K2175" s="1509"/>
      <c r="L2175" s="1509"/>
      <c r="M2175" s="1509"/>
      <c r="N2175" s="1510"/>
    </row>
    <row r="2176" spans="1:14">
      <c r="A2176" s="1538" t="s">
        <v>2219</v>
      </c>
      <c r="B2176" s="1538"/>
      <c r="C2176" s="1538"/>
      <c r="D2176" s="1538"/>
      <c r="E2176" s="1538"/>
      <c r="F2176" s="1538"/>
      <c r="G2176" s="1538"/>
      <c r="H2176" s="1538"/>
      <c r="I2176" s="320">
        <f>SUM(I2112:I2170)</f>
        <v>7.4504000000000001</v>
      </c>
      <c r="J2176" s="1509"/>
      <c r="K2176" s="1509"/>
      <c r="L2176" s="1509"/>
      <c r="M2176" s="1509"/>
      <c r="N2176" s="1510"/>
    </row>
    <row r="2177" spans="1:14" ht="15.75" thickBot="1">
      <c r="A2177" s="1538" t="s">
        <v>2220</v>
      </c>
      <c r="B2177" s="1538"/>
      <c r="C2177" s="1538"/>
      <c r="D2177" s="1538"/>
      <c r="E2177" s="1538"/>
      <c r="F2177" s="1538"/>
      <c r="G2177" s="1538"/>
      <c r="H2177" s="1538"/>
      <c r="I2177" s="269">
        <f>I2175-I2176</f>
        <v>5.379999999999999</v>
      </c>
      <c r="J2177" s="1512"/>
      <c r="K2177" s="1512"/>
      <c r="L2177" s="1512"/>
      <c r="M2177" s="1512"/>
      <c r="N2177" s="1513"/>
    </row>
    <row r="2178" spans="1:14" ht="15.75" thickBot="1">
      <c r="A2178" s="1748"/>
      <c r="B2178" s="1749"/>
      <c r="C2178" s="1749"/>
      <c r="D2178" s="1749"/>
      <c r="E2178" s="1749"/>
      <c r="F2178" s="1749"/>
      <c r="G2178" s="1749"/>
      <c r="H2178" s="1749"/>
      <c r="I2178" s="1749"/>
      <c r="J2178" s="1636"/>
      <c r="K2178" s="1636"/>
      <c r="L2178" s="1636"/>
      <c r="M2178" s="1636"/>
      <c r="N2178" s="1637"/>
    </row>
    <row r="2179" spans="1:14" ht="37.9" customHeight="1">
      <c r="A2179" s="1085" t="s">
        <v>2648</v>
      </c>
      <c r="B2179" s="1494" t="s">
        <v>780</v>
      </c>
      <c r="C2179" s="1495"/>
      <c r="D2179" s="1495"/>
      <c r="E2179" s="1495"/>
      <c r="F2179" s="1495"/>
      <c r="G2179" s="1495"/>
      <c r="H2179" s="1495"/>
      <c r="I2179" s="1495"/>
      <c r="J2179" s="1496"/>
      <c r="K2179" s="196" t="s">
        <v>12</v>
      </c>
      <c r="L2179" s="1497">
        <v>120.89</v>
      </c>
      <c r="M2179" s="1498"/>
      <c r="N2179" s="197">
        <f>L2179-H2203</f>
        <v>-8.0000000001234639E-4</v>
      </c>
    </row>
    <row r="2180" spans="1:14">
      <c r="A2180" s="1554"/>
      <c r="B2180" s="1541"/>
      <c r="C2180" s="366"/>
      <c r="D2180" s="367" t="s">
        <v>2183</v>
      </c>
      <c r="E2180" s="1320" t="s">
        <v>2184</v>
      </c>
      <c r="F2180" s="367" t="s">
        <v>2185</v>
      </c>
      <c r="G2180" s="367" t="s">
        <v>2186</v>
      </c>
      <c r="H2180" s="1542" t="s">
        <v>476</v>
      </c>
      <c r="I2180" s="1543"/>
      <c r="J2180" s="1543"/>
      <c r="K2180" s="1543"/>
      <c r="L2180" s="1543"/>
      <c r="M2180" s="1543"/>
      <c r="N2180" s="1566"/>
    </row>
    <row r="2181" spans="1:14">
      <c r="A2181" s="1554"/>
      <c r="B2181" s="1541"/>
      <c r="C2181" s="368" t="s">
        <v>2627</v>
      </c>
      <c r="D2181" s="369" t="s">
        <v>2187</v>
      </c>
      <c r="E2181" s="529" t="s">
        <v>2596</v>
      </c>
      <c r="F2181" s="369" t="s">
        <v>2649</v>
      </c>
      <c r="G2181" s="370" t="s">
        <v>2190</v>
      </c>
      <c r="H2181" s="1542"/>
      <c r="I2181" s="1543"/>
      <c r="J2181" s="1543"/>
      <c r="K2181" s="1543"/>
      <c r="L2181" s="1543"/>
      <c r="M2181" s="1543"/>
      <c r="N2181" s="1566"/>
    </row>
    <row r="2182" spans="1:14" ht="24">
      <c r="A2182" s="1514" t="s">
        <v>2476</v>
      </c>
      <c r="B2182" s="410" t="s">
        <v>2650</v>
      </c>
      <c r="C2182" s="287"/>
      <c r="D2182" s="292">
        <v>2.1</v>
      </c>
      <c r="E2182" s="901"/>
      <c r="F2182" s="292">
        <v>0.8</v>
      </c>
      <c r="G2182" s="292"/>
      <c r="H2182" s="403">
        <f>D2182*F2182</f>
        <v>1.6800000000000002</v>
      </c>
      <c r="I2182" s="1567"/>
      <c r="J2182" s="1543"/>
      <c r="K2182" s="1543"/>
      <c r="L2182" s="1543"/>
      <c r="M2182" s="1543"/>
      <c r="N2182" s="1566"/>
    </row>
    <row r="2183" spans="1:14">
      <c r="A2183" s="1523"/>
      <c r="B2183" s="406" t="s">
        <v>2651</v>
      </c>
      <c r="C2183" s="292"/>
      <c r="D2183" s="292">
        <v>11.4</v>
      </c>
      <c r="E2183" s="901"/>
      <c r="F2183" s="292">
        <v>0.4</v>
      </c>
      <c r="G2183" s="292">
        <v>3</v>
      </c>
      <c r="H2183" s="347">
        <f>D2183*F2183*G2183</f>
        <v>13.680000000000001</v>
      </c>
      <c r="I2183" s="1567"/>
      <c r="J2183" s="1543"/>
      <c r="K2183" s="1543"/>
      <c r="L2183" s="1543"/>
      <c r="M2183" s="1543"/>
      <c r="N2183" s="1566"/>
    </row>
    <row r="2184" spans="1:14">
      <c r="A2184" s="1531" t="s">
        <v>2749</v>
      </c>
      <c r="B2184" s="406"/>
      <c r="C2184" s="292"/>
      <c r="D2184" s="292"/>
      <c r="E2184" s="901"/>
      <c r="F2184" s="292"/>
      <c r="G2184" s="292"/>
      <c r="H2184" s="347"/>
      <c r="I2184" s="1567"/>
      <c r="J2184" s="1543"/>
      <c r="K2184" s="1543"/>
      <c r="L2184" s="1543"/>
      <c r="M2184" s="1543"/>
      <c r="N2184" s="1566"/>
    </row>
    <row r="2185" spans="1:14">
      <c r="A2185" s="1531"/>
      <c r="B2185" s="406" t="s">
        <v>2780</v>
      </c>
      <c r="C2185" s="292"/>
      <c r="D2185" s="292">
        <v>9.8000000000000007</v>
      </c>
      <c r="E2185" s="901"/>
      <c r="F2185" s="292">
        <v>3.13</v>
      </c>
      <c r="G2185" s="292">
        <v>1</v>
      </c>
      <c r="H2185" s="347">
        <f>D2185*F2185*G2185</f>
        <v>30.673999999999999</v>
      </c>
      <c r="I2185" s="1567"/>
      <c r="J2185" s="1543"/>
      <c r="K2185" s="1543"/>
      <c r="L2185" s="1543"/>
      <c r="M2185" s="1543"/>
      <c r="N2185" s="1566"/>
    </row>
    <row r="2186" spans="1:14">
      <c r="A2186" s="1702"/>
      <c r="B2186" s="413"/>
      <c r="C2186" s="294"/>
      <c r="D2186" s="203"/>
      <c r="E2186" s="348"/>
      <c r="F2186" s="348"/>
      <c r="G2186" s="348"/>
      <c r="H2186" s="349"/>
      <c r="I2186" s="1567"/>
      <c r="J2186" s="1543"/>
      <c r="K2186" s="1543"/>
      <c r="L2186" s="1543"/>
      <c r="M2186" s="1543"/>
      <c r="N2186" s="1566"/>
    </row>
    <row r="2187" spans="1:14">
      <c r="A2187" s="1531" t="s">
        <v>2895</v>
      </c>
      <c r="B2187" s="406"/>
      <c r="C2187" s="292"/>
      <c r="D2187" s="292"/>
      <c r="E2187" s="901"/>
      <c r="F2187" s="292"/>
      <c r="G2187" s="292"/>
      <c r="H2187" s="347"/>
      <c r="I2187" s="1567"/>
      <c r="J2187" s="1543"/>
      <c r="K2187" s="1543"/>
      <c r="L2187" s="1543"/>
      <c r="M2187" s="1543"/>
      <c r="N2187" s="1566"/>
    </row>
    <row r="2188" spans="1:14">
      <c r="A2188" s="1531"/>
      <c r="B2188" s="406" t="s">
        <v>2902</v>
      </c>
      <c r="C2188" s="292"/>
      <c r="D2188" s="292">
        <v>6.91</v>
      </c>
      <c r="E2188" s="901"/>
      <c r="F2188" s="292">
        <v>3.13</v>
      </c>
      <c r="G2188" s="292">
        <v>1</v>
      </c>
      <c r="H2188" s="347">
        <f>D2188*F2188*G2188</f>
        <v>21.628299999999999</v>
      </c>
      <c r="I2188" s="1567"/>
      <c r="J2188" s="1543"/>
      <c r="K2188" s="1543"/>
      <c r="L2188" s="1543"/>
      <c r="M2188" s="1543"/>
      <c r="N2188" s="1566"/>
    </row>
    <row r="2189" spans="1:14">
      <c r="A2189" s="1531"/>
      <c r="B2189" s="406"/>
      <c r="C2189" s="292"/>
      <c r="D2189" s="198">
        <f>1.54+(2.49*3)</f>
        <v>9.0100000000000016</v>
      </c>
      <c r="E2189" s="341"/>
      <c r="F2189" s="341">
        <v>3.13</v>
      </c>
      <c r="G2189" s="341">
        <v>1</v>
      </c>
      <c r="H2189" s="347">
        <f>D2189*F2189*G2189</f>
        <v>28.201300000000003</v>
      </c>
      <c r="I2189" s="1567"/>
      <c r="J2189" s="1543"/>
      <c r="K2189" s="1543"/>
      <c r="L2189" s="1543"/>
      <c r="M2189" s="1543"/>
      <c r="N2189" s="1566"/>
    </row>
    <row r="2190" spans="1:14">
      <c r="A2190" s="1702"/>
      <c r="B2190" s="413"/>
      <c r="C2190" s="294"/>
      <c r="D2190" s="203"/>
      <c r="E2190" s="348"/>
      <c r="F2190" s="348"/>
      <c r="G2190" s="348"/>
      <c r="H2190" s="349"/>
      <c r="I2190" s="1567"/>
      <c r="J2190" s="1543"/>
      <c r="K2190" s="1543"/>
      <c r="L2190" s="1543"/>
      <c r="M2190" s="1543"/>
      <c r="N2190" s="1566"/>
    </row>
    <row r="2191" spans="1:14">
      <c r="A2191" s="1514" t="s">
        <v>3158</v>
      </c>
      <c r="B2191" s="410" t="s">
        <v>3168</v>
      </c>
      <c r="C2191" s="287"/>
      <c r="D2191" s="287">
        <v>3.6</v>
      </c>
      <c r="E2191" s="531"/>
      <c r="F2191" s="287">
        <v>0.2</v>
      </c>
      <c r="G2191" s="287">
        <v>1</v>
      </c>
      <c r="H2191" s="403">
        <f>D2191*F2191*G2191</f>
        <v>0.72000000000000008</v>
      </c>
      <c r="I2191" s="1567"/>
      <c r="J2191" s="1543"/>
      <c r="K2191" s="1543"/>
      <c r="L2191" s="1543"/>
      <c r="M2191" s="1543"/>
      <c r="N2191" s="1566"/>
    </row>
    <row r="2192" spans="1:14" ht="28.9" customHeight="1">
      <c r="A2192" s="1523"/>
      <c r="B2192" s="406" t="s">
        <v>3170</v>
      </c>
      <c r="C2192" s="292"/>
      <c r="D2192" s="292">
        <v>0.8</v>
      </c>
      <c r="E2192" s="901"/>
      <c r="F2192" s="292">
        <v>0.4</v>
      </c>
      <c r="G2192" s="292">
        <v>33</v>
      </c>
      <c r="H2192" s="347">
        <f>D2192*F2192*G2192</f>
        <v>10.560000000000002</v>
      </c>
      <c r="I2192" s="1567"/>
      <c r="J2192" s="1543"/>
      <c r="K2192" s="1543"/>
      <c r="L2192" s="1543"/>
      <c r="M2192" s="1543"/>
      <c r="N2192" s="1566"/>
    </row>
    <row r="2193" spans="1:14">
      <c r="A2193" s="1523"/>
      <c r="B2193" s="406" t="s">
        <v>3169</v>
      </c>
      <c r="C2193" s="292"/>
      <c r="D2193" s="198">
        <v>1</v>
      </c>
      <c r="E2193" s="341"/>
      <c r="F2193" s="341">
        <v>0.4</v>
      </c>
      <c r="G2193" s="341">
        <v>1</v>
      </c>
      <c r="H2193" s="347">
        <v>2.8</v>
      </c>
      <c r="I2193" s="1567"/>
      <c r="J2193" s="1543"/>
      <c r="K2193" s="1543"/>
      <c r="L2193" s="1543"/>
      <c r="M2193" s="1543"/>
      <c r="N2193" s="1566"/>
    </row>
    <row r="2194" spans="1:14">
      <c r="A2194" s="1523"/>
      <c r="B2194" s="413" t="s">
        <v>3167</v>
      </c>
      <c r="C2194" s="294"/>
      <c r="D2194" s="203"/>
      <c r="E2194" s="348"/>
      <c r="F2194" s="348"/>
      <c r="G2194" s="348"/>
      <c r="H2194" s="349">
        <v>5.84</v>
      </c>
      <c r="I2194" s="1567"/>
      <c r="J2194" s="1543"/>
      <c r="K2194" s="1543"/>
      <c r="L2194" s="1543"/>
      <c r="M2194" s="1543"/>
      <c r="N2194" s="1566"/>
    </row>
    <row r="2195" spans="1:14">
      <c r="A2195" s="1139"/>
      <c r="B2195" s="413"/>
      <c r="C2195" s="294"/>
      <c r="D2195" s="203"/>
      <c r="E2195" s="348"/>
      <c r="F2195" s="348"/>
      <c r="G2195" s="348"/>
      <c r="H2195" s="349"/>
      <c r="I2195" s="1567"/>
      <c r="J2195" s="1543"/>
      <c r="K2195" s="1543"/>
      <c r="L2195" s="1543"/>
      <c r="M2195" s="1543"/>
      <c r="N2195" s="1566"/>
    </row>
    <row r="2196" spans="1:14">
      <c r="A2196" s="1523" t="s">
        <v>3745</v>
      </c>
      <c r="B2196" s="1142" t="s">
        <v>3178</v>
      </c>
      <c r="C2196" s="294"/>
      <c r="D2196" s="1144">
        <v>2.1</v>
      </c>
      <c r="E2196" s="348"/>
      <c r="F2196" s="1144">
        <f t="shared" ref="F2196:F2201" si="46">0.45-0.07</f>
        <v>0.38</v>
      </c>
      <c r="G2196" s="348"/>
      <c r="H2196" s="349">
        <f t="shared" ref="H2196:H2201" si="47">D2196*F2196</f>
        <v>0.79800000000000004</v>
      </c>
      <c r="I2196" s="1567"/>
      <c r="J2196" s="1543"/>
      <c r="K2196" s="1543"/>
      <c r="L2196" s="1543"/>
      <c r="M2196" s="1543"/>
      <c r="N2196" s="1566"/>
    </row>
    <row r="2197" spans="1:14">
      <c r="A2197" s="1523"/>
      <c r="B2197" s="1142" t="s">
        <v>3104</v>
      </c>
      <c r="C2197" s="294"/>
      <c r="D2197" s="1144">
        <v>2.67</v>
      </c>
      <c r="E2197" s="348"/>
      <c r="F2197" s="1144">
        <f t="shared" si="46"/>
        <v>0.38</v>
      </c>
      <c r="G2197" s="348"/>
      <c r="H2197" s="349">
        <f t="shared" si="47"/>
        <v>1.0145999999999999</v>
      </c>
      <c r="I2197" s="1567"/>
      <c r="J2197" s="1543"/>
      <c r="K2197" s="1543"/>
      <c r="L2197" s="1543"/>
      <c r="M2197" s="1543"/>
      <c r="N2197" s="1566"/>
    </row>
    <row r="2198" spans="1:14">
      <c r="A2198" s="1523"/>
      <c r="B2198" s="1142" t="s">
        <v>2993</v>
      </c>
      <c r="C2198" s="294"/>
      <c r="D2198" s="1144">
        <v>1.35</v>
      </c>
      <c r="E2198" s="348"/>
      <c r="F2198" s="1144">
        <f t="shared" si="46"/>
        <v>0.38</v>
      </c>
      <c r="G2198" s="348"/>
      <c r="H2198" s="349">
        <f t="shared" si="47"/>
        <v>0.51300000000000001</v>
      </c>
      <c r="I2198" s="1567"/>
      <c r="J2198" s="1543"/>
      <c r="K2198" s="1543"/>
      <c r="L2198" s="1543"/>
      <c r="M2198" s="1543"/>
      <c r="N2198" s="1566"/>
    </row>
    <row r="2199" spans="1:14">
      <c r="A2199" s="1523"/>
      <c r="B2199" s="1142" t="s">
        <v>2994</v>
      </c>
      <c r="C2199" s="294"/>
      <c r="D2199" s="1144">
        <v>1.35</v>
      </c>
      <c r="E2199" s="348"/>
      <c r="F2199" s="1144">
        <f t="shared" si="46"/>
        <v>0.38</v>
      </c>
      <c r="G2199" s="348"/>
      <c r="H2199" s="349">
        <f t="shared" si="47"/>
        <v>0.51300000000000001</v>
      </c>
      <c r="I2199" s="1567"/>
      <c r="J2199" s="1543"/>
      <c r="K2199" s="1543"/>
      <c r="L2199" s="1543"/>
      <c r="M2199" s="1543"/>
      <c r="N2199" s="1566"/>
    </row>
    <row r="2200" spans="1:14">
      <c r="A2200" s="1523"/>
      <c r="B2200" s="1143" t="s">
        <v>3755</v>
      </c>
      <c r="C2200" s="294"/>
      <c r="D2200" s="1145">
        <v>4.17</v>
      </c>
      <c r="E2200" s="348"/>
      <c r="F2200" s="1144">
        <f t="shared" si="46"/>
        <v>0.38</v>
      </c>
      <c r="G2200" s="348"/>
      <c r="H2200" s="349">
        <f t="shared" si="47"/>
        <v>1.5846</v>
      </c>
      <c r="I2200" s="1567"/>
      <c r="J2200" s="1543"/>
      <c r="K2200" s="1543"/>
      <c r="L2200" s="1543"/>
      <c r="M2200" s="1543"/>
      <c r="N2200" s="1566"/>
    </row>
    <row r="2201" spans="1:14">
      <c r="A2201" s="1523"/>
      <c r="B2201" s="1143" t="s">
        <v>3756</v>
      </c>
      <c r="C2201" s="294"/>
      <c r="D2201" s="1152">
        <v>1.8</v>
      </c>
      <c r="E2201" s="348"/>
      <c r="F2201" s="1144">
        <f t="shared" si="46"/>
        <v>0.38</v>
      </c>
      <c r="G2201" s="348"/>
      <c r="H2201" s="349">
        <f t="shared" si="47"/>
        <v>0.68400000000000005</v>
      </c>
      <c r="I2201" s="1567"/>
      <c r="J2201" s="1543"/>
      <c r="K2201" s="1543"/>
      <c r="L2201" s="1543"/>
      <c r="M2201" s="1543"/>
      <c r="N2201" s="1566"/>
    </row>
    <row r="2202" spans="1:14">
      <c r="A2202" s="1141"/>
      <c r="B2202" s="413"/>
      <c r="C2202" s="294"/>
      <c r="D2202" s="203"/>
      <c r="E2202" s="348"/>
      <c r="F2202" s="348"/>
      <c r="G2202" s="348"/>
      <c r="H2202" s="349"/>
      <c r="I2202" s="1567"/>
      <c r="J2202" s="1543"/>
      <c r="K2202" s="1543"/>
      <c r="L2202" s="1543"/>
      <c r="M2202" s="1543"/>
      <c r="N2202" s="1566"/>
    </row>
    <row r="2203" spans="1:14">
      <c r="A2203" s="1577" t="s">
        <v>2218</v>
      </c>
      <c r="B2203" s="1542"/>
      <c r="C2203" s="1542"/>
      <c r="D2203" s="1542"/>
      <c r="E2203" s="1542"/>
      <c r="F2203" s="1542"/>
      <c r="G2203" s="1542"/>
      <c r="H2203" s="271">
        <f>SUM(H2182:H2202)</f>
        <v>120.89080000000001</v>
      </c>
      <c r="I2203" s="1567"/>
      <c r="J2203" s="1543"/>
      <c r="K2203" s="1543"/>
      <c r="L2203" s="1543"/>
      <c r="M2203" s="1543"/>
      <c r="N2203" s="1566"/>
    </row>
    <row r="2204" spans="1:14">
      <c r="A2204" s="1519" t="s">
        <v>2219</v>
      </c>
      <c r="B2204" s="1517"/>
      <c r="C2204" s="1517"/>
      <c r="D2204" s="1551"/>
      <c r="E2204" s="1551"/>
      <c r="F2204" s="1551"/>
      <c r="G2204" s="1552"/>
      <c r="H2204" s="272">
        <f>SUM(H2182:H2194)</f>
        <v>115.78360000000001</v>
      </c>
      <c r="I2204" s="1543"/>
      <c r="J2204" s="1543"/>
      <c r="K2204" s="1543"/>
      <c r="L2204" s="1543"/>
      <c r="M2204" s="1543"/>
      <c r="N2204" s="1566"/>
    </row>
    <row r="2205" spans="1:14" ht="15.75" thickBot="1">
      <c r="A2205" s="1520" t="s">
        <v>2220</v>
      </c>
      <c r="B2205" s="1521"/>
      <c r="C2205" s="1521"/>
      <c r="D2205" s="1521"/>
      <c r="E2205" s="1521"/>
      <c r="F2205" s="1521"/>
      <c r="G2205" s="1522"/>
      <c r="H2205" s="216">
        <f>H2203-H2204</f>
        <v>5.107200000000006</v>
      </c>
      <c r="I2205" s="1568"/>
      <c r="J2205" s="1568"/>
      <c r="K2205" s="1568"/>
      <c r="L2205" s="1568"/>
      <c r="M2205" s="1568"/>
      <c r="N2205" s="1569"/>
    </row>
    <row r="2206" spans="1:14">
      <c r="A2206" s="1104"/>
      <c r="B2206" s="278"/>
      <c r="C2206" s="278"/>
      <c r="D2206" s="281"/>
      <c r="E2206" s="1319"/>
      <c r="F2206" s="278"/>
      <c r="G2206" s="278"/>
      <c r="H2206" s="217"/>
      <c r="I2206" s="279"/>
      <c r="J2206" s="321"/>
      <c r="K2206" s="322"/>
      <c r="L2206" s="322"/>
      <c r="M2206" s="321"/>
      <c r="N2206" s="323"/>
    </row>
    <row r="2207" spans="1:14" ht="21" customHeight="1">
      <c r="A2207" s="367">
        <v>504</v>
      </c>
      <c r="B2207" s="1745" t="s">
        <v>781</v>
      </c>
      <c r="C2207" s="1745"/>
      <c r="D2207" s="1745"/>
      <c r="E2207" s="1745"/>
      <c r="F2207" s="1745"/>
      <c r="G2207" s="1745"/>
      <c r="H2207" s="1745"/>
      <c r="I2207" s="1745"/>
      <c r="J2207" s="1745"/>
      <c r="K2207" s="1745"/>
      <c r="L2207" s="1745"/>
      <c r="M2207" s="1745"/>
      <c r="N2207" s="1745"/>
    </row>
    <row r="2208" spans="1:14" ht="30" customHeight="1">
      <c r="A2208" s="1093" t="s">
        <v>2652</v>
      </c>
      <c r="B2208" s="1561" t="s">
        <v>784</v>
      </c>
      <c r="C2208" s="1562"/>
      <c r="D2208" s="1562"/>
      <c r="E2208" s="1562"/>
      <c r="F2208" s="1562"/>
      <c r="G2208" s="1562"/>
      <c r="H2208" s="1562"/>
      <c r="I2208" s="1562"/>
      <c r="J2208" s="1563"/>
      <c r="K2208" s="264" t="s">
        <v>12</v>
      </c>
      <c r="L2208" s="1564">
        <v>866.41</v>
      </c>
      <c r="M2208" s="1565"/>
      <c r="N2208" s="265">
        <f>L2208-H2275</f>
        <v>-7.1000000000367436E-3</v>
      </c>
    </row>
    <row r="2209" spans="1:14">
      <c r="A2209" s="1554"/>
      <c r="B2209" s="1541"/>
      <c r="C2209" s="366"/>
      <c r="D2209" s="367" t="s">
        <v>2183</v>
      </c>
      <c r="E2209" s="1320" t="s">
        <v>2184</v>
      </c>
      <c r="F2209" s="367" t="s">
        <v>2185</v>
      </c>
      <c r="G2209" s="367" t="s">
        <v>2186</v>
      </c>
      <c r="H2209" s="1542" t="s">
        <v>476</v>
      </c>
      <c r="I2209" s="1543"/>
      <c r="J2209" s="1543"/>
      <c r="K2209" s="1543"/>
      <c r="L2209" s="1543"/>
      <c r="M2209" s="1543"/>
      <c r="N2209" s="1566"/>
    </row>
    <row r="2210" spans="1:14">
      <c r="A2210" s="1554"/>
      <c r="B2210" s="1541"/>
      <c r="C2210" s="368" t="s">
        <v>2627</v>
      </c>
      <c r="D2210" s="369" t="s">
        <v>2187</v>
      </c>
      <c r="E2210" s="529" t="s">
        <v>2596</v>
      </c>
      <c r="F2210" s="369" t="s">
        <v>2649</v>
      </c>
      <c r="G2210" s="370" t="s">
        <v>2190</v>
      </c>
      <c r="H2210" s="1542"/>
      <c r="I2210" s="1543"/>
      <c r="J2210" s="1543"/>
      <c r="K2210" s="1543"/>
      <c r="L2210" s="1543"/>
      <c r="M2210" s="1543"/>
      <c r="N2210" s="1566"/>
    </row>
    <row r="2211" spans="1:14">
      <c r="A2211" s="1536" t="s">
        <v>2476</v>
      </c>
      <c r="B2211" s="410" t="s">
        <v>2653</v>
      </c>
      <c r="C2211" s="287"/>
      <c r="D2211" s="292">
        <v>3.73</v>
      </c>
      <c r="E2211" s="901"/>
      <c r="F2211" s="292">
        <v>2.5</v>
      </c>
      <c r="G2211" s="346"/>
      <c r="H2211" s="403">
        <f t="shared" ref="H2211:H2217" si="48">D2211*F2211</f>
        <v>9.3249999999999993</v>
      </c>
      <c r="I2211" s="1567"/>
      <c r="J2211" s="1543"/>
      <c r="K2211" s="1543"/>
      <c r="L2211" s="1543"/>
      <c r="M2211" s="1543"/>
      <c r="N2211" s="1566"/>
    </row>
    <row r="2212" spans="1:14">
      <c r="A2212" s="1536"/>
      <c r="B2212" s="406"/>
      <c r="C2212" s="292"/>
      <c r="D2212" s="292">
        <v>12.66</v>
      </c>
      <c r="E2212" s="901"/>
      <c r="F2212" s="292">
        <v>4.34</v>
      </c>
      <c r="G2212" s="341"/>
      <c r="H2212" s="347">
        <f t="shared" si="48"/>
        <v>54.944400000000002</v>
      </c>
      <c r="I2212" s="1567"/>
      <c r="J2212" s="1543"/>
      <c r="K2212" s="1543"/>
      <c r="L2212" s="1543"/>
      <c r="M2212" s="1543"/>
      <c r="N2212" s="1566"/>
    </row>
    <row r="2213" spans="1:14">
      <c r="A2213" s="1536"/>
      <c r="B2213" s="406" t="s">
        <v>2654</v>
      </c>
      <c r="C2213" s="292"/>
      <c r="D2213" s="292">
        <v>13.28</v>
      </c>
      <c r="E2213" s="901"/>
      <c r="F2213" s="292">
        <v>2.5</v>
      </c>
      <c r="G2213" s="341"/>
      <c r="H2213" s="347">
        <f t="shared" si="48"/>
        <v>33.199999999999996</v>
      </c>
      <c r="I2213" s="1567"/>
      <c r="J2213" s="1543"/>
      <c r="K2213" s="1543"/>
      <c r="L2213" s="1543"/>
      <c r="M2213" s="1543"/>
      <c r="N2213" s="1566"/>
    </row>
    <row r="2214" spans="1:14">
      <c r="A2214" s="1536"/>
      <c r="B2214" s="406" t="s">
        <v>2655</v>
      </c>
      <c r="C2214" s="292"/>
      <c r="D2214" s="292">
        <v>2.99</v>
      </c>
      <c r="E2214" s="901"/>
      <c r="F2214" s="292">
        <v>1.1000000000000001</v>
      </c>
      <c r="G2214" s="341"/>
      <c r="H2214" s="347">
        <f t="shared" si="48"/>
        <v>3.2890000000000006</v>
      </c>
      <c r="I2214" s="1567"/>
      <c r="J2214" s="1543"/>
      <c r="K2214" s="1543"/>
      <c r="L2214" s="1543"/>
      <c r="M2214" s="1543"/>
      <c r="N2214" s="1566"/>
    </row>
    <row r="2215" spans="1:14">
      <c r="A2215" s="1536"/>
      <c r="B2215" s="406" t="s">
        <v>2656</v>
      </c>
      <c r="C2215" s="292"/>
      <c r="D2215" s="292">
        <v>4.58</v>
      </c>
      <c r="E2215" s="901"/>
      <c r="F2215" s="292">
        <v>1.1000000000000001</v>
      </c>
      <c r="G2215" s="341"/>
      <c r="H2215" s="347">
        <f t="shared" si="48"/>
        <v>5.0380000000000003</v>
      </c>
      <c r="I2215" s="1567"/>
      <c r="J2215" s="1543"/>
      <c r="K2215" s="1543"/>
      <c r="L2215" s="1543"/>
      <c r="M2215" s="1543"/>
      <c r="N2215" s="1566"/>
    </row>
    <row r="2216" spans="1:14">
      <c r="A2216" s="1536"/>
      <c r="B2216" s="406" t="s">
        <v>2657</v>
      </c>
      <c r="C2216" s="292"/>
      <c r="D2216" s="292">
        <f>4.4+1.9+2.54</f>
        <v>8.84</v>
      </c>
      <c r="E2216" s="901"/>
      <c r="F2216" s="292">
        <v>3</v>
      </c>
      <c r="G2216" s="341"/>
      <c r="H2216" s="347">
        <f t="shared" si="48"/>
        <v>26.52</v>
      </c>
      <c r="I2216" s="1567"/>
      <c r="J2216" s="1543"/>
      <c r="K2216" s="1543"/>
      <c r="L2216" s="1543"/>
      <c r="M2216" s="1543"/>
      <c r="N2216" s="1566"/>
    </row>
    <row r="2217" spans="1:14">
      <c r="A2217" s="1536"/>
      <c r="B2217" s="406" t="s">
        <v>2658</v>
      </c>
      <c r="C2217" s="292"/>
      <c r="D2217" s="292">
        <f>3.5+4.8+3.05+1.2+1.5+0.9+0.15+2.5</f>
        <v>17.600000000000001</v>
      </c>
      <c r="E2217" s="901"/>
      <c r="F2217" s="292">
        <v>3</v>
      </c>
      <c r="G2217" s="341"/>
      <c r="H2217" s="347">
        <f t="shared" si="48"/>
        <v>52.800000000000004</v>
      </c>
      <c r="I2217" s="1567"/>
      <c r="J2217" s="1543"/>
      <c r="K2217" s="1543"/>
      <c r="L2217" s="1543"/>
      <c r="M2217" s="1543"/>
      <c r="N2217" s="1566"/>
    </row>
    <row r="2218" spans="1:14">
      <c r="A2218" s="1536"/>
      <c r="B2218" s="412"/>
      <c r="C2218" s="312"/>
      <c r="D2218" s="312"/>
      <c r="E2218" s="907"/>
      <c r="F2218" s="312"/>
      <c r="G2218" s="351"/>
      <c r="H2218" s="364"/>
      <c r="I2218" s="1567"/>
      <c r="J2218" s="1543"/>
      <c r="K2218" s="1543"/>
      <c r="L2218" s="1543"/>
      <c r="M2218" s="1543"/>
      <c r="N2218" s="1566"/>
    </row>
    <row r="2219" spans="1:14">
      <c r="A2219" s="1535" t="s">
        <v>2749</v>
      </c>
      <c r="B2219" s="410"/>
      <c r="C2219" s="287"/>
      <c r="D2219" s="287"/>
      <c r="E2219" s="531"/>
      <c r="F2219" s="287"/>
      <c r="G2219" s="346"/>
      <c r="H2219" s="403"/>
      <c r="I2219" s="1567"/>
      <c r="J2219" s="1543"/>
      <c r="K2219" s="1543"/>
      <c r="L2219" s="1543"/>
      <c r="M2219" s="1543"/>
      <c r="N2219" s="1566"/>
    </row>
    <row r="2220" spans="1:14" s="594" customFormat="1" ht="24">
      <c r="A2220" s="1529"/>
      <c r="B2220" s="590" t="s">
        <v>2704</v>
      </c>
      <c r="C2220" s="591"/>
      <c r="D2220" s="591">
        <v>20.399999999999999</v>
      </c>
      <c r="E2220" s="592"/>
      <c r="F2220" s="591">
        <v>2.8</v>
      </c>
      <c r="G2220" s="592"/>
      <c r="H2220" s="593">
        <f>D2220*F2220</f>
        <v>57.11999999999999</v>
      </c>
      <c r="I2220" s="1567"/>
      <c r="J2220" s="1543"/>
      <c r="K2220" s="1543"/>
      <c r="L2220" s="1543"/>
      <c r="M2220" s="1543"/>
      <c r="N2220" s="1566"/>
    </row>
    <row r="2221" spans="1:14">
      <c r="A2221" s="1529"/>
      <c r="B2221" s="406"/>
      <c r="C2221" s="292"/>
      <c r="D2221" s="292"/>
      <c r="E2221" s="901"/>
      <c r="F2221" s="292"/>
      <c r="G2221" s="341"/>
      <c r="H2221" s="347"/>
      <c r="I2221" s="1567"/>
      <c r="J2221" s="1543"/>
      <c r="K2221" s="1543"/>
      <c r="L2221" s="1543"/>
      <c r="M2221" s="1543"/>
      <c r="N2221" s="1566"/>
    </row>
    <row r="2222" spans="1:14">
      <c r="A2222" s="1529"/>
      <c r="B2222" s="406"/>
      <c r="C2222" s="292"/>
      <c r="D2222" s="292"/>
      <c r="E2222" s="901"/>
      <c r="F2222" s="292"/>
      <c r="G2222" s="341"/>
      <c r="H2222" s="347"/>
      <c r="I2222" s="1567"/>
      <c r="J2222" s="1543"/>
      <c r="K2222" s="1543"/>
      <c r="L2222" s="1543"/>
      <c r="M2222" s="1543"/>
      <c r="N2222" s="1566"/>
    </row>
    <row r="2223" spans="1:14">
      <c r="A2223" s="1529"/>
      <c r="B2223" s="406" t="s">
        <v>2779</v>
      </c>
      <c r="C2223" s="292"/>
      <c r="D2223" s="292">
        <v>13.28</v>
      </c>
      <c r="E2223" s="901"/>
      <c r="F2223" s="292">
        <v>2.5</v>
      </c>
      <c r="G2223" s="341"/>
      <c r="H2223" s="347">
        <f t="shared" ref="H2223:H2231" si="49">D2223*F2223</f>
        <v>33.199999999999996</v>
      </c>
      <c r="I2223" s="1567"/>
      <c r="J2223" s="1543"/>
      <c r="K2223" s="1543"/>
      <c r="L2223" s="1543"/>
      <c r="M2223" s="1543"/>
      <c r="N2223" s="1566"/>
    </row>
    <row r="2224" spans="1:14">
      <c r="A2224" s="1529"/>
      <c r="B2224" s="1741" t="s">
        <v>2778</v>
      </c>
      <c r="C2224" s="292"/>
      <c r="D2224" s="292">
        <v>3.73</v>
      </c>
      <c r="E2224" s="901"/>
      <c r="F2224" s="292">
        <v>2.5</v>
      </c>
      <c r="G2224" s="341"/>
      <c r="H2224" s="347">
        <f t="shared" si="49"/>
        <v>9.3249999999999993</v>
      </c>
      <c r="I2224" s="1567"/>
      <c r="J2224" s="1543"/>
      <c r="K2224" s="1543"/>
      <c r="L2224" s="1543"/>
      <c r="M2224" s="1543"/>
      <c r="N2224" s="1566"/>
    </row>
    <row r="2225" spans="1:14">
      <c r="A2225" s="1529"/>
      <c r="B2225" s="1741"/>
      <c r="C2225" s="292"/>
      <c r="D2225" s="292">
        <v>12.66</v>
      </c>
      <c r="E2225" s="901"/>
      <c r="F2225" s="292">
        <v>3</v>
      </c>
      <c r="G2225" s="341"/>
      <c r="H2225" s="347">
        <f t="shared" si="49"/>
        <v>37.980000000000004</v>
      </c>
      <c r="I2225" s="1567"/>
      <c r="J2225" s="1543"/>
      <c r="K2225" s="1543"/>
      <c r="L2225" s="1543"/>
      <c r="M2225" s="1543"/>
      <c r="N2225" s="1566"/>
    </row>
    <row r="2226" spans="1:14">
      <c r="A2226" s="1529"/>
      <c r="B2226" s="406" t="s">
        <v>2342</v>
      </c>
      <c r="C2226" s="292"/>
      <c r="D2226" s="292">
        <v>1.9</v>
      </c>
      <c r="E2226" s="901"/>
      <c r="F2226" s="292">
        <v>1.8</v>
      </c>
      <c r="G2226" s="341"/>
      <c r="H2226" s="347">
        <f t="shared" si="49"/>
        <v>3.42</v>
      </c>
      <c r="I2226" s="1567"/>
      <c r="J2226" s="1543"/>
      <c r="K2226" s="1543"/>
      <c r="L2226" s="1543"/>
      <c r="M2226" s="1543"/>
      <c r="N2226" s="1566"/>
    </row>
    <row r="2227" spans="1:14">
      <c r="A2227" s="1529"/>
      <c r="B2227" s="406" t="s">
        <v>2777</v>
      </c>
      <c r="C2227" s="292"/>
      <c r="D2227" s="292">
        <v>5.5</v>
      </c>
      <c r="E2227" s="901"/>
      <c r="F2227" s="292">
        <v>2.83</v>
      </c>
      <c r="G2227" s="341"/>
      <c r="H2227" s="347">
        <f t="shared" si="49"/>
        <v>15.565000000000001</v>
      </c>
      <c r="I2227" s="1567"/>
      <c r="J2227" s="1543"/>
      <c r="K2227" s="1543"/>
      <c r="L2227" s="1543"/>
      <c r="M2227" s="1543"/>
      <c r="N2227" s="1566"/>
    </row>
    <row r="2228" spans="1:14">
      <c r="A2228" s="1529"/>
      <c r="B2228" s="406" t="s">
        <v>2776</v>
      </c>
      <c r="C2228" s="292"/>
      <c r="D2228" s="292">
        <v>5.56</v>
      </c>
      <c r="E2228" s="901"/>
      <c r="F2228" s="292">
        <v>3.13</v>
      </c>
      <c r="G2228" s="341"/>
      <c r="H2228" s="347">
        <f t="shared" si="49"/>
        <v>17.402799999999999</v>
      </c>
      <c r="I2228" s="1567"/>
      <c r="J2228" s="1543"/>
      <c r="K2228" s="1543"/>
      <c r="L2228" s="1543"/>
      <c r="M2228" s="1543"/>
      <c r="N2228" s="1566"/>
    </row>
    <row r="2229" spans="1:14">
      <c r="A2229" s="1529"/>
      <c r="B2229" s="406" t="s">
        <v>2451</v>
      </c>
      <c r="C2229" s="292"/>
      <c r="D2229" s="292">
        <v>3.88</v>
      </c>
      <c r="E2229" s="901"/>
      <c r="F2229" s="292">
        <v>3.13</v>
      </c>
      <c r="G2229" s="341"/>
      <c r="H2229" s="347">
        <f t="shared" si="49"/>
        <v>12.144399999999999</v>
      </c>
      <c r="I2229" s="1567"/>
      <c r="J2229" s="1543"/>
      <c r="K2229" s="1543"/>
      <c r="L2229" s="1543"/>
      <c r="M2229" s="1543"/>
      <c r="N2229" s="1566"/>
    </row>
    <row r="2230" spans="1:14">
      <c r="A2230" s="1529"/>
      <c r="B2230" s="406" t="s">
        <v>2775</v>
      </c>
      <c r="C2230" s="292"/>
      <c r="D2230" s="292">
        <v>5.6</v>
      </c>
      <c r="E2230" s="901"/>
      <c r="F2230" s="292">
        <v>3.13</v>
      </c>
      <c r="G2230" s="341"/>
      <c r="H2230" s="347">
        <f t="shared" si="49"/>
        <v>17.527999999999999</v>
      </c>
      <c r="I2230" s="1567"/>
      <c r="J2230" s="1543"/>
      <c r="K2230" s="1543"/>
      <c r="L2230" s="1543"/>
      <c r="M2230" s="1543"/>
      <c r="N2230" s="1566"/>
    </row>
    <row r="2231" spans="1:14">
      <c r="A2231" s="1529"/>
      <c r="B2231" s="406" t="s">
        <v>2774</v>
      </c>
      <c r="C2231" s="292"/>
      <c r="D2231" s="292">
        <v>5.83</v>
      </c>
      <c r="E2231" s="901"/>
      <c r="F2231" s="292">
        <v>3.13</v>
      </c>
      <c r="G2231" s="341"/>
      <c r="H2231" s="347">
        <f t="shared" si="49"/>
        <v>18.247900000000001</v>
      </c>
      <c r="I2231" s="1567"/>
      <c r="J2231" s="1543"/>
      <c r="K2231" s="1543"/>
      <c r="L2231" s="1543"/>
      <c r="M2231" s="1543"/>
      <c r="N2231" s="1566"/>
    </row>
    <row r="2232" spans="1:14">
      <c r="A2232" s="1545"/>
      <c r="B2232" s="413"/>
      <c r="C2232" s="294"/>
      <c r="D2232" s="203"/>
      <c r="E2232" s="348"/>
      <c r="F2232" s="348"/>
      <c r="G2232" s="348"/>
      <c r="H2232" s="349"/>
      <c r="I2232" s="1567"/>
      <c r="J2232" s="1543"/>
      <c r="K2232" s="1543"/>
      <c r="L2232" s="1543"/>
      <c r="M2232" s="1543"/>
      <c r="N2232" s="1566"/>
    </row>
    <row r="2233" spans="1:14">
      <c r="A2233" s="1535" t="s">
        <v>2843</v>
      </c>
      <c r="B2233" s="410" t="s">
        <v>2235</v>
      </c>
      <c r="C2233" s="287"/>
      <c r="D2233" s="287">
        <v>3.24</v>
      </c>
      <c r="E2233" s="531"/>
      <c r="F2233" s="287">
        <v>3.13</v>
      </c>
      <c r="G2233" s="346"/>
      <c r="H2233" s="403">
        <f>D2233*F2233</f>
        <v>10.1412</v>
      </c>
      <c r="I2233" s="1567"/>
      <c r="J2233" s="1543"/>
      <c r="K2233" s="1543"/>
      <c r="L2233" s="1543"/>
      <c r="M2233" s="1543"/>
      <c r="N2233" s="1566"/>
    </row>
    <row r="2234" spans="1:14">
      <c r="A2234" s="1529"/>
      <c r="B2234" s="406" t="s">
        <v>2419</v>
      </c>
      <c r="C2234" s="292"/>
      <c r="D2234" s="292">
        <v>2.9</v>
      </c>
      <c r="E2234" s="901"/>
      <c r="F2234" s="292">
        <v>2.83</v>
      </c>
      <c r="G2234" s="341"/>
      <c r="H2234" s="347">
        <f>D2234*F2234</f>
        <v>8.2070000000000007</v>
      </c>
      <c r="I2234" s="1567"/>
      <c r="J2234" s="1543"/>
      <c r="K2234" s="1543"/>
      <c r="L2234" s="1543"/>
      <c r="M2234" s="1543"/>
      <c r="N2234" s="1566"/>
    </row>
    <row r="2235" spans="1:14">
      <c r="A2235" s="1529"/>
      <c r="B2235" s="406" t="s">
        <v>2844</v>
      </c>
      <c r="C2235" s="292"/>
      <c r="D2235" s="292">
        <v>5.48</v>
      </c>
      <c r="E2235" s="901"/>
      <c r="F2235" s="292">
        <v>3.13</v>
      </c>
      <c r="G2235" s="341">
        <v>0.67</v>
      </c>
      <c r="H2235" s="347">
        <f t="shared" ref="H2235:H2250" si="50">D2235*F2235-G2235</f>
        <v>16.482399999999998</v>
      </c>
      <c r="I2235" s="1567"/>
      <c r="J2235" s="1543"/>
      <c r="K2235" s="1543"/>
      <c r="L2235" s="1543"/>
      <c r="M2235" s="1543"/>
      <c r="N2235" s="1566"/>
    </row>
    <row r="2236" spans="1:14">
      <c r="A2236" s="1529"/>
      <c r="B2236" s="406" t="s">
        <v>2452</v>
      </c>
      <c r="C2236" s="292"/>
      <c r="D2236" s="292">
        <v>6.68</v>
      </c>
      <c r="E2236" s="901"/>
      <c r="F2236" s="292">
        <v>3.13</v>
      </c>
      <c r="G2236" s="341"/>
      <c r="H2236" s="347">
        <f t="shared" si="50"/>
        <v>20.908399999999997</v>
      </c>
      <c r="I2236" s="1567"/>
      <c r="J2236" s="1543"/>
      <c r="K2236" s="1543"/>
      <c r="L2236" s="1543"/>
      <c r="M2236" s="1543"/>
      <c r="N2236" s="1566"/>
    </row>
    <row r="2237" spans="1:14" ht="36">
      <c r="A2237" s="1529"/>
      <c r="B2237" s="406" t="s">
        <v>2845</v>
      </c>
      <c r="C2237" s="292"/>
      <c r="D2237" s="292">
        <v>19.97</v>
      </c>
      <c r="E2237" s="901"/>
      <c r="F2237" s="292">
        <v>0.7</v>
      </c>
      <c r="G2237" s="341"/>
      <c r="H2237" s="347">
        <f t="shared" si="50"/>
        <v>13.978999999999999</v>
      </c>
      <c r="I2237" s="1567"/>
      <c r="J2237" s="1543"/>
      <c r="K2237" s="1543"/>
      <c r="L2237" s="1543"/>
      <c r="M2237" s="1543"/>
      <c r="N2237" s="1566"/>
    </row>
    <row r="2238" spans="1:14">
      <c r="A2238" s="1529"/>
      <c r="B2238" s="412" t="s">
        <v>2847</v>
      </c>
      <c r="C2238" s="292"/>
      <c r="D2238" s="292">
        <v>4.0999999999999996</v>
      </c>
      <c r="E2238" s="901"/>
      <c r="F2238" s="292">
        <v>2.83</v>
      </c>
      <c r="G2238" s="341"/>
      <c r="H2238" s="347">
        <f t="shared" si="50"/>
        <v>11.603</v>
      </c>
      <c r="I2238" s="1567"/>
      <c r="J2238" s="1543"/>
      <c r="K2238" s="1543"/>
      <c r="L2238" s="1543"/>
      <c r="M2238" s="1543"/>
      <c r="N2238" s="1566"/>
    </row>
    <row r="2239" spans="1:14">
      <c r="A2239" s="1529"/>
      <c r="B2239" s="1742" t="s">
        <v>2846</v>
      </c>
      <c r="C2239" s="292"/>
      <c r="D2239" s="292">
        <v>2.1</v>
      </c>
      <c r="E2239" s="901"/>
      <c r="F2239" s="292">
        <v>0.8</v>
      </c>
      <c r="G2239" s="341"/>
      <c r="H2239" s="347">
        <f t="shared" si="50"/>
        <v>1.6800000000000002</v>
      </c>
      <c r="I2239" s="1567"/>
      <c r="J2239" s="1543"/>
      <c r="K2239" s="1543"/>
      <c r="L2239" s="1543"/>
      <c r="M2239" s="1543"/>
      <c r="N2239" s="1566"/>
    </row>
    <row r="2240" spans="1:14">
      <c r="A2240" s="1529"/>
      <c r="B2240" s="1743"/>
      <c r="C2240" s="292"/>
      <c r="D2240" s="292">
        <v>1</v>
      </c>
      <c r="E2240" s="901"/>
      <c r="F2240" s="292">
        <v>0.8</v>
      </c>
      <c r="G2240" s="341"/>
      <c r="H2240" s="347">
        <f t="shared" si="50"/>
        <v>0.8</v>
      </c>
      <c r="I2240" s="1567"/>
      <c r="J2240" s="1543"/>
      <c r="K2240" s="1543"/>
      <c r="L2240" s="1543"/>
      <c r="M2240" s="1543"/>
      <c r="N2240" s="1566"/>
    </row>
    <row r="2241" spans="1:14">
      <c r="A2241" s="1529"/>
      <c r="B2241" s="1743"/>
      <c r="C2241" s="292"/>
      <c r="D2241" s="292">
        <v>2.1</v>
      </c>
      <c r="E2241" s="901"/>
      <c r="F2241" s="292">
        <v>0.7</v>
      </c>
      <c r="G2241" s="341"/>
      <c r="H2241" s="347">
        <f t="shared" si="50"/>
        <v>1.47</v>
      </c>
      <c r="I2241" s="1567"/>
      <c r="J2241" s="1543"/>
      <c r="K2241" s="1543"/>
      <c r="L2241" s="1543"/>
      <c r="M2241" s="1543"/>
      <c r="N2241" s="1566"/>
    </row>
    <row r="2242" spans="1:14">
      <c r="A2242" s="1529"/>
      <c r="B2242" s="1744"/>
      <c r="C2242" s="292"/>
      <c r="D2242" s="292">
        <v>0.7</v>
      </c>
      <c r="E2242" s="901"/>
      <c r="F2242" s="292">
        <v>0.6</v>
      </c>
      <c r="G2242" s="341"/>
      <c r="H2242" s="347">
        <f t="shared" si="50"/>
        <v>0.42</v>
      </c>
      <c r="I2242" s="1567"/>
      <c r="J2242" s="1543"/>
      <c r="K2242" s="1543"/>
      <c r="L2242" s="1543"/>
      <c r="M2242" s="1543"/>
      <c r="N2242" s="1566"/>
    </row>
    <row r="2243" spans="1:14" ht="22.15" customHeight="1">
      <c r="A2243" s="1529"/>
      <c r="B2243" s="406" t="s">
        <v>2883</v>
      </c>
      <c r="C2243" s="292"/>
      <c r="D2243" s="292">
        <v>29.67</v>
      </c>
      <c r="E2243" s="901"/>
      <c r="F2243" s="292">
        <v>0.7</v>
      </c>
      <c r="G2243" s="341"/>
      <c r="H2243" s="347">
        <f t="shared" si="50"/>
        <v>20.768999999999998</v>
      </c>
      <c r="I2243" s="1567"/>
      <c r="J2243" s="1543"/>
      <c r="K2243" s="1543"/>
      <c r="L2243" s="1543"/>
      <c r="M2243" s="1543"/>
      <c r="N2243" s="1566"/>
    </row>
    <row r="2244" spans="1:14">
      <c r="A2244" s="1529"/>
      <c r="B2244" s="406" t="s">
        <v>2859</v>
      </c>
      <c r="C2244" s="292"/>
      <c r="D2244" s="292">
        <f>1.4+(1.75*2)</f>
        <v>4.9000000000000004</v>
      </c>
      <c r="E2244" s="901"/>
      <c r="F2244" s="292">
        <v>3.13</v>
      </c>
      <c r="G2244" s="341"/>
      <c r="H2244" s="347">
        <f t="shared" si="50"/>
        <v>15.337</v>
      </c>
      <c r="I2244" s="1567"/>
      <c r="J2244" s="1543"/>
      <c r="K2244" s="1543"/>
      <c r="L2244" s="1543"/>
      <c r="M2244" s="1543"/>
      <c r="N2244" s="1566"/>
    </row>
    <row r="2245" spans="1:14">
      <c r="A2245" s="1529"/>
      <c r="B2245" s="413" t="s">
        <v>2860</v>
      </c>
      <c r="C2245" s="294"/>
      <c r="D2245" s="294">
        <v>2.58</v>
      </c>
      <c r="E2245" s="1214"/>
      <c r="F2245" s="294">
        <v>1.1000000000000001</v>
      </c>
      <c r="G2245" s="348"/>
      <c r="H2245" s="349">
        <f t="shared" si="50"/>
        <v>2.8380000000000005</v>
      </c>
      <c r="I2245" s="1567"/>
      <c r="J2245" s="1543"/>
      <c r="K2245" s="1543"/>
      <c r="L2245" s="1543"/>
      <c r="M2245" s="1543"/>
      <c r="N2245" s="1566"/>
    </row>
    <row r="2246" spans="1:14">
      <c r="A2246" s="1574" t="s">
        <v>2895</v>
      </c>
      <c r="B2246" s="595" t="s">
        <v>2903</v>
      </c>
      <c r="C2246" s="287"/>
      <c r="D2246" s="287">
        <v>1.75</v>
      </c>
      <c r="E2246" s="531"/>
      <c r="F2246" s="346">
        <v>0.8</v>
      </c>
      <c r="G2246" s="596"/>
      <c r="H2246" s="289">
        <f t="shared" si="50"/>
        <v>1.4000000000000001</v>
      </c>
      <c r="I2246" s="1567"/>
      <c r="J2246" s="1543"/>
      <c r="K2246" s="1543"/>
      <c r="L2246" s="1543"/>
      <c r="M2246" s="1543"/>
      <c r="N2246" s="1566"/>
    </row>
    <row r="2247" spans="1:14">
      <c r="A2247" s="1707"/>
      <c r="B2247" s="597" t="s">
        <v>2904</v>
      </c>
      <c r="C2247" s="292"/>
      <c r="D2247" s="292">
        <f>2.9+3.13+3.01</f>
        <v>9.0399999999999991</v>
      </c>
      <c r="E2247" s="901"/>
      <c r="F2247" s="341">
        <v>1.4</v>
      </c>
      <c r="G2247" s="342"/>
      <c r="H2247" s="598">
        <f t="shared" si="50"/>
        <v>12.655999999999999</v>
      </c>
      <c r="I2247" s="1567"/>
      <c r="J2247" s="1543"/>
      <c r="K2247" s="1543"/>
      <c r="L2247" s="1543"/>
      <c r="M2247" s="1543"/>
      <c r="N2247" s="1566"/>
    </row>
    <row r="2248" spans="1:14">
      <c r="A2248" s="1707"/>
      <c r="B2248" s="597" t="s">
        <v>2905</v>
      </c>
      <c r="C2248" s="292"/>
      <c r="D2248" s="292">
        <v>4.5</v>
      </c>
      <c r="E2248" s="901"/>
      <c r="F2248" s="341">
        <v>0.8</v>
      </c>
      <c r="G2248" s="342"/>
      <c r="H2248" s="598">
        <f t="shared" si="50"/>
        <v>3.6</v>
      </c>
      <c r="I2248" s="1567"/>
      <c r="J2248" s="1543"/>
      <c r="K2248" s="1543"/>
      <c r="L2248" s="1543"/>
      <c r="M2248" s="1543"/>
      <c r="N2248" s="1566"/>
    </row>
    <row r="2249" spans="1:14">
      <c r="A2249" s="1707"/>
      <c r="B2249" s="597" t="s">
        <v>2906</v>
      </c>
      <c r="C2249" s="292"/>
      <c r="D2249" s="292">
        <v>9</v>
      </c>
      <c r="E2249" s="901"/>
      <c r="F2249" s="341">
        <v>0.6</v>
      </c>
      <c r="G2249" s="342"/>
      <c r="H2249" s="598">
        <f t="shared" si="50"/>
        <v>5.3999999999999995</v>
      </c>
      <c r="I2249" s="1567"/>
      <c r="J2249" s="1543"/>
      <c r="K2249" s="1543"/>
      <c r="L2249" s="1543"/>
      <c r="M2249" s="1543"/>
      <c r="N2249" s="1566"/>
    </row>
    <row r="2250" spans="1:14">
      <c r="A2250" s="1576"/>
      <c r="B2250" s="599"/>
      <c r="C2250" s="294"/>
      <c r="D2250" s="294">
        <f>10.39+8.91</f>
        <v>19.3</v>
      </c>
      <c r="E2250" s="1214"/>
      <c r="F2250" s="348">
        <v>0.6</v>
      </c>
      <c r="G2250" s="600"/>
      <c r="H2250" s="296">
        <f t="shared" si="50"/>
        <v>11.58</v>
      </c>
      <c r="I2250" s="1567"/>
      <c r="J2250" s="1543"/>
      <c r="K2250" s="1543"/>
      <c r="L2250" s="1543"/>
      <c r="M2250" s="1543"/>
      <c r="N2250" s="1566"/>
    </row>
    <row r="2251" spans="1:14">
      <c r="A2251" s="1574" t="s">
        <v>2942</v>
      </c>
      <c r="B2251" s="595" t="s">
        <v>2956</v>
      </c>
      <c r="C2251" s="287"/>
      <c r="D2251" s="287">
        <v>1.9</v>
      </c>
      <c r="E2251" s="531"/>
      <c r="F2251" s="346">
        <v>1.8</v>
      </c>
      <c r="G2251" s="596"/>
      <c r="H2251" s="289">
        <f t="shared" ref="H2251:H2259" si="51">D2251*F2251</f>
        <v>3.42</v>
      </c>
      <c r="I2251" s="1567"/>
      <c r="J2251" s="1543"/>
      <c r="K2251" s="1543"/>
      <c r="L2251" s="1543"/>
      <c r="M2251" s="1543"/>
      <c r="N2251" s="1566"/>
    </row>
    <row r="2252" spans="1:14">
      <c r="A2252" s="1707"/>
      <c r="B2252" s="597" t="s">
        <v>2957</v>
      </c>
      <c r="C2252" s="292"/>
      <c r="D2252" s="292">
        <v>5.28</v>
      </c>
      <c r="E2252" s="901"/>
      <c r="F2252" s="341">
        <v>2.85</v>
      </c>
      <c r="G2252" s="342"/>
      <c r="H2252" s="598">
        <f t="shared" si="51"/>
        <v>15.048000000000002</v>
      </c>
      <c r="I2252" s="1567"/>
      <c r="J2252" s="1543"/>
      <c r="K2252" s="1543"/>
      <c r="L2252" s="1543"/>
      <c r="M2252" s="1543"/>
      <c r="N2252" s="1566"/>
    </row>
    <row r="2253" spans="1:14">
      <c r="A2253" s="1707"/>
      <c r="B2253" s="597" t="s">
        <v>2777</v>
      </c>
      <c r="C2253" s="292"/>
      <c r="D2253" s="292">
        <v>6.15</v>
      </c>
      <c r="E2253" s="901"/>
      <c r="F2253" s="341">
        <v>2.85</v>
      </c>
      <c r="G2253" s="342"/>
      <c r="H2253" s="598">
        <f t="shared" si="51"/>
        <v>17.5275</v>
      </c>
      <c r="I2253" s="1567"/>
      <c r="J2253" s="1543"/>
      <c r="K2253" s="1543"/>
      <c r="L2253" s="1543"/>
      <c r="M2253" s="1543"/>
      <c r="N2253" s="1566"/>
    </row>
    <row r="2254" spans="1:14">
      <c r="A2254" s="1707"/>
      <c r="B2254" s="597" t="s">
        <v>2419</v>
      </c>
      <c r="C2254" s="292"/>
      <c r="D2254" s="292">
        <v>3.19</v>
      </c>
      <c r="E2254" s="901"/>
      <c r="F2254" s="341">
        <v>2.85</v>
      </c>
      <c r="G2254" s="342"/>
      <c r="H2254" s="598">
        <f t="shared" si="51"/>
        <v>9.0914999999999999</v>
      </c>
      <c r="I2254" s="1567"/>
      <c r="J2254" s="1543"/>
      <c r="K2254" s="1543"/>
      <c r="L2254" s="1543"/>
      <c r="M2254" s="1543"/>
      <c r="N2254" s="1566"/>
    </row>
    <row r="2255" spans="1:14">
      <c r="A2255" s="1707"/>
      <c r="B2255" s="597" t="s">
        <v>2958</v>
      </c>
      <c r="C2255" s="292"/>
      <c r="D2255" s="292">
        <v>4.0599999999999996</v>
      </c>
      <c r="E2255" s="901"/>
      <c r="F2255" s="341">
        <v>0.76</v>
      </c>
      <c r="G2255" s="342"/>
      <c r="H2255" s="598">
        <f t="shared" si="51"/>
        <v>3.0855999999999999</v>
      </c>
      <c r="I2255" s="1567"/>
      <c r="J2255" s="1543"/>
      <c r="K2255" s="1543"/>
      <c r="L2255" s="1543"/>
      <c r="M2255" s="1543"/>
      <c r="N2255" s="1566"/>
    </row>
    <row r="2256" spans="1:14">
      <c r="A2256" s="1707"/>
      <c r="B2256" s="597" t="s">
        <v>2958</v>
      </c>
      <c r="C2256" s="292"/>
      <c r="D2256" s="292">
        <v>6.69</v>
      </c>
      <c r="E2256" s="901"/>
      <c r="F2256" s="341">
        <v>2.85</v>
      </c>
      <c r="G2256" s="342"/>
      <c r="H2256" s="598">
        <f t="shared" si="51"/>
        <v>19.066500000000001</v>
      </c>
      <c r="I2256" s="1567"/>
      <c r="J2256" s="1543"/>
      <c r="K2256" s="1543"/>
      <c r="L2256" s="1543"/>
      <c r="M2256" s="1543"/>
      <c r="N2256" s="1566"/>
    </row>
    <row r="2257" spans="1:14">
      <c r="A2257" s="1707"/>
      <c r="B2257" s="597" t="s">
        <v>2380</v>
      </c>
      <c r="C2257" s="292"/>
      <c r="D2257" s="292">
        <v>0.79</v>
      </c>
      <c r="E2257" s="901"/>
      <c r="F2257" s="341">
        <v>1.2</v>
      </c>
      <c r="G2257" s="342"/>
      <c r="H2257" s="598">
        <f t="shared" si="51"/>
        <v>0.94799999999999995</v>
      </c>
      <c r="I2257" s="1567"/>
      <c r="J2257" s="1543"/>
      <c r="K2257" s="1543"/>
      <c r="L2257" s="1543"/>
      <c r="M2257" s="1543"/>
      <c r="N2257" s="1566"/>
    </row>
    <row r="2258" spans="1:14">
      <c r="A2258" s="1707"/>
      <c r="B2258" s="597" t="s">
        <v>2380</v>
      </c>
      <c r="C2258" s="292"/>
      <c r="D2258" s="292">
        <v>17.28</v>
      </c>
      <c r="E2258" s="901"/>
      <c r="F2258" s="341">
        <v>2.85</v>
      </c>
      <c r="G2258" s="342"/>
      <c r="H2258" s="598">
        <f t="shared" si="51"/>
        <v>49.248000000000005</v>
      </c>
      <c r="I2258" s="1567"/>
      <c r="J2258" s="1543"/>
      <c r="K2258" s="1543"/>
      <c r="L2258" s="1543"/>
      <c r="M2258" s="1543"/>
      <c r="N2258" s="1566"/>
    </row>
    <row r="2259" spans="1:14">
      <c r="A2259" s="1707"/>
      <c r="B2259" s="597" t="s">
        <v>2959</v>
      </c>
      <c r="C2259" s="292"/>
      <c r="D2259" s="292">
        <v>7.05</v>
      </c>
      <c r="E2259" s="901"/>
      <c r="F2259" s="341">
        <v>2.85</v>
      </c>
      <c r="G2259" s="342"/>
      <c r="H2259" s="598">
        <f t="shared" si="51"/>
        <v>20.092500000000001</v>
      </c>
      <c r="I2259" s="1567"/>
      <c r="J2259" s="1543"/>
      <c r="K2259" s="1543"/>
      <c r="L2259" s="1543"/>
      <c r="M2259" s="1543"/>
      <c r="N2259" s="1566"/>
    </row>
    <row r="2260" spans="1:14">
      <c r="A2260" s="1576"/>
      <c r="B2260" s="601" t="s">
        <v>3053</v>
      </c>
      <c r="C2260" s="602"/>
      <c r="D2260" s="602"/>
      <c r="E2260" s="603"/>
      <c r="F2260" s="603"/>
      <c r="G2260" s="604"/>
      <c r="H2260" s="605">
        <v>-14.58</v>
      </c>
      <c r="I2260" s="1567"/>
      <c r="J2260" s="1543"/>
      <c r="K2260" s="1543"/>
      <c r="L2260" s="1543"/>
      <c r="M2260" s="1543"/>
      <c r="N2260" s="1566"/>
    </row>
    <row r="2261" spans="1:14" ht="15" customHeight="1">
      <c r="A2261" s="1746" t="s">
        <v>3159</v>
      </c>
      <c r="B2261" s="597" t="s">
        <v>2998</v>
      </c>
      <c r="C2261" s="292"/>
      <c r="D2261" s="292">
        <v>2.92</v>
      </c>
      <c r="E2261" s="901"/>
      <c r="F2261" s="292">
        <v>2.8</v>
      </c>
      <c r="G2261" s="292"/>
      <c r="H2261" s="292"/>
      <c r="I2261" s="1567"/>
      <c r="J2261" s="1543"/>
      <c r="K2261" s="1543"/>
      <c r="L2261" s="1543"/>
      <c r="M2261" s="1543"/>
      <c r="N2261" s="1566"/>
    </row>
    <row r="2262" spans="1:14">
      <c r="A2262" s="1747"/>
      <c r="B2262" s="597" t="s">
        <v>2999</v>
      </c>
      <c r="C2262" s="292"/>
      <c r="D2262" s="292">
        <v>9.2799999999999994</v>
      </c>
      <c r="E2262" s="901"/>
      <c r="F2262" s="292">
        <v>4.5999999999999996</v>
      </c>
      <c r="G2262" s="292"/>
      <c r="H2262" s="292"/>
      <c r="I2262" s="1567"/>
      <c r="J2262" s="1543"/>
      <c r="K2262" s="1543"/>
      <c r="L2262" s="1543"/>
      <c r="M2262" s="1543"/>
      <c r="N2262" s="1566"/>
    </row>
    <row r="2263" spans="1:14">
      <c r="A2263" s="1747"/>
      <c r="B2263" s="597"/>
      <c r="C2263" s="292"/>
      <c r="D2263" s="292"/>
      <c r="E2263" s="901"/>
      <c r="F2263" s="292"/>
      <c r="G2263" s="292"/>
      <c r="H2263" s="606"/>
      <c r="I2263" s="1567"/>
      <c r="J2263" s="1543"/>
      <c r="K2263" s="1543"/>
      <c r="L2263" s="1543"/>
      <c r="M2263" s="1543"/>
      <c r="N2263" s="1566"/>
    </row>
    <row r="2264" spans="1:14">
      <c r="A2264" s="1747"/>
      <c r="B2264" s="597" t="s">
        <v>3054</v>
      </c>
      <c r="C2264" s="292"/>
      <c r="D2264" s="292">
        <v>8.41</v>
      </c>
      <c r="E2264" s="901"/>
      <c r="F2264" s="292">
        <v>2.8</v>
      </c>
      <c r="G2264" s="292"/>
      <c r="H2264" s="564"/>
      <c r="I2264" s="1567"/>
      <c r="J2264" s="1543"/>
      <c r="K2264" s="1543"/>
      <c r="L2264" s="1543"/>
      <c r="M2264" s="1543"/>
      <c r="N2264" s="1566"/>
    </row>
    <row r="2265" spans="1:14">
      <c r="A2265" s="1747"/>
      <c r="B2265" s="597" t="s">
        <v>3055</v>
      </c>
      <c r="C2265" s="292"/>
      <c r="D2265" s="292">
        <v>8.41</v>
      </c>
      <c r="E2265" s="901"/>
      <c r="F2265" s="292">
        <v>2.8</v>
      </c>
      <c r="G2265" s="292"/>
      <c r="H2265" s="564"/>
      <c r="I2265" s="1567"/>
      <c r="J2265" s="1543"/>
      <c r="K2265" s="1543"/>
      <c r="L2265" s="1543"/>
      <c r="M2265" s="1543"/>
      <c r="N2265" s="1566"/>
    </row>
    <row r="2266" spans="1:14">
      <c r="A2266" s="1747"/>
      <c r="B2266" s="597" t="s">
        <v>3056</v>
      </c>
      <c r="C2266" s="292"/>
      <c r="D2266" s="292">
        <v>8.52</v>
      </c>
      <c r="E2266" s="901"/>
      <c r="F2266" s="292">
        <v>1.6</v>
      </c>
      <c r="G2266" s="292"/>
      <c r="H2266" s="564"/>
      <c r="I2266" s="1567"/>
      <c r="J2266" s="1543"/>
      <c r="K2266" s="1543"/>
      <c r="L2266" s="1543"/>
      <c r="M2266" s="1543"/>
      <c r="N2266" s="1566"/>
    </row>
    <row r="2267" spans="1:14">
      <c r="A2267" s="1740" t="s">
        <v>3745</v>
      </c>
      <c r="B2267" s="1143" t="s">
        <v>2999</v>
      </c>
      <c r="C2267" s="292"/>
      <c r="D2267" s="1156">
        <v>9.2799999999999994</v>
      </c>
      <c r="E2267" s="901"/>
      <c r="F2267" s="1156">
        <v>4.5999999999999996</v>
      </c>
      <c r="G2267" s="292"/>
      <c r="H2267" s="564">
        <f t="shared" ref="H2267:H2273" si="52">F2267*D2267</f>
        <v>42.687999999999995</v>
      </c>
      <c r="I2267" s="1567"/>
      <c r="J2267" s="1543"/>
      <c r="K2267" s="1543"/>
      <c r="L2267" s="1543"/>
      <c r="M2267" s="1543"/>
      <c r="N2267" s="1566"/>
    </row>
    <row r="2268" spans="1:14">
      <c r="A2268" s="1740"/>
      <c r="B2268" s="1143" t="s">
        <v>3054</v>
      </c>
      <c r="C2268" s="292"/>
      <c r="D2268" s="1156">
        <v>8.41</v>
      </c>
      <c r="E2268" s="901"/>
      <c r="F2268" s="1156">
        <v>2.8</v>
      </c>
      <c r="G2268" s="292"/>
      <c r="H2268" s="564">
        <f t="shared" si="52"/>
        <v>23.547999999999998</v>
      </c>
      <c r="I2268" s="1567"/>
      <c r="J2268" s="1543"/>
      <c r="K2268" s="1543"/>
      <c r="L2268" s="1543"/>
      <c r="M2268" s="1543"/>
      <c r="N2268" s="1566"/>
    </row>
    <row r="2269" spans="1:14">
      <c r="A2269" s="1740"/>
      <c r="B2269" s="1143" t="s">
        <v>3055</v>
      </c>
      <c r="C2269" s="292"/>
      <c r="D2269" s="1156">
        <v>8.41</v>
      </c>
      <c r="E2269" s="901"/>
      <c r="F2269" s="1156">
        <v>2.8</v>
      </c>
      <c r="G2269" s="292"/>
      <c r="H2269" s="564">
        <f t="shared" si="52"/>
        <v>23.547999999999998</v>
      </c>
      <c r="I2269" s="1567"/>
      <c r="J2269" s="1543"/>
      <c r="K2269" s="1543"/>
      <c r="L2269" s="1543"/>
      <c r="M2269" s="1543"/>
      <c r="N2269" s="1566"/>
    </row>
    <row r="2270" spans="1:14">
      <c r="A2270" s="1740"/>
      <c r="B2270" s="1143" t="s">
        <v>3056</v>
      </c>
      <c r="C2270" s="292"/>
      <c r="D2270" s="1156">
        <v>8.52</v>
      </c>
      <c r="E2270" s="901"/>
      <c r="F2270" s="1156">
        <v>1.6</v>
      </c>
      <c r="G2270" s="292"/>
      <c r="H2270" s="564">
        <f t="shared" si="52"/>
        <v>13.632</v>
      </c>
      <c r="I2270" s="1567"/>
      <c r="J2270" s="1543"/>
      <c r="K2270" s="1543"/>
      <c r="L2270" s="1543"/>
      <c r="M2270" s="1543"/>
      <c r="N2270" s="1566"/>
    </row>
    <row r="2271" spans="1:14">
      <c r="A2271" s="1740"/>
      <c r="B2271" s="1154" t="s">
        <v>3772</v>
      </c>
      <c r="C2271" s="292"/>
      <c r="D2271" s="1158">
        <v>4.4800000000000004</v>
      </c>
      <c r="E2271" s="901"/>
      <c r="F2271" s="1072">
        <v>1.85</v>
      </c>
      <c r="G2271" s="292"/>
      <c r="H2271" s="564">
        <f t="shared" si="52"/>
        <v>8.288000000000002</v>
      </c>
      <c r="I2271" s="1567"/>
      <c r="J2271" s="1543"/>
      <c r="K2271" s="1543"/>
      <c r="L2271" s="1543"/>
      <c r="M2271" s="1543"/>
      <c r="N2271" s="1566"/>
    </row>
    <row r="2272" spans="1:14" ht="25.5">
      <c r="A2272" s="1740"/>
      <c r="B2272" s="1155" t="s">
        <v>2704</v>
      </c>
      <c r="C2272" s="292"/>
      <c r="D2272" s="1159">
        <v>20.399999999999999</v>
      </c>
      <c r="E2272" s="901"/>
      <c r="F2272" s="1157">
        <v>2.8</v>
      </c>
      <c r="G2272" s="292"/>
      <c r="H2272" s="564">
        <f t="shared" si="52"/>
        <v>57.11999999999999</v>
      </c>
      <c r="I2272" s="1567"/>
      <c r="J2272" s="1543"/>
      <c r="K2272" s="1543"/>
      <c r="L2272" s="1543"/>
      <c r="M2272" s="1543"/>
      <c r="N2272" s="1566"/>
    </row>
    <row r="2273" spans="1:15">
      <c r="A2273" s="1740"/>
      <c r="B2273" s="1155" t="s">
        <v>3773</v>
      </c>
      <c r="C2273" s="292"/>
      <c r="D2273" s="1159">
        <v>3.33</v>
      </c>
      <c r="E2273" s="901"/>
      <c r="F2273" s="1157">
        <v>2.5</v>
      </c>
      <c r="G2273" s="292"/>
      <c r="H2273" s="564">
        <f t="shared" si="52"/>
        <v>8.3249999999999993</v>
      </c>
      <c r="I2273" s="1567"/>
      <c r="J2273" s="1543"/>
      <c r="K2273" s="1543"/>
      <c r="L2273" s="1543"/>
      <c r="M2273" s="1543"/>
      <c r="N2273" s="1566"/>
    </row>
    <row r="2274" spans="1:15">
      <c r="A2274" s="1153"/>
      <c r="B2274" s="597"/>
      <c r="C2274" s="292"/>
      <c r="D2274" s="292"/>
      <c r="E2274" s="901"/>
      <c r="F2274" s="292"/>
      <c r="G2274" s="292"/>
      <c r="H2274" s="564"/>
      <c r="I2274" s="1567"/>
      <c r="J2274" s="1543"/>
      <c r="K2274" s="1543"/>
      <c r="L2274" s="1543"/>
      <c r="M2274" s="1543"/>
      <c r="N2274" s="1566"/>
    </row>
    <row r="2275" spans="1:15">
      <c r="A2275" s="1577" t="s">
        <v>2218</v>
      </c>
      <c r="B2275" s="1542"/>
      <c r="C2275" s="1542"/>
      <c r="D2275" s="1542"/>
      <c r="E2275" s="1542"/>
      <c r="F2275" s="1542"/>
      <c r="G2275" s="1542"/>
      <c r="H2275" s="271">
        <f>SUM(H2211:H2274)</f>
        <v>866.4171</v>
      </c>
      <c r="I2275" s="1567"/>
      <c r="J2275" s="1543"/>
      <c r="K2275" s="1543"/>
      <c r="L2275" s="1543"/>
      <c r="M2275" s="1543"/>
      <c r="N2275" s="1566"/>
    </row>
    <row r="2276" spans="1:15">
      <c r="A2276" s="1519" t="s">
        <v>2219</v>
      </c>
      <c r="B2276" s="1517"/>
      <c r="C2276" s="1517"/>
      <c r="D2276" s="1551"/>
      <c r="E2276" s="1551"/>
      <c r="F2276" s="1551"/>
      <c r="G2276" s="1552"/>
      <c r="H2276" s="272">
        <f>SUM(H2211:H2266)</f>
        <v>689.2681</v>
      </c>
      <c r="I2276" s="1543"/>
      <c r="J2276" s="1543"/>
      <c r="K2276" s="1543"/>
      <c r="L2276" s="1543"/>
      <c r="M2276" s="1543"/>
      <c r="N2276" s="1566"/>
    </row>
    <row r="2277" spans="1:15" ht="15.75" thickBot="1">
      <c r="A2277" s="1520" t="s">
        <v>2220</v>
      </c>
      <c r="B2277" s="1521"/>
      <c r="C2277" s="1521"/>
      <c r="D2277" s="1521"/>
      <c r="E2277" s="1521"/>
      <c r="F2277" s="1521"/>
      <c r="G2277" s="1522"/>
      <c r="H2277" s="216">
        <f>H2275-H2276</f>
        <v>177.149</v>
      </c>
      <c r="I2277" s="1568"/>
      <c r="J2277" s="1568"/>
      <c r="K2277" s="1568"/>
      <c r="L2277" s="1568"/>
      <c r="M2277" s="1568"/>
      <c r="N2277" s="1569"/>
    </row>
    <row r="2278" spans="1:15" ht="15.75" thickBot="1"/>
    <row r="2279" spans="1:15" ht="31.15" customHeight="1" thickBot="1">
      <c r="A2279" s="1085" t="s">
        <v>3369</v>
      </c>
      <c r="B2279" s="1737" t="s">
        <v>785</v>
      </c>
      <c r="C2279" s="1738"/>
      <c r="D2279" s="1738"/>
      <c r="E2279" s="1738"/>
      <c r="F2279" s="1738"/>
      <c r="G2279" s="1738"/>
      <c r="H2279" s="1738"/>
      <c r="I2279" s="1738"/>
      <c r="J2279" s="1738"/>
      <c r="K2279" s="1738"/>
      <c r="L2279" s="1738"/>
      <c r="M2279" s="1738"/>
      <c r="N2279" s="1739"/>
    </row>
    <row r="2280" spans="1:15" ht="25.15" customHeight="1">
      <c r="A2280" s="1084" t="s">
        <v>3370</v>
      </c>
      <c r="B2280" s="1533" t="s">
        <v>788</v>
      </c>
      <c r="C2280" s="1533"/>
      <c r="D2280" s="1533"/>
      <c r="E2280" s="1533"/>
      <c r="F2280" s="1533"/>
      <c r="G2280" s="1533"/>
      <c r="H2280" s="1533"/>
      <c r="I2280" s="1533"/>
      <c r="J2280" s="1533"/>
      <c r="K2280" s="627" t="s">
        <v>2222</v>
      </c>
      <c r="L2280" s="1534">
        <f>'27ª MEDIÇÃO '!F128</f>
        <v>605.86</v>
      </c>
      <c r="M2280" s="1534"/>
      <c r="N2280" s="197">
        <f>L2280-H2340</f>
        <v>1.9607000000002017</v>
      </c>
    </row>
    <row r="2281" spans="1:15">
      <c r="A2281" s="1734" t="s">
        <v>3364</v>
      </c>
      <c r="B2281" s="935" t="s">
        <v>2929</v>
      </c>
      <c r="C2281" s="389"/>
      <c r="D2281" s="631" t="s">
        <v>3031</v>
      </c>
      <c r="E2281" s="628" t="s">
        <v>2945</v>
      </c>
      <c r="F2281" s="628"/>
      <c r="G2281" s="933" t="s">
        <v>2190</v>
      </c>
      <c r="H2281" s="934" t="s">
        <v>476</v>
      </c>
      <c r="I2281" s="1681"/>
      <c r="J2281" s="1681"/>
      <c r="K2281" s="1681"/>
      <c r="L2281" s="1681"/>
      <c r="M2281" s="1681"/>
      <c r="N2281" s="1682"/>
    </row>
    <row r="2282" spans="1:15">
      <c r="A2282" s="1735"/>
      <c r="B2282" s="501" t="s">
        <v>3371</v>
      </c>
      <c r="C2282" s="389"/>
      <c r="D2282" s="632">
        <v>6.88</v>
      </c>
      <c r="E2282" s="632">
        <v>3.13</v>
      </c>
      <c r="F2282" s="632"/>
      <c r="G2282" s="632">
        <v>1</v>
      </c>
      <c r="H2282" s="632">
        <f t="shared" ref="H2282:H2290" si="53">D2282*E2282*G2282</f>
        <v>21.534399999999998</v>
      </c>
      <c r="I2282" s="1683"/>
      <c r="J2282" s="1683"/>
      <c r="K2282" s="1683"/>
      <c r="L2282" s="1683"/>
      <c r="M2282" s="1683"/>
      <c r="N2282" s="1684"/>
    </row>
    <row r="2283" spans="1:15">
      <c r="A2283" s="1735"/>
      <c r="B2283" s="501" t="s">
        <v>3372</v>
      </c>
      <c r="C2283" s="389"/>
      <c r="D2283" s="632">
        <v>6.55</v>
      </c>
      <c r="E2283" s="632">
        <v>3.13</v>
      </c>
      <c r="F2283" s="632"/>
      <c r="G2283" s="632">
        <v>1</v>
      </c>
      <c r="H2283" s="632">
        <f t="shared" si="53"/>
        <v>20.5015</v>
      </c>
      <c r="I2283" s="1683"/>
      <c r="J2283" s="1683"/>
      <c r="K2283" s="1683"/>
      <c r="L2283" s="1683"/>
      <c r="M2283" s="1683"/>
      <c r="N2283" s="1684"/>
    </row>
    <row r="2284" spans="1:15">
      <c r="A2284" s="1735"/>
      <c r="B2284" s="501" t="s">
        <v>3373</v>
      </c>
      <c r="C2284" s="389"/>
      <c r="D2284" s="632">
        <v>6.4</v>
      </c>
      <c r="E2284" s="632">
        <v>3.13</v>
      </c>
      <c r="F2284" s="632"/>
      <c r="G2284" s="632">
        <v>1</v>
      </c>
      <c r="H2284" s="632">
        <f t="shared" si="53"/>
        <v>20.032</v>
      </c>
      <c r="I2284" s="1683"/>
      <c r="J2284" s="1683"/>
      <c r="K2284" s="1683"/>
      <c r="L2284" s="1683"/>
      <c r="M2284" s="1683"/>
      <c r="N2284" s="1684"/>
      <c r="O2284" s="897"/>
    </row>
    <row r="2285" spans="1:15">
      <c r="A2285" s="1735"/>
      <c r="B2285" s="501" t="s">
        <v>2988</v>
      </c>
      <c r="C2285" s="389"/>
      <c r="D2285" s="632">
        <v>6.4</v>
      </c>
      <c r="E2285" s="632">
        <v>3.13</v>
      </c>
      <c r="F2285" s="632"/>
      <c r="G2285" s="632">
        <v>1</v>
      </c>
      <c r="H2285" s="632">
        <f t="shared" si="53"/>
        <v>20.032</v>
      </c>
      <c r="I2285" s="1683"/>
      <c r="J2285" s="1683"/>
      <c r="K2285" s="1683"/>
      <c r="L2285" s="1683"/>
      <c r="M2285" s="1683"/>
      <c r="N2285" s="1684"/>
    </row>
    <row r="2286" spans="1:15">
      <c r="A2286" s="1735"/>
      <c r="B2286" s="501" t="s">
        <v>2989</v>
      </c>
      <c r="C2286" s="389"/>
      <c r="D2286" s="632">
        <v>6.4</v>
      </c>
      <c r="E2286" s="632">
        <v>3.13</v>
      </c>
      <c r="F2286" s="632"/>
      <c r="G2286" s="632">
        <v>1</v>
      </c>
      <c r="H2286" s="632">
        <f t="shared" si="53"/>
        <v>20.032</v>
      </c>
      <c r="I2286" s="1683"/>
      <c r="J2286" s="1683"/>
      <c r="K2286" s="1683"/>
      <c r="L2286" s="1683"/>
      <c r="M2286" s="1683"/>
      <c r="N2286" s="1684"/>
    </row>
    <row r="2287" spans="1:15">
      <c r="A2287" s="1735"/>
      <c r="B2287" s="501" t="s">
        <v>2982</v>
      </c>
      <c r="C2287" s="389"/>
      <c r="D2287" s="632">
        <v>5</v>
      </c>
      <c r="E2287" s="632">
        <v>3.13</v>
      </c>
      <c r="F2287" s="632"/>
      <c r="G2287" s="632">
        <v>1</v>
      </c>
      <c r="H2287" s="632">
        <f t="shared" si="53"/>
        <v>15.649999999999999</v>
      </c>
      <c r="I2287" s="1683"/>
      <c r="J2287" s="1683"/>
      <c r="K2287" s="1683"/>
      <c r="L2287" s="1683"/>
      <c r="M2287" s="1683"/>
      <c r="N2287" s="1684"/>
    </row>
    <row r="2288" spans="1:15">
      <c r="A2288" s="1735"/>
      <c r="B2288" s="501" t="s">
        <v>2342</v>
      </c>
      <c r="C2288" s="389"/>
      <c r="D2288" s="632">
        <v>1.6</v>
      </c>
      <c r="E2288" s="632">
        <v>3.13</v>
      </c>
      <c r="F2288" s="632"/>
      <c r="G2288" s="632">
        <v>1</v>
      </c>
      <c r="H2288" s="632">
        <f t="shared" si="53"/>
        <v>5.008</v>
      </c>
      <c r="I2288" s="1683"/>
      <c r="J2288" s="1683"/>
      <c r="K2288" s="1683"/>
      <c r="L2288" s="1683"/>
      <c r="M2288" s="1683"/>
      <c r="N2288" s="1684"/>
    </row>
    <row r="2289" spans="1:14">
      <c r="A2289" s="1735"/>
      <c r="B2289" s="501" t="s">
        <v>3374</v>
      </c>
      <c r="C2289" s="389"/>
      <c r="D2289" s="632">
        <v>8.16</v>
      </c>
      <c r="E2289" s="632">
        <v>3.13</v>
      </c>
      <c r="F2289" s="632"/>
      <c r="G2289" s="632">
        <v>1</v>
      </c>
      <c r="H2289" s="632">
        <f t="shared" si="53"/>
        <v>25.540800000000001</v>
      </c>
      <c r="I2289" s="1683"/>
      <c r="J2289" s="1683"/>
      <c r="K2289" s="1683"/>
      <c r="L2289" s="1683"/>
      <c r="M2289" s="1683"/>
      <c r="N2289" s="1684"/>
    </row>
    <row r="2290" spans="1:14">
      <c r="A2290" s="1735"/>
      <c r="B2290" s="501" t="s">
        <v>3265</v>
      </c>
      <c r="C2290" s="389"/>
      <c r="D2290" s="632">
        <v>11.97</v>
      </c>
      <c r="E2290" s="632">
        <v>3.13</v>
      </c>
      <c r="F2290" s="632"/>
      <c r="G2290" s="632">
        <v>1</v>
      </c>
      <c r="H2290" s="632">
        <f t="shared" si="53"/>
        <v>37.466099999999997</v>
      </c>
      <c r="I2290" s="1683"/>
      <c r="J2290" s="1683"/>
      <c r="K2290" s="1683"/>
      <c r="L2290" s="1683"/>
      <c r="M2290" s="1683"/>
      <c r="N2290" s="1684"/>
    </row>
    <row r="2291" spans="1:14">
      <c r="A2291" s="1735"/>
      <c r="B2291" s="937" t="s">
        <v>3053</v>
      </c>
      <c r="C2291" s="938" t="s">
        <v>3375</v>
      </c>
      <c r="D2291" s="939">
        <v>0.8</v>
      </c>
      <c r="E2291" s="939">
        <v>2.1</v>
      </c>
      <c r="F2291" s="939"/>
      <c r="G2291" s="939">
        <v>1</v>
      </c>
      <c r="H2291" s="939">
        <f>-(D2291*E2291*G2291)</f>
        <v>-1.6800000000000002</v>
      </c>
      <c r="I2291" s="1683"/>
      <c r="J2291" s="1683"/>
      <c r="K2291" s="1683"/>
      <c r="L2291" s="1683"/>
      <c r="M2291" s="1683"/>
      <c r="N2291" s="1684"/>
    </row>
    <row r="2292" spans="1:14">
      <c r="A2292" s="1735"/>
      <c r="B2292" s="936"/>
      <c r="C2292" s="938" t="s">
        <v>3376</v>
      </c>
      <c r="D2292" s="939">
        <v>2</v>
      </c>
      <c r="E2292" s="939">
        <v>1.1000000000000001</v>
      </c>
      <c r="F2292" s="939"/>
      <c r="G2292" s="939">
        <v>2</v>
      </c>
      <c r="H2292" s="939">
        <f>-(D2292*E2292*G2292)</f>
        <v>-4.4000000000000004</v>
      </c>
      <c r="I2292" s="1683"/>
      <c r="J2292" s="1683"/>
      <c r="K2292" s="1683"/>
      <c r="L2292" s="1683"/>
      <c r="M2292" s="1683"/>
      <c r="N2292" s="1684"/>
    </row>
    <row r="2293" spans="1:14">
      <c r="A2293" s="1735"/>
      <c r="B2293" s="501" t="s">
        <v>2231</v>
      </c>
      <c r="C2293" s="389"/>
      <c r="D2293" s="632">
        <v>2.48</v>
      </c>
      <c r="E2293" s="632">
        <v>0.76</v>
      </c>
      <c r="F2293" s="632"/>
      <c r="G2293" s="632">
        <v>1</v>
      </c>
      <c r="H2293" s="632">
        <f>D2293*E2293*G2293</f>
        <v>1.8848</v>
      </c>
      <c r="I2293" s="1683"/>
      <c r="J2293" s="1683"/>
      <c r="K2293" s="1683"/>
      <c r="L2293" s="1683"/>
      <c r="M2293" s="1683"/>
      <c r="N2293" s="1684"/>
    </row>
    <row r="2294" spans="1:14">
      <c r="A2294" s="1735"/>
      <c r="B2294" s="501" t="s">
        <v>3377</v>
      </c>
      <c r="C2294" s="389"/>
      <c r="D2294" s="632">
        <v>4.62</v>
      </c>
      <c r="E2294" s="632">
        <v>3.13</v>
      </c>
      <c r="F2294" s="632"/>
      <c r="G2294" s="632">
        <v>1</v>
      </c>
      <c r="H2294" s="632">
        <f>D2294*E2294*G2294</f>
        <v>14.460599999999999</v>
      </c>
      <c r="I2294" s="1683"/>
      <c r="J2294" s="1683"/>
      <c r="K2294" s="1683"/>
      <c r="L2294" s="1683"/>
      <c r="M2294" s="1683"/>
      <c r="N2294" s="1684"/>
    </row>
    <row r="2295" spans="1:14">
      <c r="A2295" s="1735"/>
      <c r="B2295" s="937" t="s">
        <v>3053</v>
      </c>
      <c r="C2295" s="938" t="s">
        <v>3375</v>
      </c>
      <c r="D2295" s="939">
        <v>0.8</v>
      </c>
      <c r="E2295" s="939">
        <v>2.1</v>
      </c>
      <c r="F2295" s="939"/>
      <c r="G2295" s="939">
        <v>1</v>
      </c>
      <c r="H2295" s="939">
        <f>-(D2295*E2295*G2295)</f>
        <v>-1.6800000000000002</v>
      </c>
      <c r="I2295" s="1683"/>
      <c r="J2295" s="1683"/>
      <c r="K2295" s="1683"/>
      <c r="L2295" s="1683"/>
      <c r="M2295" s="1683"/>
      <c r="N2295" s="1684"/>
    </row>
    <row r="2296" spans="1:14">
      <c r="A2296" s="1735"/>
      <c r="B2296" s="936"/>
      <c r="C2296" s="938" t="s">
        <v>3376</v>
      </c>
      <c r="D2296" s="939">
        <v>1</v>
      </c>
      <c r="E2296" s="939">
        <v>1.1000000000000001</v>
      </c>
      <c r="F2296" s="939"/>
      <c r="G2296" s="939">
        <v>1</v>
      </c>
      <c r="H2296" s="939">
        <f>-(D2296*E2296*G2296)</f>
        <v>-1.1000000000000001</v>
      </c>
      <c r="I2296" s="1683"/>
      <c r="J2296" s="1683"/>
      <c r="K2296" s="1683"/>
      <c r="L2296" s="1683"/>
      <c r="M2296" s="1683"/>
      <c r="N2296" s="1684"/>
    </row>
    <row r="2297" spans="1:14">
      <c r="A2297" s="1735"/>
      <c r="B2297" s="501" t="s">
        <v>2980</v>
      </c>
      <c r="C2297" s="389"/>
      <c r="D2297" s="632">
        <v>3.92</v>
      </c>
      <c r="E2297" s="632">
        <v>3.13</v>
      </c>
      <c r="F2297" s="632"/>
      <c r="G2297" s="632">
        <v>1</v>
      </c>
      <c r="H2297" s="632">
        <f>D2297*E2297*G2297</f>
        <v>12.269599999999999</v>
      </c>
      <c r="I2297" s="1683"/>
      <c r="J2297" s="1683"/>
      <c r="K2297" s="1683"/>
      <c r="L2297" s="1683"/>
      <c r="M2297" s="1683"/>
      <c r="N2297" s="1684"/>
    </row>
    <row r="2298" spans="1:14">
      <c r="A2298" s="1735"/>
      <c r="B2298" s="937" t="s">
        <v>3053</v>
      </c>
      <c r="C2298" s="938" t="s">
        <v>3375</v>
      </c>
      <c r="D2298" s="939">
        <v>0.8</v>
      </c>
      <c r="E2298" s="939">
        <v>2.1</v>
      </c>
      <c r="F2298" s="939"/>
      <c r="G2298" s="939">
        <v>1</v>
      </c>
      <c r="H2298" s="939">
        <f>-(D2298*E2298*G2298)</f>
        <v>-1.6800000000000002</v>
      </c>
      <c r="I2298" s="1683"/>
      <c r="J2298" s="1683"/>
      <c r="K2298" s="1683"/>
      <c r="L2298" s="1683"/>
      <c r="M2298" s="1683"/>
      <c r="N2298" s="1684"/>
    </row>
    <row r="2299" spans="1:14">
      <c r="A2299" s="1735"/>
      <c r="B2299" s="936"/>
      <c r="C2299" s="938" t="s">
        <v>3376</v>
      </c>
      <c r="D2299" s="939">
        <v>1</v>
      </c>
      <c r="E2299" s="939">
        <v>1.1000000000000001</v>
      </c>
      <c r="F2299" s="939"/>
      <c r="G2299" s="939">
        <v>1</v>
      </c>
      <c r="H2299" s="939">
        <f>-(D2299*E2299*G2299)</f>
        <v>-1.1000000000000001</v>
      </c>
      <c r="I2299" s="1683"/>
      <c r="J2299" s="1683"/>
      <c r="K2299" s="1683"/>
      <c r="L2299" s="1683"/>
      <c r="M2299" s="1683"/>
      <c r="N2299" s="1684"/>
    </row>
    <row r="2300" spans="1:14">
      <c r="A2300" s="1735"/>
      <c r="B2300" s="501" t="s">
        <v>3378</v>
      </c>
      <c r="C2300" s="389"/>
      <c r="D2300" s="632">
        <v>6.4</v>
      </c>
      <c r="E2300" s="632">
        <v>3.13</v>
      </c>
      <c r="F2300" s="632"/>
      <c r="G2300" s="632">
        <v>1</v>
      </c>
      <c r="H2300" s="632">
        <f>D2300*E2300*G2300</f>
        <v>20.032</v>
      </c>
      <c r="I2300" s="1683"/>
      <c r="J2300" s="1683"/>
      <c r="K2300" s="1683"/>
      <c r="L2300" s="1683"/>
      <c r="M2300" s="1683"/>
      <c r="N2300" s="1684"/>
    </row>
    <row r="2301" spans="1:14">
      <c r="A2301" s="1735"/>
      <c r="B2301" s="937" t="s">
        <v>3053</v>
      </c>
      <c r="C2301" s="938" t="s">
        <v>3375</v>
      </c>
      <c r="D2301" s="939">
        <v>0.8</v>
      </c>
      <c r="E2301" s="939">
        <v>2.1</v>
      </c>
      <c r="F2301" s="939"/>
      <c r="G2301" s="939">
        <v>1</v>
      </c>
      <c r="H2301" s="939">
        <f>-(D2301*E2301*G2301)</f>
        <v>-1.6800000000000002</v>
      </c>
      <c r="I2301" s="1683"/>
      <c r="J2301" s="1683"/>
      <c r="K2301" s="1683"/>
      <c r="L2301" s="1683"/>
      <c r="M2301" s="1683"/>
      <c r="N2301" s="1684"/>
    </row>
    <row r="2302" spans="1:14">
      <c r="A2302" s="1735"/>
      <c r="B2302" s="936"/>
      <c r="C2302" s="938" t="s">
        <v>3376</v>
      </c>
      <c r="D2302" s="939">
        <v>1</v>
      </c>
      <c r="E2302" s="939">
        <v>1.1000000000000001</v>
      </c>
      <c r="F2302" s="939"/>
      <c r="G2302" s="939">
        <v>1</v>
      </c>
      <c r="H2302" s="939">
        <f>-(D2302*E2302*G2302)</f>
        <v>-1.1000000000000001</v>
      </c>
      <c r="I2302" s="1683"/>
      <c r="J2302" s="1683"/>
      <c r="K2302" s="1683"/>
      <c r="L2302" s="1683"/>
      <c r="M2302" s="1683"/>
      <c r="N2302" s="1684"/>
    </row>
    <row r="2303" spans="1:14">
      <c r="A2303" s="1735"/>
      <c r="B2303" s="501" t="s">
        <v>3379</v>
      </c>
      <c r="C2303" s="389"/>
      <c r="D2303" s="632">
        <v>6.4</v>
      </c>
      <c r="E2303" s="632">
        <v>3.13</v>
      </c>
      <c r="F2303" s="632"/>
      <c r="G2303" s="632">
        <v>1</v>
      </c>
      <c r="H2303" s="632">
        <f>D2303*E2303*G2303</f>
        <v>20.032</v>
      </c>
      <c r="I2303" s="1683"/>
      <c r="J2303" s="1683"/>
      <c r="K2303" s="1683"/>
      <c r="L2303" s="1683"/>
      <c r="M2303" s="1683"/>
      <c r="N2303" s="1684"/>
    </row>
    <row r="2304" spans="1:14">
      <c r="A2304" s="1735"/>
      <c r="B2304" s="937" t="s">
        <v>3053</v>
      </c>
      <c r="C2304" s="938" t="s">
        <v>3375</v>
      </c>
      <c r="D2304" s="939">
        <v>0.8</v>
      </c>
      <c r="E2304" s="939">
        <v>2.1</v>
      </c>
      <c r="F2304" s="939"/>
      <c r="G2304" s="939">
        <v>1</v>
      </c>
      <c r="H2304" s="939">
        <f>-(D2304*E2304*G2304)</f>
        <v>-1.6800000000000002</v>
      </c>
      <c r="I2304" s="1683"/>
      <c r="J2304" s="1683"/>
      <c r="K2304" s="1683"/>
      <c r="L2304" s="1683"/>
      <c r="M2304" s="1683"/>
      <c r="N2304" s="1684"/>
    </row>
    <row r="2305" spans="1:14">
      <c r="A2305" s="1735"/>
      <c r="B2305" s="936"/>
      <c r="C2305" s="938" t="s">
        <v>3376</v>
      </c>
      <c r="D2305" s="939">
        <v>1</v>
      </c>
      <c r="E2305" s="939">
        <v>1.1000000000000001</v>
      </c>
      <c r="F2305" s="939"/>
      <c r="G2305" s="939">
        <v>1</v>
      </c>
      <c r="H2305" s="939">
        <f>-(D2305*E2305*G2305)</f>
        <v>-1.1000000000000001</v>
      </c>
      <c r="I2305" s="1683"/>
      <c r="J2305" s="1683"/>
      <c r="K2305" s="1683"/>
      <c r="L2305" s="1683"/>
      <c r="M2305" s="1683"/>
      <c r="N2305" s="1684"/>
    </row>
    <row r="2306" spans="1:14">
      <c r="A2306" s="1735"/>
      <c r="B2306" s="501" t="s">
        <v>3380</v>
      </c>
      <c r="C2306" s="389"/>
      <c r="D2306" s="632">
        <v>6.4</v>
      </c>
      <c r="E2306" s="632">
        <v>3.13</v>
      </c>
      <c r="F2306" s="632"/>
      <c r="G2306" s="632">
        <v>1</v>
      </c>
      <c r="H2306" s="632">
        <f>D2306*E2306*G2306</f>
        <v>20.032</v>
      </c>
      <c r="I2306" s="1683"/>
      <c r="J2306" s="1683"/>
      <c r="K2306" s="1683"/>
      <c r="L2306" s="1683"/>
      <c r="M2306" s="1683"/>
      <c r="N2306" s="1684"/>
    </row>
    <row r="2307" spans="1:14">
      <c r="A2307" s="1735"/>
      <c r="B2307" s="937" t="s">
        <v>3053</v>
      </c>
      <c r="C2307" s="938" t="s">
        <v>3375</v>
      </c>
      <c r="D2307" s="939">
        <v>0.8</v>
      </c>
      <c r="E2307" s="939">
        <v>2.1</v>
      </c>
      <c r="F2307" s="939"/>
      <c r="G2307" s="939">
        <v>1</v>
      </c>
      <c r="H2307" s="939">
        <f>-(D2307*E2307*G2307)</f>
        <v>-1.6800000000000002</v>
      </c>
      <c r="I2307" s="1683"/>
      <c r="J2307" s="1683"/>
      <c r="K2307" s="1683"/>
      <c r="L2307" s="1683"/>
      <c r="M2307" s="1683"/>
      <c r="N2307" s="1684"/>
    </row>
    <row r="2308" spans="1:14">
      <c r="A2308" s="1735"/>
      <c r="B2308" s="936"/>
      <c r="C2308" s="938" t="s">
        <v>3376</v>
      </c>
      <c r="D2308" s="939">
        <v>1</v>
      </c>
      <c r="E2308" s="939">
        <v>1.1000000000000001</v>
      </c>
      <c r="F2308" s="939"/>
      <c r="G2308" s="939">
        <v>1</v>
      </c>
      <c r="H2308" s="939">
        <f>-(D2308*E2308*G2308)</f>
        <v>-1.1000000000000001</v>
      </c>
      <c r="I2308" s="1683"/>
      <c r="J2308" s="1683"/>
      <c r="K2308" s="1683"/>
      <c r="L2308" s="1683"/>
      <c r="M2308" s="1683"/>
      <c r="N2308" s="1684"/>
    </row>
    <row r="2309" spans="1:14">
      <c r="A2309" s="1735"/>
      <c r="B2309" s="501" t="s">
        <v>2234</v>
      </c>
      <c r="C2309" s="628"/>
      <c r="D2309" s="632">
        <v>7.91</v>
      </c>
      <c r="E2309" s="632">
        <v>3.13</v>
      </c>
      <c r="F2309" s="632"/>
      <c r="G2309" s="632">
        <v>1</v>
      </c>
      <c r="H2309" s="632">
        <f>D2309*E2309*G2309</f>
        <v>24.758299999999998</v>
      </c>
      <c r="I2309" s="1683"/>
      <c r="J2309" s="1683"/>
      <c r="K2309" s="1683"/>
      <c r="L2309" s="1683"/>
      <c r="M2309" s="1683"/>
      <c r="N2309" s="1684"/>
    </row>
    <row r="2310" spans="1:14">
      <c r="A2310" s="1736"/>
      <c r="B2310" s="355"/>
      <c r="C2310" s="297"/>
      <c r="D2310" s="297"/>
      <c r="E2310" s="903"/>
      <c r="F2310" s="297"/>
      <c r="G2310" s="556"/>
      <c r="H2310" s="632">
        <f>D2310*E2310*G2310</f>
        <v>0</v>
      </c>
      <c r="I2310" s="1683"/>
      <c r="J2310" s="1683"/>
      <c r="K2310" s="1683"/>
      <c r="L2310" s="1683"/>
      <c r="M2310" s="1683"/>
      <c r="N2310" s="1684"/>
    </row>
    <row r="2311" spans="1:14">
      <c r="A2311" s="1734" t="s">
        <v>3428</v>
      </c>
      <c r="B2311" s="935" t="s">
        <v>2727</v>
      </c>
      <c r="C2311" s="389"/>
      <c r="D2311" s="631" t="s">
        <v>3031</v>
      </c>
      <c r="E2311" s="628" t="s">
        <v>2945</v>
      </c>
      <c r="F2311" s="628"/>
      <c r="G2311" s="933" t="s">
        <v>2190</v>
      </c>
      <c r="H2311" s="934" t="s">
        <v>476</v>
      </c>
      <c r="I2311" s="1683"/>
      <c r="J2311" s="1683"/>
      <c r="K2311" s="1683"/>
      <c r="L2311" s="1683"/>
      <c r="M2311" s="1683"/>
      <c r="N2311" s="1684"/>
    </row>
    <row r="2312" spans="1:14">
      <c r="A2312" s="1735"/>
      <c r="B2312" s="501" t="s">
        <v>3429</v>
      </c>
      <c r="C2312" s="389"/>
      <c r="D2312" s="632">
        <v>7.48</v>
      </c>
      <c r="E2312" s="632">
        <v>3.13</v>
      </c>
      <c r="F2312" s="632"/>
      <c r="G2312" s="632">
        <v>1</v>
      </c>
      <c r="H2312" s="632">
        <f t="shared" ref="H2312:H2322" si="54">D2312*E2312*G2312</f>
        <v>23.412400000000002</v>
      </c>
      <c r="I2312" s="1683"/>
      <c r="J2312" s="1683"/>
      <c r="K2312" s="1683"/>
      <c r="L2312" s="1683"/>
      <c r="M2312" s="1683"/>
      <c r="N2312" s="1684"/>
    </row>
    <row r="2313" spans="1:14">
      <c r="A2313" s="1735"/>
      <c r="B2313" s="501" t="s">
        <v>2974</v>
      </c>
      <c r="C2313" s="389"/>
      <c r="D2313" s="632">
        <v>8.8699999999999992</v>
      </c>
      <c r="E2313" s="632">
        <v>3.13</v>
      </c>
      <c r="F2313" s="632"/>
      <c r="G2313" s="632">
        <v>1</v>
      </c>
      <c r="H2313" s="632">
        <f t="shared" si="54"/>
        <v>27.763099999999998</v>
      </c>
      <c r="I2313" s="1683"/>
      <c r="J2313" s="1683"/>
      <c r="K2313" s="1683"/>
      <c r="L2313" s="1683"/>
      <c r="M2313" s="1683"/>
      <c r="N2313" s="1684"/>
    </row>
    <row r="2314" spans="1:14">
      <c r="A2314" s="1735"/>
      <c r="B2314" s="937" t="s">
        <v>3053</v>
      </c>
      <c r="C2314" s="938" t="s">
        <v>3375</v>
      </c>
      <c r="D2314" s="939">
        <v>0.8</v>
      </c>
      <c r="E2314" s="939">
        <v>2.1</v>
      </c>
      <c r="F2314" s="939"/>
      <c r="G2314" s="939">
        <v>1</v>
      </c>
      <c r="H2314" s="939">
        <f>-(D2314*E2314*G2314)</f>
        <v>-1.6800000000000002</v>
      </c>
      <c r="I2314" s="1683"/>
      <c r="J2314" s="1683"/>
      <c r="K2314" s="1683"/>
      <c r="L2314" s="1683"/>
      <c r="M2314" s="1683"/>
      <c r="N2314" s="1684"/>
    </row>
    <row r="2315" spans="1:14">
      <c r="A2315" s="1735"/>
      <c r="B2315" s="936"/>
      <c r="C2315" s="938" t="s">
        <v>3376</v>
      </c>
      <c r="D2315" s="939">
        <v>2</v>
      </c>
      <c r="E2315" s="939">
        <v>1.1000000000000001</v>
      </c>
      <c r="F2315" s="939"/>
      <c r="G2315" s="939">
        <v>1</v>
      </c>
      <c r="H2315" s="939">
        <f>-(D2315*E2315*G2315)</f>
        <v>-2.2000000000000002</v>
      </c>
      <c r="I2315" s="1683"/>
      <c r="J2315" s="1683"/>
      <c r="K2315" s="1683"/>
      <c r="L2315" s="1683"/>
      <c r="M2315" s="1683"/>
      <c r="N2315" s="1684"/>
    </row>
    <row r="2316" spans="1:14">
      <c r="A2316" s="1735"/>
      <c r="B2316" s="501" t="s">
        <v>3430</v>
      </c>
      <c r="C2316" s="389"/>
      <c r="D2316" s="632">
        <v>4.8</v>
      </c>
      <c r="E2316" s="632">
        <v>3.13</v>
      </c>
      <c r="F2316" s="632"/>
      <c r="G2316" s="632">
        <v>1</v>
      </c>
      <c r="H2316" s="632">
        <f t="shared" si="54"/>
        <v>15.023999999999999</v>
      </c>
      <c r="I2316" s="1683"/>
      <c r="J2316" s="1683"/>
      <c r="K2316" s="1683"/>
      <c r="L2316" s="1683"/>
      <c r="M2316" s="1683"/>
      <c r="N2316" s="1684"/>
    </row>
    <row r="2317" spans="1:14">
      <c r="A2317" s="1735"/>
      <c r="B2317" s="937" t="s">
        <v>3053</v>
      </c>
      <c r="C2317" s="938" t="s">
        <v>3375</v>
      </c>
      <c r="D2317" s="939">
        <v>0.8</v>
      </c>
      <c r="E2317" s="939">
        <v>2.1</v>
      </c>
      <c r="F2317" s="939"/>
      <c r="G2317" s="939">
        <v>1</v>
      </c>
      <c r="H2317" s="939">
        <f>-(D2317*E2317*G2317)</f>
        <v>-1.6800000000000002</v>
      </c>
      <c r="I2317" s="1683"/>
      <c r="J2317" s="1683"/>
      <c r="K2317" s="1683"/>
      <c r="L2317" s="1683"/>
      <c r="M2317" s="1683"/>
      <c r="N2317" s="1684"/>
    </row>
    <row r="2318" spans="1:14">
      <c r="A2318" s="1735"/>
      <c r="B2318" s="501" t="s">
        <v>2973</v>
      </c>
      <c r="C2318" s="389"/>
      <c r="D2318" s="632">
        <v>3.96</v>
      </c>
      <c r="E2318" s="632">
        <v>3.13</v>
      </c>
      <c r="F2318" s="632"/>
      <c r="G2318" s="632">
        <v>1</v>
      </c>
      <c r="H2318" s="632">
        <f t="shared" si="54"/>
        <v>12.3948</v>
      </c>
      <c r="I2318" s="1683"/>
      <c r="J2318" s="1683"/>
      <c r="K2318" s="1683"/>
      <c r="L2318" s="1683"/>
      <c r="M2318" s="1683"/>
      <c r="N2318" s="1684"/>
    </row>
    <row r="2319" spans="1:14">
      <c r="A2319" s="1735"/>
      <c r="B2319" s="501" t="s">
        <v>2969</v>
      </c>
      <c r="C2319" s="389"/>
      <c r="D2319" s="632">
        <v>7.12</v>
      </c>
      <c r="E2319" s="632">
        <v>3.13</v>
      </c>
      <c r="F2319" s="632"/>
      <c r="G2319" s="632">
        <v>1</v>
      </c>
      <c r="H2319" s="632">
        <f t="shared" si="54"/>
        <v>22.285599999999999</v>
      </c>
      <c r="I2319" s="1683"/>
      <c r="J2319" s="1683"/>
      <c r="K2319" s="1683"/>
      <c r="L2319" s="1683"/>
      <c r="M2319" s="1683"/>
      <c r="N2319" s="1684"/>
    </row>
    <row r="2320" spans="1:14">
      <c r="A2320" s="1735"/>
      <c r="B2320" s="501" t="s">
        <v>2968</v>
      </c>
      <c r="C2320" s="389"/>
      <c r="D2320" s="632">
        <v>6.75</v>
      </c>
      <c r="E2320" s="632">
        <v>3.13</v>
      </c>
      <c r="F2320" s="632"/>
      <c r="G2320" s="632">
        <v>1</v>
      </c>
      <c r="H2320" s="632">
        <f t="shared" si="54"/>
        <v>21.127499999999998</v>
      </c>
      <c r="I2320" s="1683"/>
      <c r="J2320" s="1683"/>
      <c r="K2320" s="1683"/>
      <c r="L2320" s="1683"/>
      <c r="M2320" s="1683"/>
      <c r="N2320" s="1684"/>
    </row>
    <row r="2321" spans="1:14">
      <c r="A2321" s="1735"/>
      <c r="B2321" s="501" t="s">
        <v>2967</v>
      </c>
      <c r="C2321" s="389"/>
      <c r="D2321" s="632">
        <v>6.75</v>
      </c>
      <c r="E2321" s="632">
        <v>3.13</v>
      </c>
      <c r="F2321" s="632"/>
      <c r="G2321" s="632">
        <v>1</v>
      </c>
      <c r="H2321" s="632">
        <f t="shared" si="54"/>
        <v>21.127499999999998</v>
      </c>
      <c r="I2321" s="1683"/>
      <c r="J2321" s="1683"/>
      <c r="K2321" s="1683"/>
      <c r="L2321" s="1683"/>
      <c r="M2321" s="1683"/>
      <c r="N2321" s="1684"/>
    </row>
    <row r="2322" spans="1:14" ht="30">
      <c r="A2322" s="1735"/>
      <c r="B2322" s="501" t="s">
        <v>3431</v>
      </c>
      <c r="C2322" s="389"/>
      <c r="D2322" s="632">
        <v>7.05</v>
      </c>
      <c r="E2322" s="632">
        <v>3.13</v>
      </c>
      <c r="F2322" s="632"/>
      <c r="G2322" s="632">
        <v>1</v>
      </c>
      <c r="H2322" s="632">
        <f t="shared" si="54"/>
        <v>22.066499999999998</v>
      </c>
      <c r="I2322" s="1683"/>
      <c r="J2322" s="1683"/>
      <c r="K2322" s="1683"/>
      <c r="L2322" s="1683"/>
      <c r="M2322" s="1683"/>
      <c r="N2322" s="1684"/>
    </row>
    <row r="2323" spans="1:14">
      <c r="A2323" s="1735"/>
      <c r="B2323" s="501"/>
      <c r="C2323" s="389"/>
      <c r="D2323" s="632"/>
      <c r="E2323" s="632"/>
      <c r="F2323" s="632"/>
      <c r="G2323" s="632"/>
      <c r="H2323" s="632"/>
      <c r="I2323" s="1683"/>
      <c r="J2323" s="1683"/>
      <c r="K2323" s="1683"/>
      <c r="L2323" s="1683"/>
      <c r="M2323" s="1683"/>
      <c r="N2323" s="1684"/>
    </row>
    <row r="2324" spans="1:14">
      <c r="A2324" s="1736"/>
      <c r="B2324" s="355"/>
      <c r="C2324" s="297"/>
      <c r="D2324" s="297"/>
      <c r="E2324" s="903"/>
      <c r="F2324" s="297"/>
      <c r="G2324" s="556"/>
      <c r="H2324" s="632"/>
      <c r="I2324" s="1683"/>
      <c r="J2324" s="1683"/>
      <c r="K2324" s="1683"/>
      <c r="L2324" s="1683"/>
      <c r="M2324" s="1683"/>
      <c r="N2324" s="1684"/>
    </row>
    <row r="2325" spans="1:14">
      <c r="A2325" s="1734" t="s">
        <v>3465</v>
      </c>
      <c r="B2325" s="935" t="s">
        <v>2727</v>
      </c>
      <c r="C2325" s="389"/>
      <c r="D2325" s="631" t="s">
        <v>3031</v>
      </c>
      <c r="E2325" s="628" t="s">
        <v>2945</v>
      </c>
      <c r="F2325" s="628"/>
      <c r="G2325" s="933" t="s">
        <v>2190</v>
      </c>
      <c r="H2325" s="934" t="s">
        <v>476</v>
      </c>
      <c r="I2325" s="1683"/>
      <c r="J2325" s="1683"/>
      <c r="K2325" s="1683"/>
      <c r="L2325" s="1683"/>
      <c r="M2325" s="1683"/>
      <c r="N2325" s="1684"/>
    </row>
    <row r="2326" spans="1:14">
      <c r="A2326" s="1735"/>
      <c r="B2326" s="501" t="s">
        <v>3467</v>
      </c>
      <c r="C2326" s="389"/>
      <c r="D2326" s="632">
        <v>21.46</v>
      </c>
      <c r="E2326" s="632">
        <v>3.13</v>
      </c>
      <c r="F2326" s="632"/>
      <c r="G2326" s="632">
        <v>1</v>
      </c>
      <c r="H2326" s="632">
        <f>D2326*E2326*G2326</f>
        <v>67.169799999999995</v>
      </c>
      <c r="I2326" s="1683"/>
      <c r="J2326" s="1683"/>
      <c r="K2326" s="1683"/>
      <c r="L2326" s="1683"/>
      <c r="M2326" s="1683"/>
      <c r="N2326" s="1684"/>
    </row>
    <row r="2327" spans="1:14">
      <c r="A2327" s="1735"/>
      <c r="B2327" s="937" t="s">
        <v>3053</v>
      </c>
      <c r="C2327" s="938" t="s">
        <v>3375</v>
      </c>
      <c r="D2327" s="939">
        <v>0.8</v>
      </c>
      <c r="E2327" s="939">
        <v>2.1</v>
      </c>
      <c r="F2327" s="939"/>
      <c r="G2327" s="939">
        <v>1</v>
      </c>
      <c r="H2327" s="939">
        <f>(D2327*E2327*G2327)</f>
        <v>1.6800000000000002</v>
      </c>
      <c r="I2327" s="1683"/>
      <c r="J2327" s="1683"/>
      <c r="K2327" s="1683"/>
      <c r="L2327" s="1683"/>
      <c r="M2327" s="1683"/>
      <c r="N2327" s="1684"/>
    </row>
    <row r="2328" spans="1:14">
      <c r="A2328" s="1735"/>
      <c r="B2328" s="936"/>
      <c r="C2328" s="938" t="s">
        <v>3468</v>
      </c>
      <c r="D2328" s="939">
        <v>2</v>
      </c>
      <c r="E2328" s="939">
        <v>0.8</v>
      </c>
      <c r="F2328" s="939"/>
      <c r="G2328" s="939">
        <v>2</v>
      </c>
      <c r="H2328" s="939">
        <f>(D2328*E2328*G2328)</f>
        <v>3.2</v>
      </c>
      <c r="I2328" s="1683"/>
      <c r="J2328" s="1683"/>
      <c r="K2328" s="1683"/>
      <c r="L2328" s="1683"/>
      <c r="M2328" s="1683"/>
      <c r="N2328" s="1684"/>
    </row>
    <row r="2329" spans="1:14">
      <c r="A2329" s="1735"/>
      <c r="B2329" s="936"/>
      <c r="C2329" s="938"/>
      <c r="D2329" s="939">
        <v>1.2</v>
      </c>
      <c r="E2329" s="939">
        <v>0.8</v>
      </c>
      <c r="F2329" s="939"/>
      <c r="G2329" s="939">
        <v>2</v>
      </c>
      <c r="H2329" s="939">
        <f>(D2329*E2329*G2329)</f>
        <v>1.92</v>
      </c>
      <c r="I2329" s="1683"/>
      <c r="J2329" s="1683"/>
      <c r="K2329" s="1683"/>
      <c r="L2329" s="1683"/>
      <c r="M2329" s="1683"/>
      <c r="N2329" s="1684"/>
    </row>
    <row r="2330" spans="1:14">
      <c r="A2330" s="1735"/>
      <c r="B2330" s="501" t="s">
        <v>3469</v>
      </c>
      <c r="C2330" s="389"/>
      <c r="D2330" s="632">
        <v>6.75</v>
      </c>
      <c r="E2330" s="632">
        <v>3.13</v>
      </c>
      <c r="F2330" s="632"/>
      <c r="G2330" s="632">
        <v>1</v>
      </c>
      <c r="H2330" s="632">
        <f>D2330*E2330*G2330</f>
        <v>21.127499999999998</v>
      </c>
      <c r="I2330" s="1683"/>
      <c r="J2330" s="1683"/>
      <c r="K2330" s="1683"/>
      <c r="L2330" s="1683"/>
      <c r="M2330" s="1683"/>
      <c r="N2330" s="1684"/>
    </row>
    <row r="2331" spans="1:14">
      <c r="A2331" s="1735"/>
      <c r="B2331" s="937" t="s">
        <v>3053</v>
      </c>
      <c r="C2331" s="938" t="s">
        <v>3375</v>
      </c>
      <c r="D2331" s="939">
        <v>0.8</v>
      </c>
      <c r="E2331" s="939">
        <v>2.1</v>
      </c>
      <c r="F2331" s="939"/>
      <c r="G2331" s="939">
        <v>1</v>
      </c>
      <c r="H2331" s="939">
        <f>(D2331*E2331*G2331)</f>
        <v>1.6800000000000002</v>
      </c>
      <c r="I2331" s="1683"/>
      <c r="J2331" s="1683"/>
      <c r="K2331" s="1683"/>
      <c r="L2331" s="1683"/>
      <c r="M2331" s="1683"/>
      <c r="N2331" s="1684"/>
    </row>
    <row r="2332" spans="1:14">
      <c r="A2332" s="1735"/>
      <c r="B2332" s="501" t="s">
        <v>3470</v>
      </c>
      <c r="C2332" s="389"/>
      <c r="D2332" s="632">
        <v>4.92</v>
      </c>
      <c r="E2332" s="632">
        <v>3.13</v>
      </c>
      <c r="F2332" s="632"/>
      <c r="G2332" s="632">
        <v>1</v>
      </c>
      <c r="H2332" s="632">
        <f>D2332*E2332*G2332</f>
        <v>15.3996</v>
      </c>
      <c r="I2332" s="1683"/>
      <c r="J2332" s="1683"/>
      <c r="K2332" s="1683"/>
      <c r="L2332" s="1683"/>
      <c r="M2332" s="1683"/>
      <c r="N2332" s="1684"/>
    </row>
    <row r="2333" spans="1:14">
      <c r="A2333" s="1735"/>
      <c r="B2333" s="937" t="s">
        <v>3053</v>
      </c>
      <c r="C2333" s="938" t="s">
        <v>3375</v>
      </c>
      <c r="D2333" s="939">
        <v>0.8</v>
      </c>
      <c r="E2333" s="939">
        <v>2.1</v>
      </c>
      <c r="F2333" s="939"/>
      <c r="G2333" s="939">
        <v>1</v>
      </c>
      <c r="H2333" s="939">
        <f>(D2333*E2333*G2333)</f>
        <v>1.6800000000000002</v>
      </c>
      <c r="I2333" s="1683"/>
      <c r="J2333" s="1683"/>
      <c r="K2333" s="1683"/>
      <c r="L2333" s="1683"/>
      <c r="M2333" s="1683"/>
      <c r="N2333" s="1684"/>
    </row>
    <row r="2334" spans="1:14">
      <c r="A2334" s="1735"/>
      <c r="B2334" s="501" t="s">
        <v>3471</v>
      </c>
      <c r="C2334" s="389"/>
      <c r="D2334" s="632">
        <v>9.98</v>
      </c>
      <c r="E2334" s="632">
        <v>3.13</v>
      </c>
      <c r="F2334" s="632"/>
      <c r="G2334" s="632">
        <v>1</v>
      </c>
      <c r="H2334" s="632">
        <f>D2334*E2334*G2334</f>
        <v>31.237400000000001</v>
      </c>
      <c r="I2334" s="1683"/>
      <c r="J2334" s="1683"/>
      <c r="K2334" s="1683"/>
      <c r="L2334" s="1683"/>
      <c r="M2334" s="1683"/>
      <c r="N2334" s="1684"/>
    </row>
    <row r="2335" spans="1:14">
      <c r="A2335" s="1735"/>
      <c r="B2335" s="937" t="s">
        <v>3053</v>
      </c>
      <c r="C2335" s="938" t="s">
        <v>3375</v>
      </c>
      <c r="D2335" s="939">
        <v>0.8</v>
      </c>
      <c r="E2335" s="939">
        <v>2.1</v>
      </c>
      <c r="F2335" s="939"/>
      <c r="G2335" s="939">
        <v>2</v>
      </c>
      <c r="H2335" s="939">
        <f>(D2335*E2335*G2335)</f>
        <v>3.3600000000000003</v>
      </c>
      <c r="I2335" s="1683"/>
      <c r="J2335" s="1683"/>
      <c r="K2335" s="1683"/>
      <c r="L2335" s="1683"/>
      <c r="M2335" s="1683"/>
      <c r="N2335" s="1684"/>
    </row>
    <row r="2336" spans="1:14">
      <c r="A2336" s="1161"/>
      <c r="B2336" s="411"/>
      <c r="C2336" s="389"/>
      <c r="D2336" s="632"/>
      <c r="E2336" s="632"/>
      <c r="F2336" s="632"/>
      <c r="G2336" s="632"/>
      <c r="H2336" s="632"/>
      <c r="I2336" s="1683"/>
      <c r="J2336" s="1683"/>
      <c r="K2336" s="1683"/>
      <c r="L2336" s="1683"/>
      <c r="M2336" s="1683"/>
      <c r="N2336" s="1684"/>
    </row>
    <row r="2337" spans="1:20" ht="24">
      <c r="A2337" s="1631" t="s">
        <v>3745</v>
      </c>
      <c r="B2337" s="411" t="s">
        <v>3774</v>
      </c>
      <c r="C2337" s="389"/>
      <c r="D2337" s="1144">
        <v>2.61</v>
      </c>
      <c r="E2337" s="1332">
        <v>3.13</v>
      </c>
      <c r="F2337" s="632"/>
      <c r="G2337" s="632">
        <v>1</v>
      </c>
      <c r="H2337" s="632">
        <f>D2337*E2337*G2337</f>
        <v>8.1692999999999998</v>
      </c>
      <c r="I2337" s="1683"/>
      <c r="J2337" s="1683"/>
      <c r="K2337" s="1683"/>
      <c r="L2337" s="1683"/>
      <c r="M2337" s="1683"/>
      <c r="N2337" s="1684"/>
    </row>
    <row r="2338" spans="1:20">
      <c r="A2338" s="1631"/>
      <c r="B2338" s="1160" t="s">
        <v>3775</v>
      </c>
      <c r="C2338" s="389"/>
      <c r="D2338" s="1144">
        <v>1.34</v>
      </c>
      <c r="E2338" s="1332">
        <v>6.23</v>
      </c>
      <c r="F2338" s="632"/>
      <c r="G2338" s="632">
        <v>1</v>
      </c>
      <c r="H2338" s="632">
        <f>D2338*E2338*G2338</f>
        <v>8.3482000000000003</v>
      </c>
      <c r="I2338" s="1683"/>
      <c r="J2338" s="1683"/>
      <c r="K2338" s="1683"/>
      <c r="L2338" s="1683"/>
      <c r="M2338" s="1683"/>
      <c r="N2338" s="1684"/>
    </row>
    <row r="2339" spans="1:20">
      <c r="A2339" s="1162"/>
      <c r="B2339" s="355"/>
      <c r="C2339" s="297"/>
      <c r="D2339" s="297"/>
      <c r="E2339" s="903"/>
      <c r="F2339" s="297"/>
      <c r="G2339" s="556"/>
      <c r="H2339" s="632"/>
      <c r="I2339" s="1683"/>
      <c r="J2339" s="1683"/>
      <c r="K2339" s="1683"/>
      <c r="L2339" s="1683"/>
      <c r="M2339" s="1683"/>
      <c r="N2339" s="1684"/>
    </row>
    <row r="2340" spans="1:20">
      <c r="A2340" s="1577" t="s">
        <v>2218</v>
      </c>
      <c r="B2340" s="1542"/>
      <c r="C2340" s="1542"/>
      <c r="D2340" s="1542"/>
      <c r="E2340" s="1542"/>
      <c r="F2340" s="1542"/>
      <c r="G2340" s="1542"/>
      <c r="H2340" s="271">
        <f>SUM(H2282:H2339)</f>
        <v>603.89929999999981</v>
      </c>
      <c r="I2340" s="1683"/>
      <c r="J2340" s="1683"/>
      <c r="K2340" s="1683"/>
      <c r="L2340" s="1683"/>
      <c r="M2340" s="1683"/>
      <c r="N2340" s="1684"/>
      <c r="P2340" s="558"/>
      <c r="R2340" s="558"/>
      <c r="S2340" s="280"/>
      <c r="T2340" s="558"/>
    </row>
    <row r="2341" spans="1:20">
      <c r="A2341" s="1578" t="s">
        <v>2219</v>
      </c>
      <c r="B2341" s="1538"/>
      <c r="C2341" s="1538"/>
      <c r="D2341" s="1538"/>
      <c r="E2341" s="1538"/>
      <c r="F2341" s="1538"/>
      <c r="G2341" s="1538"/>
      <c r="H2341" s="320">
        <f>SUM(H2282:H2335)</f>
        <v>587.38179999999977</v>
      </c>
      <c r="I2341" s="1683"/>
      <c r="J2341" s="1683"/>
      <c r="K2341" s="1683"/>
      <c r="L2341" s="1683"/>
      <c r="M2341" s="1683"/>
      <c r="N2341" s="1684"/>
    </row>
    <row r="2342" spans="1:20" ht="15.75" thickBot="1">
      <c r="A2342" s="1579" t="s">
        <v>2220</v>
      </c>
      <c r="B2342" s="1580"/>
      <c r="C2342" s="1580"/>
      <c r="D2342" s="1580"/>
      <c r="E2342" s="1580"/>
      <c r="F2342" s="1580"/>
      <c r="G2342" s="1580"/>
      <c r="H2342" s="271">
        <f>H2340-H2341</f>
        <v>16.517500000000041</v>
      </c>
      <c r="I2342" s="1687"/>
      <c r="J2342" s="1687"/>
      <c r="K2342" s="1687"/>
      <c r="L2342" s="1687"/>
      <c r="M2342" s="1687"/>
      <c r="N2342" s="1688"/>
    </row>
    <row r="2343" spans="1:20" ht="15.75" thickBot="1">
      <c r="A2343" s="1112"/>
      <c r="B2343" s="278"/>
      <c r="C2343" s="278"/>
      <c r="D2343" s="281"/>
      <c r="E2343" s="1319"/>
      <c r="F2343" s="278"/>
      <c r="G2343" s="278"/>
      <c r="H2343" s="766"/>
      <c r="I2343" s="631"/>
      <c r="J2343" s="631"/>
      <c r="K2343" s="631"/>
      <c r="L2343" s="631"/>
      <c r="M2343" s="631"/>
      <c r="N2343" s="884"/>
    </row>
    <row r="2344" spans="1:20" ht="25.15" customHeight="1">
      <c r="A2344" s="1084" t="s">
        <v>3381</v>
      </c>
      <c r="B2344" s="1533" t="s">
        <v>791</v>
      </c>
      <c r="C2344" s="1533"/>
      <c r="D2344" s="1533"/>
      <c r="E2344" s="1533"/>
      <c r="F2344" s="1533"/>
      <c r="G2344" s="1533"/>
      <c r="H2344" s="1533"/>
      <c r="I2344" s="1533"/>
      <c r="J2344" s="1533"/>
      <c r="K2344" s="627" t="s">
        <v>2222</v>
      </c>
      <c r="L2344" s="1534">
        <f>'27ª MEDIÇÃO '!F129</f>
        <v>12.86</v>
      </c>
      <c r="M2344" s="1534"/>
      <c r="N2344" s="197">
        <f>L2344-H2353</f>
        <v>-4.3000000000006366E-3</v>
      </c>
    </row>
    <row r="2345" spans="1:20">
      <c r="A2345" s="1734" t="s">
        <v>3428</v>
      </c>
      <c r="B2345" s="935" t="s">
        <v>2727</v>
      </c>
      <c r="C2345" s="389"/>
      <c r="D2345" s="631" t="s">
        <v>3031</v>
      </c>
      <c r="E2345" s="628" t="s">
        <v>2945</v>
      </c>
      <c r="F2345" s="628"/>
      <c r="G2345" s="933" t="s">
        <v>2190</v>
      </c>
      <c r="H2345" s="934" t="s">
        <v>476</v>
      </c>
      <c r="I2345" s="1681"/>
      <c r="J2345" s="1681"/>
      <c r="K2345" s="1681"/>
      <c r="L2345" s="1681"/>
      <c r="M2345" s="1681"/>
      <c r="N2345" s="1682"/>
    </row>
    <row r="2346" spans="1:20">
      <c r="A2346" s="1735"/>
      <c r="B2346" s="501" t="s">
        <v>2228</v>
      </c>
      <c r="C2346" s="389"/>
      <c r="D2346" s="632">
        <v>2.6</v>
      </c>
      <c r="E2346" s="632">
        <v>3.13</v>
      </c>
      <c r="F2346" s="632"/>
      <c r="G2346" s="632">
        <v>1</v>
      </c>
      <c r="H2346" s="632">
        <f>D2346*E2346*G2346</f>
        <v>8.1379999999999999</v>
      </c>
      <c r="I2346" s="1683"/>
      <c r="J2346" s="1683"/>
      <c r="K2346" s="1683"/>
      <c r="L2346" s="1683"/>
      <c r="M2346" s="1683"/>
      <c r="N2346" s="1684"/>
    </row>
    <row r="2347" spans="1:20">
      <c r="A2347" s="1735"/>
      <c r="B2347" s="937"/>
      <c r="C2347" s="938"/>
      <c r="D2347" s="939"/>
      <c r="E2347" s="939"/>
      <c r="F2347" s="939"/>
      <c r="G2347" s="939"/>
      <c r="H2347" s="939"/>
      <c r="I2347" s="1683"/>
      <c r="J2347" s="1683"/>
      <c r="K2347" s="1683"/>
      <c r="L2347" s="1683"/>
      <c r="M2347" s="1683"/>
      <c r="N2347" s="1684"/>
    </row>
    <row r="2348" spans="1:20">
      <c r="A2348" s="1736"/>
      <c r="B2348" s="355"/>
      <c r="C2348" s="297"/>
      <c r="D2348" s="297"/>
      <c r="E2348" s="903"/>
      <c r="F2348" s="297"/>
      <c r="G2348" s="556"/>
      <c r="H2348" s="632">
        <f>D2348*E2348*G2348</f>
        <v>0</v>
      </c>
      <c r="I2348" s="1683"/>
      <c r="J2348" s="1683"/>
      <c r="K2348" s="1683"/>
      <c r="L2348" s="1683"/>
      <c r="M2348" s="1683"/>
      <c r="N2348" s="1684"/>
    </row>
    <row r="2349" spans="1:20">
      <c r="A2349" s="1734" t="s">
        <v>3465</v>
      </c>
      <c r="B2349" s="935" t="s">
        <v>2727</v>
      </c>
      <c r="C2349" s="389"/>
      <c r="D2349" s="631" t="s">
        <v>3031</v>
      </c>
      <c r="E2349" s="628" t="s">
        <v>2945</v>
      </c>
      <c r="F2349" s="628"/>
      <c r="G2349" s="933" t="s">
        <v>2190</v>
      </c>
      <c r="H2349" s="934" t="s">
        <v>476</v>
      </c>
      <c r="I2349" s="1683"/>
      <c r="J2349" s="1683"/>
      <c r="K2349" s="1683"/>
      <c r="L2349" s="1683"/>
      <c r="M2349" s="1683"/>
      <c r="N2349" s="1684"/>
    </row>
    <row r="2350" spans="1:20">
      <c r="A2350" s="1735"/>
      <c r="B2350" s="501" t="s">
        <v>2228</v>
      </c>
      <c r="C2350" s="389"/>
      <c r="D2350" s="632">
        <v>1.51</v>
      </c>
      <c r="E2350" s="632">
        <v>3.13</v>
      </c>
      <c r="F2350" s="632"/>
      <c r="G2350" s="632">
        <v>1</v>
      </c>
      <c r="H2350" s="632">
        <f>D2350*E2350*G2350</f>
        <v>4.7263000000000002</v>
      </c>
      <c r="I2350" s="1683"/>
      <c r="J2350" s="1683"/>
      <c r="K2350" s="1683"/>
      <c r="L2350" s="1683"/>
      <c r="M2350" s="1683"/>
      <c r="N2350" s="1684"/>
    </row>
    <row r="2351" spans="1:20">
      <c r="A2351" s="1735"/>
      <c r="B2351" s="937"/>
      <c r="C2351" s="938"/>
      <c r="D2351" s="939"/>
      <c r="E2351" s="939"/>
      <c r="F2351" s="939"/>
      <c r="G2351" s="939"/>
      <c r="H2351" s="939"/>
      <c r="I2351" s="1683"/>
      <c r="J2351" s="1683"/>
      <c r="K2351" s="1683"/>
      <c r="L2351" s="1683"/>
      <c r="M2351" s="1683"/>
      <c r="N2351" s="1684"/>
    </row>
    <row r="2352" spans="1:20">
      <c r="A2352" s="1736"/>
      <c r="B2352" s="355"/>
      <c r="C2352" s="297"/>
      <c r="D2352" s="297"/>
      <c r="E2352" s="903"/>
      <c r="F2352" s="297"/>
      <c r="G2352" s="556"/>
      <c r="H2352" s="632">
        <f>D2352*E2352*G2352</f>
        <v>0</v>
      </c>
      <c r="I2352" s="1683"/>
      <c r="J2352" s="1683"/>
      <c r="K2352" s="1683"/>
      <c r="L2352" s="1683"/>
      <c r="M2352" s="1683"/>
      <c r="N2352" s="1684"/>
    </row>
    <row r="2353" spans="1:20">
      <c r="A2353" s="1577" t="s">
        <v>2218</v>
      </c>
      <c r="B2353" s="1542"/>
      <c r="C2353" s="1542"/>
      <c r="D2353" s="1542"/>
      <c r="E2353" s="1542"/>
      <c r="F2353" s="1542"/>
      <c r="G2353" s="1542"/>
      <c r="H2353" s="271">
        <f>SUM(H2346:H2352)</f>
        <v>12.8643</v>
      </c>
      <c r="I2353" s="1683"/>
      <c r="J2353" s="1683"/>
      <c r="K2353" s="1683"/>
      <c r="L2353" s="1683"/>
      <c r="M2353" s="1683"/>
      <c r="N2353" s="1684"/>
      <c r="P2353" s="558"/>
      <c r="R2353" s="558"/>
      <c r="S2353" s="280"/>
      <c r="T2353" s="558"/>
    </row>
    <row r="2354" spans="1:20">
      <c r="A2354" s="1578" t="s">
        <v>2219</v>
      </c>
      <c r="B2354" s="1538"/>
      <c r="C2354" s="1538"/>
      <c r="D2354" s="1538"/>
      <c r="E2354" s="1538"/>
      <c r="F2354" s="1538"/>
      <c r="G2354" s="1538"/>
      <c r="H2354" s="320">
        <f>SUM(H2346:H2348)</f>
        <v>8.1379999999999999</v>
      </c>
      <c r="I2354" s="1683"/>
      <c r="J2354" s="1683"/>
      <c r="K2354" s="1683"/>
      <c r="L2354" s="1683"/>
      <c r="M2354" s="1683"/>
      <c r="N2354" s="1684"/>
    </row>
    <row r="2355" spans="1:20" ht="15.75" thickBot="1">
      <c r="A2355" s="1579" t="s">
        <v>2220</v>
      </c>
      <c r="B2355" s="1580"/>
      <c r="C2355" s="1580"/>
      <c r="D2355" s="1580"/>
      <c r="E2355" s="1580"/>
      <c r="F2355" s="1580"/>
      <c r="G2355" s="1580"/>
      <c r="H2355" s="271">
        <f>H2353-H2354</f>
        <v>4.7263000000000002</v>
      </c>
      <c r="I2355" s="1687"/>
      <c r="J2355" s="1687"/>
      <c r="K2355" s="1687"/>
      <c r="L2355" s="1687"/>
      <c r="M2355" s="1687"/>
      <c r="N2355" s="1688"/>
    </row>
    <row r="2356" spans="1:20" ht="15.75" thickBot="1">
      <c r="A2356" s="1112"/>
      <c r="B2356" s="278"/>
      <c r="C2356" s="278"/>
      <c r="D2356" s="281"/>
      <c r="E2356" s="1319"/>
      <c r="F2356" s="278"/>
      <c r="G2356" s="278"/>
      <c r="H2356" s="766"/>
      <c r="I2356" s="631"/>
      <c r="J2356" s="631"/>
      <c r="K2356" s="631"/>
      <c r="L2356" s="631"/>
      <c r="M2356" s="631"/>
      <c r="N2356" s="884"/>
    </row>
    <row r="2357" spans="1:20" ht="25.15" customHeight="1">
      <c r="A2357" s="1084" t="s">
        <v>3382</v>
      </c>
      <c r="B2357" s="1533" t="s">
        <v>794</v>
      </c>
      <c r="C2357" s="1533"/>
      <c r="D2357" s="1533"/>
      <c r="E2357" s="1533"/>
      <c r="F2357" s="1533"/>
      <c r="G2357" s="1533"/>
      <c r="H2357" s="1533"/>
      <c r="I2357" s="1533"/>
      <c r="J2357" s="1533"/>
      <c r="K2357" s="627" t="s">
        <v>2222</v>
      </c>
      <c r="L2357" s="1534">
        <f>'27ª MEDIÇÃO '!F130</f>
        <v>4.53</v>
      </c>
      <c r="M2357" s="1534"/>
      <c r="N2357" s="197">
        <f>L2357-H2361</f>
        <v>1.9999999999997797E-3</v>
      </c>
    </row>
    <row r="2358" spans="1:20">
      <c r="A2358" s="1734" t="s">
        <v>3428</v>
      </c>
      <c r="B2358" s="935" t="s">
        <v>2929</v>
      </c>
      <c r="C2358" s="389"/>
      <c r="D2358" s="631" t="s">
        <v>3031</v>
      </c>
      <c r="E2358" s="628" t="s">
        <v>2945</v>
      </c>
      <c r="F2358" s="628"/>
      <c r="G2358" s="933" t="s">
        <v>2190</v>
      </c>
      <c r="H2358" s="934" t="s">
        <v>476</v>
      </c>
      <c r="I2358" s="1681"/>
      <c r="J2358" s="1681"/>
      <c r="K2358" s="1681"/>
      <c r="L2358" s="1681"/>
      <c r="M2358" s="1681"/>
      <c r="N2358" s="1682"/>
    </row>
    <row r="2359" spans="1:20">
      <c r="A2359" s="1735"/>
      <c r="B2359" s="501" t="s">
        <v>3432</v>
      </c>
      <c r="C2359" s="389"/>
      <c r="D2359" s="632">
        <v>1.6</v>
      </c>
      <c r="E2359" s="632">
        <v>2.83</v>
      </c>
      <c r="F2359" s="632"/>
      <c r="G2359" s="632">
        <v>1</v>
      </c>
      <c r="H2359" s="632">
        <f>D2359*E2359*G2359</f>
        <v>4.5280000000000005</v>
      </c>
      <c r="I2359" s="1683"/>
      <c r="J2359" s="1683"/>
      <c r="K2359" s="1683"/>
      <c r="L2359" s="1683"/>
      <c r="M2359" s="1683"/>
      <c r="N2359" s="1684"/>
    </row>
    <row r="2360" spans="1:20">
      <c r="A2360" s="1736"/>
      <c r="B2360" s="355"/>
      <c r="C2360" s="297"/>
      <c r="D2360" s="297"/>
      <c r="E2360" s="903"/>
      <c r="F2360" s="297"/>
      <c r="G2360" s="556"/>
      <c r="H2360" s="632">
        <f>D2360*E2360*G2360</f>
        <v>0</v>
      </c>
      <c r="I2360" s="1683"/>
      <c r="J2360" s="1683"/>
      <c r="K2360" s="1683"/>
      <c r="L2360" s="1683"/>
      <c r="M2360" s="1683"/>
      <c r="N2360" s="1684"/>
    </row>
    <row r="2361" spans="1:20">
      <c r="A2361" s="1577" t="s">
        <v>2218</v>
      </c>
      <c r="B2361" s="1542"/>
      <c r="C2361" s="1542"/>
      <c r="D2361" s="1542"/>
      <c r="E2361" s="1542"/>
      <c r="F2361" s="1542"/>
      <c r="G2361" s="1542"/>
      <c r="H2361" s="271">
        <f>SUM(H2359:H2360)</f>
        <v>4.5280000000000005</v>
      </c>
      <c r="I2361" s="1683"/>
      <c r="J2361" s="1683"/>
      <c r="K2361" s="1683"/>
      <c r="L2361" s="1683"/>
      <c r="M2361" s="1683"/>
      <c r="N2361" s="1684"/>
      <c r="P2361" s="558"/>
      <c r="R2361" s="558"/>
      <c r="S2361" s="280"/>
      <c r="T2361" s="558"/>
    </row>
    <row r="2362" spans="1:20">
      <c r="A2362" s="1578" t="s">
        <v>2219</v>
      </c>
      <c r="B2362" s="1538"/>
      <c r="C2362" s="1538"/>
      <c r="D2362" s="1538"/>
      <c r="E2362" s="1538"/>
      <c r="F2362" s="1538"/>
      <c r="G2362" s="1538"/>
      <c r="H2362" s="320">
        <v>0</v>
      </c>
      <c r="I2362" s="1683"/>
      <c r="J2362" s="1683"/>
      <c r="K2362" s="1683"/>
      <c r="L2362" s="1683"/>
      <c r="M2362" s="1683"/>
      <c r="N2362" s="1684"/>
    </row>
    <row r="2363" spans="1:20" ht="15.75" thickBot="1">
      <c r="A2363" s="1579" t="s">
        <v>2220</v>
      </c>
      <c r="B2363" s="1580"/>
      <c r="C2363" s="1580"/>
      <c r="D2363" s="1580"/>
      <c r="E2363" s="1580"/>
      <c r="F2363" s="1580"/>
      <c r="G2363" s="1580"/>
      <c r="H2363" s="271">
        <f>H2361-H2362</f>
        <v>4.5280000000000005</v>
      </c>
      <c r="I2363" s="1687"/>
      <c r="J2363" s="1687"/>
      <c r="K2363" s="1687"/>
      <c r="L2363" s="1687"/>
      <c r="M2363" s="1687"/>
      <c r="N2363" s="1688"/>
    </row>
    <row r="2364" spans="1:20" ht="14.45" customHeight="1" thickBot="1">
      <c r="A2364" s="1085"/>
      <c r="B2364" s="931"/>
      <c r="C2364" s="931"/>
      <c r="D2364" s="976"/>
      <c r="E2364" s="931"/>
      <c r="F2364" s="931"/>
      <c r="G2364" s="931"/>
      <c r="H2364" s="931"/>
      <c r="I2364" s="931"/>
      <c r="J2364" s="931"/>
      <c r="K2364" s="931"/>
      <c r="L2364" s="931"/>
      <c r="M2364" s="931"/>
      <c r="N2364" s="932"/>
    </row>
    <row r="2365" spans="1:20" ht="30" customHeight="1">
      <c r="A2365" s="1085" t="s">
        <v>2659</v>
      </c>
      <c r="B2365" s="1494" t="s">
        <v>798</v>
      </c>
      <c r="C2365" s="1495"/>
      <c r="D2365" s="1495"/>
      <c r="E2365" s="1495"/>
      <c r="F2365" s="1495"/>
      <c r="G2365" s="1495"/>
      <c r="H2365" s="1495"/>
      <c r="I2365" s="1495"/>
      <c r="J2365" s="1496"/>
      <c r="K2365" s="196" t="s">
        <v>28</v>
      </c>
      <c r="L2365" s="1497">
        <f>'[8]BMS  5ª medição'!G132</f>
        <v>1274</v>
      </c>
      <c r="M2365" s="1498"/>
      <c r="N2365" s="197">
        <f>L2365-H2403</f>
        <v>0</v>
      </c>
    </row>
    <row r="2366" spans="1:20">
      <c r="A2366" s="1554"/>
      <c r="B2366" s="1541"/>
      <c r="C2366" s="366"/>
      <c r="D2366" s="367" t="s">
        <v>2183</v>
      </c>
      <c r="E2366" s="1320" t="s">
        <v>2184</v>
      </c>
      <c r="F2366" s="367" t="s">
        <v>2185</v>
      </c>
      <c r="G2366" s="367" t="s">
        <v>2186</v>
      </c>
      <c r="H2366" s="1542" t="s">
        <v>476</v>
      </c>
      <c r="I2366" s="1543"/>
      <c r="J2366" s="1543"/>
      <c r="K2366" s="1543"/>
      <c r="L2366" s="1543"/>
      <c r="M2366" s="1543"/>
      <c r="N2366" s="1566"/>
    </row>
    <row r="2367" spans="1:20">
      <c r="A2367" s="1554"/>
      <c r="B2367" s="1541"/>
      <c r="C2367" s="368" t="s">
        <v>2627</v>
      </c>
      <c r="D2367" s="369" t="s">
        <v>2187</v>
      </c>
      <c r="E2367" s="529" t="s">
        <v>2596</v>
      </c>
      <c r="F2367" s="369" t="s">
        <v>2649</v>
      </c>
      <c r="G2367" s="370" t="s">
        <v>2190</v>
      </c>
      <c r="H2367" s="1542"/>
      <c r="I2367" s="1543"/>
      <c r="J2367" s="1543"/>
      <c r="K2367" s="1543"/>
      <c r="L2367" s="1543"/>
      <c r="M2367" s="1543"/>
      <c r="N2367" s="1566"/>
    </row>
    <row r="2368" spans="1:20">
      <c r="A2368" s="1530" t="s">
        <v>2476</v>
      </c>
      <c r="B2368" s="410"/>
      <c r="C2368" s="287"/>
      <c r="D2368" s="202"/>
      <c r="E2368" s="346"/>
      <c r="F2368" s="346"/>
      <c r="G2368" s="346"/>
      <c r="H2368" s="403"/>
      <c r="I2368" s="1567"/>
      <c r="J2368" s="1543"/>
      <c r="K2368" s="1543"/>
      <c r="L2368" s="1543"/>
      <c r="M2368" s="1543"/>
      <c r="N2368" s="1566"/>
    </row>
    <row r="2369" spans="1:14">
      <c r="A2369" s="1531"/>
      <c r="B2369" s="406" t="s">
        <v>2660</v>
      </c>
      <c r="C2369" s="292">
        <v>70</v>
      </c>
      <c r="D2369" s="292"/>
      <c r="E2369" s="901"/>
      <c r="F2369" s="341"/>
      <c r="G2369" s="341"/>
      <c r="H2369" s="347">
        <f>C2369</f>
        <v>70</v>
      </c>
      <c r="I2369" s="1567"/>
      <c r="J2369" s="1543"/>
      <c r="K2369" s="1543"/>
      <c r="L2369" s="1543"/>
      <c r="M2369" s="1543"/>
      <c r="N2369" s="1566"/>
    </row>
    <row r="2370" spans="1:14">
      <c r="A2370" s="1531"/>
      <c r="B2370" s="406"/>
      <c r="C2370" s="292"/>
      <c r="D2370" s="292"/>
      <c r="E2370" s="901"/>
      <c r="F2370" s="341"/>
      <c r="G2370" s="341"/>
      <c r="H2370" s="347"/>
      <c r="I2370" s="1567"/>
      <c r="J2370" s="1543"/>
      <c r="K2370" s="1543"/>
      <c r="L2370" s="1543"/>
      <c r="M2370" s="1543"/>
      <c r="N2370" s="1566"/>
    </row>
    <row r="2371" spans="1:14">
      <c r="A2371" s="1531"/>
      <c r="B2371" s="406" t="s">
        <v>2661</v>
      </c>
      <c r="C2371" s="292">
        <v>568</v>
      </c>
      <c r="D2371" s="292"/>
      <c r="E2371" s="901"/>
      <c r="F2371" s="341"/>
      <c r="G2371" s="341"/>
      <c r="H2371" s="347">
        <f>C2371</f>
        <v>568</v>
      </c>
      <c r="I2371" s="1567"/>
      <c r="J2371" s="1543"/>
      <c r="K2371" s="1543"/>
      <c r="L2371" s="1543"/>
      <c r="M2371" s="1543"/>
      <c r="N2371" s="1566"/>
    </row>
    <row r="2372" spans="1:14">
      <c r="A2372" s="1531"/>
      <c r="B2372" s="406"/>
      <c r="C2372" s="292"/>
      <c r="D2372" s="292"/>
      <c r="E2372" s="901"/>
      <c r="F2372" s="341"/>
      <c r="G2372" s="341"/>
      <c r="H2372" s="347"/>
      <c r="I2372" s="1567"/>
      <c r="J2372" s="1543"/>
      <c r="K2372" s="1543"/>
      <c r="L2372" s="1543"/>
      <c r="M2372" s="1543"/>
      <c r="N2372" s="1566"/>
    </row>
    <row r="2373" spans="1:14">
      <c r="A2373" s="1531"/>
      <c r="B2373" s="406"/>
      <c r="C2373" s="292"/>
      <c r="D2373" s="292"/>
      <c r="E2373" s="901"/>
      <c r="F2373" s="341"/>
      <c r="G2373" s="341"/>
      <c r="H2373" s="347"/>
      <c r="I2373" s="1567"/>
      <c r="J2373" s="1543"/>
      <c r="K2373" s="1543"/>
      <c r="L2373" s="1543"/>
      <c r="M2373" s="1543"/>
      <c r="N2373" s="1566"/>
    </row>
    <row r="2374" spans="1:14">
      <c r="A2374" s="1702"/>
      <c r="B2374" s="406"/>
      <c r="C2374" s="292"/>
      <c r="D2374" s="292"/>
      <c r="E2374" s="901"/>
      <c r="F2374" s="341"/>
      <c r="G2374" s="341"/>
      <c r="H2374" s="347"/>
      <c r="I2374" s="1567"/>
      <c r="J2374" s="1543"/>
      <c r="K2374" s="1543"/>
      <c r="L2374" s="1543"/>
      <c r="M2374" s="1543"/>
      <c r="N2374" s="1566"/>
    </row>
    <row r="2375" spans="1:14">
      <c r="A2375" s="1530" t="s">
        <v>2662</v>
      </c>
      <c r="B2375" s="406"/>
      <c r="C2375" s="292"/>
      <c r="D2375" s="292"/>
      <c r="E2375" s="901"/>
      <c r="F2375" s="341"/>
      <c r="G2375" s="341"/>
      <c r="H2375" s="347"/>
      <c r="I2375" s="1567"/>
      <c r="J2375" s="1543"/>
      <c r="K2375" s="1543"/>
      <c r="L2375" s="1543"/>
      <c r="M2375" s="1543"/>
      <c r="N2375" s="1566"/>
    </row>
    <row r="2376" spans="1:14">
      <c r="A2376" s="1531"/>
      <c r="B2376" s="406" t="s">
        <v>2706</v>
      </c>
      <c r="C2376" s="292">
        <v>64</v>
      </c>
      <c r="D2376" s="292"/>
      <c r="E2376" s="901"/>
      <c r="F2376" s="341"/>
      <c r="G2376" s="341"/>
      <c r="H2376" s="347">
        <f>C2376</f>
        <v>64</v>
      </c>
      <c r="I2376" s="1567"/>
      <c r="J2376" s="1543"/>
      <c r="K2376" s="1543"/>
      <c r="L2376" s="1543"/>
      <c r="M2376" s="1543"/>
      <c r="N2376" s="1566"/>
    </row>
    <row r="2377" spans="1:14">
      <c r="A2377" s="1531"/>
      <c r="B2377" s="406" t="s">
        <v>2705</v>
      </c>
      <c r="C2377" s="292">
        <v>50</v>
      </c>
      <c r="D2377" s="292"/>
      <c r="E2377" s="901"/>
      <c r="F2377" s="341"/>
      <c r="G2377" s="341"/>
      <c r="H2377" s="347">
        <f>C2377</f>
        <v>50</v>
      </c>
      <c r="I2377" s="1567"/>
      <c r="J2377" s="1543"/>
      <c r="K2377" s="1543"/>
      <c r="L2377" s="1543"/>
      <c r="M2377" s="1543"/>
      <c r="N2377" s="1566"/>
    </row>
    <row r="2378" spans="1:14">
      <c r="A2378" s="1702"/>
      <c r="B2378" s="406"/>
      <c r="C2378" s="292"/>
      <c r="D2378" s="292"/>
      <c r="E2378" s="901"/>
      <c r="F2378" s="341"/>
      <c r="G2378" s="341"/>
      <c r="H2378" s="347"/>
      <c r="I2378" s="1567"/>
      <c r="J2378" s="1543"/>
      <c r="K2378" s="1543"/>
      <c r="L2378" s="1543"/>
      <c r="M2378" s="1543"/>
      <c r="N2378" s="1566"/>
    </row>
    <row r="2379" spans="1:14">
      <c r="A2379" s="1704" t="s">
        <v>2749</v>
      </c>
      <c r="B2379" s="406"/>
      <c r="C2379" s="292"/>
      <c r="D2379" s="292"/>
      <c r="E2379" s="901"/>
      <c r="F2379" s="341"/>
      <c r="G2379" s="341"/>
      <c r="H2379" s="347"/>
      <c r="I2379" s="1567"/>
      <c r="J2379" s="1543"/>
      <c r="K2379" s="1543"/>
      <c r="L2379" s="1543"/>
      <c r="M2379" s="1543"/>
      <c r="N2379" s="1566"/>
    </row>
    <row r="2380" spans="1:14" ht="24">
      <c r="A2380" s="1705"/>
      <c r="B2380" s="406" t="s">
        <v>2773</v>
      </c>
      <c r="C2380" s="292">
        <v>84</v>
      </c>
      <c r="D2380" s="292"/>
      <c r="E2380" s="901"/>
      <c r="F2380" s="341"/>
      <c r="G2380" s="341"/>
      <c r="H2380" s="347">
        <f t="shared" ref="H2380:H2388" si="55">C2380</f>
        <v>84</v>
      </c>
      <c r="I2380" s="1567"/>
      <c r="J2380" s="1543"/>
      <c r="K2380" s="1543"/>
      <c r="L2380" s="1543"/>
      <c r="M2380" s="1543"/>
      <c r="N2380" s="1566"/>
    </row>
    <row r="2381" spans="1:14">
      <c r="A2381" s="1705"/>
      <c r="B2381" s="406" t="s">
        <v>2772</v>
      </c>
      <c r="C2381" s="292">
        <v>14</v>
      </c>
      <c r="D2381" s="292"/>
      <c r="E2381" s="901"/>
      <c r="F2381" s="341"/>
      <c r="G2381" s="341"/>
      <c r="H2381" s="347">
        <f t="shared" si="55"/>
        <v>14</v>
      </c>
      <c r="I2381" s="1567"/>
      <c r="J2381" s="1543"/>
      <c r="K2381" s="1543"/>
      <c r="L2381" s="1543"/>
      <c r="M2381" s="1543"/>
      <c r="N2381" s="1566"/>
    </row>
    <row r="2382" spans="1:14">
      <c r="A2382" s="1705"/>
      <c r="B2382" s="406" t="s">
        <v>2771</v>
      </c>
      <c r="C2382" s="292">
        <v>20</v>
      </c>
      <c r="D2382" s="292"/>
      <c r="E2382" s="901"/>
      <c r="F2382" s="341"/>
      <c r="G2382" s="341"/>
      <c r="H2382" s="347">
        <f t="shared" si="55"/>
        <v>20</v>
      </c>
      <c r="I2382" s="1567"/>
      <c r="J2382" s="1543"/>
      <c r="K2382" s="1543"/>
      <c r="L2382" s="1543"/>
      <c r="M2382" s="1543"/>
      <c r="N2382" s="1566"/>
    </row>
    <row r="2383" spans="1:14">
      <c r="A2383" s="1705"/>
      <c r="B2383" s="406" t="s">
        <v>2770</v>
      </c>
      <c r="C2383" s="292">
        <v>13</v>
      </c>
      <c r="D2383" s="292"/>
      <c r="E2383" s="901"/>
      <c r="F2383" s="341"/>
      <c r="G2383" s="341"/>
      <c r="H2383" s="347">
        <f t="shared" si="55"/>
        <v>13</v>
      </c>
      <c r="I2383" s="1567"/>
      <c r="J2383" s="1543"/>
      <c r="K2383" s="1543"/>
      <c r="L2383" s="1543"/>
      <c r="M2383" s="1543"/>
      <c r="N2383" s="1566"/>
    </row>
    <row r="2384" spans="1:14">
      <c r="A2384" s="1705"/>
      <c r="B2384" s="406" t="s">
        <v>2769</v>
      </c>
      <c r="C2384" s="292">
        <v>16</v>
      </c>
      <c r="D2384" s="292"/>
      <c r="E2384" s="901"/>
      <c r="F2384" s="341"/>
      <c r="G2384" s="341"/>
      <c r="H2384" s="347">
        <f t="shared" si="55"/>
        <v>16</v>
      </c>
      <c r="I2384" s="1567"/>
      <c r="J2384" s="1543"/>
      <c r="K2384" s="1543"/>
      <c r="L2384" s="1543"/>
      <c r="M2384" s="1543"/>
      <c r="N2384" s="1566"/>
    </row>
    <row r="2385" spans="1:14">
      <c r="A2385" s="1705"/>
      <c r="B2385" s="406" t="s">
        <v>2768</v>
      </c>
      <c r="C2385" s="292">
        <v>30</v>
      </c>
      <c r="D2385" s="292"/>
      <c r="E2385" s="901"/>
      <c r="F2385" s="341"/>
      <c r="G2385" s="341"/>
      <c r="H2385" s="347">
        <f t="shared" si="55"/>
        <v>30</v>
      </c>
      <c r="I2385" s="1567"/>
      <c r="J2385" s="1543"/>
      <c r="K2385" s="1543"/>
      <c r="L2385" s="1543"/>
      <c r="M2385" s="1543"/>
      <c r="N2385" s="1566"/>
    </row>
    <row r="2386" spans="1:14">
      <c r="A2386" s="1705"/>
      <c r="B2386" s="406" t="s">
        <v>2767</v>
      </c>
      <c r="C2386" s="292">
        <v>16</v>
      </c>
      <c r="D2386" s="292"/>
      <c r="E2386" s="901"/>
      <c r="F2386" s="341"/>
      <c r="G2386" s="341"/>
      <c r="H2386" s="347">
        <f t="shared" si="55"/>
        <v>16</v>
      </c>
      <c r="I2386" s="1567"/>
      <c r="J2386" s="1543"/>
      <c r="K2386" s="1543"/>
      <c r="L2386" s="1543"/>
      <c r="M2386" s="1543"/>
      <c r="N2386" s="1566"/>
    </row>
    <row r="2387" spans="1:14">
      <c r="A2387" s="1705"/>
      <c r="B2387" s="406" t="s">
        <v>2766</v>
      </c>
      <c r="C2387" s="292">
        <v>36</v>
      </c>
      <c r="D2387" s="292"/>
      <c r="E2387" s="901"/>
      <c r="F2387" s="341"/>
      <c r="G2387" s="341"/>
      <c r="H2387" s="347">
        <f t="shared" si="55"/>
        <v>36</v>
      </c>
      <c r="I2387" s="1567"/>
      <c r="J2387" s="1543"/>
      <c r="K2387" s="1543"/>
      <c r="L2387" s="1543"/>
      <c r="M2387" s="1543"/>
      <c r="N2387" s="1566"/>
    </row>
    <row r="2388" spans="1:14">
      <c r="A2388" s="1705"/>
      <c r="B2388" s="412" t="s">
        <v>2765</v>
      </c>
      <c r="C2388" s="312">
        <v>39</v>
      </c>
      <c r="D2388" s="312"/>
      <c r="E2388" s="907"/>
      <c r="F2388" s="351"/>
      <c r="G2388" s="351"/>
      <c r="H2388" s="364">
        <f t="shared" si="55"/>
        <v>39</v>
      </c>
      <c r="I2388" s="1567"/>
      <c r="J2388" s="1543"/>
      <c r="K2388" s="1543"/>
      <c r="L2388" s="1543"/>
      <c r="M2388" s="1543"/>
      <c r="N2388" s="1566"/>
    </row>
    <row r="2389" spans="1:14">
      <c r="A2389" s="1574" t="s">
        <v>2895</v>
      </c>
      <c r="B2389" s="288"/>
      <c r="C2389" s="287"/>
      <c r="D2389" s="287"/>
      <c r="E2389" s="531"/>
      <c r="F2389" s="346"/>
      <c r="G2389" s="346"/>
      <c r="H2389" s="403"/>
      <c r="I2389" s="1567"/>
      <c r="J2389" s="1543"/>
      <c r="K2389" s="1543"/>
      <c r="L2389" s="1543"/>
      <c r="M2389" s="1543"/>
      <c r="N2389" s="1566"/>
    </row>
    <row r="2390" spans="1:14">
      <c r="A2390" s="1707"/>
      <c r="B2390" s="290" t="s">
        <v>2907</v>
      </c>
      <c r="C2390" s="292">
        <v>64</v>
      </c>
      <c r="D2390" s="292"/>
      <c r="E2390" s="901"/>
      <c r="F2390" s="341"/>
      <c r="G2390" s="341"/>
      <c r="H2390" s="347">
        <f>C2390</f>
        <v>64</v>
      </c>
      <c r="I2390" s="1567"/>
      <c r="J2390" s="1543"/>
      <c r="K2390" s="1543"/>
      <c r="L2390" s="1543"/>
      <c r="M2390" s="1543"/>
      <c r="N2390" s="1566"/>
    </row>
    <row r="2391" spans="1:14">
      <c r="A2391" s="1576"/>
      <c r="B2391" s="295"/>
      <c r="C2391" s="294"/>
      <c r="D2391" s="294"/>
      <c r="E2391" s="1214"/>
      <c r="F2391" s="348"/>
      <c r="G2391" s="348"/>
      <c r="H2391" s="349"/>
      <c r="I2391" s="1567"/>
      <c r="J2391" s="1543"/>
      <c r="K2391" s="1543"/>
      <c r="L2391" s="1543"/>
      <c r="M2391" s="1543"/>
      <c r="N2391" s="1566"/>
    </row>
    <row r="2392" spans="1:14">
      <c r="A2392" s="1574" t="s">
        <v>2942</v>
      </c>
      <c r="B2392" s="595" t="s">
        <v>3057</v>
      </c>
      <c r="C2392" s="287">
        <v>45</v>
      </c>
      <c r="D2392" s="287"/>
      <c r="E2392" s="346"/>
      <c r="F2392" s="346"/>
      <c r="G2392" s="287"/>
      <c r="H2392" s="403">
        <f>C2392</f>
        <v>45</v>
      </c>
      <c r="I2392" s="1567"/>
      <c r="J2392" s="1543"/>
      <c r="K2392" s="1543"/>
      <c r="L2392" s="1543"/>
      <c r="M2392" s="1543"/>
      <c r="N2392" s="1566"/>
    </row>
    <row r="2393" spans="1:14">
      <c r="A2393" s="1576"/>
      <c r="B2393" s="599"/>
      <c r="C2393" s="599"/>
      <c r="D2393" s="294"/>
      <c r="E2393" s="607"/>
      <c r="F2393" s="607"/>
      <c r="G2393" s="599"/>
      <c r="H2393" s="608"/>
      <c r="I2393" s="1567"/>
      <c r="J2393" s="1543"/>
      <c r="K2393" s="1543"/>
      <c r="L2393" s="1543"/>
      <c r="M2393" s="1543"/>
      <c r="N2393" s="1566"/>
    </row>
    <row r="2394" spans="1:14">
      <c r="A2394" s="1574" t="s">
        <v>2997</v>
      </c>
      <c r="B2394" s="609" t="s">
        <v>3080</v>
      </c>
      <c r="C2394" s="275"/>
      <c r="D2394" s="639"/>
      <c r="E2394" s="1337"/>
      <c r="F2394" s="275"/>
      <c r="G2394" s="275"/>
      <c r="H2394" s="610"/>
      <c r="I2394" s="1567"/>
      <c r="J2394" s="1543"/>
      <c r="K2394" s="1543"/>
      <c r="L2394" s="1543"/>
      <c r="M2394" s="1543"/>
      <c r="N2394" s="1566"/>
    </row>
    <row r="2395" spans="1:14" ht="30">
      <c r="A2395" s="1707"/>
      <c r="B2395" s="611" t="s">
        <v>3081</v>
      </c>
      <c r="C2395" s="514">
        <v>62</v>
      </c>
      <c r="D2395" s="514"/>
      <c r="E2395" s="1330"/>
      <c r="F2395" s="514"/>
      <c r="G2395" s="276"/>
      <c r="H2395" s="347">
        <f>C2395</f>
        <v>62</v>
      </c>
      <c r="I2395" s="1567"/>
      <c r="J2395" s="1543"/>
      <c r="K2395" s="1543"/>
      <c r="L2395" s="1543"/>
      <c r="M2395" s="1543"/>
      <c r="N2395" s="1566"/>
    </row>
    <row r="2396" spans="1:14" ht="30">
      <c r="A2396" s="1576"/>
      <c r="B2396" s="612" t="s">
        <v>3082</v>
      </c>
      <c r="C2396" s="520">
        <v>43</v>
      </c>
      <c r="D2396" s="520"/>
      <c r="E2396" s="1331"/>
      <c r="F2396" s="520"/>
      <c r="G2396" s="277"/>
      <c r="H2396" s="349">
        <f>C2396</f>
        <v>43</v>
      </c>
      <c r="I2396" s="1567"/>
      <c r="J2396" s="1543"/>
      <c r="K2396" s="1543"/>
      <c r="L2396" s="1543"/>
      <c r="M2396" s="1543"/>
      <c r="N2396" s="1566"/>
    </row>
    <row r="2397" spans="1:14">
      <c r="A2397" s="1704" t="s">
        <v>3158</v>
      </c>
      <c r="B2397" s="820" t="s">
        <v>3167</v>
      </c>
      <c r="C2397" s="821"/>
      <c r="D2397" s="821"/>
      <c r="E2397" s="1338"/>
      <c r="F2397" s="821"/>
      <c r="G2397" s="275"/>
      <c r="H2397" s="403">
        <v>20</v>
      </c>
      <c r="I2397" s="1567"/>
      <c r="J2397" s="1543"/>
      <c r="K2397" s="1543"/>
      <c r="L2397" s="1543"/>
      <c r="M2397" s="1543"/>
      <c r="N2397" s="1566"/>
    </row>
    <row r="2398" spans="1:14">
      <c r="A2398" s="1705"/>
      <c r="B2398" s="516"/>
      <c r="C2398" s="514"/>
      <c r="D2398" s="514"/>
      <c r="E2398" s="1330"/>
      <c r="F2398" s="514"/>
      <c r="G2398" s="276"/>
      <c r="H2398" s="347"/>
      <c r="I2398" s="1567"/>
      <c r="J2398" s="1543"/>
      <c r="K2398" s="1543"/>
      <c r="L2398" s="1543"/>
      <c r="M2398" s="1543"/>
      <c r="N2398" s="1566"/>
    </row>
    <row r="2399" spans="1:14">
      <c r="A2399" s="1706"/>
      <c r="B2399" s="518"/>
      <c r="C2399" s="520"/>
      <c r="D2399" s="520"/>
      <c r="E2399" s="1331"/>
      <c r="F2399" s="520"/>
      <c r="G2399" s="277"/>
      <c r="H2399" s="349"/>
      <c r="I2399" s="1567"/>
      <c r="J2399" s="1543"/>
      <c r="K2399" s="1543"/>
      <c r="L2399" s="1543"/>
      <c r="M2399" s="1543"/>
      <c r="N2399" s="1566"/>
    </row>
    <row r="2400" spans="1:14">
      <c r="A2400" s="1704" t="s">
        <v>3217</v>
      </c>
      <c r="B2400" s="820" t="s">
        <v>3167</v>
      </c>
      <c r="C2400" s="821"/>
      <c r="D2400" s="821"/>
      <c r="E2400" s="1338"/>
      <c r="F2400" s="821"/>
      <c r="G2400" s="275"/>
      <c r="H2400" s="403">
        <v>20</v>
      </c>
      <c r="I2400" s="1567"/>
      <c r="J2400" s="1543"/>
      <c r="K2400" s="1543"/>
      <c r="L2400" s="1543"/>
      <c r="M2400" s="1543"/>
      <c r="N2400" s="1566"/>
    </row>
    <row r="2401" spans="1:14">
      <c r="A2401" s="1705"/>
      <c r="B2401" s="516"/>
      <c r="C2401" s="514"/>
      <c r="D2401" s="514"/>
      <c r="E2401" s="1330"/>
      <c r="F2401" s="514"/>
      <c r="G2401" s="276"/>
      <c r="H2401" s="347"/>
      <c r="I2401" s="1567"/>
      <c r="J2401" s="1543"/>
      <c r="K2401" s="1543"/>
      <c r="L2401" s="1543"/>
      <c r="M2401" s="1543"/>
      <c r="N2401" s="1566"/>
    </row>
    <row r="2402" spans="1:14">
      <c r="A2402" s="1706"/>
      <c r="B2402" s="518"/>
      <c r="C2402" s="520"/>
      <c r="D2402" s="520"/>
      <c r="E2402" s="1331"/>
      <c r="F2402" s="520"/>
      <c r="G2402" s="277"/>
      <c r="H2402" s="349"/>
      <c r="I2402" s="1567"/>
      <c r="J2402" s="1543"/>
      <c r="K2402" s="1543"/>
      <c r="L2402" s="1543"/>
      <c r="M2402" s="1543"/>
      <c r="N2402" s="1566"/>
    </row>
    <row r="2403" spans="1:14">
      <c r="A2403" s="1577" t="s">
        <v>2218</v>
      </c>
      <c r="B2403" s="1542"/>
      <c r="C2403" s="1542"/>
      <c r="D2403" s="1542"/>
      <c r="E2403" s="1542"/>
      <c r="F2403" s="1542"/>
      <c r="G2403" s="1542"/>
      <c r="H2403" s="271">
        <f>SUM(H2368:H2402)</f>
        <v>1274</v>
      </c>
      <c r="I2403" s="1567"/>
      <c r="J2403" s="1543"/>
      <c r="K2403" s="1543"/>
      <c r="L2403" s="1543"/>
      <c r="M2403" s="1543"/>
      <c r="N2403" s="1566"/>
    </row>
    <row r="2404" spans="1:14">
      <c r="A2404" s="1519" t="s">
        <v>2219</v>
      </c>
      <c r="B2404" s="1517"/>
      <c r="C2404" s="1517"/>
      <c r="D2404" s="1551"/>
      <c r="E2404" s="1551"/>
      <c r="F2404" s="1551"/>
      <c r="G2404" s="1552"/>
      <c r="H2404" s="272">
        <f>SUM(H2368:H2399)</f>
        <v>1254</v>
      </c>
      <c r="I2404" s="1543"/>
      <c r="J2404" s="1543"/>
      <c r="K2404" s="1543"/>
      <c r="L2404" s="1543"/>
      <c r="M2404" s="1543"/>
      <c r="N2404" s="1566"/>
    </row>
    <row r="2405" spans="1:14" ht="15.75" thickBot="1">
      <c r="A2405" s="1520" t="s">
        <v>2220</v>
      </c>
      <c r="B2405" s="1521"/>
      <c r="C2405" s="1521"/>
      <c r="D2405" s="1521"/>
      <c r="E2405" s="1521"/>
      <c r="F2405" s="1521"/>
      <c r="G2405" s="1522"/>
      <c r="H2405" s="221">
        <f>H2403-H2404</f>
        <v>20</v>
      </c>
      <c r="I2405" s="1568"/>
      <c r="J2405" s="1568"/>
      <c r="K2405" s="1568"/>
      <c r="L2405" s="1568"/>
      <c r="M2405" s="1568"/>
      <c r="N2405" s="1569"/>
    </row>
    <row r="2406" spans="1:14" ht="15.75" thickBot="1">
      <c r="A2406" s="1635"/>
      <c r="B2406" s="1636"/>
      <c r="C2406" s="1636"/>
      <c r="D2406" s="1636"/>
      <c r="E2406" s="1636"/>
      <c r="F2406" s="1636"/>
      <c r="G2406" s="1636"/>
      <c r="H2406" s="1636"/>
      <c r="I2406" s="1636"/>
      <c r="J2406" s="1636"/>
      <c r="K2406" s="1636"/>
      <c r="L2406" s="1636"/>
      <c r="M2406" s="1636"/>
      <c r="N2406" s="1637"/>
    </row>
    <row r="2407" spans="1:14" ht="30.75" customHeight="1">
      <c r="A2407" s="1085" t="s">
        <v>2707</v>
      </c>
      <c r="B2407" s="1494" t="s">
        <v>801</v>
      </c>
      <c r="C2407" s="1495"/>
      <c r="D2407" s="1495"/>
      <c r="E2407" s="1495"/>
      <c r="F2407" s="1495"/>
      <c r="G2407" s="1495"/>
      <c r="H2407" s="1495"/>
      <c r="I2407" s="1495"/>
      <c r="J2407" s="1496"/>
      <c r="K2407" s="196" t="s">
        <v>2222</v>
      </c>
      <c r="L2407" s="1497">
        <v>210.28</v>
      </c>
      <c r="M2407" s="1498"/>
      <c r="N2407" s="197">
        <f>L2407-H2463</f>
        <v>-3.9999999999906777E-3</v>
      </c>
    </row>
    <row r="2408" spans="1:14">
      <c r="A2408" s="1554"/>
      <c r="B2408" s="1541"/>
      <c r="C2408" s="366"/>
      <c r="D2408" s="367" t="s">
        <v>2183</v>
      </c>
      <c r="E2408" s="1320" t="s">
        <v>2184</v>
      </c>
      <c r="F2408" s="367" t="s">
        <v>2185</v>
      </c>
      <c r="G2408" s="367" t="s">
        <v>2186</v>
      </c>
      <c r="H2408" s="1542" t="s">
        <v>476</v>
      </c>
      <c r="I2408" s="1543"/>
      <c r="J2408" s="1543"/>
      <c r="K2408" s="1543"/>
      <c r="L2408" s="1543"/>
      <c r="M2408" s="1543"/>
      <c r="N2408" s="1566"/>
    </row>
    <row r="2409" spans="1:14">
      <c r="A2409" s="1554"/>
      <c r="B2409" s="1541"/>
      <c r="C2409" s="368" t="s">
        <v>2627</v>
      </c>
      <c r="D2409" s="369" t="s">
        <v>2187</v>
      </c>
      <c r="E2409" s="529" t="s">
        <v>2596</v>
      </c>
      <c r="F2409" s="369" t="s">
        <v>2649</v>
      </c>
      <c r="G2409" s="370" t="s">
        <v>2709</v>
      </c>
      <c r="H2409" s="1542"/>
      <c r="I2409" s="1543"/>
      <c r="J2409" s="1543"/>
      <c r="K2409" s="1543"/>
      <c r="L2409" s="1543"/>
      <c r="M2409" s="1543"/>
      <c r="N2409" s="1566"/>
    </row>
    <row r="2410" spans="1:14">
      <c r="A2410" s="1710" t="s">
        <v>2662</v>
      </c>
      <c r="B2410" s="410"/>
      <c r="C2410" s="287"/>
      <c r="D2410" s="202"/>
      <c r="E2410" s="346"/>
      <c r="F2410" s="346"/>
      <c r="G2410" s="346"/>
      <c r="H2410" s="403"/>
      <c r="I2410" s="1567"/>
      <c r="J2410" s="1543"/>
      <c r="K2410" s="1543"/>
      <c r="L2410" s="1543"/>
      <c r="M2410" s="1543"/>
      <c r="N2410" s="1566"/>
    </row>
    <row r="2411" spans="1:14" ht="24">
      <c r="A2411" s="1536"/>
      <c r="B2411" s="406" t="s">
        <v>2708</v>
      </c>
      <c r="C2411" s="292">
        <v>4</v>
      </c>
      <c r="D2411" s="198">
        <v>3.1</v>
      </c>
      <c r="E2411" s="341"/>
      <c r="F2411" s="341">
        <v>0.25</v>
      </c>
      <c r="G2411" s="341">
        <v>2</v>
      </c>
      <c r="H2411" s="347">
        <f>C2411*D2411*F2411*G2411</f>
        <v>6.2</v>
      </c>
      <c r="I2411" s="1567"/>
      <c r="J2411" s="1543"/>
      <c r="K2411" s="1543"/>
      <c r="L2411" s="1543"/>
      <c r="M2411" s="1543"/>
      <c r="N2411" s="1566"/>
    </row>
    <row r="2412" spans="1:14">
      <c r="A2412" s="1536"/>
      <c r="B2412" s="406" t="s">
        <v>2548</v>
      </c>
      <c r="C2412" s="292">
        <v>1</v>
      </c>
      <c r="D2412" s="198">
        <v>4.2</v>
      </c>
      <c r="E2412" s="341"/>
      <c r="F2412" s="341">
        <v>0.25</v>
      </c>
      <c r="G2412" s="341">
        <v>2</v>
      </c>
      <c r="H2412" s="347">
        <f>C2412*D2412*F2412*G2412</f>
        <v>2.1</v>
      </c>
      <c r="I2412" s="1567"/>
      <c r="J2412" s="1543"/>
      <c r="K2412" s="1543"/>
      <c r="L2412" s="1543"/>
      <c r="M2412" s="1543"/>
      <c r="N2412" s="1566"/>
    </row>
    <row r="2413" spans="1:14">
      <c r="A2413" s="1536"/>
      <c r="B2413" s="406" t="s">
        <v>2549</v>
      </c>
      <c r="C2413" s="292">
        <v>1</v>
      </c>
      <c r="D2413" s="198">
        <v>4.2</v>
      </c>
      <c r="E2413" s="341"/>
      <c r="F2413" s="341">
        <v>0.25</v>
      </c>
      <c r="G2413" s="341">
        <v>2</v>
      </c>
      <c r="H2413" s="347">
        <f>C2413*D2413*F2413*G2413</f>
        <v>2.1</v>
      </c>
      <c r="I2413" s="1567"/>
      <c r="J2413" s="1543"/>
      <c r="K2413" s="1543"/>
      <c r="L2413" s="1543"/>
      <c r="M2413" s="1543"/>
      <c r="N2413" s="1566"/>
    </row>
    <row r="2414" spans="1:14">
      <c r="A2414" s="1536"/>
      <c r="B2414" s="406" t="s">
        <v>2576</v>
      </c>
      <c r="C2414" s="292">
        <v>1</v>
      </c>
      <c r="D2414" s="198">
        <v>5.43</v>
      </c>
      <c r="E2414" s="341"/>
      <c r="F2414" s="341">
        <v>0.25</v>
      </c>
      <c r="G2414" s="341">
        <v>2</v>
      </c>
      <c r="H2414" s="347">
        <f>C2414*D2414*F2414*G2414</f>
        <v>2.7149999999999999</v>
      </c>
      <c r="I2414" s="1567"/>
      <c r="J2414" s="1543"/>
      <c r="K2414" s="1543"/>
      <c r="L2414" s="1543"/>
      <c r="M2414" s="1543"/>
      <c r="N2414" s="1566"/>
    </row>
    <row r="2415" spans="1:14">
      <c r="A2415" s="1536"/>
      <c r="B2415" s="406" t="s">
        <v>2577</v>
      </c>
      <c r="C2415" s="292">
        <v>1</v>
      </c>
      <c r="D2415" s="198">
        <v>5.73</v>
      </c>
      <c r="E2415" s="341"/>
      <c r="F2415" s="341">
        <v>0.25</v>
      </c>
      <c r="G2415" s="341">
        <v>2</v>
      </c>
      <c r="H2415" s="347">
        <f>C2415*D2415*F2415*G2415</f>
        <v>2.8650000000000002</v>
      </c>
      <c r="I2415" s="1567"/>
      <c r="J2415" s="1543"/>
      <c r="K2415" s="1543"/>
      <c r="L2415" s="1543"/>
      <c r="M2415" s="1543"/>
      <c r="N2415" s="1566"/>
    </row>
    <row r="2416" spans="1:14">
      <c r="A2416" s="1536"/>
      <c r="B2416" s="406"/>
      <c r="C2416" s="292"/>
      <c r="D2416" s="198"/>
      <c r="E2416" s="341"/>
      <c r="F2416" s="341"/>
      <c r="G2416" s="341"/>
      <c r="H2416" s="347"/>
      <c r="I2416" s="1567"/>
      <c r="J2416" s="1543"/>
      <c r="K2416" s="1543"/>
      <c r="L2416" s="1543"/>
      <c r="M2416" s="1543"/>
      <c r="N2416" s="1566"/>
    </row>
    <row r="2417" spans="1:14" ht="24">
      <c r="A2417" s="1536"/>
      <c r="B2417" s="406" t="s">
        <v>2710</v>
      </c>
      <c r="C2417" s="292">
        <v>1</v>
      </c>
      <c r="D2417" s="198">
        <v>20.48</v>
      </c>
      <c r="E2417" s="341"/>
      <c r="F2417" s="341">
        <v>0.25</v>
      </c>
      <c r="G2417" s="341">
        <v>1</v>
      </c>
      <c r="H2417" s="347">
        <f t="shared" ref="H2417:H2422" si="56">C2417*D2417*F2417*G2417</f>
        <v>5.12</v>
      </c>
      <c r="I2417" s="1567"/>
      <c r="J2417" s="1543"/>
      <c r="K2417" s="1543"/>
      <c r="L2417" s="1543"/>
      <c r="M2417" s="1543"/>
      <c r="N2417" s="1566"/>
    </row>
    <row r="2418" spans="1:14" ht="36">
      <c r="A2418" s="1536"/>
      <c r="B2418" s="406" t="s">
        <v>2711</v>
      </c>
      <c r="C2418" s="292">
        <v>1</v>
      </c>
      <c r="D2418" s="198">
        <v>18.43</v>
      </c>
      <c r="E2418" s="341"/>
      <c r="F2418" s="341">
        <v>0.25</v>
      </c>
      <c r="G2418" s="341">
        <v>1</v>
      </c>
      <c r="H2418" s="347">
        <f t="shared" si="56"/>
        <v>4.6074999999999999</v>
      </c>
      <c r="I2418" s="1567"/>
      <c r="J2418" s="1543"/>
      <c r="K2418" s="1543"/>
      <c r="L2418" s="1543"/>
      <c r="M2418" s="1543"/>
      <c r="N2418" s="1566"/>
    </row>
    <row r="2419" spans="1:14">
      <c r="A2419" s="1536"/>
      <c r="B2419" s="406" t="s">
        <v>2712</v>
      </c>
      <c r="C2419" s="292">
        <v>1</v>
      </c>
      <c r="D2419" s="198">
        <v>0.85</v>
      </c>
      <c r="E2419" s="341"/>
      <c r="F2419" s="341">
        <v>0.25</v>
      </c>
      <c r="G2419" s="341">
        <v>1</v>
      </c>
      <c r="H2419" s="347">
        <f t="shared" si="56"/>
        <v>0.21249999999999999</v>
      </c>
      <c r="I2419" s="1567"/>
      <c r="J2419" s="1543"/>
      <c r="K2419" s="1543"/>
      <c r="L2419" s="1543"/>
      <c r="M2419" s="1543"/>
      <c r="N2419" s="1566"/>
    </row>
    <row r="2420" spans="1:14">
      <c r="A2420" s="1536"/>
      <c r="B2420" s="406" t="s">
        <v>2694</v>
      </c>
      <c r="C2420" s="292">
        <v>1</v>
      </c>
      <c r="D2420" s="198">
        <v>38.909999999999997</v>
      </c>
      <c r="E2420" s="341"/>
      <c r="F2420" s="341">
        <v>0.25</v>
      </c>
      <c r="G2420" s="341">
        <v>1</v>
      </c>
      <c r="H2420" s="347">
        <f t="shared" si="56"/>
        <v>9.7274999999999991</v>
      </c>
      <c r="I2420" s="1567"/>
      <c r="J2420" s="1543"/>
      <c r="K2420" s="1543"/>
      <c r="L2420" s="1543"/>
      <c r="M2420" s="1543"/>
      <c r="N2420" s="1566"/>
    </row>
    <row r="2421" spans="1:14" ht="60" customHeight="1">
      <c r="A2421" s="1536"/>
      <c r="B2421" s="406" t="s">
        <v>2714</v>
      </c>
      <c r="C2421" s="292">
        <v>2</v>
      </c>
      <c r="D2421" s="198">
        <v>1.1000000000000001</v>
      </c>
      <c r="E2421" s="341"/>
      <c r="F2421" s="341">
        <v>0.25</v>
      </c>
      <c r="G2421" s="341">
        <v>2</v>
      </c>
      <c r="H2421" s="347">
        <f t="shared" si="56"/>
        <v>1.1000000000000001</v>
      </c>
      <c r="I2421" s="1567"/>
      <c r="J2421" s="1543"/>
      <c r="K2421" s="1543"/>
      <c r="L2421" s="1543"/>
      <c r="M2421" s="1543"/>
      <c r="N2421" s="1566"/>
    </row>
    <row r="2422" spans="1:14" ht="24">
      <c r="A2422" s="1536"/>
      <c r="B2422" s="412" t="s">
        <v>2713</v>
      </c>
      <c r="C2422" s="312">
        <v>2</v>
      </c>
      <c r="D2422" s="199">
        <v>1.1000000000000001</v>
      </c>
      <c r="E2422" s="351"/>
      <c r="F2422" s="351">
        <v>0.25</v>
      </c>
      <c r="G2422" s="351">
        <v>2</v>
      </c>
      <c r="H2422" s="364">
        <f t="shared" si="56"/>
        <v>1.1000000000000001</v>
      </c>
      <c r="I2422" s="1567"/>
      <c r="J2422" s="1543"/>
      <c r="K2422" s="1543"/>
      <c r="L2422" s="1543"/>
      <c r="M2422" s="1543"/>
      <c r="N2422" s="1566"/>
    </row>
    <row r="2423" spans="1:14">
      <c r="A2423" s="1574" t="s">
        <v>2895</v>
      </c>
      <c r="B2423" s="288"/>
      <c r="C2423" s="287"/>
      <c r="D2423" s="287"/>
      <c r="E2423" s="531"/>
      <c r="F2423" s="346"/>
      <c r="G2423" s="346"/>
      <c r="H2423" s="403"/>
      <c r="I2423" s="1567"/>
      <c r="J2423" s="1543"/>
      <c r="K2423" s="1543"/>
      <c r="L2423" s="1543"/>
      <c r="M2423" s="1543"/>
      <c r="N2423" s="1566"/>
    </row>
    <row r="2424" spans="1:14">
      <c r="A2424" s="1707"/>
      <c r="B2424" s="290" t="s">
        <v>2908</v>
      </c>
      <c r="C2424" s="291">
        <v>1</v>
      </c>
      <c r="D2424" s="292">
        <f>2.45+1.3+0.78+1.52+2.52</f>
        <v>8.57</v>
      </c>
      <c r="E2424" s="901"/>
      <c r="F2424" s="341">
        <v>0.25</v>
      </c>
      <c r="G2424" s="341">
        <v>1</v>
      </c>
      <c r="H2424" s="347">
        <f>C2424*D2424*F2424*G2424</f>
        <v>2.1425000000000001</v>
      </c>
      <c r="I2424" s="1567"/>
      <c r="J2424" s="1543"/>
      <c r="K2424" s="1543"/>
      <c r="L2424" s="1543"/>
      <c r="M2424" s="1543"/>
      <c r="N2424" s="1566"/>
    </row>
    <row r="2425" spans="1:14">
      <c r="A2425" s="1576"/>
      <c r="B2425" s="295"/>
      <c r="C2425" s="294"/>
      <c r="D2425" s="294"/>
      <c r="E2425" s="1214"/>
      <c r="F2425" s="348"/>
      <c r="G2425" s="348"/>
      <c r="H2425" s="349"/>
      <c r="I2425" s="1567"/>
      <c r="J2425" s="1543"/>
      <c r="K2425" s="1543"/>
      <c r="L2425" s="1543"/>
      <c r="M2425" s="1543"/>
      <c r="N2425" s="1566"/>
    </row>
    <row r="2426" spans="1:14">
      <c r="A2426" s="1574" t="s">
        <v>2942</v>
      </c>
      <c r="B2426" s="288"/>
      <c r="C2426" s="287">
        <v>1</v>
      </c>
      <c r="D2426" s="287">
        <v>2.4500000000000002</v>
      </c>
      <c r="E2426" s="531"/>
      <c r="F2426" s="346">
        <v>0.25</v>
      </c>
      <c r="G2426" s="346">
        <v>2</v>
      </c>
      <c r="H2426" s="403">
        <f>C2426*D2426*F2426*G2426</f>
        <v>1.2250000000000001</v>
      </c>
      <c r="I2426" s="1567"/>
      <c r="J2426" s="1543"/>
      <c r="K2426" s="1543"/>
      <c r="L2426" s="1543"/>
      <c r="M2426" s="1543"/>
      <c r="N2426" s="1566"/>
    </row>
    <row r="2427" spans="1:14">
      <c r="A2427" s="1707"/>
      <c r="B2427" s="290" t="s">
        <v>2955</v>
      </c>
      <c r="C2427" s="292">
        <v>1</v>
      </c>
      <c r="D2427" s="292">
        <v>4.8</v>
      </c>
      <c r="E2427" s="901"/>
      <c r="F2427" s="341">
        <v>0.25</v>
      </c>
      <c r="G2427" s="341">
        <v>2</v>
      </c>
      <c r="H2427" s="347">
        <f>C2427*D2427*F2427*G2427</f>
        <v>2.4</v>
      </c>
      <c r="I2427" s="1567"/>
      <c r="J2427" s="1543"/>
      <c r="K2427" s="1543"/>
      <c r="L2427" s="1543"/>
      <c r="M2427" s="1543"/>
      <c r="N2427" s="1566"/>
    </row>
    <row r="2428" spans="1:14">
      <c r="A2428" s="1707"/>
      <c r="B2428" s="290"/>
      <c r="C2428" s="292">
        <v>1</v>
      </c>
      <c r="D2428" s="292">
        <v>1.32</v>
      </c>
      <c r="E2428" s="901"/>
      <c r="F2428" s="341">
        <v>0.25</v>
      </c>
      <c r="G2428" s="341">
        <v>2</v>
      </c>
      <c r="H2428" s="347">
        <f>C2428*D2428*F2428*G2428</f>
        <v>0.66</v>
      </c>
      <c r="I2428" s="1567"/>
      <c r="J2428" s="1543"/>
      <c r="K2428" s="1543"/>
      <c r="L2428" s="1543"/>
      <c r="M2428" s="1543"/>
      <c r="N2428" s="1566"/>
    </row>
    <row r="2429" spans="1:14">
      <c r="A2429" s="1576"/>
      <c r="B2429" s="295"/>
      <c r="C2429" s="294">
        <v>1</v>
      </c>
      <c r="D2429" s="294">
        <v>2.4700000000000002</v>
      </c>
      <c r="E2429" s="1214"/>
      <c r="F2429" s="348">
        <v>0.25</v>
      </c>
      <c r="G2429" s="348">
        <v>2</v>
      </c>
      <c r="H2429" s="349">
        <f>C2429*D2429*F2429*G2429</f>
        <v>1.2350000000000001</v>
      </c>
      <c r="I2429" s="1567"/>
      <c r="J2429" s="1543"/>
      <c r="K2429" s="1543"/>
      <c r="L2429" s="1543"/>
      <c r="M2429" s="1543"/>
      <c r="N2429" s="1566"/>
    </row>
    <row r="2430" spans="1:14" ht="36">
      <c r="A2430" s="1574" t="s">
        <v>2997</v>
      </c>
      <c r="B2430" s="595"/>
      <c r="C2430" s="613" t="s">
        <v>3058</v>
      </c>
      <c r="D2430" s="613" t="s">
        <v>3059</v>
      </c>
      <c r="E2430" s="614" t="s">
        <v>3060</v>
      </c>
      <c r="F2430" s="613" t="s">
        <v>3061</v>
      </c>
      <c r="G2430" s="595"/>
      <c r="H2430" s="615"/>
      <c r="I2430" s="1567"/>
      <c r="J2430" s="1543"/>
      <c r="K2430" s="1543"/>
      <c r="L2430" s="1543"/>
      <c r="M2430" s="1543"/>
      <c r="N2430" s="1566"/>
    </row>
    <row r="2431" spans="1:14">
      <c r="A2431" s="1707"/>
      <c r="B2431" s="597" t="s">
        <v>3054</v>
      </c>
      <c r="C2431" s="292">
        <v>30</v>
      </c>
      <c r="D2431" s="292">
        <v>0.25</v>
      </c>
      <c r="E2431" s="901">
        <v>2</v>
      </c>
      <c r="F2431" s="616">
        <v>2</v>
      </c>
      <c r="G2431" s="341"/>
      <c r="H2431" s="347">
        <f>C2431*D2431*E2431*F2431</f>
        <v>30</v>
      </c>
      <c r="I2431" s="1567"/>
      <c r="J2431" s="1543"/>
      <c r="K2431" s="1543"/>
      <c r="L2431" s="1543"/>
      <c r="M2431" s="1543"/>
      <c r="N2431" s="1566"/>
    </row>
    <row r="2432" spans="1:14">
      <c r="A2432" s="1707"/>
      <c r="B2432" s="597" t="s">
        <v>3055</v>
      </c>
      <c r="C2432" s="292"/>
      <c r="D2432" s="292"/>
      <c r="E2432" s="901"/>
      <c r="F2432" s="341"/>
      <c r="G2432" s="341"/>
      <c r="H2432" s="347"/>
      <c r="I2432" s="1567"/>
      <c r="J2432" s="1543"/>
      <c r="K2432" s="1543"/>
      <c r="L2432" s="1543"/>
      <c r="M2432" s="1543"/>
      <c r="N2432" s="1566"/>
    </row>
    <row r="2433" spans="1:14">
      <c r="A2433" s="1707"/>
      <c r="B2433" s="597" t="s">
        <v>3056</v>
      </c>
      <c r="C2433" s="292"/>
      <c r="D2433" s="292"/>
      <c r="E2433" s="901"/>
      <c r="F2433" s="341"/>
      <c r="G2433" s="341"/>
      <c r="H2433" s="347"/>
      <c r="I2433" s="1567"/>
      <c r="J2433" s="1543"/>
      <c r="K2433" s="1543"/>
      <c r="L2433" s="1543"/>
      <c r="M2433" s="1543"/>
      <c r="N2433" s="1566"/>
    </row>
    <row r="2434" spans="1:14">
      <c r="A2434" s="1707"/>
      <c r="B2434" s="597"/>
      <c r="C2434" s="292"/>
      <c r="D2434" s="292"/>
      <c r="E2434" s="901"/>
      <c r="F2434" s="341"/>
      <c r="G2434" s="341"/>
      <c r="H2434" s="347"/>
      <c r="I2434" s="1567"/>
      <c r="J2434" s="1543"/>
      <c r="K2434" s="1543"/>
      <c r="L2434" s="1543"/>
      <c r="M2434" s="1543"/>
      <c r="N2434" s="1566"/>
    </row>
    <row r="2435" spans="1:14">
      <c r="A2435" s="1707"/>
      <c r="B2435" s="617" t="s">
        <v>3062</v>
      </c>
      <c r="C2435" s="618"/>
      <c r="D2435" s="619"/>
      <c r="E2435" s="1339"/>
      <c r="F2435" s="619"/>
      <c r="G2435" s="341"/>
      <c r="H2435" s="347"/>
      <c r="I2435" s="1567"/>
      <c r="J2435" s="1543"/>
      <c r="K2435" s="1543"/>
      <c r="L2435" s="1543"/>
      <c r="M2435" s="1543"/>
      <c r="N2435" s="1566"/>
    </row>
    <row r="2436" spans="1:14" ht="27" customHeight="1">
      <c r="A2436" s="1707"/>
      <c r="B2436" s="822" t="s">
        <v>3063</v>
      </c>
      <c r="C2436" s="822"/>
      <c r="D2436" s="977"/>
      <c r="E2436" s="822"/>
      <c r="F2436" s="822"/>
      <c r="G2436" s="822"/>
      <c r="H2436" s="823"/>
      <c r="I2436" s="1567"/>
      <c r="J2436" s="1543"/>
      <c r="K2436" s="1543"/>
      <c r="L2436" s="1543"/>
      <c r="M2436" s="1543"/>
      <c r="N2436" s="1566"/>
    </row>
    <row r="2437" spans="1:14">
      <c r="A2437" s="1707"/>
      <c r="B2437" s="620" t="s">
        <v>3064</v>
      </c>
      <c r="C2437" s="292">
        <f>3.93</f>
        <v>3.93</v>
      </c>
      <c r="D2437" s="292">
        <v>0.25</v>
      </c>
      <c r="E2437" s="901">
        <v>2</v>
      </c>
      <c r="F2437" s="616">
        <v>2</v>
      </c>
      <c r="G2437" s="341"/>
      <c r="H2437" s="347">
        <f t="shared" ref="H2437:H2445" si="57">C2437*D2437*E2437*F2437</f>
        <v>3.93</v>
      </c>
      <c r="I2437" s="1567"/>
      <c r="J2437" s="1543"/>
      <c r="K2437" s="1543"/>
      <c r="L2437" s="1543"/>
      <c r="M2437" s="1543"/>
      <c r="N2437" s="1566"/>
    </row>
    <row r="2438" spans="1:14">
      <c r="A2438" s="1707"/>
      <c r="B2438" s="620" t="s">
        <v>3065</v>
      </c>
      <c r="C2438" s="292">
        <f>17-(0.2*4)</f>
        <v>16.2</v>
      </c>
      <c r="D2438" s="292">
        <v>0.25</v>
      </c>
      <c r="E2438" s="901">
        <v>2</v>
      </c>
      <c r="F2438" s="616">
        <v>2</v>
      </c>
      <c r="G2438" s="341"/>
      <c r="H2438" s="347">
        <f t="shared" si="57"/>
        <v>16.2</v>
      </c>
      <c r="I2438" s="1567"/>
      <c r="J2438" s="1543"/>
      <c r="K2438" s="1543"/>
      <c r="L2438" s="1543"/>
      <c r="M2438" s="1543"/>
      <c r="N2438" s="1566"/>
    </row>
    <row r="2439" spans="1:14">
      <c r="A2439" s="1707"/>
      <c r="B2439" s="621" t="s">
        <v>3066</v>
      </c>
      <c r="C2439" s="616">
        <f>8.97-0.2</f>
        <v>8.7700000000000014</v>
      </c>
      <c r="D2439" s="616">
        <v>0.25</v>
      </c>
      <c r="E2439" s="341">
        <v>2</v>
      </c>
      <c r="F2439" s="616">
        <v>2</v>
      </c>
      <c r="G2439" s="341"/>
      <c r="H2439" s="347">
        <f t="shared" si="57"/>
        <v>8.7700000000000014</v>
      </c>
      <c r="I2439" s="1567"/>
      <c r="J2439" s="1543"/>
      <c r="K2439" s="1543"/>
      <c r="L2439" s="1543"/>
      <c r="M2439" s="1543"/>
      <c r="N2439" s="1566"/>
    </row>
    <row r="2440" spans="1:14" ht="24">
      <c r="A2440" s="1707"/>
      <c r="B2440" s="620" t="s">
        <v>3067</v>
      </c>
      <c r="C2440" s="616">
        <v>1.1000000000000001</v>
      </c>
      <c r="D2440" s="616">
        <v>0.25</v>
      </c>
      <c r="E2440" s="341">
        <v>1</v>
      </c>
      <c r="F2440" s="616">
        <v>2</v>
      </c>
      <c r="G2440" s="341"/>
      <c r="H2440" s="347">
        <f t="shared" si="57"/>
        <v>0.55000000000000004</v>
      </c>
      <c r="I2440" s="1567"/>
      <c r="J2440" s="1543"/>
      <c r="K2440" s="1543"/>
      <c r="L2440" s="1543"/>
      <c r="M2440" s="1543"/>
      <c r="N2440" s="1566"/>
    </row>
    <row r="2441" spans="1:14">
      <c r="A2441" s="1707"/>
      <c r="B2441" s="620" t="s">
        <v>3068</v>
      </c>
      <c r="C2441" s="616">
        <v>1.1000000000000001</v>
      </c>
      <c r="D2441" s="616">
        <v>0.25</v>
      </c>
      <c r="E2441" s="341">
        <f>(0.25+0.39)/2</f>
        <v>0.32</v>
      </c>
      <c r="F2441" s="616">
        <v>1</v>
      </c>
      <c r="G2441" s="341"/>
      <c r="H2441" s="347">
        <f t="shared" si="57"/>
        <v>8.8000000000000009E-2</v>
      </c>
      <c r="I2441" s="1567"/>
      <c r="J2441" s="1543"/>
      <c r="K2441" s="1543"/>
      <c r="L2441" s="1543"/>
      <c r="M2441" s="1543"/>
      <c r="N2441" s="1566"/>
    </row>
    <row r="2442" spans="1:14">
      <c r="A2442" s="1707"/>
      <c r="B2442" s="620" t="s">
        <v>3069</v>
      </c>
      <c r="C2442" s="616">
        <f>9.03-0.2</f>
        <v>8.83</v>
      </c>
      <c r="D2442" s="616">
        <v>0.25</v>
      </c>
      <c r="E2442" s="341">
        <v>1</v>
      </c>
      <c r="F2442" s="616">
        <v>2</v>
      </c>
      <c r="G2442" s="341"/>
      <c r="H2442" s="347">
        <f t="shared" si="57"/>
        <v>4.415</v>
      </c>
      <c r="I2442" s="1567"/>
      <c r="J2442" s="1543"/>
      <c r="K2442" s="1543"/>
      <c r="L2442" s="1543"/>
      <c r="M2442" s="1543"/>
      <c r="N2442" s="1566"/>
    </row>
    <row r="2443" spans="1:14">
      <c r="A2443" s="1707"/>
      <c r="B2443" s="620" t="s">
        <v>3070</v>
      </c>
      <c r="C2443" s="616">
        <f>10.32-0.2</f>
        <v>10.120000000000001</v>
      </c>
      <c r="D2443" s="616">
        <v>0.25</v>
      </c>
      <c r="E2443" s="341">
        <v>2</v>
      </c>
      <c r="F2443" s="616">
        <v>2</v>
      </c>
      <c r="G2443" s="341"/>
      <c r="H2443" s="347">
        <f t="shared" si="57"/>
        <v>10.120000000000001</v>
      </c>
      <c r="I2443" s="1567"/>
      <c r="J2443" s="1543"/>
      <c r="K2443" s="1543"/>
      <c r="L2443" s="1543"/>
      <c r="M2443" s="1543"/>
      <c r="N2443" s="1566"/>
    </row>
    <row r="2444" spans="1:14" ht="24">
      <c r="A2444" s="1707"/>
      <c r="B2444" s="620" t="s">
        <v>3071</v>
      </c>
      <c r="C2444" s="616">
        <v>1.28</v>
      </c>
      <c r="D2444" s="616">
        <v>0.25</v>
      </c>
      <c r="E2444" s="341">
        <v>1</v>
      </c>
      <c r="F2444" s="616">
        <v>2</v>
      </c>
      <c r="G2444" s="341"/>
      <c r="H2444" s="347">
        <f t="shared" si="57"/>
        <v>0.64</v>
      </c>
      <c r="I2444" s="1567"/>
      <c r="J2444" s="1543"/>
      <c r="K2444" s="1543"/>
      <c r="L2444" s="1543"/>
      <c r="M2444" s="1543"/>
      <c r="N2444" s="1566"/>
    </row>
    <row r="2445" spans="1:14">
      <c r="A2445" s="1707"/>
      <c r="B2445" s="620" t="s">
        <v>3072</v>
      </c>
      <c r="C2445" s="616">
        <v>1.28</v>
      </c>
      <c r="D2445" s="616">
        <v>0.25</v>
      </c>
      <c r="E2445" s="341">
        <v>1</v>
      </c>
      <c r="F2445" s="616">
        <v>2</v>
      </c>
      <c r="G2445" s="341"/>
      <c r="H2445" s="347">
        <f t="shared" si="57"/>
        <v>0.64</v>
      </c>
      <c r="I2445" s="1567"/>
      <c r="J2445" s="1543"/>
      <c r="K2445" s="1543"/>
      <c r="L2445" s="1543"/>
      <c r="M2445" s="1543"/>
      <c r="N2445" s="1566"/>
    </row>
    <row r="2446" spans="1:14">
      <c r="A2446" s="1707"/>
      <c r="B2446" s="620" t="s">
        <v>3073</v>
      </c>
      <c r="C2446" s="292"/>
      <c r="D2446" s="292"/>
      <c r="E2446" s="901"/>
      <c r="F2446" s="616"/>
      <c r="G2446" s="341"/>
      <c r="H2446" s="347"/>
      <c r="I2446" s="1567"/>
      <c r="J2446" s="1543"/>
      <c r="K2446" s="1543"/>
      <c r="L2446" s="1543"/>
      <c r="M2446" s="1543"/>
      <c r="N2446" s="1566"/>
    </row>
    <row r="2447" spans="1:14">
      <c r="A2447" s="1707"/>
      <c r="B2447" s="621" t="s">
        <v>3020</v>
      </c>
      <c r="C2447" s="616">
        <f>8.94-0.2</f>
        <v>8.74</v>
      </c>
      <c r="D2447" s="616">
        <v>0.25</v>
      </c>
      <c r="E2447" s="341">
        <v>2</v>
      </c>
      <c r="F2447" s="616">
        <v>2</v>
      </c>
      <c r="G2447" s="622"/>
      <c r="H2447" s="347">
        <f>C2447*D2447*E2447*F2447</f>
        <v>8.74</v>
      </c>
      <c r="I2447" s="1567"/>
      <c r="J2447" s="1543"/>
      <c r="K2447" s="1543"/>
      <c r="L2447" s="1543"/>
      <c r="M2447" s="1543"/>
      <c r="N2447" s="1566"/>
    </row>
    <row r="2448" spans="1:14">
      <c r="A2448" s="1707"/>
      <c r="B2448" s="620" t="s">
        <v>2548</v>
      </c>
      <c r="C2448" s="292"/>
      <c r="D2448" s="292"/>
      <c r="E2448" s="901"/>
      <c r="F2448" s="292"/>
      <c r="G2448" s="622"/>
      <c r="H2448" s="347"/>
      <c r="I2448" s="1567"/>
      <c r="J2448" s="1543"/>
      <c r="K2448" s="1543"/>
      <c r="L2448" s="1543"/>
      <c r="M2448" s="1543"/>
      <c r="N2448" s="1566"/>
    </row>
    <row r="2449" spans="1:14">
      <c r="A2449" s="1707"/>
      <c r="B2449" s="623" t="s">
        <v>3017</v>
      </c>
      <c r="C2449" s="616"/>
      <c r="D2449" s="616"/>
      <c r="E2449" s="341"/>
      <c r="F2449" s="616"/>
      <c r="G2449" s="622"/>
      <c r="H2449" s="347"/>
      <c r="I2449" s="1567"/>
      <c r="J2449" s="1543"/>
      <c r="K2449" s="1543"/>
      <c r="L2449" s="1543"/>
      <c r="M2449" s="1543"/>
      <c r="N2449" s="1566"/>
    </row>
    <row r="2450" spans="1:14">
      <c r="A2450" s="1707"/>
      <c r="B2450" s="621" t="s">
        <v>3021</v>
      </c>
      <c r="C2450" s="616">
        <f>8.95-0.2</f>
        <v>8.75</v>
      </c>
      <c r="D2450" s="616">
        <v>0.25</v>
      </c>
      <c r="E2450" s="341">
        <v>2</v>
      </c>
      <c r="F2450" s="616">
        <v>1</v>
      </c>
      <c r="G2450" s="622"/>
      <c r="H2450" s="347">
        <f>C2450*D2450*E2450*F2450</f>
        <v>4.375</v>
      </c>
      <c r="I2450" s="1567"/>
      <c r="J2450" s="1543"/>
      <c r="K2450" s="1543"/>
      <c r="L2450" s="1543"/>
      <c r="M2450" s="1543"/>
      <c r="N2450" s="1566"/>
    </row>
    <row r="2451" spans="1:14">
      <c r="A2451" s="1707"/>
      <c r="B2451" s="620" t="s">
        <v>2548</v>
      </c>
      <c r="C2451" s="616">
        <v>6.1159999999999997</v>
      </c>
      <c r="D2451" s="616">
        <v>0.25</v>
      </c>
      <c r="E2451" s="341">
        <v>2</v>
      </c>
      <c r="F2451" s="616">
        <v>1</v>
      </c>
      <c r="G2451" s="622"/>
      <c r="H2451" s="347">
        <f>C2451*D2451*E2451*F2451</f>
        <v>3.0579999999999998</v>
      </c>
      <c r="I2451" s="1567"/>
      <c r="J2451" s="1543"/>
      <c r="K2451" s="1543"/>
      <c r="L2451" s="1543"/>
      <c r="M2451" s="1543"/>
      <c r="N2451" s="1566"/>
    </row>
    <row r="2452" spans="1:14">
      <c r="A2452" s="1707"/>
      <c r="B2452" s="620" t="s">
        <v>2549</v>
      </c>
      <c r="C2452" s="616">
        <v>6.1159999999999997</v>
      </c>
      <c r="D2452" s="616">
        <v>0.25</v>
      </c>
      <c r="E2452" s="341">
        <v>2</v>
      </c>
      <c r="F2452" s="616">
        <v>1</v>
      </c>
      <c r="G2452" s="622"/>
      <c r="H2452" s="347">
        <f>C2452*D2452*E2452*F2452</f>
        <v>3.0579999999999998</v>
      </c>
      <c r="I2452" s="1567"/>
      <c r="J2452" s="1543"/>
      <c r="K2452" s="1543"/>
      <c r="L2452" s="1543"/>
      <c r="M2452" s="1543"/>
      <c r="N2452" s="1566"/>
    </row>
    <row r="2453" spans="1:14">
      <c r="A2453" s="1707"/>
      <c r="B2453" s="620" t="s">
        <v>2576</v>
      </c>
      <c r="C2453" s="292"/>
      <c r="D2453" s="292"/>
      <c r="E2453" s="901"/>
      <c r="F2453" s="341"/>
      <c r="G2453" s="341"/>
      <c r="H2453" s="347"/>
      <c r="I2453" s="1567"/>
      <c r="J2453" s="1543"/>
      <c r="K2453" s="1543"/>
      <c r="L2453" s="1543"/>
      <c r="M2453" s="1543"/>
      <c r="N2453" s="1566"/>
    </row>
    <row r="2454" spans="1:14" ht="24">
      <c r="A2454" s="1707"/>
      <c r="B2454" s="623" t="s">
        <v>3074</v>
      </c>
      <c r="C2454" s="292"/>
      <c r="D2454" s="292"/>
      <c r="E2454" s="901"/>
      <c r="F2454" s="341"/>
      <c r="G2454" s="341"/>
      <c r="H2454" s="347"/>
      <c r="I2454" s="1567"/>
      <c r="J2454" s="1543"/>
      <c r="K2454" s="1543"/>
      <c r="L2454" s="1543"/>
      <c r="M2454" s="1543"/>
      <c r="N2454" s="1566"/>
    </row>
    <row r="2455" spans="1:14">
      <c r="A2455" s="1707"/>
      <c r="B2455" s="620" t="s">
        <v>3075</v>
      </c>
      <c r="C2455" s="616">
        <f>1.85+0.5</f>
        <v>2.35</v>
      </c>
      <c r="D2455" s="616">
        <v>0.25</v>
      </c>
      <c r="E2455" s="341">
        <v>2</v>
      </c>
      <c r="F2455" s="616">
        <v>2</v>
      </c>
      <c r="G2455" s="341"/>
      <c r="H2455" s="347">
        <f>C2455*D2455*E2455*F2455</f>
        <v>2.35</v>
      </c>
      <c r="I2455" s="1567"/>
      <c r="J2455" s="1543"/>
      <c r="K2455" s="1543"/>
      <c r="L2455" s="1543"/>
      <c r="M2455" s="1543"/>
      <c r="N2455" s="1566"/>
    </row>
    <row r="2456" spans="1:14">
      <c r="A2456" s="1707"/>
      <c r="B2456" s="620" t="s">
        <v>3075</v>
      </c>
      <c r="C2456" s="616">
        <f>1.85+0.3</f>
        <v>2.15</v>
      </c>
      <c r="D2456" s="616">
        <v>0.25</v>
      </c>
      <c r="E2456" s="341">
        <v>2</v>
      </c>
      <c r="F2456" s="616">
        <v>2</v>
      </c>
      <c r="G2456" s="341"/>
      <c r="H2456" s="347">
        <f>C2456*D2456*E2456*F2456</f>
        <v>2.15</v>
      </c>
      <c r="I2456" s="1567"/>
      <c r="J2456" s="1543"/>
      <c r="K2456" s="1543"/>
      <c r="L2456" s="1543"/>
      <c r="M2456" s="1543"/>
      <c r="N2456" s="1566"/>
    </row>
    <row r="2457" spans="1:14" ht="24">
      <c r="A2457" s="1707"/>
      <c r="B2457" s="624" t="s">
        <v>3076</v>
      </c>
      <c r="C2457" s="616">
        <f>0.6+3+0.9</f>
        <v>4.5</v>
      </c>
      <c r="D2457" s="616">
        <v>0.25</v>
      </c>
      <c r="E2457" s="341">
        <v>2</v>
      </c>
      <c r="F2457" s="616">
        <v>2</v>
      </c>
      <c r="G2457" s="341"/>
      <c r="H2457" s="347">
        <f>C2457*D2457*E2457*F2457</f>
        <v>4.5</v>
      </c>
      <c r="I2457" s="1567"/>
      <c r="J2457" s="1543"/>
      <c r="K2457" s="1543"/>
      <c r="L2457" s="1543"/>
      <c r="M2457" s="1543"/>
      <c r="N2457" s="1566"/>
    </row>
    <row r="2458" spans="1:14">
      <c r="A2458" s="1707"/>
      <c r="B2458" s="624" t="s">
        <v>3077</v>
      </c>
      <c r="C2458" s="616">
        <f>4.33+6.3</f>
        <v>10.629999999999999</v>
      </c>
      <c r="D2458" s="616">
        <v>0.25</v>
      </c>
      <c r="E2458" s="341">
        <v>2</v>
      </c>
      <c r="F2458" s="616">
        <v>2</v>
      </c>
      <c r="G2458" s="341"/>
      <c r="H2458" s="347">
        <f>C2458*D2458*E2458*F2458</f>
        <v>10.629999999999999</v>
      </c>
      <c r="I2458" s="1567"/>
      <c r="J2458" s="1543"/>
      <c r="K2458" s="1543"/>
      <c r="L2458" s="1543"/>
      <c r="M2458" s="1543"/>
      <c r="N2458" s="1566"/>
    </row>
    <row r="2459" spans="1:14">
      <c r="A2459" s="1576"/>
      <c r="B2459" s="625" t="s">
        <v>3078</v>
      </c>
      <c r="C2459" s="626">
        <f>7.1+6.95+1.05+1.55</f>
        <v>16.650000000000002</v>
      </c>
      <c r="D2459" s="626">
        <v>0.25</v>
      </c>
      <c r="E2459" s="348">
        <v>2</v>
      </c>
      <c r="F2459" s="626">
        <v>2</v>
      </c>
      <c r="G2459" s="348"/>
      <c r="H2459" s="349">
        <f>C2459*D2459*E2459*F2459</f>
        <v>16.650000000000002</v>
      </c>
      <c r="I2459" s="1567"/>
      <c r="J2459" s="1543"/>
      <c r="K2459" s="1543"/>
      <c r="L2459" s="1543"/>
      <c r="M2459" s="1543"/>
      <c r="N2459" s="1566"/>
    </row>
    <row r="2460" spans="1:14">
      <c r="A2460" s="1574" t="s">
        <v>3158</v>
      </c>
      <c r="B2460" s="288"/>
      <c r="C2460" s="287"/>
      <c r="D2460" s="287"/>
      <c r="E2460" s="531"/>
      <c r="F2460" s="346"/>
      <c r="G2460" s="346"/>
      <c r="H2460" s="403"/>
      <c r="I2460" s="1567"/>
      <c r="J2460" s="1543"/>
      <c r="K2460" s="1543"/>
      <c r="L2460" s="1543"/>
      <c r="M2460" s="1543"/>
      <c r="N2460" s="1566"/>
    </row>
    <row r="2461" spans="1:14">
      <c r="A2461" s="1707"/>
      <c r="B2461" s="290" t="s">
        <v>3167</v>
      </c>
      <c r="C2461" s="291"/>
      <c r="D2461" s="292"/>
      <c r="E2461" s="901"/>
      <c r="F2461" s="341"/>
      <c r="G2461" s="341"/>
      <c r="H2461" s="347">
        <v>33.909999999999997</v>
      </c>
      <c r="I2461" s="1567"/>
      <c r="J2461" s="1543"/>
      <c r="K2461" s="1543"/>
      <c r="L2461" s="1543"/>
      <c r="M2461" s="1543"/>
      <c r="N2461" s="1566"/>
    </row>
    <row r="2462" spans="1:14">
      <c r="A2462" s="1576"/>
      <c r="B2462" s="295"/>
      <c r="C2462" s="294"/>
      <c r="D2462" s="294"/>
      <c r="E2462" s="1214"/>
      <c r="F2462" s="348"/>
      <c r="G2462" s="348"/>
      <c r="H2462" s="349"/>
      <c r="I2462" s="1567"/>
      <c r="J2462" s="1543"/>
      <c r="K2462" s="1543"/>
      <c r="L2462" s="1543"/>
      <c r="M2462" s="1543"/>
      <c r="N2462" s="1566"/>
    </row>
    <row r="2463" spans="1:14">
      <c r="A2463" s="1577" t="s">
        <v>2218</v>
      </c>
      <c r="B2463" s="1542"/>
      <c r="C2463" s="1542"/>
      <c r="D2463" s="1542"/>
      <c r="E2463" s="1542"/>
      <c r="F2463" s="1542"/>
      <c r="G2463" s="1542"/>
      <c r="H2463" s="271">
        <f>SUM(H2410:H2462)</f>
        <v>210.28399999999999</v>
      </c>
      <c r="I2463" s="1567"/>
      <c r="J2463" s="1543"/>
      <c r="K2463" s="1543"/>
      <c r="L2463" s="1543"/>
      <c r="M2463" s="1543"/>
      <c r="N2463" s="1566"/>
    </row>
    <row r="2464" spans="1:14">
      <c r="A2464" s="1519" t="s">
        <v>2219</v>
      </c>
      <c r="B2464" s="1517"/>
      <c r="C2464" s="1517"/>
      <c r="D2464" s="1551"/>
      <c r="E2464" s="1551"/>
      <c r="F2464" s="1551"/>
      <c r="G2464" s="1552"/>
      <c r="H2464" s="271">
        <f>SUM(H2411:H2459)</f>
        <v>176.374</v>
      </c>
      <c r="I2464" s="1543"/>
      <c r="J2464" s="1543"/>
      <c r="K2464" s="1543"/>
      <c r="L2464" s="1543"/>
      <c r="M2464" s="1543"/>
      <c r="N2464" s="1566"/>
    </row>
    <row r="2465" spans="1:20" ht="15.75" thickBot="1">
      <c r="A2465" s="1520" t="s">
        <v>2220</v>
      </c>
      <c r="B2465" s="1521"/>
      <c r="C2465" s="1521"/>
      <c r="D2465" s="1521"/>
      <c r="E2465" s="1521"/>
      <c r="F2465" s="1521"/>
      <c r="G2465" s="1522"/>
      <c r="H2465" s="221">
        <f>H2463-H2464</f>
        <v>33.909999999999997</v>
      </c>
      <c r="I2465" s="1568"/>
      <c r="J2465" s="1568"/>
      <c r="K2465" s="1568"/>
      <c r="L2465" s="1568"/>
      <c r="M2465" s="1568"/>
      <c r="N2465" s="1569"/>
    </row>
    <row r="2466" spans="1:20" ht="15.75" thickBot="1">
      <c r="A2466" s="278"/>
      <c r="B2466" s="278"/>
      <c r="C2466" s="278"/>
      <c r="D2466" s="281"/>
      <c r="E2466" s="1319"/>
      <c r="F2466" s="278"/>
      <c r="G2466" s="278"/>
      <c r="H2466" s="217"/>
      <c r="I2466" s="279"/>
      <c r="J2466" s="279"/>
      <c r="K2466" s="279"/>
      <c r="L2466" s="279"/>
      <c r="M2466" s="279"/>
      <c r="N2466" s="279"/>
    </row>
    <row r="2467" spans="1:20" ht="24" customHeight="1" thickBot="1">
      <c r="A2467" s="1113" t="s">
        <v>804</v>
      </c>
      <c r="B2467" s="1731" t="s">
        <v>805</v>
      </c>
      <c r="C2467" s="1732"/>
      <c r="D2467" s="1732"/>
      <c r="E2467" s="1732"/>
      <c r="F2467" s="1732"/>
      <c r="G2467" s="1732"/>
      <c r="H2467" s="1732"/>
      <c r="I2467" s="1732"/>
      <c r="J2467" s="1732"/>
      <c r="K2467" s="1732"/>
      <c r="L2467" s="1732"/>
      <c r="M2467" s="1732"/>
      <c r="N2467" s="1733"/>
    </row>
    <row r="2468" spans="1:20" ht="25.15" customHeight="1">
      <c r="A2468" s="1084" t="s">
        <v>3083</v>
      </c>
      <c r="B2468" s="1533" t="s">
        <v>808</v>
      </c>
      <c r="C2468" s="1533"/>
      <c r="D2468" s="1533"/>
      <c r="E2468" s="1533"/>
      <c r="F2468" s="1533"/>
      <c r="G2468" s="1533"/>
      <c r="H2468" s="1533"/>
      <c r="I2468" s="1533"/>
      <c r="J2468" s="1533"/>
      <c r="K2468" s="627" t="s">
        <v>28</v>
      </c>
      <c r="L2468" s="1534">
        <v>4</v>
      </c>
      <c r="M2468" s="1534"/>
      <c r="N2468" s="197">
        <f>L2468-H2477</f>
        <v>0</v>
      </c>
    </row>
    <row r="2469" spans="1:20">
      <c r="A2469" s="1734"/>
      <c r="B2469" s="355" t="s">
        <v>3088</v>
      </c>
      <c r="C2469" s="389"/>
      <c r="D2469" s="631"/>
      <c r="E2469" s="628"/>
      <c r="F2469" s="628"/>
      <c r="G2469" s="1729" t="s">
        <v>2190</v>
      </c>
      <c r="H2469" s="1730" t="s">
        <v>476</v>
      </c>
      <c r="I2469" s="1681"/>
      <c r="J2469" s="1681"/>
      <c r="K2469" s="1681"/>
      <c r="L2469" s="1681"/>
      <c r="M2469" s="1681"/>
      <c r="N2469" s="1682"/>
    </row>
    <row r="2470" spans="1:20">
      <c r="A2470" s="1735"/>
      <c r="B2470" s="629" t="s">
        <v>2646</v>
      </c>
      <c r="C2470" s="389"/>
      <c r="D2470" s="631"/>
      <c r="E2470" s="628"/>
      <c r="F2470" s="628"/>
      <c r="G2470" s="1729"/>
      <c r="H2470" s="1730"/>
      <c r="I2470" s="1683"/>
      <c r="J2470" s="1683"/>
      <c r="K2470" s="1683"/>
      <c r="L2470" s="1683"/>
      <c r="M2470" s="1683"/>
      <c r="N2470" s="1684"/>
    </row>
    <row r="2471" spans="1:20">
      <c r="A2471" s="1735"/>
      <c r="B2471" s="630" t="s">
        <v>2727</v>
      </c>
      <c r="C2471" s="389"/>
      <c r="D2471" s="631"/>
      <c r="E2471" s="628"/>
      <c r="F2471" s="628"/>
      <c r="G2471" s="628"/>
      <c r="H2471" s="631"/>
      <c r="I2471" s="1683"/>
      <c r="J2471" s="1683"/>
      <c r="K2471" s="1683"/>
      <c r="L2471" s="1683"/>
      <c r="M2471" s="1683"/>
      <c r="N2471" s="1684"/>
    </row>
    <row r="2472" spans="1:20">
      <c r="A2472" s="1735"/>
      <c r="B2472" s="355" t="s">
        <v>3089</v>
      </c>
      <c r="C2472" s="389"/>
      <c r="D2472" s="631"/>
      <c r="E2472" s="628"/>
      <c r="F2472" s="628"/>
      <c r="G2472" s="297">
        <v>1</v>
      </c>
      <c r="H2472" s="632">
        <f>G2472</f>
        <v>1</v>
      </c>
      <c r="I2472" s="1683"/>
      <c r="J2472" s="1683"/>
      <c r="K2472" s="1683"/>
      <c r="L2472" s="1683"/>
      <c r="M2472" s="1683"/>
      <c r="N2472" s="1684"/>
    </row>
    <row r="2473" spans="1:20">
      <c r="A2473" s="1735"/>
      <c r="B2473" s="355" t="s">
        <v>3090</v>
      </c>
      <c r="C2473" s="389"/>
      <c r="D2473" s="631"/>
      <c r="E2473" s="628"/>
      <c r="F2473" s="628"/>
      <c r="G2473" s="297">
        <v>1</v>
      </c>
      <c r="H2473" s="632">
        <f>G2473</f>
        <v>1</v>
      </c>
      <c r="I2473" s="1683"/>
      <c r="J2473" s="1683"/>
      <c r="K2473" s="1683"/>
      <c r="L2473" s="1683"/>
      <c r="M2473" s="1683"/>
      <c r="N2473" s="1684"/>
    </row>
    <row r="2474" spans="1:20">
      <c r="A2474" s="1735"/>
      <c r="B2474" s="630" t="s">
        <v>2929</v>
      </c>
      <c r="C2474" s="628"/>
      <c r="D2474" s="631"/>
      <c r="E2474" s="628"/>
      <c r="F2474" s="628"/>
      <c r="G2474" s="297"/>
      <c r="H2474" s="632"/>
      <c r="I2474" s="1683"/>
      <c r="J2474" s="1683"/>
      <c r="K2474" s="1683"/>
      <c r="L2474" s="1683"/>
      <c r="M2474" s="1683"/>
      <c r="N2474" s="1684"/>
    </row>
    <row r="2475" spans="1:20">
      <c r="A2475" s="1735"/>
      <c r="B2475" s="355" t="s">
        <v>2344</v>
      </c>
      <c r="C2475" s="628"/>
      <c r="D2475" s="631"/>
      <c r="E2475" s="628"/>
      <c r="F2475" s="628"/>
      <c r="G2475" s="297">
        <v>1</v>
      </c>
      <c r="H2475" s="632">
        <f>G2475</f>
        <v>1</v>
      </c>
      <c r="I2475" s="1683"/>
      <c r="J2475" s="1683"/>
      <c r="K2475" s="1683"/>
      <c r="L2475" s="1683"/>
      <c r="M2475" s="1683"/>
      <c r="N2475" s="1684"/>
    </row>
    <row r="2476" spans="1:20">
      <c r="A2476" s="1736"/>
      <c r="B2476" s="355" t="s">
        <v>2461</v>
      </c>
      <c r="C2476" s="297"/>
      <c r="D2476" s="297"/>
      <c r="E2476" s="903"/>
      <c r="F2476" s="297"/>
      <c r="G2476" s="297">
        <v>1</v>
      </c>
      <c r="H2476" s="632">
        <f>G2476</f>
        <v>1</v>
      </c>
      <c r="I2476" s="1683"/>
      <c r="J2476" s="1683"/>
      <c r="K2476" s="1683"/>
      <c r="L2476" s="1683"/>
      <c r="M2476" s="1683"/>
      <c r="N2476" s="1684"/>
    </row>
    <row r="2477" spans="1:20">
      <c r="A2477" s="1577" t="s">
        <v>2218</v>
      </c>
      <c r="B2477" s="1542"/>
      <c r="C2477" s="1542"/>
      <c r="D2477" s="1542"/>
      <c r="E2477" s="1542"/>
      <c r="F2477" s="1542"/>
      <c r="G2477" s="1542"/>
      <c r="H2477" s="271">
        <f>SUM(H2471:H2476)</f>
        <v>4</v>
      </c>
      <c r="I2477" s="1683"/>
      <c r="J2477" s="1683"/>
      <c r="K2477" s="1683"/>
      <c r="L2477" s="1683"/>
      <c r="M2477" s="1683"/>
      <c r="N2477" s="1684"/>
      <c r="P2477" s="558"/>
      <c r="R2477" s="558"/>
      <c r="S2477" s="280"/>
      <c r="T2477" s="558"/>
    </row>
    <row r="2478" spans="1:20">
      <c r="A2478" s="1578" t="s">
        <v>2219</v>
      </c>
      <c r="B2478" s="1538"/>
      <c r="C2478" s="1538"/>
      <c r="D2478" s="1538"/>
      <c r="E2478" s="1538"/>
      <c r="F2478" s="1538"/>
      <c r="G2478" s="1538"/>
      <c r="H2478" s="320">
        <v>0</v>
      </c>
      <c r="I2478" s="1683"/>
      <c r="J2478" s="1683"/>
      <c r="K2478" s="1683"/>
      <c r="L2478" s="1683"/>
      <c r="M2478" s="1683"/>
      <c r="N2478" s="1684"/>
    </row>
    <row r="2479" spans="1:20" ht="15.75" thickBot="1">
      <c r="A2479" s="1579" t="s">
        <v>2220</v>
      </c>
      <c r="B2479" s="1580"/>
      <c r="C2479" s="1580"/>
      <c r="D2479" s="1580"/>
      <c r="E2479" s="1580"/>
      <c r="F2479" s="1580"/>
      <c r="G2479" s="1580"/>
      <c r="H2479" s="271">
        <f>SUM(H2471:H2476)</f>
        <v>4</v>
      </c>
      <c r="I2479" s="1687"/>
      <c r="J2479" s="1687"/>
      <c r="K2479" s="1687"/>
      <c r="L2479" s="1687"/>
      <c r="M2479" s="1687"/>
      <c r="N2479" s="1688"/>
    </row>
    <row r="2480" spans="1:20" ht="15.75" thickBot="1">
      <c r="A2480" s="278"/>
      <c r="B2480" s="278"/>
      <c r="C2480" s="278"/>
      <c r="D2480" s="281"/>
      <c r="E2480" s="1319"/>
      <c r="F2480" s="278"/>
      <c r="G2480" s="278"/>
      <c r="H2480" s="217"/>
      <c r="I2480" s="279"/>
      <c r="J2480" s="279"/>
      <c r="K2480" s="279"/>
      <c r="L2480" s="279"/>
      <c r="M2480" s="279"/>
      <c r="N2480" s="279"/>
    </row>
    <row r="2481" spans="1:14" ht="31.9" customHeight="1">
      <c r="A2481" s="1084" t="s">
        <v>3084</v>
      </c>
      <c r="B2481" s="1533" t="s">
        <v>811</v>
      </c>
      <c r="C2481" s="1533"/>
      <c r="D2481" s="1533"/>
      <c r="E2481" s="1533"/>
      <c r="F2481" s="1533"/>
      <c r="G2481" s="1533"/>
      <c r="H2481" s="1533"/>
      <c r="I2481" s="1533"/>
      <c r="J2481" s="1533"/>
      <c r="K2481" s="627" t="s">
        <v>28</v>
      </c>
      <c r="L2481" s="1534">
        <v>9</v>
      </c>
      <c r="M2481" s="1534"/>
      <c r="N2481" s="197">
        <f>L2481-H2495</f>
        <v>0</v>
      </c>
    </row>
    <row r="2482" spans="1:14">
      <c r="A2482" s="1604" t="s">
        <v>2997</v>
      </c>
      <c r="B2482" s="355" t="s">
        <v>3088</v>
      </c>
      <c r="C2482" s="628"/>
      <c r="D2482" s="631"/>
      <c r="E2482" s="628"/>
      <c r="F2482" s="628"/>
      <c r="G2482" s="1729" t="s">
        <v>2190</v>
      </c>
      <c r="H2482" s="1730" t="s">
        <v>476</v>
      </c>
      <c r="I2482" s="628"/>
      <c r="J2482" s="628"/>
      <c r="K2482" s="558"/>
      <c r="L2482" s="282"/>
      <c r="M2482" s="282"/>
      <c r="N2482" s="283"/>
    </row>
    <row r="2483" spans="1:14">
      <c r="A2483" s="1605"/>
      <c r="B2483" s="629" t="s">
        <v>3036</v>
      </c>
      <c r="C2483" s="628"/>
      <c r="D2483" s="631"/>
      <c r="E2483" s="628"/>
      <c r="F2483" s="628"/>
      <c r="G2483" s="1729"/>
      <c r="H2483" s="1730"/>
      <c r="I2483" s="628"/>
      <c r="J2483" s="628"/>
      <c r="K2483" s="558"/>
      <c r="L2483" s="282"/>
      <c r="M2483" s="282"/>
      <c r="N2483" s="283"/>
    </row>
    <row r="2484" spans="1:14">
      <c r="A2484" s="1605"/>
      <c r="B2484" s="630" t="s">
        <v>2727</v>
      </c>
      <c r="C2484" s="628"/>
      <c r="D2484" s="631"/>
      <c r="E2484" s="628"/>
      <c r="F2484" s="628"/>
      <c r="G2484" s="628"/>
      <c r="H2484" s="628"/>
      <c r="I2484" s="628"/>
      <c r="J2484" s="628"/>
      <c r="K2484" s="558"/>
      <c r="L2484" s="282"/>
      <c r="M2484" s="282"/>
      <c r="N2484" s="283"/>
    </row>
    <row r="2485" spans="1:14">
      <c r="A2485" s="1605"/>
      <c r="B2485" s="501" t="s">
        <v>3091</v>
      </c>
      <c r="C2485" s="628"/>
      <c r="D2485" s="631"/>
      <c r="E2485" s="628"/>
      <c r="F2485" s="628"/>
      <c r="G2485" s="317">
        <v>1</v>
      </c>
      <c r="H2485" s="632">
        <f t="shared" ref="H2485:H2491" si="58">G2485</f>
        <v>1</v>
      </c>
      <c r="I2485" s="628"/>
      <c r="J2485" s="628"/>
      <c r="K2485" s="558"/>
      <c r="L2485" s="282"/>
      <c r="M2485" s="282"/>
      <c r="N2485" s="283"/>
    </row>
    <row r="2486" spans="1:14">
      <c r="A2486" s="1605"/>
      <c r="B2486" s="501" t="s">
        <v>3092</v>
      </c>
      <c r="C2486" s="628"/>
      <c r="D2486" s="631"/>
      <c r="E2486" s="628"/>
      <c r="F2486" s="628"/>
      <c r="G2486" s="317">
        <v>1</v>
      </c>
      <c r="H2486" s="632">
        <f t="shared" si="58"/>
        <v>1</v>
      </c>
      <c r="I2486" s="628"/>
      <c r="J2486" s="628"/>
      <c r="K2486" s="558"/>
      <c r="L2486" s="282"/>
      <c r="M2486" s="282"/>
      <c r="N2486" s="283"/>
    </row>
    <row r="2487" spans="1:14">
      <c r="A2487" s="1605"/>
      <c r="B2487" s="501" t="s">
        <v>2438</v>
      </c>
      <c r="C2487" s="628"/>
      <c r="D2487" s="631"/>
      <c r="E2487" s="628"/>
      <c r="F2487" s="628"/>
      <c r="G2487" s="317">
        <v>1</v>
      </c>
      <c r="H2487" s="632">
        <f t="shared" si="58"/>
        <v>1</v>
      </c>
      <c r="I2487" s="628"/>
      <c r="J2487" s="628"/>
      <c r="K2487" s="558"/>
      <c r="L2487" s="282"/>
      <c r="M2487" s="282"/>
      <c r="N2487" s="283"/>
    </row>
    <row r="2488" spans="1:14">
      <c r="A2488" s="1605"/>
      <c r="B2488" s="355" t="s">
        <v>2952</v>
      </c>
      <c r="C2488" s="628"/>
      <c r="D2488" s="631"/>
      <c r="E2488" s="628"/>
      <c r="F2488" s="628"/>
      <c r="G2488" s="317">
        <v>1</v>
      </c>
      <c r="H2488" s="632">
        <f t="shared" si="58"/>
        <v>1</v>
      </c>
      <c r="I2488" s="628"/>
      <c r="J2488" s="628"/>
      <c r="K2488" s="558"/>
      <c r="L2488" s="282"/>
      <c r="M2488" s="282"/>
      <c r="N2488" s="283"/>
    </row>
    <row r="2489" spans="1:14">
      <c r="A2489" s="1605"/>
      <c r="B2489" s="355" t="s">
        <v>3093</v>
      </c>
      <c r="C2489" s="297"/>
      <c r="D2489" s="297"/>
      <c r="E2489" s="903"/>
      <c r="F2489" s="297"/>
      <c r="G2489" s="317">
        <v>1</v>
      </c>
      <c r="H2489" s="632">
        <f t="shared" si="58"/>
        <v>1</v>
      </c>
      <c r="I2489" s="1727"/>
      <c r="J2489" s="1509"/>
      <c r="K2489" s="1509"/>
      <c r="L2489" s="1509"/>
      <c r="M2489" s="1509"/>
      <c r="N2489" s="1510"/>
    </row>
    <row r="2490" spans="1:14">
      <c r="A2490" s="1605"/>
      <c r="B2490" s="355" t="s">
        <v>3094</v>
      </c>
      <c r="C2490" s="292"/>
      <c r="D2490" s="291"/>
      <c r="E2490" s="1340"/>
      <c r="F2490" s="291"/>
      <c r="G2490" s="317">
        <v>1</v>
      </c>
      <c r="H2490" s="632">
        <f t="shared" si="58"/>
        <v>1</v>
      </c>
      <c r="I2490" s="1727"/>
      <c r="J2490" s="1509"/>
      <c r="K2490" s="1509"/>
      <c r="L2490" s="1509"/>
      <c r="M2490" s="1509"/>
      <c r="N2490" s="1510"/>
    </row>
    <row r="2491" spans="1:14">
      <c r="A2491" s="1605"/>
      <c r="B2491" s="501" t="s">
        <v>3095</v>
      </c>
      <c r="C2491" s="292"/>
      <c r="D2491" s="292"/>
      <c r="E2491" s="901"/>
      <c r="F2491" s="341"/>
      <c r="G2491" s="317">
        <v>1</v>
      </c>
      <c r="H2491" s="632">
        <f t="shared" si="58"/>
        <v>1</v>
      </c>
      <c r="I2491" s="1727"/>
      <c r="J2491" s="1509"/>
      <c r="K2491" s="1509"/>
      <c r="L2491" s="1509"/>
      <c r="M2491" s="1509"/>
      <c r="N2491" s="1510"/>
    </row>
    <row r="2492" spans="1:14">
      <c r="A2492" s="1605"/>
      <c r="B2492" s="630" t="s">
        <v>2929</v>
      </c>
      <c r="C2492" s="312"/>
      <c r="D2492" s="312"/>
      <c r="E2492" s="907"/>
      <c r="F2492" s="351"/>
      <c r="G2492" s="317"/>
      <c r="H2492" s="632"/>
      <c r="I2492" s="1727"/>
      <c r="J2492" s="1509"/>
      <c r="K2492" s="1509"/>
      <c r="L2492" s="1509"/>
      <c r="M2492" s="1509"/>
      <c r="N2492" s="1510"/>
    </row>
    <row r="2493" spans="1:14">
      <c r="A2493" s="1605"/>
      <c r="B2493" s="355" t="s">
        <v>3096</v>
      </c>
      <c r="C2493" s="297"/>
      <c r="D2493" s="297"/>
      <c r="E2493" s="298"/>
      <c r="F2493" s="297"/>
      <c r="G2493" s="317">
        <v>1</v>
      </c>
      <c r="H2493" s="632">
        <f>G2493</f>
        <v>1</v>
      </c>
      <c r="I2493" s="1509"/>
      <c r="J2493" s="1509"/>
      <c r="K2493" s="1509"/>
      <c r="L2493" s="1509"/>
      <c r="M2493" s="1509"/>
      <c r="N2493" s="1510"/>
    </row>
    <row r="2494" spans="1:14">
      <c r="A2494" s="1229" t="s">
        <v>3937</v>
      </c>
      <c r="B2494" s="777" t="s">
        <v>3625</v>
      </c>
      <c r="C2494" s="375"/>
      <c r="D2494" s="375"/>
      <c r="E2494" s="695"/>
      <c r="F2494" s="375"/>
      <c r="G2494" s="237">
        <v>1</v>
      </c>
      <c r="H2494" s="632">
        <f>G2494</f>
        <v>1</v>
      </c>
      <c r="I2494" s="1509"/>
      <c r="J2494" s="1509"/>
      <c r="K2494" s="1509"/>
      <c r="L2494" s="1509"/>
      <c r="M2494" s="1509"/>
      <c r="N2494" s="1510"/>
    </row>
    <row r="2495" spans="1:14">
      <c r="A2495" s="1577" t="s">
        <v>2218</v>
      </c>
      <c r="B2495" s="1542"/>
      <c r="C2495" s="1542"/>
      <c r="D2495" s="1542"/>
      <c r="E2495" s="1542"/>
      <c r="F2495" s="1542"/>
      <c r="G2495" s="1542"/>
      <c r="H2495" s="271">
        <f>SUM(H2484:H2494)</f>
        <v>9</v>
      </c>
      <c r="I2495" s="1509"/>
      <c r="J2495" s="1509"/>
      <c r="K2495" s="1509"/>
      <c r="L2495" s="1509"/>
      <c r="M2495" s="1509"/>
      <c r="N2495" s="1510"/>
    </row>
    <row r="2496" spans="1:14" ht="14.45" customHeight="1">
      <c r="A2496" s="1578" t="s">
        <v>2219</v>
      </c>
      <c r="B2496" s="1538"/>
      <c r="C2496" s="1538"/>
      <c r="D2496" s="1538"/>
      <c r="E2496" s="1538"/>
      <c r="F2496" s="1538"/>
      <c r="G2496" s="1538"/>
      <c r="H2496" s="320">
        <v>0</v>
      </c>
      <c r="I2496" s="1509"/>
      <c r="J2496" s="1509"/>
      <c r="K2496" s="1509"/>
      <c r="L2496" s="1509"/>
      <c r="M2496" s="1509"/>
      <c r="N2496" s="1510"/>
    </row>
    <row r="2497" spans="1:14" ht="15.75" thickBot="1">
      <c r="A2497" s="1579" t="s">
        <v>2220</v>
      </c>
      <c r="B2497" s="1580"/>
      <c r="C2497" s="1580"/>
      <c r="D2497" s="1580"/>
      <c r="E2497" s="1580"/>
      <c r="F2497" s="1580"/>
      <c r="G2497" s="1580"/>
      <c r="H2497" s="633">
        <f>SUM(H2484:H2493)</f>
        <v>8</v>
      </c>
      <c r="I2497" s="1512"/>
      <c r="J2497" s="1512"/>
      <c r="K2497" s="1512"/>
      <c r="L2497" s="1512"/>
      <c r="M2497" s="1512"/>
      <c r="N2497" s="1513"/>
    </row>
    <row r="2498" spans="1:14" ht="15.75" thickBot="1">
      <c r="A2498" s="278"/>
      <c r="B2498" s="278"/>
      <c r="C2498" s="278"/>
      <c r="D2498" s="281"/>
      <c r="E2498" s="1319"/>
      <c r="F2498" s="278"/>
      <c r="G2498" s="278"/>
      <c r="H2498" s="217"/>
      <c r="I2498" s="279"/>
      <c r="J2498" s="279"/>
      <c r="K2498" s="279"/>
      <c r="L2498" s="279"/>
      <c r="M2498" s="279"/>
      <c r="N2498" s="279"/>
    </row>
    <row r="2499" spans="1:14" ht="28.9" customHeight="1">
      <c r="A2499" s="1084" t="s">
        <v>3085</v>
      </c>
      <c r="B2499" s="1533" t="s">
        <v>814</v>
      </c>
      <c r="C2499" s="1533"/>
      <c r="D2499" s="1533"/>
      <c r="E2499" s="1533"/>
      <c r="F2499" s="1533"/>
      <c r="G2499" s="1533"/>
      <c r="H2499" s="1533"/>
      <c r="I2499" s="1533"/>
      <c r="J2499" s="1533"/>
      <c r="K2499" s="627" t="s">
        <v>28</v>
      </c>
      <c r="L2499" s="1534">
        <v>5</v>
      </c>
      <c r="M2499" s="1534"/>
      <c r="N2499" s="197">
        <f>L2499-H2505</f>
        <v>0</v>
      </c>
    </row>
    <row r="2500" spans="1:14">
      <c r="A2500" s="1724" t="s">
        <v>3158</v>
      </c>
      <c r="B2500" s="298"/>
      <c r="C2500" s="297"/>
      <c r="D2500" s="297"/>
      <c r="E2500" s="903"/>
      <c r="F2500" s="297"/>
      <c r="G2500" s="297" t="s">
        <v>2190</v>
      </c>
      <c r="H2500" s="634" t="s">
        <v>2498</v>
      </c>
      <c r="I2500" s="1727"/>
      <c r="J2500" s="1509"/>
      <c r="K2500" s="1509"/>
      <c r="L2500" s="1509"/>
      <c r="M2500" s="1509"/>
      <c r="N2500" s="1510"/>
    </row>
    <row r="2501" spans="1:14">
      <c r="A2501" s="1725"/>
      <c r="B2501" s="298" t="s">
        <v>2852</v>
      </c>
      <c r="C2501" s="297"/>
      <c r="D2501" s="291"/>
      <c r="E2501" s="290"/>
      <c r="F2501" s="292"/>
      <c r="G2501" s="297">
        <v>5</v>
      </c>
      <c r="H2501" s="635">
        <v>5</v>
      </c>
      <c r="I2501" s="1509"/>
      <c r="J2501" s="1509"/>
      <c r="K2501" s="1509"/>
      <c r="L2501" s="1509"/>
      <c r="M2501" s="1509"/>
      <c r="N2501" s="1510"/>
    </row>
    <row r="2502" spans="1:14">
      <c r="A2502" s="1726"/>
      <c r="B2502" s="292"/>
      <c r="C2502" s="292"/>
      <c r="D2502" s="292"/>
      <c r="E2502" s="290"/>
      <c r="F2502" s="292"/>
      <c r="G2502" s="292"/>
      <c r="H2502" s="292"/>
      <c r="I2502" s="1509"/>
      <c r="J2502" s="1509"/>
      <c r="K2502" s="1509"/>
      <c r="L2502" s="1509"/>
      <c r="M2502" s="1509"/>
      <c r="N2502" s="1510"/>
    </row>
    <row r="2503" spans="1:14">
      <c r="A2503" s="1577" t="s">
        <v>2218</v>
      </c>
      <c r="B2503" s="1542"/>
      <c r="C2503" s="1542"/>
      <c r="D2503" s="1542"/>
      <c r="E2503" s="1542"/>
      <c r="F2503" s="1542"/>
      <c r="G2503" s="1542"/>
      <c r="H2503" s="271">
        <f>SUM(H2501:H2501)</f>
        <v>5</v>
      </c>
      <c r="I2503" s="1509"/>
      <c r="J2503" s="1509"/>
      <c r="K2503" s="1509"/>
      <c r="L2503" s="1509"/>
      <c r="M2503" s="1509"/>
      <c r="N2503" s="1510"/>
    </row>
    <row r="2504" spans="1:14">
      <c r="A2504" s="1578" t="s">
        <v>2219</v>
      </c>
      <c r="B2504" s="1538"/>
      <c r="C2504" s="1538"/>
      <c r="D2504" s="1538"/>
      <c r="E2504" s="1538"/>
      <c r="F2504" s="1538"/>
      <c r="G2504" s="1538"/>
      <c r="H2504" s="320">
        <v>0</v>
      </c>
      <c r="I2504" s="1509"/>
      <c r="J2504" s="1509"/>
      <c r="K2504" s="1509"/>
      <c r="L2504" s="1509"/>
      <c r="M2504" s="1509"/>
      <c r="N2504" s="1510"/>
    </row>
    <row r="2505" spans="1:14" ht="15.75" thickBot="1">
      <c r="A2505" s="1579" t="s">
        <v>2220</v>
      </c>
      <c r="B2505" s="1580"/>
      <c r="C2505" s="1580"/>
      <c r="D2505" s="1580"/>
      <c r="E2505" s="1580"/>
      <c r="F2505" s="1580"/>
      <c r="G2505" s="1580"/>
      <c r="H2505" s="221">
        <f>H2501</f>
        <v>5</v>
      </c>
      <c r="I2505" s="1512"/>
      <c r="J2505" s="1512"/>
      <c r="K2505" s="1512"/>
      <c r="L2505" s="1512"/>
      <c r="M2505" s="1512"/>
      <c r="N2505" s="1513"/>
    </row>
    <row r="2506" spans="1:14" ht="15.75" thickBot="1">
      <c r="A2506" s="278"/>
      <c r="B2506" s="278"/>
      <c r="C2506" s="278"/>
      <c r="D2506" s="281"/>
      <c r="E2506" s="1319"/>
      <c r="F2506" s="278"/>
      <c r="G2506" s="278"/>
      <c r="H2506" s="217"/>
      <c r="I2506" s="279"/>
      <c r="J2506" s="279"/>
      <c r="K2506" s="279"/>
      <c r="L2506" s="279"/>
      <c r="M2506" s="279"/>
      <c r="N2506" s="279"/>
    </row>
    <row r="2507" spans="1:14" ht="23.45" customHeight="1">
      <c r="A2507" s="1084" t="s">
        <v>3086</v>
      </c>
      <c r="B2507" s="1533" t="s">
        <v>817</v>
      </c>
      <c r="C2507" s="1533"/>
      <c r="D2507" s="1533"/>
      <c r="E2507" s="1533"/>
      <c r="F2507" s="1533"/>
      <c r="G2507" s="1533"/>
      <c r="H2507" s="1533"/>
      <c r="I2507" s="1533"/>
      <c r="J2507" s="1533"/>
      <c r="K2507" s="627" t="s">
        <v>28</v>
      </c>
      <c r="L2507" s="1534">
        <f>'27ª MEDIÇÃO '!F139</f>
        <v>1</v>
      </c>
      <c r="M2507" s="1534"/>
      <c r="N2507" s="197">
        <f>L2507-H2545</f>
        <v>0</v>
      </c>
    </row>
    <row r="2508" spans="1:14">
      <c r="A2508" s="1604" t="s">
        <v>3621</v>
      </c>
      <c r="B2508" s="628"/>
      <c r="C2508" s="368" t="s">
        <v>2382</v>
      </c>
      <c r="D2508" s="369" t="s">
        <v>2187</v>
      </c>
      <c r="E2508" s="529" t="s">
        <v>2188</v>
      </c>
      <c r="F2508" s="369" t="s">
        <v>2189</v>
      </c>
      <c r="G2508" s="370" t="s">
        <v>2879</v>
      </c>
      <c r="H2508" s="934" t="s">
        <v>476</v>
      </c>
      <c r="I2508" s="1509"/>
      <c r="J2508" s="1509"/>
      <c r="K2508" s="1509"/>
      <c r="L2508" s="1509"/>
      <c r="M2508" s="1509"/>
      <c r="N2508" s="1510"/>
    </row>
    <row r="2509" spans="1:14">
      <c r="A2509" s="1605"/>
      <c r="B2509" s="973" t="s">
        <v>3627</v>
      </c>
      <c r="C2509" s="292"/>
      <c r="D2509" s="292">
        <v>1</v>
      </c>
      <c r="E2509" s="290">
        <v>2.1</v>
      </c>
      <c r="F2509" s="292"/>
      <c r="G2509" s="292">
        <v>1</v>
      </c>
      <c r="H2509" s="292">
        <f>G2509</f>
        <v>1</v>
      </c>
      <c r="I2509" s="1509"/>
      <c r="J2509" s="1509"/>
      <c r="K2509" s="1509"/>
      <c r="L2509" s="1509"/>
      <c r="M2509" s="1509"/>
      <c r="N2509" s="1510"/>
    </row>
    <row r="2510" spans="1:14">
      <c r="A2510" s="1728"/>
      <c r="B2510" s="312"/>
      <c r="C2510" s="292"/>
      <c r="D2510" s="292"/>
      <c r="E2510" s="290"/>
      <c r="F2510" s="292"/>
      <c r="G2510" s="292"/>
      <c r="H2510" s="292"/>
      <c r="I2510" s="1509"/>
      <c r="J2510" s="1509"/>
      <c r="K2510" s="1509"/>
      <c r="L2510" s="1509"/>
      <c r="M2510" s="1509"/>
      <c r="N2510" s="1510"/>
    </row>
    <row r="2511" spans="1:14">
      <c r="A2511" s="1577" t="s">
        <v>2218</v>
      </c>
      <c r="B2511" s="1542"/>
      <c r="C2511" s="1542"/>
      <c r="D2511" s="1542"/>
      <c r="E2511" s="1542"/>
      <c r="F2511" s="1542"/>
      <c r="G2511" s="1542"/>
      <c r="H2511" s="271">
        <f>SUM(H2509:H2510)</f>
        <v>1</v>
      </c>
      <c r="I2511" s="1509"/>
      <c r="J2511" s="1509"/>
      <c r="K2511" s="1509"/>
      <c r="L2511" s="1509"/>
      <c r="M2511" s="1509"/>
      <c r="N2511" s="1510"/>
    </row>
    <row r="2512" spans="1:14">
      <c r="A2512" s="1578" t="s">
        <v>2219</v>
      </c>
      <c r="B2512" s="1538"/>
      <c r="C2512" s="1538"/>
      <c r="D2512" s="1538"/>
      <c r="E2512" s="1538"/>
      <c r="F2512" s="1538"/>
      <c r="G2512" s="1538"/>
      <c r="H2512" s="320">
        <f>SUM(H2508)</f>
        <v>0</v>
      </c>
      <c r="I2512" s="1509"/>
      <c r="J2512" s="1509"/>
      <c r="K2512" s="1509"/>
      <c r="L2512" s="1509"/>
      <c r="M2512" s="1509"/>
      <c r="N2512" s="1510"/>
    </row>
    <row r="2513" spans="1:14" ht="15.75" thickBot="1">
      <c r="A2513" s="1579" t="s">
        <v>2220</v>
      </c>
      <c r="B2513" s="1580"/>
      <c r="C2513" s="1580"/>
      <c r="D2513" s="1580"/>
      <c r="E2513" s="1580"/>
      <c r="F2513" s="1580"/>
      <c r="G2513" s="1580"/>
      <c r="H2513" s="216">
        <f>H2511-H2512</f>
        <v>1</v>
      </c>
      <c r="I2513" s="1512"/>
      <c r="J2513" s="1512"/>
      <c r="K2513" s="1512"/>
      <c r="L2513" s="1512"/>
      <c r="M2513" s="1512"/>
      <c r="N2513" s="1513"/>
    </row>
    <row r="2514" spans="1:14" ht="15.75" thickBot="1">
      <c r="A2514" s="278"/>
      <c r="B2514" s="278"/>
      <c r="C2514" s="278"/>
      <c r="D2514" s="281"/>
      <c r="E2514" s="1319"/>
      <c r="F2514" s="278"/>
      <c r="G2514" s="278"/>
      <c r="H2514" s="217"/>
      <c r="I2514" s="279"/>
      <c r="J2514" s="279"/>
      <c r="K2514" s="279"/>
      <c r="L2514" s="279"/>
      <c r="M2514" s="279"/>
      <c r="N2514" s="279"/>
    </row>
    <row r="2515" spans="1:14" ht="24" customHeight="1">
      <c r="A2515" s="1084" t="s">
        <v>3087</v>
      </c>
      <c r="B2515" s="1533" t="s">
        <v>820</v>
      </c>
      <c r="C2515" s="1533"/>
      <c r="D2515" s="1533"/>
      <c r="E2515" s="1533"/>
      <c r="F2515" s="1533"/>
      <c r="G2515" s="1533"/>
      <c r="H2515" s="1533"/>
      <c r="I2515" s="1533"/>
      <c r="J2515" s="1533"/>
      <c r="K2515" s="627" t="s">
        <v>28</v>
      </c>
      <c r="L2515" s="1534">
        <f>'27ª MEDIÇÃO '!F140</f>
        <v>28</v>
      </c>
      <c r="M2515" s="1534"/>
      <c r="N2515" s="197">
        <f>L2515-H2553</f>
        <v>0</v>
      </c>
    </row>
    <row r="2516" spans="1:14">
      <c r="A2516" s="1604" t="s">
        <v>3522</v>
      </c>
      <c r="B2516" s="628"/>
      <c r="C2516" s="368" t="s">
        <v>2382</v>
      </c>
      <c r="D2516" s="369" t="s">
        <v>2187</v>
      </c>
      <c r="E2516" s="529" t="s">
        <v>2188</v>
      </c>
      <c r="F2516" s="369" t="s">
        <v>2189</v>
      </c>
      <c r="G2516" s="370" t="s">
        <v>2879</v>
      </c>
      <c r="H2516" s="934" t="s">
        <v>476</v>
      </c>
      <c r="I2516" s="1681"/>
      <c r="J2516" s="1681"/>
      <c r="K2516" s="1681"/>
      <c r="L2516" s="1681"/>
      <c r="M2516" s="1681"/>
      <c r="N2516" s="1682"/>
    </row>
    <row r="2517" spans="1:14">
      <c r="A2517" s="1605"/>
      <c r="B2517" s="628" t="s">
        <v>3304</v>
      </c>
      <c r="C2517" s="292"/>
      <c r="D2517" s="292"/>
      <c r="E2517" s="290"/>
      <c r="F2517" s="292"/>
      <c r="G2517" s="292"/>
      <c r="H2517" s="292"/>
      <c r="I2517" s="1683"/>
      <c r="J2517" s="1683"/>
      <c r="K2517" s="1683"/>
      <c r="L2517" s="1683"/>
      <c r="M2517" s="1683"/>
      <c r="N2517" s="1684"/>
    </row>
    <row r="2518" spans="1:14">
      <c r="A2518" s="1605"/>
      <c r="B2518" s="973" t="s">
        <v>2967</v>
      </c>
      <c r="C2518" s="292"/>
      <c r="D2518" s="292"/>
      <c r="E2518" s="290"/>
      <c r="F2518" s="292"/>
      <c r="G2518" s="292">
        <v>1</v>
      </c>
      <c r="H2518" s="292">
        <f>G2518</f>
        <v>1</v>
      </c>
      <c r="I2518" s="1683"/>
      <c r="J2518" s="1683"/>
      <c r="K2518" s="1683"/>
      <c r="L2518" s="1683"/>
      <c r="M2518" s="1683"/>
      <c r="N2518" s="1684"/>
    </row>
    <row r="2519" spans="1:14">
      <c r="A2519" s="1605"/>
      <c r="B2519" s="973" t="s">
        <v>2968</v>
      </c>
      <c r="C2519" s="292"/>
      <c r="D2519" s="292"/>
      <c r="E2519" s="290"/>
      <c r="F2519" s="292"/>
      <c r="G2519" s="292">
        <v>1</v>
      </c>
      <c r="H2519" s="292">
        <f>G2519</f>
        <v>1</v>
      </c>
      <c r="I2519" s="1683"/>
      <c r="J2519" s="1683"/>
      <c r="K2519" s="1683"/>
      <c r="L2519" s="1683"/>
      <c r="M2519" s="1683"/>
      <c r="N2519" s="1684"/>
    </row>
    <row r="2520" spans="1:14">
      <c r="A2520" s="1605"/>
      <c r="B2520" s="973" t="s">
        <v>2969</v>
      </c>
      <c r="C2520" s="292"/>
      <c r="D2520" s="292"/>
      <c r="E2520" s="290"/>
      <c r="F2520" s="292"/>
      <c r="G2520" s="292">
        <v>1</v>
      </c>
      <c r="H2520" s="292">
        <f>G2520</f>
        <v>1</v>
      </c>
      <c r="I2520" s="1683"/>
      <c r="J2520" s="1683"/>
      <c r="K2520" s="1683"/>
      <c r="L2520" s="1683"/>
      <c r="M2520" s="1683"/>
      <c r="N2520" s="1684"/>
    </row>
    <row r="2521" spans="1:14">
      <c r="A2521" s="1605"/>
      <c r="B2521" s="973" t="s">
        <v>2234</v>
      </c>
      <c r="C2521" s="292"/>
      <c r="D2521" s="292"/>
      <c r="E2521" s="290"/>
      <c r="F2521" s="292"/>
      <c r="G2521" s="292">
        <v>1</v>
      </c>
      <c r="H2521" s="292">
        <f>G2521</f>
        <v>1</v>
      </c>
      <c r="I2521" s="1683"/>
      <c r="J2521" s="1683"/>
      <c r="K2521" s="1683"/>
      <c r="L2521" s="1683"/>
      <c r="M2521" s="1683"/>
      <c r="N2521" s="1684"/>
    </row>
    <row r="2522" spans="1:14">
      <c r="A2522" s="1605"/>
      <c r="B2522" s="973" t="s">
        <v>2965</v>
      </c>
      <c r="C2522" s="292"/>
      <c r="D2522" s="292"/>
      <c r="E2522" s="290"/>
      <c r="F2522" s="292"/>
      <c r="G2522" s="292">
        <v>1</v>
      </c>
      <c r="H2522" s="292">
        <f>G2522</f>
        <v>1</v>
      </c>
      <c r="I2522" s="1683"/>
      <c r="J2522" s="1683"/>
      <c r="K2522" s="1683"/>
      <c r="L2522" s="1683"/>
      <c r="M2522" s="1683"/>
      <c r="N2522" s="1684"/>
    </row>
    <row r="2523" spans="1:14">
      <c r="A2523" s="1728"/>
      <c r="B2523" s="312"/>
      <c r="C2523" s="292"/>
      <c r="D2523" s="292"/>
      <c r="E2523" s="290"/>
      <c r="F2523" s="292"/>
      <c r="G2523" s="292"/>
      <c r="H2523" s="292"/>
      <c r="I2523" s="1683"/>
      <c r="J2523" s="1683"/>
      <c r="K2523" s="1683"/>
      <c r="L2523" s="1683"/>
      <c r="M2523" s="1683"/>
      <c r="N2523" s="1684"/>
    </row>
    <row r="2524" spans="1:14">
      <c r="A2524" s="1604" t="s">
        <v>3570</v>
      </c>
      <c r="B2524" s="995"/>
      <c r="C2524" s="368" t="s">
        <v>2382</v>
      </c>
      <c r="D2524" s="369" t="s">
        <v>2187</v>
      </c>
      <c r="E2524" s="529" t="s">
        <v>2188</v>
      </c>
      <c r="F2524" s="369" t="s">
        <v>2189</v>
      </c>
      <c r="G2524" s="370" t="s">
        <v>2879</v>
      </c>
      <c r="H2524" s="934" t="s">
        <v>476</v>
      </c>
      <c r="I2524" s="1683"/>
      <c r="J2524" s="1683"/>
      <c r="K2524" s="1683"/>
      <c r="L2524" s="1683"/>
      <c r="M2524" s="1683"/>
      <c r="N2524" s="1684"/>
    </row>
    <row r="2525" spans="1:14">
      <c r="A2525" s="1605"/>
      <c r="B2525" s="628" t="s">
        <v>3304</v>
      </c>
      <c r="C2525" s="292"/>
      <c r="D2525" s="292"/>
      <c r="E2525" s="290"/>
      <c r="F2525" s="292"/>
      <c r="G2525" s="292"/>
      <c r="H2525" s="292"/>
      <c r="I2525" s="1683"/>
      <c r="J2525" s="1683"/>
      <c r="K2525" s="1683"/>
      <c r="L2525" s="1683"/>
      <c r="M2525" s="1683"/>
      <c r="N2525" s="1684"/>
    </row>
    <row r="2526" spans="1:14">
      <c r="A2526" s="1605"/>
      <c r="B2526" s="973" t="s">
        <v>2228</v>
      </c>
      <c r="C2526" s="292"/>
      <c r="D2526" s="292"/>
      <c r="E2526" s="290"/>
      <c r="F2526" s="292"/>
      <c r="G2526" s="292">
        <v>1</v>
      </c>
      <c r="H2526" s="292">
        <f>G2526</f>
        <v>1</v>
      </c>
      <c r="I2526" s="1683"/>
      <c r="J2526" s="1683"/>
      <c r="K2526" s="1683"/>
      <c r="L2526" s="1683"/>
      <c r="M2526" s="1683"/>
      <c r="N2526" s="1684"/>
    </row>
    <row r="2527" spans="1:14">
      <c r="A2527" s="1605"/>
      <c r="B2527" s="973" t="s">
        <v>2523</v>
      </c>
      <c r="C2527" s="292"/>
      <c r="D2527" s="292"/>
      <c r="E2527" s="290"/>
      <c r="F2527" s="292"/>
      <c r="G2527" s="292">
        <v>1</v>
      </c>
      <c r="H2527" s="292">
        <f t="shared" ref="H2527:H2536" si="59">G2527</f>
        <v>1</v>
      </c>
      <c r="I2527" s="1683"/>
      <c r="J2527" s="1683"/>
      <c r="K2527" s="1683"/>
      <c r="L2527" s="1683"/>
      <c r="M2527" s="1683"/>
      <c r="N2527" s="1684"/>
    </row>
    <row r="2528" spans="1:14">
      <c r="A2528" s="1605"/>
      <c r="B2528" s="973" t="s">
        <v>3571</v>
      </c>
      <c r="C2528" s="292"/>
      <c r="D2528" s="292"/>
      <c r="E2528" s="290"/>
      <c r="F2528" s="292"/>
      <c r="G2528" s="292">
        <v>1</v>
      </c>
      <c r="H2528" s="292">
        <f t="shared" si="59"/>
        <v>1</v>
      </c>
      <c r="I2528" s="1683"/>
      <c r="J2528" s="1683"/>
      <c r="K2528" s="1683"/>
      <c r="L2528" s="1683"/>
      <c r="M2528" s="1683"/>
      <c r="N2528" s="1684"/>
    </row>
    <row r="2529" spans="1:14">
      <c r="A2529" s="1605"/>
      <c r="B2529" s="973" t="s">
        <v>3572</v>
      </c>
      <c r="C2529" s="292"/>
      <c r="D2529" s="292"/>
      <c r="E2529" s="290"/>
      <c r="F2529" s="292"/>
      <c r="G2529" s="292">
        <v>1</v>
      </c>
      <c r="H2529" s="292">
        <f t="shared" si="59"/>
        <v>1</v>
      </c>
      <c r="I2529" s="1683"/>
      <c r="J2529" s="1683"/>
      <c r="K2529" s="1683"/>
      <c r="L2529" s="1683"/>
      <c r="M2529" s="1683"/>
      <c r="N2529" s="1684"/>
    </row>
    <row r="2530" spans="1:14">
      <c r="A2530" s="1605"/>
      <c r="B2530" s="973" t="s">
        <v>3573</v>
      </c>
      <c r="C2530" s="292"/>
      <c r="D2530" s="292"/>
      <c r="E2530" s="290"/>
      <c r="F2530" s="292"/>
      <c r="G2530" s="292">
        <v>1</v>
      </c>
      <c r="H2530" s="292">
        <f t="shared" si="59"/>
        <v>1</v>
      </c>
      <c r="I2530" s="1683"/>
      <c r="J2530" s="1683"/>
      <c r="K2530" s="1683"/>
      <c r="L2530" s="1683"/>
      <c r="M2530" s="1683"/>
      <c r="N2530" s="1684"/>
    </row>
    <row r="2531" spans="1:14">
      <c r="A2531" s="1605"/>
      <c r="B2531" s="973" t="s">
        <v>2974</v>
      </c>
      <c r="C2531" s="292"/>
      <c r="D2531" s="292"/>
      <c r="E2531" s="290"/>
      <c r="F2531" s="292"/>
      <c r="G2531" s="292">
        <v>1</v>
      </c>
      <c r="H2531" s="292">
        <f t="shared" si="59"/>
        <v>1</v>
      </c>
      <c r="I2531" s="1683"/>
      <c r="J2531" s="1683"/>
      <c r="K2531" s="1683"/>
      <c r="L2531" s="1683"/>
      <c r="M2531" s="1683"/>
      <c r="N2531" s="1684"/>
    </row>
    <row r="2532" spans="1:14">
      <c r="A2532" s="1605"/>
      <c r="B2532" s="973" t="s">
        <v>3430</v>
      </c>
      <c r="C2532" s="292"/>
      <c r="D2532" s="292"/>
      <c r="E2532" s="290"/>
      <c r="F2532" s="292"/>
      <c r="G2532" s="292">
        <v>1</v>
      </c>
      <c r="H2532" s="292">
        <f t="shared" si="59"/>
        <v>1</v>
      </c>
      <c r="I2532" s="1683"/>
      <c r="J2532" s="1683"/>
      <c r="K2532" s="1683"/>
      <c r="L2532" s="1683"/>
      <c r="M2532" s="1683"/>
      <c r="N2532" s="1684"/>
    </row>
    <row r="2533" spans="1:14">
      <c r="A2533" s="1605"/>
      <c r="B2533" s="628" t="s">
        <v>3305</v>
      </c>
      <c r="C2533" s="292"/>
      <c r="D2533" s="292"/>
      <c r="E2533" s="290"/>
      <c r="F2533" s="292"/>
      <c r="G2533" s="292"/>
      <c r="H2533" s="292"/>
      <c r="I2533" s="1683"/>
      <c r="J2533" s="1683"/>
      <c r="K2533" s="1683"/>
      <c r="L2533" s="1683"/>
      <c r="M2533" s="1683"/>
      <c r="N2533" s="1684"/>
    </row>
    <row r="2534" spans="1:14">
      <c r="A2534" s="1605"/>
      <c r="B2534" s="973" t="s">
        <v>2978</v>
      </c>
      <c r="C2534" s="292"/>
      <c r="D2534" s="292"/>
      <c r="E2534" s="290"/>
      <c r="F2534" s="292"/>
      <c r="G2534" s="292">
        <v>1</v>
      </c>
      <c r="H2534" s="292">
        <f t="shared" si="59"/>
        <v>1</v>
      </c>
      <c r="I2534" s="1683"/>
      <c r="J2534" s="1683"/>
      <c r="K2534" s="1683"/>
      <c r="L2534" s="1683"/>
      <c r="M2534" s="1683"/>
      <c r="N2534" s="1684"/>
    </row>
    <row r="2535" spans="1:14">
      <c r="A2535" s="1605"/>
      <c r="B2535" s="973" t="s">
        <v>3574</v>
      </c>
      <c r="C2535" s="292"/>
      <c r="D2535" s="292"/>
      <c r="E2535" s="290"/>
      <c r="F2535" s="292"/>
      <c r="G2535" s="292">
        <v>1</v>
      </c>
      <c r="H2535" s="292">
        <f t="shared" si="59"/>
        <v>1</v>
      </c>
      <c r="I2535" s="1683"/>
      <c r="J2535" s="1683"/>
      <c r="K2535" s="1683"/>
      <c r="L2535" s="1683"/>
      <c r="M2535" s="1683"/>
      <c r="N2535" s="1684"/>
    </row>
    <row r="2536" spans="1:14">
      <c r="A2536" s="1605"/>
      <c r="B2536" s="973" t="s">
        <v>3575</v>
      </c>
      <c r="C2536" s="292"/>
      <c r="D2536" s="292"/>
      <c r="E2536" s="290"/>
      <c r="F2536" s="292"/>
      <c r="G2536" s="292">
        <v>1</v>
      </c>
      <c r="H2536" s="292">
        <f t="shared" si="59"/>
        <v>1</v>
      </c>
      <c r="I2536" s="1683"/>
      <c r="J2536" s="1683"/>
      <c r="K2536" s="1683"/>
      <c r="L2536" s="1683"/>
      <c r="M2536" s="1683"/>
      <c r="N2536" s="1684"/>
    </row>
    <row r="2537" spans="1:14">
      <c r="A2537" s="1604" t="s">
        <v>3621</v>
      </c>
      <c r="B2537" s="995"/>
      <c r="C2537" s="368" t="s">
        <v>2382</v>
      </c>
      <c r="D2537" s="369" t="s">
        <v>2187</v>
      </c>
      <c r="E2537" s="529" t="s">
        <v>2188</v>
      </c>
      <c r="F2537" s="369" t="s">
        <v>2189</v>
      </c>
      <c r="G2537" s="370" t="s">
        <v>2879</v>
      </c>
      <c r="H2537" s="934" t="s">
        <v>476</v>
      </c>
      <c r="I2537" s="1683"/>
      <c r="J2537" s="1683"/>
      <c r="K2537" s="1683"/>
      <c r="L2537" s="1683"/>
      <c r="M2537" s="1683"/>
      <c r="N2537" s="1684"/>
    </row>
    <row r="2538" spans="1:14">
      <c r="A2538" s="1605"/>
      <c r="B2538" s="628" t="s">
        <v>3305</v>
      </c>
      <c r="C2538" s="292"/>
      <c r="D2538" s="292"/>
      <c r="E2538" s="290"/>
      <c r="F2538" s="292"/>
      <c r="G2538" s="292"/>
      <c r="H2538" s="292"/>
      <c r="I2538" s="1683"/>
      <c r="J2538" s="1683"/>
      <c r="K2538" s="1683"/>
      <c r="L2538" s="1683"/>
      <c r="M2538" s="1683"/>
      <c r="N2538" s="1684"/>
    </row>
    <row r="2539" spans="1:14">
      <c r="A2539" s="1605"/>
      <c r="B2539" s="973" t="s">
        <v>3464</v>
      </c>
      <c r="C2539" s="292"/>
      <c r="D2539" s="292"/>
      <c r="E2539" s="290"/>
      <c r="F2539" s="292"/>
      <c r="G2539" s="292">
        <v>1</v>
      </c>
      <c r="H2539" s="292">
        <f t="shared" ref="H2539:H2551" si="60">G2539</f>
        <v>1</v>
      </c>
      <c r="I2539" s="1683"/>
      <c r="J2539" s="1683"/>
      <c r="K2539" s="1683"/>
      <c r="L2539" s="1683"/>
      <c r="M2539" s="1683"/>
      <c r="N2539" s="1684"/>
    </row>
    <row r="2540" spans="1:14">
      <c r="A2540" s="1605"/>
      <c r="B2540" s="973" t="s">
        <v>2989</v>
      </c>
      <c r="C2540" s="292"/>
      <c r="D2540" s="292"/>
      <c r="E2540" s="290"/>
      <c r="F2540" s="292"/>
      <c r="G2540" s="292">
        <v>1</v>
      </c>
      <c r="H2540" s="292">
        <f t="shared" si="60"/>
        <v>1</v>
      </c>
      <c r="I2540" s="1683"/>
      <c r="J2540" s="1683"/>
      <c r="K2540" s="1683"/>
      <c r="L2540" s="1683"/>
      <c r="M2540" s="1683"/>
      <c r="N2540" s="1684"/>
    </row>
    <row r="2541" spans="1:14">
      <c r="A2541" s="1605"/>
      <c r="B2541" s="973" t="s">
        <v>2982</v>
      </c>
      <c r="C2541" s="292"/>
      <c r="D2541" s="292"/>
      <c r="E2541" s="290"/>
      <c r="F2541" s="292"/>
      <c r="G2541" s="292">
        <v>1</v>
      </c>
      <c r="H2541" s="292">
        <f t="shared" si="60"/>
        <v>1</v>
      </c>
      <c r="I2541" s="1683"/>
      <c r="J2541" s="1683"/>
      <c r="K2541" s="1683"/>
      <c r="L2541" s="1683"/>
      <c r="M2541" s="1683"/>
      <c r="N2541" s="1684"/>
    </row>
    <row r="2542" spans="1:14">
      <c r="A2542" s="1605"/>
      <c r="B2542" s="973" t="s">
        <v>2342</v>
      </c>
      <c r="C2542" s="292"/>
      <c r="D2542" s="292"/>
      <c r="E2542" s="290"/>
      <c r="F2542" s="292"/>
      <c r="G2542" s="292">
        <v>1</v>
      </c>
      <c r="H2542" s="292">
        <f t="shared" si="60"/>
        <v>1</v>
      </c>
      <c r="I2542" s="1683"/>
      <c r="J2542" s="1683"/>
      <c r="K2542" s="1683"/>
      <c r="L2542" s="1683"/>
      <c r="M2542" s="1683"/>
      <c r="N2542" s="1684"/>
    </row>
    <row r="2543" spans="1:14">
      <c r="A2543" s="1605"/>
      <c r="B2543" s="973" t="s">
        <v>2984</v>
      </c>
      <c r="C2543" s="292"/>
      <c r="D2543" s="292"/>
      <c r="E2543" s="290"/>
      <c r="F2543" s="292"/>
      <c r="G2543" s="292">
        <v>1</v>
      </c>
      <c r="H2543" s="292">
        <f t="shared" si="60"/>
        <v>1</v>
      </c>
      <c r="I2543" s="1683"/>
      <c r="J2543" s="1683"/>
      <c r="K2543" s="1683"/>
      <c r="L2543" s="1683"/>
      <c r="M2543" s="1683"/>
      <c r="N2543" s="1684"/>
    </row>
    <row r="2544" spans="1:14">
      <c r="A2544" s="1605"/>
      <c r="B2544" s="973" t="s">
        <v>3622</v>
      </c>
      <c r="C2544" s="292"/>
      <c r="D2544" s="292"/>
      <c r="E2544" s="290"/>
      <c r="F2544" s="292"/>
      <c r="G2544" s="292">
        <v>1</v>
      </c>
      <c r="H2544" s="292">
        <f t="shared" si="60"/>
        <v>1</v>
      </c>
      <c r="I2544" s="1683"/>
      <c r="J2544" s="1683"/>
      <c r="K2544" s="1683"/>
      <c r="L2544" s="1683"/>
      <c r="M2544" s="1683"/>
      <c r="N2544" s="1684"/>
    </row>
    <row r="2545" spans="1:14">
      <c r="A2545" s="1605"/>
      <c r="B2545" s="973" t="s">
        <v>2231</v>
      </c>
      <c r="C2545" s="292"/>
      <c r="D2545" s="292"/>
      <c r="E2545" s="290"/>
      <c r="F2545" s="292"/>
      <c r="G2545" s="292">
        <v>1</v>
      </c>
      <c r="H2545" s="292">
        <f t="shared" si="60"/>
        <v>1</v>
      </c>
      <c r="I2545" s="1683"/>
      <c r="J2545" s="1683"/>
      <c r="K2545" s="1683"/>
      <c r="L2545" s="1683"/>
      <c r="M2545" s="1683"/>
      <c r="N2545" s="1684"/>
    </row>
    <row r="2546" spans="1:14">
      <c r="A2546" s="1605"/>
      <c r="B2546" s="973" t="s">
        <v>2980</v>
      </c>
      <c r="C2546" s="292"/>
      <c r="D2546" s="292"/>
      <c r="E2546" s="290"/>
      <c r="F2546" s="292"/>
      <c r="G2546" s="292">
        <v>1</v>
      </c>
      <c r="H2546" s="292">
        <f t="shared" si="60"/>
        <v>1</v>
      </c>
      <c r="I2546" s="1683"/>
      <c r="J2546" s="1683"/>
      <c r="K2546" s="1683"/>
      <c r="L2546" s="1683"/>
      <c r="M2546" s="1683"/>
      <c r="N2546" s="1684"/>
    </row>
    <row r="2547" spans="1:14">
      <c r="A2547" s="1605"/>
      <c r="B2547" s="973" t="s">
        <v>3378</v>
      </c>
      <c r="C2547" s="292"/>
      <c r="D2547" s="292"/>
      <c r="E2547" s="290"/>
      <c r="F2547" s="292"/>
      <c r="G2547" s="292">
        <v>1</v>
      </c>
      <c r="H2547" s="292">
        <f t="shared" si="60"/>
        <v>1</v>
      </c>
      <c r="I2547" s="1683"/>
      <c r="J2547" s="1683"/>
      <c r="K2547" s="1683"/>
      <c r="L2547" s="1683"/>
      <c r="M2547" s="1683"/>
      <c r="N2547" s="1684"/>
    </row>
    <row r="2548" spans="1:14">
      <c r="A2548" s="1605"/>
      <c r="B2548" s="973" t="s">
        <v>3623</v>
      </c>
      <c r="C2548" s="292"/>
      <c r="D2548" s="292"/>
      <c r="E2548" s="290"/>
      <c r="F2548" s="292"/>
      <c r="G2548" s="292">
        <v>1</v>
      </c>
      <c r="H2548" s="292">
        <f t="shared" si="60"/>
        <v>1</v>
      </c>
      <c r="I2548" s="1683"/>
      <c r="J2548" s="1683"/>
      <c r="K2548" s="1683"/>
      <c r="L2548" s="1683"/>
      <c r="M2548" s="1683"/>
      <c r="N2548" s="1684"/>
    </row>
    <row r="2549" spans="1:14">
      <c r="A2549" s="1605"/>
      <c r="B2549" s="973" t="s">
        <v>3624</v>
      </c>
      <c r="C2549" s="292"/>
      <c r="D2549" s="292"/>
      <c r="E2549" s="290"/>
      <c r="F2549" s="292"/>
      <c r="G2549" s="292">
        <v>1</v>
      </c>
      <c r="H2549" s="292">
        <f t="shared" si="60"/>
        <v>1</v>
      </c>
      <c r="I2549" s="1683"/>
      <c r="J2549" s="1683"/>
      <c r="K2549" s="1683"/>
      <c r="L2549" s="1683"/>
      <c r="M2549" s="1683"/>
      <c r="N2549" s="1684"/>
    </row>
    <row r="2550" spans="1:14">
      <c r="A2550" s="1605"/>
      <c r="B2550" s="973" t="s">
        <v>2234</v>
      </c>
      <c r="C2550" s="292"/>
      <c r="D2550" s="292"/>
      <c r="E2550" s="290"/>
      <c r="F2550" s="292"/>
      <c r="G2550" s="292">
        <v>1</v>
      </c>
      <c r="H2550" s="292">
        <f t="shared" si="60"/>
        <v>1</v>
      </c>
      <c r="I2550" s="1683"/>
      <c r="J2550" s="1683"/>
      <c r="K2550" s="1683"/>
      <c r="L2550" s="1683"/>
      <c r="M2550" s="1683"/>
      <c r="N2550" s="1684"/>
    </row>
    <row r="2551" spans="1:14">
      <c r="A2551" s="1605"/>
      <c r="B2551" s="597" t="s">
        <v>2422</v>
      </c>
      <c r="C2551" s="292"/>
      <c r="D2551" s="292"/>
      <c r="E2551" s="290"/>
      <c r="F2551" s="292"/>
      <c r="G2551" s="292">
        <v>1</v>
      </c>
      <c r="H2551" s="292">
        <f t="shared" si="60"/>
        <v>1</v>
      </c>
      <c r="I2551" s="1683"/>
      <c r="J2551" s="1683"/>
      <c r="K2551" s="1683"/>
      <c r="L2551" s="1683"/>
      <c r="M2551" s="1683"/>
      <c r="N2551" s="1684"/>
    </row>
    <row r="2552" spans="1:14">
      <c r="A2552" s="1605"/>
      <c r="B2552" s="973"/>
      <c r="C2552" s="292"/>
      <c r="D2552" s="292"/>
      <c r="E2552" s="290"/>
      <c r="F2552" s="292"/>
      <c r="G2552" s="292"/>
      <c r="H2552" s="292"/>
      <c r="I2552" s="1683"/>
      <c r="J2552" s="1683"/>
      <c r="K2552" s="1683"/>
      <c r="L2552" s="1683"/>
      <c r="M2552" s="1683"/>
      <c r="N2552" s="1684"/>
    </row>
    <row r="2553" spans="1:14">
      <c r="A2553" s="1577" t="s">
        <v>2218</v>
      </c>
      <c r="B2553" s="1542"/>
      <c r="C2553" s="1542"/>
      <c r="D2553" s="1542"/>
      <c r="E2553" s="1542"/>
      <c r="F2553" s="1542"/>
      <c r="G2553" s="1542"/>
      <c r="H2553" s="271">
        <f>SUM(H2518:H2551)</f>
        <v>28</v>
      </c>
      <c r="I2553" s="1683"/>
      <c r="J2553" s="1683"/>
      <c r="K2553" s="1683"/>
      <c r="L2553" s="1683"/>
      <c r="M2553" s="1683"/>
      <c r="N2553" s="1684"/>
    </row>
    <row r="2554" spans="1:14">
      <c r="A2554" s="1578" t="s">
        <v>2219</v>
      </c>
      <c r="B2554" s="1538"/>
      <c r="C2554" s="1538"/>
      <c r="D2554" s="1538"/>
      <c r="E2554" s="1538"/>
      <c r="F2554" s="1538"/>
      <c r="G2554" s="1538"/>
      <c r="H2554" s="320">
        <f>SUM(H2517:H2536)</f>
        <v>15</v>
      </c>
      <c r="I2554" s="1683"/>
      <c r="J2554" s="1683"/>
      <c r="K2554" s="1683"/>
      <c r="L2554" s="1683"/>
      <c r="M2554" s="1683"/>
      <c r="N2554" s="1684"/>
    </row>
    <row r="2555" spans="1:14" ht="15.75" thickBot="1">
      <c r="A2555" s="1723" t="s">
        <v>2220</v>
      </c>
      <c r="B2555" s="1553"/>
      <c r="C2555" s="1553"/>
      <c r="D2555" s="1553"/>
      <c r="E2555" s="1553"/>
      <c r="F2555" s="1553"/>
      <c r="G2555" s="1553"/>
      <c r="H2555" s="216">
        <f>H2553-H2554</f>
        <v>13</v>
      </c>
      <c r="I2555" s="1687"/>
      <c r="J2555" s="1687"/>
      <c r="K2555" s="1687"/>
      <c r="L2555" s="1687"/>
      <c r="M2555" s="1687"/>
      <c r="N2555" s="1688"/>
    </row>
    <row r="2556" spans="1:14" ht="23.45" customHeight="1">
      <c r="A2556" s="1084" t="s">
        <v>3628</v>
      </c>
      <c r="B2556" s="1533" t="s">
        <v>823</v>
      </c>
      <c r="C2556" s="1533"/>
      <c r="D2556" s="1533"/>
      <c r="E2556" s="1533"/>
      <c r="F2556" s="1533"/>
      <c r="G2556" s="1533"/>
      <c r="H2556" s="1533"/>
      <c r="I2556" s="1533"/>
      <c r="J2556" s="1533"/>
      <c r="K2556" s="627" t="s">
        <v>28</v>
      </c>
      <c r="L2556" s="1534">
        <f>'27ª MEDIÇÃO '!F141</f>
        <v>4</v>
      </c>
      <c r="M2556" s="1534"/>
      <c r="N2556" s="197">
        <f>L2556-H2563</f>
        <v>0</v>
      </c>
    </row>
    <row r="2557" spans="1:14">
      <c r="A2557" s="1604" t="s">
        <v>3621</v>
      </c>
      <c r="B2557" s="628" t="s">
        <v>3305</v>
      </c>
      <c r="C2557" s="368" t="s">
        <v>2382</v>
      </c>
      <c r="D2557" s="369" t="s">
        <v>2187</v>
      </c>
      <c r="E2557" s="529" t="s">
        <v>2188</v>
      </c>
      <c r="F2557" s="369" t="s">
        <v>2189</v>
      </c>
      <c r="G2557" s="370" t="s">
        <v>2879</v>
      </c>
      <c r="H2557" s="934" t="s">
        <v>476</v>
      </c>
      <c r="I2557" s="1509"/>
      <c r="J2557" s="1509"/>
      <c r="K2557" s="1509"/>
      <c r="L2557" s="1509"/>
      <c r="M2557" s="1509"/>
      <c r="N2557" s="1510"/>
    </row>
    <row r="2558" spans="1:14">
      <c r="A2558" s="1605"/>
      <c r="B2558" s="973" t="s">
        <v>2344</v>
      </c>
      <c r="C2558" s="292"/>
      <c r="D2558" s="292">
        <v>1</v>
      </c>
      <c r="E2558" s="901">
        <v>2.1</v>
      </c>
      <c r="F2558" s="292"/>
      <c r="G2558" s="292">
        <v>1</v>
      </c>
      <c r="H2558" s="292">
        <f>G2558</f>
        <v>1</v>
      </c>
      <c r="I2558" s="1509"/>
      <c r="J2558" s="1509"/>
      <c r="K2558" s="1509"/>
      <c r="L2558" s="1509"/>
      <c r="M2558" s="1509"/>
      <c r="N2558" s="1510"/>
    </row>
    <row r="2559" spans="1:14">
      <c r="A2559" s="1605"/>
      <c r="B2559" s="973" t="s">
        <v>2461</v>
      </c>
      <c r="C2559" s="292"/>
      <c r="D2559" s="292">
        <v>1</v>
      </c>
      <c r="E2559" s="901">
        <v>2.1</v>
      </c>
      <c r="F2559" s="292"/>
      <c r="G2559" s="292">
        <v>1</v>
      </c>
      <c r="H2559" s="292">
        <f>G2559</f>
        <v>1</v>
      </c>
      <c r="I2559" s="1509"/>
      <c r="J2559" s="1509"/>
      <c r="K2559" s="1509"/>
      <c r="L2559" s="1509"/>
      <c r="M2559" s="1509"/>
      <c r="N2559" s="1510"/>
    </row>
    <row r="2560" spans="1:14">
      <c r="A2560" s="1604" t="s">
        <v>3854</v>
      </c>
      <c r="B2560" s="973" t="s">
        <v>3304</v>
      </c>
      <c r="C2560" s="292"/>
      <c r="D2560" s="292"/>
      <c r="E2560" s="901"/>
      <c r="F2560" s="292"/>
      <c r="G2560" s="292"/>
      <c r="H2560" s="292"/>
      <c r="I2560" s="1509"/>
      <c r="J2560" s="1509"/>
      <c r="K2560" s="1509"/>
      <c r="L2560" s="1509"/>
      <c r="M2560" s="1509"/>
      <c r="N2560" s="1510"/>
    </row>
    <row r="2561" spans="1:18">
      <c r="A2561" s="1605"/>
      <c r="B2561" s="973" t="s">
        <v>3853</v>
      </c>
      <c r="C2561" s="292"/>
      <c r="D2561" s="292">
        <v>1</v>
      </c>
      <c r="E2561" s="901">
        <v>2.1</v>
      </c>
      <c r="F2561" s="292"/>
      <c r="G2561" s="292">
        <v>1</v>
      </c>
      <c r="H2561" s="292">
        <f>G2561</f>
        <v>1</v>
      </c>
      <c r="I2561" s="1509"/>
      <c r="J2561" s="1509"/>
      <c r="K2561" s="1509"/>
      <c r="L2561" s="1509"/>
      <c r="M2561" s="1509"/>
      <c r="N2561" s="1510"/>
    </row>
    <row r="2562" spans="1:18">
      <c r="A2562" s="1605"/>
      <c r="B2562" s="1012" t="s">
        <v>3090</v>
      </c>
      <c r="C2562" s="292"/>
      <c r="D2562" s="292">
        <v>1</v>
      </c>
      <c r="E2562" s="901">
        <v>2.1</v>
      </c>
      <c r="F2562" s="292"/>
      <c r="G2562" s="292">
        <v>1</v>
      </c>
      <c r="H2562" s="292">
        <f>G2562</f>
        <v>1</v>
      </c>
      <c r="I2562" s="1509"/>
      <c r="J2562" s="1509"/>
      <c r="K2562" s="1509"/>
      <c r="L2562" s="1509"/>
      <c r="M2562" s="1509"/>
      <c r="N2562" s="1510"/>
    </row>
    <row r="2563" spans="1:18">
      <c r="A2563" s="1577" t="s">
        <v>2218</v>
      </c>
      <c r="B2563" s="1542"/>
      <c r="C2563" s="1542"/>
      <c r="D2563" s="1542"/>
      <c r="E2563" s="1542"/>
      <c r="F2563" s="1542"/>
      <c r="G2563" s="1542"/>
      <c r="H2563" s="271">
        <f>SUM(H2558:H2562)</f>
        <v>4</v>
      </c>
      <c r="I2563" s="1509"/>
      <c r="J2563" s="1509"/>
      <c r="K2563" s="1509"/>
      <c r="L2563" s="1509"/>
      <c r="M2563" s="1509"/>
      <c r="N2563" s="1510"/>
    </row>
    <row r="2564" spans="1:18">
      <c r="A2564" s="1578" t="s">
        <v>2219</v>
      </c>
      <c r="B2564" s="1538"/>
      <c r="C2564" s="1538"/>
      <c r="D2564" s="1538"/>
      <c r="E2564" s="1538"/>
      <c r="F2564" s="1538"/>
      <c r="G2564" s="1538"/>
      <c r="H2564" s="320">
        <f>SUM(H2558:H2559)</f>
        <v>2</v>
      </c>
      <c r="I2564" s="1509"/>
      <c r="J2564" s="1509"/>
      <c r="K2564" s="1509"/>
      <c r="L2564" s="1509"/>
      <c r="M2564" s="1509"/>
      <c r="N2564" s="1510"/>
    </row>
    <row r="2565" spans="1:18" ht="15.75" thickBot="1">
      <c r="A2565" s="1579" t="s">
        <v>2220</v>
      </c>
      <c r="B2565" s="1580"/>
      <c r="C2565" s="1580"/>
      <c r="D2565" s="1580"/>
      <c r="E2565" s="1580"/>
      <c r="F2565" s="1580"/>
      <c r="G2565" s="1580"/>
      <c r="H2565" s="216">
        <f>H2563-H2564</f>
        <v>2</v>
      </c>
      <c r="I2565" s="1512"/>
      <c r="J2565" s="1512"/>
      <c r="K2565" s="1512"/>
      <c r="L2565" s="1512"/>
      <c r="M2565" s="1512"/>
      <c r="N2565" s="1513"/>
    </row>
    <row r="2566" spans="1:18" ht="15.75" thickBot="1">
      <c r="A2566" s="278"/>
      <c r="B2566" s="278"/>
      <c r="C2566" s="278"/>
      <c r="D2566" s="281"/>
      <c r="E2566" s="1319"/>
      <c r="F2566" s="278"/>
      <c r="G2566" s="278"/>
      <c r="H2566" s="217"/>
      <c r="I2566" s="279"/>
      <c r="J2566" s="279"/>
      <c r="K2566" s="279"/>
      <c r="L2566" s="279"/>
      <c r="M2566" s="279"/>
      <c r="N2566" s="279"/>
    </row>
    <row r="2567" spans="1:18" ht="23.45" customHeight="1">
      <c r="A2567" s="1084" t="s">
        <v>3629</v>
      </c>
      <c r="B2567" s="1533" t="s">
        <v>826</v>
      </c>
      <c r="C2567" s="1533"/>
      <c r="D2567" s="1533"/>
      <c r="E2567" s="1533"/>
      <c r="F2567" s="1533"/>
      <c r="G2567" s="1533"/>
      <c r="H2567" s="1533"/>
      <c r="I2567" s="1533"/>
      <c r="J2567" s="1533"/>
      <c r="K2567" s="627" t="s">
        <v>28</v>
      </c>
      <c r="L2567" s="1534">
        <f>'27ª MEDIÇÃO '!F142</f>
        <v>37</v>
      </c>
      <c r="M2567" s="1534"/>
      <c r="N2567" s="197">
        <f>L2567-H2609</f>
        <v>0</v>
      </c>
    </row>
    <row r="2568" spans="1:18">
      <c r="A2568" s="1604" t="s">
        <v>3621</v>
      </c>
      <c r="B2568" s="628"/>
      <c r="C2568" s="368" t="s">
        <v>2382</v>
      </c>
      <c r="D2568" s="369" t="s">
        <v>2187</v>
      </c>
      <c r="E2568" s="529" t="s">
        <v>2188</v>
      </c>
      <c r="F2568" s="369" t="s">
        <v>2189</v>
      </c>
      <c r="G2568" s="370" t="s">
        <v>2879</v>
      </c>
      <c r="H2568" s="934" t="s">
        <v>476</v>
      </c>
      <c r="I2568" s="1509"/>
      <c r="J2568" s="1509"/>
      <c r="K2568" s="1509"/>
      <c r="L2568" s="1509"/>
      <c r="M2568" s="1509"/>
      <c r="N2568" s="1510"/>
    </row>
    <row r="2569" spans="1:18" ht="15.75">
      <c r="A2569" s="1605"/>
      <c r="B2569" s="628" t="s">
        <v>3305</v>
      </c>
      <c r="C2569" s="555"/>
      <c r="D2569" s="375"/>
      <c r="E2569" s="1312"/>
      <c r="F2569" s="375"/>
      <c r="G2569" s="556"/>
      <c r="H2569" s="1011"/>
      <c r="I2569" s="1509"/>
      <c r="J2569" s="1509"/>
      <c r="K2569" s="1509"/>
      <c r="L2569" s="1509"/>
      <c r="M2569" s="1509"/>
      <c r="N2569" s="1510"/>
      <c r="O2569" s="1861" t="s">
        <v>3856</v>
      </c>
      <c r="P2569" s="1862"/>
      <c r="Q2569" s="1862"/>
      <c r="R2569" s="1863"/>
    </row>
    <row r="2570" spans="1:18" ht="15.75">
      <c r="A2570" s="1605"/>
      <c r="B2570" s="973" t="s">
        <v>2978</v>
      </c>
      <c r="C2570" s="555"/>
      <c r="D2570" s="292">
        <v>1</v>
      </c>
      <c r="E2570" s="901">
        <v>2.1</v>
      </c>
      <c r="F2570" s="292"/>
      <c r="G2570" s="292">
        <v>1</v>
      </c>
      <c r="H2570" s="292">
        <f t="shared" ref="H2570:H2586" si="61">G2570</f>
        <v>1</v>
      </c>
      <c r="I2570" s="1509"/>
      <c r="J2570" s="1509"/>
      <c r="K2570" s="1509"/>
      <c r="L2570" s="1509"/>
      <c r="M2570" s="1509"/>
      <c r="N2570" s="1510"/>
      <c r="O2570" s="1867" t="s">
        <v>2228</v>
      </c>
      <c r="P2570" s="1868"/>
      <c r="Q2570" s="1868"/>
      <c r="R2570" s="1869"/>
    </row>
    <row r="2571" spans="1:18" ht="15.75">
      <c r="A2571" s="1605"/>
      <c r="B2571" s="973" t="s">
        <v>3574</v>
      </c>
      <c r="C2571" s="555"/>
      <c r="D2571" s="292">
        <v>1</v>
      </c>
      <c r="E2571" s="901">
        <v>2.1</v>
      </c>
      <c r="F2571" s="292"/>
      <c r="G2571" s="292">
        <v>1</v>
      </c>
      <c r="H2571" s="292">
        <f t="shared" si="61"/>
        <v>1</v>
      </c>
      <c r="I2571" s="1509"/>
      <c r="J2571" s="1509"/>
      <c r="K2571" s="1509"/>
      <c r="L2571" s="1509"/>
      <c r="M2571" s="1509"/>
      <c r="N2571" s="1510"/>
      <c r="O2571" s="1867" t="s">
        <v>2523</v>
      </c>
      <c r="P2571" s="1868"/>
      <c r="Q2571" s="1868"/>
      <c r="R2571" s="1869"/>
    </row>
    <row r="2572" spans="1:18" ht="15.75">
      <c r="A2572" s="1605"/>
      <c r="B2572" s="973" t="s">
        <v>3575</v>
      </c>
      <c r="C2572" s="555"/>
      <c r="D2572" s="292">
        <v>1</v>
      </c>
      <c r="E2572" s="901">
        <v>2.1</v>
      </c>
      <c r="F2572" s="292"/>
      <c r="G2572" s="292">
        <v>1</v>
      </c>
      <c r="H2572" s="292">
        <f>G2572</f>
        <v>1</v>
      </c>
      <c r="I2572" s="1509"/>
      <c r="J2572" s="1509"/>
      <c r="K2572" s="1509"/>
      <c r="L2572" s="1509"/>
      <c r="M2572" s="1509"/>
      <c r="N2572" s="1510"/>
      <c r="O2572" s="1867" t="s">
        <v>3571</v>
      </c>
      <c r="P2572" s="1868"/>
      <c r="Q2572" s="1868"/>
      <c r="R2572" s="1869"/>
    </row>
    <row r="2573" spans="1:18" ht="15.75">
      <c r="A2573" s="1605"/>
      <c r="B2573" s="973" t="s">
        <v>3464</v>
      </c>
      <c r="C2573" s="555"/>
      <c r="D2573" s="292">
        <v>1</v>
      </c>
      <c r="E2573" s="901">
        <v>2.1</v>
      </c>
      <c r="F2573" s="292"/>
      <c r="G2573" s="292">
        <v>1</v>
      </c>
      <c r="H2573" s="292">
        <f t="shared" si="61"/>
        <v>1</v>
      </c>
      <c r="I2573" s="1509"/>
      <c r="J2573" s="1509"/>
      <c r="K2573" s="1509"/>
      <c r="L2573" s="1509"/>
      <c r="M2573" s="1509"/>
      <c r="N2573" s="1510"/>
      <c r="O2573" s="1867" t="s">
        <v>3572</v>
      </c>
      <c r="P2573" s="1868"/>
      <c r="Q2573" s="1868"/>
      <c r="R2573" s="1869"/>
    </row>
    <row r="2574" spans="1:18" ht="15.75">
      <c r="A2574" s="1605"/>
      <c r="B2574" s="973" t="s">
        <v>2989</v>
      </c>
      <c r="C2574" s="555"/>
      <c r="D2574" s="292">
        <v>1</v>
      </c>
      <c r="E2574" s="901">
        <v>2.1</v>
      </c>
      <c r="F2574" s="292"/>
      <c r="G2574" s="292">
        <v>1</v>
      </c>
      <c r="H2574" s="292">
        <f t="shared" si="61"/>
        <v>1</v>
      </c>
      <c r="I2574" s="1509"/>
      <c r="J2574" s="1509"/>
      <c r="K2574" s="1509"/>
      <c r="L2574" s="1509"/>
      <c r="M2574" s="1509"/>
      <c r="N2574" s="1510"/>
      <c r="O2574" s="1867" t="s">
        <v>3573</v>
      </c>
      <c r="P2574" s="1868"/>
      <c r="Q2574" s="1868"/>
      <c r="R2574" s="1869"/>
    </row>
    <row r="2575" spans="1:18" ht="15.75">
      <c r="A2575" s="1605"/>
      <c r="B2575" s="973" t="s">
        <v>2982</v>
      </c>
      <c r="C2575" s="555"/>
      <c r="D2575" s="292">
        <v>1</v>
      </c>
      <c r="E2575" s="901">
        <v>2.1</v>
      </c>
      <c r="F2575" s="292"/>
      <c r="G2575" s="292">
        <v>1</v>
      </c>
      <c r="H2575" s="292">
        <f t="shared" si="61"/>
        <v>1</v>
      </c>
      <c r="I2575" s="1509"/>
      <c r="J2575" s="1509"/>
      <c r="K2575" s="1509"/>
      <c r="L2575" s="1509"/>
      <c r="M2575" s="1509"/>
      <c r="N2575" s="1510"/>
      <c r="O2575" s="1867" t="s">
        <v>2234</v>
      </c>
      <c r="P2575" s="1868"/>
      <c r="Q2575" s="1868"/>
      <c r="R2575" s="1869"/>
    </row>
    <row r="2576" spans="1:18" ht="15.75">
      <c r="A2576" s="1605"/>
      <c r="B2576" s="973" t="s">
        <v>2342</v>
      </c>
      <c r="C2576" s="555"/>
      <c r="D2576" s="292">
        <v>1</v>
      </c>
      <c r="E2576" s="901">
        <v>2.1</v>
      </c>
      <c r="F2576" s="292"/>
      <c r="G2576" s="292">
        <v>1</v>
      </c>
      <c r="H2576" s="292">
        <f t="shared" si="61"/>
        <v>1</v>
      </c>
      <c r="I2576" s="1509"/>
      <c r="J2576" s="1509"/>
      <c r="K2576" s="1509"/>
      <c r="L2576" s="1509"/>
      <c r="M2576" s="1509"/>
      <c r="N2576" s="1510"/>
      <c r="O2576" s="1867" t="s">
        <v>3624</v>
      </c>
      <c r="P2576" s="1868"/>
      <c r="Q2576" s="1868"/>
      <c r="R2576" s="1869"/>
    </row>
    <row r="2577" spans="1:18" ht="15.75">
      <c r="A2577" s="1605"/>
      <c r="B2577" s="973" t="s">
        <v>2984</v>
      </c>
      <c r="C2577" s="555"/>
      <c r="D2577" s="292">
        <v>1</v>
      </c>
      <c r="E2577" s="901">
        <v>2.1</v>
      </c>
      <c r="F2577" s="292"/>
      <c r="G2577" s="292">
        <v>1</v>
      </c>
      <c r="H2577" s="292">
        <f t="shared" si="61"/>
        <v>1</v>
      </c>
      <c r="I2577" s="1509"/>
      <c r="J2577" s="1509"/>
      <c r="K2577" s="1509"/>
      <c r="L2577" s="1509"/>
      <c r="M2577" s="1509"/>
      <c r="N2577" s="1510"/>
      <c r="O2577" s="1867" t="s">
        <v>3623</v>
      </c>
      <c r="P2577" s="1868"/>
      <c r="Q2577" s="1868"/>
      <c r="R2577" s="1869"/>
    </row>
    <row r="2578" spans="1:18" ht="15.75">
      <c r="A2578" s="1605"/>
      <c r="B2578" s="973" t="s">
        <v>3622</v>
      </c>
      <c r="C2578" s="555"/>
      <c r="D2578" s="292">
        <v>1</v>
      </c>
      <c r="E2578" s="901">
        <v>2.1</v>
      </c>
      <c r="F2578" s="292"/>
      <c r="G2578" s="292">
        <v>1</v>
      </c>
      <c r="H2578" s="292">
        <f t="shared" si="61"/>
        <v>1</v>
      </c>
      <c r="I2578" s="1509"/>
      <c r="J2578" s="1509"/>
      <c r="K2578" s="1509"/>
      <c r="L2578" s="1509"/>
      <c r="M2578" s="1509"/>
      <c r="N2578" s="1510"/>
      <c r="O2578" s="1867" t="s">
        <v>3855</v>
      </c>
      <c r="P2578" s="1868"/>
      <c r="Q2578" s="1868"/>
      <c r="R2578" s="1869"/>
    </row>
    <row r="2579" spans="1:18" ht="15.75">
      <c r="A2579" s="1605"/>
      <c r="B2579" s="973" t="s">
        <v>2231</v>
      </c>
      <c r="C2579" s="555"/>
      <c r="D2579" s="292">
        <v>1</v>
      </c>
      <c r="E2579" s="901">
        <v>2.1</v>
      </c>
      <c r="F2579" s="292"/>
      <c r="G2579" s="292">
        <v>1</v>
      </c>
      <c r="H2579" s="292">
        <f t="shared" si="61"/>
        <v>1</v>
      </c>
      <c r="I2579" s="1509"/>
      <c r="J2579" s="1509"/>
      <c r="K2579" s="1509"/>
      <c r="L2579" s="1509"/>
      <c r="M2579" s="1509"/>
      <c r="N2579" s="1510"/>
      <c r="O2579" s="1867" t="s">
        <v>2971</v>
      </c>
      <c r="P2579" s="1868"/>
      <c r="Q2579" s="1868"/>
      <c r="R2579" s="1869"/>
    </row>
    <row r="2580" spans="1:18" ht="15.75">
      <c r="A2580" s="1605"/>
      <c r="B2580" s="973" t="s">
        <v>2980</v>
      </c>
      <c r="C2580" s="555"/>
      <c r="D2580" s="292">
        <v>1</v>
      </c>
      <c r="E2580" s="901">
        <v>2.1</v>
      </c>
      <c r="F2580" s="292"/>
      <c r="G2580" s="292">
        <v>1</v>
      </c>
      <c r="H2580" s="292">
        <f t="shared" si="61"/>
        <v>1</v>
      </c>
      <c r="I2580" s="1509"/>
      <c r="J2580" s="1509"/>
      <c r="K2580" s="1509"/>
      <c r="L2580" s="1509"/>
      <c r="M2580" s="1509"/>
      <c r="N2580" s="1510"/>
      <c r="O2580" s="1867" t="s">
        <v>2974</v>
      </c>
      <c r="P2580" s="1868"/>
      <c r="Q2580" s="1868"/>
      <c r="R2580" s="1869"/>
    </row>
    <row r="2581" spans="1:18" ht="15.75">
      <c r="A2581" s="1605"/>
      <c r="B2581" s="973" t="s">
        <v>3378</v>
      </c>
      <c r="C2581" s="555"/>
      <c r="D2581" s="292">
        <v>1</v>
      </c>
      <c r="E2581" s="901">
        <v>2.1</v>
      </c>
      <c r="F2581" s="292"/>
      <c r="G2581" s="292">
        <v>1</v>
      </c>
      <c r="H2581" s="292">
        <f t="shared" si="61"/>
        <v>1</v>
      </c>
      <c r="I2581" s="1509"/>
      <c r="J2581" s="1509"/>
      <c r="K2581" s="1509"/>
      <c r="L2581" s="1509"/>
      <c r="M2581" s="1509"/>
      <c r="N2581" s="1510"/>
      <c r="O2581" s="1867" t="s">
        <v>2975</v>
      </c>
      <c r="P2581" s="1868"/>
      <c r="Q2581" s="1868"/>
      <c r="R2581" s="1869"/>
    </row>
    <row r="2582" spans="1:18" ht="15.75">
      <c r="A2582" s="1605"/>
      <c r="B2582" s="973" t="s">
        <v>3623</v>
      </c>
      <c r="C2582" s="555"/>
      <c r="D2582" s="292">
        <v>1</v>
      </c>
      <c r="E2582" s="901">
        <v>2.1</v>
      </c>
      <c r="F2582" s="292"/>
      <c r="G2582" s="292">
        <v>1</v>
      </c>
      <c r="H2582" s="292">
        <f t="shared" si="61"/>
        <v>1</v>
      </c>
      <c r="I2582" s="1509"/>
      <c r="J2582" s="1509"/>
      <c r="K2582" s="1509"/>
      <c r="L2582" s="1509"/>
      <c r="M2582" s="1509"/>
      <c r="N2582" s="1510"/>
      <c r="O2582" s="1870" t="s">
        <v>3091</v>
      </c>
      <c r="P2582" s="1871"/>
      <c r="Q2582" s="1871"/>
      <c r="R2582" s="1872"/>
    </row>
    <row r="2583" spans="1:18" ht="15.75">
      <c r="A2583" s="1605"/>
      <c r="B2583" s="973" t="s">
        <v>3624</v>
      </c>
      <c r="C2583" s="555"/>
      <c r="D2583" s="292">
        <v>1</v>
      </c>
      <c r="E2583" s="901">
        <v>2.1</v>
      </c>
      <c r="F2583" s="292"/>
      <c r="G2583" s="292">
        <v>1</v>
      </c>
      <c r="H2583" s="292">
        <f t="shared" si="61"/>
        <v>1</v>
      </c>
      <c r="I2583" s="1509"/>
      <c r="J2583" s="1509"/>
      <c r="K2583" s="1509"/>
      <c r="L2583" s="1509"/>
      <c r="M2583" s="1509"/>
      <c r="N2583" s="1510"/>
      <c r="O2583" s="1870" t="s">
        <v>3092</v>
      </c>
      <c r="P2583" s="1871"/>
      <c r="Q2583" s="1871"/>
      <c r="R2583" s="1872"/>
    </row>
    <row r="2584" spans="1:18" ht="15.75">
      <c r="A2584" s="1605"/>
      <c r="B2584" s="973" t="s">
        <v>2234</v>
      </c>
      <c r="C2584" s="555"/>
      <c r="D2584" s="292">
        <v>1</v>
      </c>
      <c r="E2584" s="901">
        <v>2.1</v>
      </c>
      <c r="F2584" s="292"/>
      <c r="G2584" s="292">
        <v>1</v>
      </c>
      <c r="H2584" s="292">
        <f t="shared" si="61"/>
        <v>1</v>
      </c>
      <c r="I2584" s="1509"/>
      <c r="J2584" s="1509"/>
      <c r="K2584" s="1509"/>
      <c r="L2584" s="1509"/>
      <c r="M2584" s="1509"/>
      <c r="N2584" s="1510"/>
      <c r="O2584" s="1870" t="s">
        <v>2438</v>
      </c>
      <c r="P2584" s="1871"/>
      <c r="Q2584" s="1871"/>
      <c r="R2584" s="1872"/>
    </row>
    <row r="2585" spans="1:18" ht="15.75">
      <c r="A2585" s="1605"/>
      <c r="B2585" s="597" t="s">
        <v>2422</v>
      </c>
      <c r="C2585" s="555"/>
      <c r="D2585" s="292">
        <v>1</v>
      </c>
      <c r="E2585" s="901">
        <v>2.1</v>
      </c>
      <c r="F2585" s="292"/>
      <c r="G2585" s="292">
        <v>1</v>
      </c>
      <c r="H2585" s="292">
        <f t="shared" si="61"/>
        <v>1</v>
      </c>
      <c r="I2585" s="1509"/>
      <c r="J2585" s="1509"/>
      <c r="K2585" s="1509"/>
      <c r="L2585" s="1509"/>
      <c r="M2585" s="1509"/>
      <c r="N2585" s="1510"/>
      <c r="O2585" s="1870" t="s">
        <v>2952</v>
      </c>
      <c r="P2585" s="1871"/>
      <c r="Q2585" s="1871"/>
      <c r="R2585" s="1872"/>
    </row>
    <row r="2586" spans="1:18" ht="15.75">
      <c r="A2586" s="1605"/>
      <c r="B2586" s="597" t="s">
        <v>3630</v>
      </c>
      <c r="C2586" s="555"/>
      <c r="D2586" s="292">
        <v>1</v>
      </c>
      <c r="E2586" s="901">
        <v>2.1</v>
      </c>
      <c r="F2586" s="292"/>
      <c r="G2586" s="292">
        <v>1</v>
      </c>
      <c r="H2586" s="292">
        <f t="shared" si="61"/>
        <v>1</v>
      </c>
      <c r="I2586" s="1509"/>
      <c r="J2586" s="1509"/>
      <c r="K2586" s="1509"/>
      <c r="L2586" s="1509"/>
      <c r="M2586" s="1509"/>
      <c r="N2586" s="1510"/>
      <c r="O2586" s="1870" t="s">
        <v>3093</v>
      </c>
      <c r="P2586" s="1871"/>
      <c r="Q2586" s="1871"/>
      <c r="R2586" s="1872"/>
    </row>
    <row r="2587" spans="1:18" ht="15.75">
      <c r="A2587" s="1605" t="s">
        <v>3854</v>
      </c>
      <c r="B2587" s="628" t="s">
        <v>3304</v>
      </c>
      <c r="C2587" s="555"/>
      <c r="D2587" s="292"/>
      <c r="E2587" s="901"/>
      <c r="F2587" s="292"/>
      <c r="G2587" s="292"/>
      <c r="H2587" s="292"/>
      <c r="I2587" s="1509"/>
      <c r="J2587" s="1509"/>
      <c r="K2587" s="1509"/>
      <c r="L2587" s="1509"/>
      <c r="M2587" s="1509"/>
      <c r="N2587" s="1510"/>
      <c r="O2587" s="1870" t="s">
        <v>3094</v>
      </c>
      <c r="P2587" s="1871"/>
      <c r="Q2587" s="1871"/>
      <c r="R2587" s="1872"/>
    </row>
    <row r="2588" spans="1:18" ht="15.75">
      <c r="A2588" s="1605"/>
      <c r="B2588" s="1012" t="s">
        <v>2228</v>
      </c>
      <c r="C2588" s="555"/>
      <c r="D2588" s="292">
        <v>1</v>
      </c>
      <c r="E2588" s="901">
        <v>2.1</v>
      </c>
      <c r="F2588" s="292"/>
      <c r="G2588" s="292">
        <v>1</v>
      </c>
      <c r="H2588" s="292">
        <f t="shared" ref="H2588:H2599" si="62">G2588</f>
        <v>1</v>
      </c>
      <c r="I2588" s="1509"/>
      <c r="J2588" s="1509"/>
      <c r="K2588" s="1509"/>
      <c r="L2588" s="1509"/>
      <c r="M2588" s="1509"/>
      <c r="N2588" s="1510"/>
      <c r="O2588" s="1870" t="s">
        <v>3095</v>
      </c>
      <c r="P2588" s="1871"/>
      <c r="Q2588" s="1871"/>
      <c r="R2588" s="1872"/>
    </row>
    <row r="2589" spans="1:18">
      <c r="A2589" s="1605"/>
      <c r="B2589" s="1012" t="s">
        <v>2523</v>
      </c>
      <c r="C2589" s="555"/>
      <c r="D2589" s="292">
        <v>1</v>
      </c>
      <c r="E2589" s="901">
        <v>2.1</v>
      </c>
      <c r="F2589" s="292"/>
      <c r="G2589" s="292">
        <v>1</v>
      </c>
      <c r="H2589" s="292">
        <f t="shared" si="62"/>
        <v>1</v>
      </c>
      <c r="I2589" s="1509"/>
      <c r="J2589" s="1509"/>
      <c r="K2589" s="1509"/>
      <c r="L2589" s="1509"/>
      <c r="M2589" s="1509"/>
      <c r="N2589" s="1510"/>
    </row>
    <row r="2590" spans="1:18">
      <c r="A2590" s="1605"/>
      <c r="B2590" s="1012" t="s">
        <v>3571</v>
      </c>
      <c r="C2590" s="555"/>
      <c r="D2590" s="292">
        <v>1</v>
      </c>
      <c r="E2590" s="901">
        <v>2.1</v>
      </c>
      <c r="F2590" s="292"/>
      <c r="G2590" s="292">
        <v>1</v>
      </c>
      <c r="H2590" s="292">
        <f t="shared" si="62"/>
        <v>1</v>
      </c>
      <c r="I2590" s="1509"/>
      <c r="J2590" s="1509"/>
      <c r="K2590" s="1509"/>
      <c r="L2590" s="1509"/>
      <c r="M2590" s="1509"/>
      <c r="N2590" s="1510"/>
    </row>
    <row r="2591" spans="1:18">
      <c r="A2591" s="1605"/>
      <c r="B2591" s="1012" t="s">
        <v>3572</v>
      </c>
      <c r="C2591" s="555"/>
      <c r="D2591" s="292">
        <v>1</v>
      </c>
      <c r="E2591" s="901">
        <v>2.1</v>
      </c>
      <c r="F2591" s="292"/>
      <c r="G2591" s="292">
        <v>1</v>
      </c>
      <c r="H2591" s="292">
        <f t="shared" si="62"/>
        <v>1</v>
      </c>
      <c r="I2591" s="1509"/>
      <c r="J2591" s="1509"/>
      <c r="K2591" s="1509"/>
      <c r="L2591" s="1509"/>
      <c r="M2591" s="1509"/>
      <c r="N2591" s="1510"/>
    </row>
    <row r="2592" spans="1:18">
      <c r="A2592" s="1605"/>
      <c r="B2592" s="1012" t="s">
        <v>3573</v>
      </c>
      <c r="C2592" s="555"/>
      <c r="D2592" s="292">
        <v>1</v>
      </c>
      <c r="E2592" s="901">
        <v>2.1</v>
      </c>
      <c r="F2592" s="292"/>
      <c r="G2592" s="292">
        <v>1</v>
      </c>
      <c r="H2592" s="292">
        <f t="shared" si="62"/>
        <v>1</v>
      </c>
      <c r="I2592" s="1509"/>
      <c r="J2592" s="1509"/>
      <c r="K2592" s="1509"/>
      <c r="L2592" s="1509"/>
      <c r="M2592" s="1509"/>
      <c r="N2592" s="1510"/>
    </row>
    <row r="2593" spans="1:14">
      <c r="A2593" s="1605"/>
      <c r="B2593" s="1012" t="s">
        <v>2234</v>
      </c>
      <c r="C2593" s="555"/>
      <c r="D2593" s="292">
        <v>1</v>
      </c>
      <c r="E2593" s="901">
        <v>2.1</v>
      </c>
      <c r="F2593" s="292"/>
      <c r="G2593" s="292">
        <v>1</v>
      </c>
      <c r="H2593" s="292">
        <f t="shared" si="62"/>
        <v>1</v>
      </c>
      <c r="I2593" s="1509"/>
      <c r="J2593" s="1509"/>
      <c r="K2593" s="1509"/>
      <c r="L2593" s="1509"/>
      <c r="M2593" s="1509"/>
      <c r="N2593" s="1510"/>
    </row>
    <row r="2594" spans="1:14">
      <c r="A2594" s="1605"/>
      <c r="B2594" s="1012" t="s">
        <v>3624</v>
      </c>
      <c r="C2594" s="555"/>
      <c r="D2594" s="292">
        <v>1</v>
      </c>
      <c r="E2594" s="901">
        <v>2.1</v>
      </c>
      <c r="F2594" s="292"/>
      <c r="G2594" s="292">
        <v>1</v>
      </c>
      <c r="H2594" s="292">
        <f t="shared" si="62"/>
        <v>1</v>
      </c>
      <c r="I2594" s="1509"/>
      <c r="J2594" s="1509"/>
      <c r="K2594" s="1509"/>
      <c r="L2594" s="1509"/>
      <c r="M2594" s="1509"/>
      <c r="N2594" s="1510"/>
    </row>
    <row r="2595" spans="1:14">
      <c r="A2595" s="1605"/>
      <c r="B2595" s="1012" t="s">
        <v>3623</v>
      </c>
      <c r="C2595" s="555"/>
      <c r="D2595" s="292">
        <v>1</v>
      </c>
      <c r="E2595" s="901">
        <v>2.1</v>
      </c>
      <c r="F2595" s="292"/>
      <c r="G2595" s="292">
        <v>1</v>
      </c>
      <c r="H2595" s="292">
        <f t="shared" si="62"/>
        <v>1</v>
      </c>
      <c r="I2595" s="1509"/>
      <c r="J2595" s="1509"/>
      <c r="K2595" s="1509"/>
      <c r="L2595" s="1509"/>
      <c r="M2595" s="1509"/>
      <c r="N2595" s="1510"/>
    </row>
    <row r="2596" spans="1:14">
      <c r="A2596" s="1605"/>
      <c r="B2596" s="1012" t="s">
        <v>3855</v>
      </c>
      <c r="C2596" s="555"/>
      <c r="D2596" s="292">
        <v>1</v>
      </c>
      <c r="E2596" s="901">
        <v>2.1</v>
      </c>
      <c r="F2596" s="292"/>
      <c r="G2596" s="292">
        <v>1</v>
      </c>
      <c r="H2596" s="292">
        <f t="shared" si="62"/>
        <v>1</v>
      </c>
      <c r="I2596" s="1509"/>
      <c r="J2596" s="1509"/>
      <c r="K2596" s="1509"/>
      <c r="L2596" s="1509"/>
      <c r="M2596" s="1509"/>
      <c r="N2596" s="1510"/>
    </row>
    <row r="2597" spans="1:14">
      <c r="A2597" s="1605"/>
      <c r="B2597" s="1012" t="s">
        <v>2971</v>
      </c>
      <c r="C2597" s="555"/>
      <c r="D2597" s="292">
        <v>1</v>
      </c>
      <c r="E2597" s="901">
        <v>2.1</v>
      </c>
      <c r="F2597" s="292"/>
      <c r="G2597" s="292">
        <v>1</v>
      </c>
      <c r="H2597" s="292">
        <f t="shared" si="62"/>
        <v>1</v>
      </c>
      <c r="I2597" s="1509"/>
      <c r="J2597" s="1509"/>
      <c r="K2597" s="1509"/>
      <c r="L2597" s="1509"/>
      <c r="M2597" s="1509"/>
      <c r="N2597" s="1510"/>
    </row>
    <row r="2598" spans="1:14">
      <c r="A2598" s="1605"/>
      <c r="B2598" s="1012" t="s">
        <v>2974</v>
      </c>
      <c r="C2598" s="555"/>
      <c r="D2598" s="292">
        <v>1</v>
      </c>
      <c r="E2598" s="901">
        <v>2.1</v>
      </c>
      <c r="F2598" s="292"/>
      <c r="G2598" s="292">
        <v>1</v>
      </c>
      <c r="H2598" s="292">
        <f t="shared" si="62"/>
        <v>1</v>
      </c>
      <c r="I2598" s="1509"/>
      <c r="J2598" s="1509"/>
      <c r="K2598" s="1509"/>
      <c r="L2598" s="1509"/>
      <c r="M2598" s="1509"/>
      <c r="N2598" s="1510"/>
    </row>
    <row r="2599" spans="1:14">
      <c r="A2599" s="1605"/>
      <c r="B2599" s="1012" t="s">
        <v>2975</v>
      </c>
      <c r="C2599" s="555"/>
      <c r="D2599" s="292">
        <v>1</v>
      </c>
      <c r="E2599" s="901">
        <v>2.1</v>
      </c>
      <c r="F2599" s="292"/>
      <c r="G2599" s="292"/>
      <c r="H2599" s="292">
        <f t="shared" si="62"/>
        <v>0</v>
      </c>
      <c r="I2599" s="1509"/>
      <c r="J2599" s="1509"/>
      <c r="K2599" s="1509"/>
      <c r="L2599" s="1509"/>
      <c r="M2599" s="1509"/>
      <c r="N2599" s="1510"/>
    </row>
    <row r="2600" spans="1:14">
      <c r="A2600" s="1605"/>
      <c r="B2600" s="1012" t="s">
        <v>3091</v>
      </c>
      <c r="C2600" s="555"/>
      <c r="D2600" s="292">
        <v>1</v>
      </c>
      <c r="E2600" s="901">
        <v>2.1</v>
      </c>
      <c r="F2600" s="292"/>
      <c r="G2600" s="292">
        <v>1</v>
      </c>
      <c r="H2600" s="292">
        <f t="shared" ref="H2600:H2607" si="63">G2600</f>
        <v>1</v>
      </c>
      <c r="I2600" s="1509"/>
      <c r="J2600" s="1509"/>
      <c r="K2600" s="1509"/>
      <c r="L2600" s="1509"/>
      <c r="M2600" s="1509"/>
      <c r="N2600" s="1510"/>
    </row>
    <row r="2601" spans="1:14">
      <c r="A2601" s="1605"/>
      <c r="B2601" s="1012" t="s">
        <v>3092</v>
      </c>
      <c r="C2601" s="555"/>
      <c r="D2601" s="292">
        <v>1</v>
      </c>
      <c r="E2601" s="901">
        <v>2.1</v>
      </c>
      <c r="F2601" s="292"/>
      <c r="G2601" s="292">
        <v>1</v>
      </c>
      <c r="H2601" s="292">
        <f t="shared" si="63"/>
        <v>1</v>
      </c>
      <c r="I2601" s="1509"/>
      <c r="J2601" s="1509"/>
      <c r="K2601" s="1509"/>
      <c r="L2601" s="1509"/>
      <c r="M2601" s="1509"/>
      <c r="N2601" s="1510"/>
    </row>
    <row r="2602" spans="1:14">
      <c r="A2602" s="1605"/>
      <c r="B2602" s="1012" t="s">
        <v>2438</v>
      </c>
      <c r="C2602" s="555"/>
      <c r="D2602" s="292">
        <v>1</v>
      </c>
      <c r="E2602" s="901">
        <v>2.1</v>
      </c>
      <c r="F2602" s="292"/>
      <c r="G2602" s="292">
        <v>1</v>
      </c>
      <c r="H2602" s="292">
        <f t="shared" si="63"/>
        <v>1</v>
      </c>
      <c r="I2602" s="1509"/>
      <c r="J2602" s="1509"/>
      <c r="K2602" s="1509"/>
      <c r="L2602" s="1509"/>
      <c r="M2602" s="1509"/>
      <c r="N2602" s="1510"/>
    </row>
    <row r="2603" spans="1:14">
      <c r="A2603" s="1605"/>
      <c r="B2603" s="1012" t="s">
        <v>2952</v>
      </c>
      <c r="C2603" s="555"/>
      <c r="D2603" s="292">
        <v>1</v>
      </c>
      <c r="E2603" s="901">
        <v>2.1</v>
      </c>
      <c r="F2603" s="292"/>
      <c r="G2603" s="292">
        <v>1</v>
      </c>
      <c r="H2603" s="292">
        <f t="shared" si="63"/>
        <v>1</v>
      </c>
      <c r="I2603" s="1509"/>
      <c r="J2603" s="1509"/>
      <c r="K2603" s="1509"/>
      <c r="L2603" s="1509"/>
      <c r="M2603" s="1509"/>
      <c r="N2603" s="1510"/>
    </row>
    <row r="2604" spans="1:14">
      <c r="A2604" s="1605"/>
      <c r="B2604" s="1012" t="s">
        <v>3093</v>
      </c>
      <c r="C2604" s="555"/>
      <c r="D2604" s="292">
        <v>1</v>
      </c>
      <c r="E2604" s="901">
        <v>2.1</v>
      </c>
      <c r="F2604" s="292"/>
      <c r="G2604" s="292">
        <v>1</v>
      </c>
      <c r="H2604" s="292">
        <f t="shared" si="63"/>
        <v>1</v>
      </c>
      <c r="I2604" s="1509"/>
      <c r="J2604" s="1509"/>
      <c r="K2604" s="1509"/>
      <c r="L2604" s="1509"/>
      <c r="M2604" s="1509"/>
      <c r="N2604" s="1510"/>
    </row>
    <row r="2605" spans="1:14">
      <c r="A2605" s="1605"/>
      <c r="B2605" s="1012" t="s">
        <v>3094</v>
      </c>
      <c r="C2605" s="555"/>
      <c r="D2605" s="292">
        <v>1</v>
      </c>
      <c r="E2605" s="901">
        <v>2.1</v>
      </c>
      <c r="F2605" s="292"/>
      <c r="G2605" s="292">
        <v>1</v>
      </c>
      <c r="H2605" s="292">
        <f t="shared" si="63"/>
        <v>1</v>
      </c>
      <c r="I2605" s="1509"/>
      <c r="J2605" s="1509"/>
      <c r="K2605" s="1509"/>
      <c r="L2605" s="1509"/>
      <c r="M2605" s="1509"/>
      <c r="N2605" s="1510"/>
    </row>
    <row r="2606" spans="1:14">
      <c r="A2606" s="1605"/>
      <c r="B2606" s="1012" t="s">
        <v>3095</v>
      </c>
      <c r="C2606" s="555"/>
      <c r="D2606" s="292">
        <v>1</v>
      </c>
      <c r="E2606" s="901">
        <v>2.1</v>
      </c>
      <c r="F2606" s="292"/>
      <c r="G2606" s="292">
        <v>1</v>
      </c>
      <c r="H2606" s="292">
        <f t="shared" si="63"/>
        <v>1</v>
      </c>
      <c r="I2606" s="1509"/>
      <c r="J2606" s="1509"/>
      <c r="K2606" s="1509"/>
      <c r="L2606" s="1509"/>
      <c r="M2606" s="1509"/>
      <c r="N2606" s="1510"/>
    </row>
    <row r="2607" spans="1:14">
      <c r="A2607" s="1606" t="s">
        <v>3979</v>
      </c>
      <c r="B2607" s="1012" t="s">
        <v>3655</v>
      </c>
      <c r="C2607" s="555"/>
      <c r="D2607" s="292">
        <v>1</v>
      </c>
      <c r="E2607" s="901">
        <v>2.1</v>
      </c>
      <c r="F2607" s="292"/>
      <c r="G2607" s="292">
        <v>2</v>
      </c>
      <c r="H2607" s="292">
        <f t="shared" si="63"/>
        <v>2</v>
      </c>
      <c r="I2607" s="1509"/>
      <c r="J2607" s="1509"/>
      <c r="K2607" s="1509"/>
      <c r="L2607" s="1509"/>
      <c r="M2607" s="1509"/>
      <c r="N2607" s="1510"/>
    </row>
    <row r="2608" spans="1:14">
      <c r="A2608" s="1607"/>
      <c r="B2608" s="312"/>
      <c r="C2608" s="292"/>
      <c r="D2608" s="292"/>
      <c r="E2608" s="290"/>
      <c r="F2608" s="292"/>
      <c r="G2608" s="292"/>
      <c r="H2608" s="292"/>
      <c r="I2608" s="1509"/>
      <c r="J2608" s="1509"/>
      <c r="K2608" s="1509"/>
      <c r="L2608" s="1509"/>
      <c r="M2608" s="1509"/>
      <c r="N2608" s="1510"/>
    </row>
    <row r="2609" spans="1:14">
      <c r="A2609" s="1577" t="s">
        <v>2218</v>
      </c>
      <c r="B2609" s="1542"/>
      <c r="C2609" s="1542"/>
      <c r="D2609" s="1542"/>
      <c r="E2609" s="1542"/>
      <c r="F2609" s="1542"/>
      <c r="G2609" s="1542"/>
      <c r="H2609" s="271">
        <f>SUM(H2569:H2608)</f>
        <v>37</v>
      </c>
      <c r="I2609" s="1509"/>
      <c r="J2609" s="1509"/>
      <c r="K2609" s="1509"/>
      <c r="L2609" s="1509"/>
      <c r="M2609" s="1509"/>
      <c r="N2609" s="1510"/>
    </row>
    <row r="2610" spans="1:14">
      <c r="A2610" s="1578" t="s">
        <v>2219</v>
      </c>
      <c r="B2610" s="1538"/>
      <c r="C2610" s="1538"/>
      <c r="D2610" s="1538"/>
      <c r="E2610" s="1538"/>
      <c r="F2610" s="1538"/>
      <c r="G2610" s="1538"/>
      <c r="H2610" s="320">
        <f>SUM(H2570:H2586)</f>
        <v>17</v>
      </c>
      <c r="I2610" s="1509"/>
      <c r="J2610" s="1509"/>
      <c r="K2610" s="1509"/>
      <c r="L2610" s="1509"/>
      <c r="M2610" s="1509"/>
      <c r="N2610" s="1510"/>
    </row>
    <row r="2611" spans="1:14" ht="15.75" thickBot="1">
      <c r="A2611" s="1579" t="s">
        <v>2220</v>
      </c>
      <c r="B2611" s="1580"/>
      <c r="C2611" s="1580"/>
      <c r="D2611" s="1580"/>
      <c r="E2611" s="1580"/>
      <c r="F2611" s="1580"/>
      <c r="G2611" s="1580"/>
      <c r="H2611" s="216">
        <f>H2609-H2610</f>
        <v>20</v>
      </c>
      <c r="I2611" s="1512"/>
      <c r="J2611" s="1512"/>
      <c r="K2611" s="1512"/>
      <c r="L2611" s="1512"/>
      <c r="M2611" s="1512"/>
      <c r="N2611" s="1513"/>
    </row>
    <row r="2612" spans="1:14" ht="15.75" thickBot="1">
      <c r="A2612" s="278"/>
      <c r="B2612" s="278"/>
      <c r="C2612" s="278"/>
      <c r="D2612" s="281"/>
      <c r="E2612" s="1319"/>
      <c r="F2612" s="278"/>
      <c r="G2612" s="278"/>
      <c r="H2612" s="217"/>
      <c r="I2612" s="279"/>
      <c r="J2612" s="279"/>
      <c r="K2612" s="279"/>
      <c r="L2612" s="279"/>
      <c r="M2612" s="279"/>
      <c r="N2612" s="279"/>
    </row>
    <row r="2613" spans="1:14" ht="23.45" customHeight="1">
      <c r="A2613" s="1084" t="s">
        <v>3631</v>
      </c>
      <c r="B2613" s="1533" t="s">
        <v>829</v>
      </c>
      <c r="C2613" s="1533"/>
      <c r="D2613" s="1533"/>
      <c r="E2613" s="1533"/>
      <c r="F2613" s="1533"/>
      <c r="G2613" s="1533"/>
      <c r="H2613" s="1533"/>
      <c r="I2613" s="1533"/>
      <c r="J2613" s="1533"/>
      <c r="K2613" s="627" t="s">
        <v>28</v>
      </c>
      <c r="L2613" s="1534">
        <f>'27ª MEDIÇÃO '!F143</f>
        <v>5</v>
      </c>
      <c r="M2613" s="1534"/>
      <c r="N2613" s="197">
        <f>L2613-H2622</f>
        <v>0</v>
      </c>
    </row>
    <row r="2614" spans="1:14">
      <c r="A2614" s="1604" t="s">
        <v>3621</v>
      </c>
      <c r="B2614" s="628" t="s">
        <v>3305</v>
      </c>
      <c r="C2614" s="368" t="s">
        <v>2382</v>
      </c>
      <c r="D2614" s="369" t="s">
        <v>2187</v>
      </c>
      <c r="E2614" s="529" t="s">
        <v>2188</v>
      </c>
      <c r="F2614" s="369" t="s">
        <v>2189</v>
      </c>
      <c r="G2614" s="370" t="s">
        <v>2879</v>
      </c>
      <c r="H2614" s="934" t="s">
        <v>476</v>
      </c>
      <c r="I2614" s="1509"/>
      <c r="J2614" s="1509"/>
      <c r="K2614" s="1509"/>
      <c r="L2614" s="1509"/>
      <c r="M2614" s="1509"/>
      <c r="N2614" s="1510"/>
    </row>
    <row r="2615" spans="1:14">
      <c r="A2615" s="1605"/>
      <c r="B2615" s="1012" t="s">
        <v>3323</v>
      </c>
      <c r="C2615" s="292"/>
      <c r="D2615" s="292">
        <v>1</v>
      </c>
      <c r="E2615" s="901">
        <v>2.1</v>
      </c>
      <c r="F2615" s="292"/>
      <c r="G2615" s="292">
        <v>1</v>
      </c>
      <c r="H2615" s="292">
        <f>G2615</f>
        <v>1</v>
      </c>
      <c r="I2615" s="1509"/>
      <c r="J2615" s="1509"/>
      <c r="K2615" s="1509"/>
      <c r="L2615" s="1509"/>
      <c r="M2615" s="1509"/>
      <c r="N2615" s="1510"/>
    </row>
    <row r="2616" spans="1:14">
      <c r="A2616" s="1605"/>
      <c r="B2616" s="1012" t="s">
        <v>3322</v>
      </c>
      <c r="C2616" s="292"/>
      <c r="D2616" s="292">
        <v>1</v>
      </c>
      <c r="E2616" s="901">
        <v>2.1</v>
      </c>
      <c r="F2616" s="292"/>
      <c r="G2616" s="292">
        <v>1</v>
      </c>
      <c r="H2616" s="292">
        <f>G2616</f>
        <v>1</v>
      </c>
      <c r="I2616" s="1509"/>
      <c r="J2616" s="1509"/>
      <c r="K2616" s="1509"/>
      <c r="L2616" s="1509"/>
      <c r="M2616" s="1509"/>
      <c r="N2616" s="1510"/>
    </row>
    <row r="2617" spans="1:14">
      <c r="A2617" s="1606" t="s">
        <v>3854</v>
      </c>
      <c r="B2617" s="1012" t="s">
        <v>3304</v>
      </c>
      <c r="C2617" s="292"/>
      <c r="D2617" s="292"/>
      <c r="E2617" s="901"/>
      <c r="F2617" s="292"/>
      <c r="G2617" s="292"/>
      <c r="H2617" s="292"/>
      <c r="I2617" s="1509"/>
      <c r="J2617" s="1509"/>
      <c r="K2617" s="1509"/>
      <c r="L2617" s="1509"/>
      <c r="M2617" s="1509"/>
      <c r="N2617" s="1510"/>
    </row>
    <row r="2618" spans="1:14">
      <c r="A2618" s="1606"/>
      <c r="B2618" s="1012" t="s">
        <v>3857</v>
      </c>
      <c r="C2618" s="292"/>
      <c r="D2618" s="292">
        <v>1</v>
      </c>
      <c r="E2618" s="901">
        <v>2.1</v>
      </c>
      <c r="F2618" s="292"/>
      <c r="G2618" s="292">
        <v>1</v>
      </c>
      <c r="H2618" s="292">
        <f>G2618</f>
        <v>1</v>
      </c>
      <c r="I2618" s="1509"/>
      <c r="J2618" s="1509"/>
      <c r="K2618" s="1509"/>
      <c r="L2618" s="1509"/>
      <c r="M2618" s="1509"/>
      <c r="N2618" s="1510"/>
    </row>
    <row r="2619" spans="1:14">
      <c r="A2619" s="1606"/>
      <c r="B2619" s="1012" t="s">
        <v>3858</v>
      </c>
      <c r="C2619" s="292"/>
      <c r="D2619" s="292">
        <v>1</v>
      </c>
      <c r="E2619" s="901">
        <v>2.1</v>
      </c>
      <c r="F2619" s="292"/>
      <c r="G2619" s="292">
        <v>1</v>
      </c>
      <c r="H2619" s="292">
        <f>G2619</f>
        <v>1</v>
      </c>
      <c r="I2619" s="1509"/>
      <c r="J2619" s="1509"/>
      <c r="K2619" s="1509"/>
      <c r="L2619" s="1509"/>
      <c r="M2619" s="1509"/>
      <c r="N2619" s="1510"/>
    </row>
    <row r="2620" spans="1:14">
      <c r="A2620" s="1606"/>
      <c r="B2620" s="1012" t="s">
        <v>3859</v>
      </c>
      <c r="C2620" s="292"/>
      <c r="D2620" s="292">
        <v>1</v>
      </c>
      <c r="E2620" s="901">
        <v>2.1</v>
      </c>
      <c r="F2620" s="292"/>
      <c r="G2620" s="292">
        <v>1</v>
      </c>
      <c r="H2620" s="292">
        <f>G2620</f>
        <v>1</v>
      </c>
      <c r="I2620" s="1509"/>
      <c r="J2620" s="1509"/>
      <c r="K2620" s="1509"/>
      <c r="L2620" s="1509"/>
      <c r="M2620" s="1509"/>
      <c r="N2620" s="1510"/>
    </row>
    <row r="2621" spans="1:14">
      <c r="A2621" s="1196"/>
      <c r="B2621" s="312"/>
      <c r="C2621" s="292"/>
      <c r="D2621" s="292"/>
      <c r="E2621" s="290"/>
      <c r="F2621" s="292"/>
      <c r="G2621" s="292"/>
      <c r="H2621" s="292"/>
      <c r="I2621" s="1509"/>
      <c r="J2621" s="1509"/>
      <c r="K2621" s="1509"/>
      <c r="L2621" s="1509"/>
      <c r="M2621" s="1509"/>
      <c r="N2621" s="1510"/>
    </row>
    <row r="2622" spans="1:14">
      <c r="A2622" s="1577" t="s">
        <v>2218</v>
      </c>
      <c r="B2622" s="1542"/>
      <c r="C2622" s="1542"/>
      <c r="D2622" s="1542"/>
      <c r="E2622" s="1542"/>
      <c r="F2622" s="1542"/>
      <c r="G2622" s="1542"/>
      <c r="H2622" s="271">
        <f>SUM(H2615:H2621)</f>
        <v>5</v>
      </c>
      <c r="I2622" s="1509"/>
      <c r="J2622" s="1509"/>
      <c r="K2622" s="1509"/>
      <c r="L2622" s="1509"/>
      <c r="M2622" s="1509"/>
      <c r="N2622" s="1510"/>
    </row>
    <row r="2623" spans="1:14">
      <c r="A2623" s="1578" t="s">
        <v>2219</v>
      </c>
      <c r="B2623" s="1538"/>
      <c r="C2623" s="1538"/>
      <c r="D2623" s="1538"/>
      <c r="E2623" s="1538"/>
      <c r="F2623" s="1538"/>
      <c r="G2623" s="1538"/>
      <c r="H2623" s="320">
        <f>SUM(H2615:H2616)</f>
        <v>2</v>
      </c>
      <c r="I2623" s="1509"/>
      <c r="J2623" s="1509"/>
      <c r="K2623" s="1509"/>
      <c r="L2623" s="1509"/>
      <c r="M2623" s="1509"/>
      <c r="N2623" s="1510"/>
    </row>
    <row r="2624" spans="1:14" ht="15.75" thickBot="1">
      <c r="A2624" s="1579" t="s">
        <v>2220</v>
      </c>
      <c r="B2624" s="1580"/>
      <c r="C2624" s="1580"/>
      <c r="D2624" s="1580"/>
      <c r="E2624" s="1580"/>
      <c r="F2624" s="1580"/>
      <c r="G2624" s="1580"/>
      <c r="H2624" s="216">
        <f>H2622-H2623</f>
        <v>3</v>
      </c>
      <c r="I2624" s="1512"/>
      <c r="J2624" s="1512"/>
      <c r="K2624" s="1512"/>
      <c r="L2624" s="1512"/>
      <c r="M2624" s="1512"/>
      <c r="N2624" s="1513"/>
    </row>
    <row r="2625" spans="1:14" ht="15.75" thickBot="1">
      <c r="A2625" s="278"/>
      <c r="B2625" s="278"/>
      <c r="C2625" s="278"/>
      <c r="D2625" s="281"/>
      <c r="E2625" s="1319"/>
      <c r="F2625" s="278"/>
      <c r="G2625" s="278"/>
      <c r="H2625" s="217"/>
      <c r="I2625" s="279"/>
      <c r="J2625" s="279"/>
      <c r="K2625" s="279"/>
      <c r="L2625" s="279"/>
      <c r="M2625" s="279"/>
      <c r="N2625" s="279"/>
    </row>
    <row r="2626" spans="1:14" ht="23.45" customHeight="1">
      <c r="A2626" s="1084" t="s">
        <v>3978</v>
      </c>
      <c r="B2626" s="1533" t="s">
        <v>832</v>
      </c>
      <c r="C2626" s="1533"/>
      <c r="D2626" s="1533"/>
      <c r="E2626" s="1533"/>
      <c r="F2626" s="1533"/>
      <c r="G2626" s="1533"/>
      <c r="H2626" s="1533"/>
      <c r="I2626" s="1533"/>
      <c r="J2626" s="1533"/>
      <c r="K2626" s="627" t="s">
        <v>28</v>
      </c>
      <c r="L2626" s="1534">
        <v>1</v>
      </c>
      <c r="M2626" s="1534"/>
      <c r="N2626" s="197">
        <f>L2626-H2630</f>
        <v>0</v>
      </c>
    </row>
    <row r="2627" spans="1:14">
      <c r="A2627" s="1604" t="s">
        <v>3979</v>
      </c>
      <c r="B2627" s="628" t="s">
        <v>3305</v>
      </c>
      <c r="C2627" s="368" t="s">
        <v>2382</v>
      </c>
      <c r="D2627" s="369" t="s">
        <v>2187</v>
      </c>
      <c r="E2627" s="529" t="s">
        <v>2188</v>
      </c>
      <c r="F2627" s="369" t="s">
        <v>2189</v>
      </c>
      <c r="G2627" s="370" t="s">
        <v>2879</v>
      </c>
      <c r="H2627" s="934" t="s">
        <v>476</v>
      </c>
      <c r="I2627" s="1509"/>
      <c r="J2627" s="1509"/>
      <c r="K2627" s="1509"/>
      <c r="L2627" s="1509"/>
      <c r="M2627" s="1509"/>
      <c r="N2627" s="1510"/>
    </row>
    <row r="2628" spans="1:14">
      <c r="A2628" s="1605"/>
      <c r="B2628" s="1012" t="s">
        <v>3980</v>
      </c>
      <c r="C2628" s="292"/>
      <c r="D2628" s="292"/>
      <c r="E2628" s="901"/>
      <c r="F2628" s="292"/>
      <c r="G2628" s="292">
        <v>1</v>
      </c>
      <c r="H2628" s="292">
        <f>G2628</f>
        <v>1</v>
      </c>
      <c r="I2628" s="1509"/>
      <c r="J2628" s="1509"/>
      <c r="K2628" s="1509"/>
      <c r="L2628" s="1509"/>
      <c r="M2628" s="1509"/>
      <c r="N2628" s="1510"/>
    </row>
    <row r="2629" spans="1:14">
      <c r="A2629" s="1605"/>
      <c r="B2629" s="1012"/>
      <c r="C2629" s="292"/>
      <c r="D2629" s="292"/>
      <c r="E2629" s="901"/>
      <c r="F2629" s="292"/>
      <c r="G2629" s="292"/>
      <c r="H2629" s="292">
        <f>G2629</f>
        <v>0</v>
      </c>
      <c r="I2629" s="1509"/>
      <c r="J2629" s="1509"/>
      <c r="K2629" s="1509"/>
      <c r="L2629" s="1509"/>
      <c r="M2629" s="1509"/>
      <c r="N2629" s="1510"/>
    </row>
    <row r="2630" spans="1:14">
      <c r="A2630" s="1577" t="s">
        <v>2218</v>
      </c>
      <c r="B2630" s="1542"/>
      <c r="C2630" s="1542"/>
      <c r="D2630" s="1542"/>
      <c r="E2630" s="1542"/>
      <c r="F2630" s="1542"/>
      <c r="G2630" s="1542"/>
      <c r="H2630" s="271">
        <f>SUM(H2628:H2629)</f>
        <v>1</v>
      </c>
      <c r="I2630" s="1509"/>
      <c r="J2630" s="1509"/>
      <c r="K2630" s="1509"/>
      <c r="L2630" s="1509"/>
      <c r="M2630" s="1509"/>
      <c r="N2630" s="1510"/>
    </row>
    <row r="2631" spans="1:14">
      <c r="A2631" s="1578" t="s">
        <v>2219</v>
      </c>
      <c r="B2631" s="1538"/>
      <c r="C2631" s="1538"/>
      <c r="D2631" s="1538"/>
      <c r="E2631" s="1538"/>
      <c r="F2631" s="1538"/>
      <c r="G2631" s="1538"/>
      <c r="H2631" s="320">
        <v>0</v>
      </c>
      <c r="I2631" s="1509"/>
      <c r="J2631" s="1509"/>
      <c r="K2631" s="1509"/>
      <c r="L2631" s="1509"/>
      <c r="M2631" s="1509"/>
      <c r="N2631" s="1510"/>
    </row>
    <row r="2632" spans="1:14" ht="15.75" thickBot="1">
      <c r="A2632" s="1579" t="s">
        <v>2220</v>
      </c>
      <c r="B2632" s="1580"/>
      <c r="C2632" s="1580"/>
      <c r="D2632" s="1580"/>
      <c r="E2632" s="1580"/>
      <c r="F2632" s="1580"/>
      <c r="G2632" s="1580"/>
      <c r="H2632" s="216">
        <f>H2630-H2631</f>
        <v>1</v>
      </c>
      <c r="I2632" s="1512"/>
      <c r="J2632" s="1512"/>
      <c r="K2632" s="1512"/>
      <c r="L2632" s="1512"/>
      <c r="M2632" s="1512"/>
      <c r="N2632" s="1513"/>
    </row>
    <row r="2633" spans="1:14" ht="15.75" thickBot="1">
      <c r="A2633" s="278"/>
      <c r="B2633" s="278"/>
      <c r="C2633" s="278"/>
      <c r="D2633" s="281"/>
      <c r="E2633" s="1319"/>
      <c r="F2633" s="278"/>
      <c r="G2633" s="278"/>
      <c r="H2633" s="217"/>
      <c r="I2633" s="279"/>
      <c r="J2633" s="279"/>
      <c r="K2633" s="279"/>
      <c r="L2633" s="279"/>
      <c r="M2633" s="279"/>
      <c r="N2633" s="279"/>
    </row>
    <row r="2634" spans="1:14" ht="15.75" thickBot="1">
      <c r="A2634" s="1085" t="s">
        <v>3632</v>
      </c>
      <c r="B2634" s="1571" t="s">
        <v>834</v>
      </c>
      <c r="C2634" s="1572"/>
      <c r="D2634" s="1572"/>
      <c r="E2634" s="1572"/>
      <c r="F2634" s="1572"/>
      <c r="G2634" s="1572"/>
      <c r="H2634" s="1572"/>
      <c r="I2634" s="1572"/>
      <c r="J2634" s="1572"/>
      <c r="K2634" s="1572"/>
      <c r="L2634" s="1572"/>
      <c r="M2634" s="1572"/>
      <c r="N2634" s="1573"/>
    </row>
    <row r="2635" spans="1:14" ht="30" customHeight="1">
      <c r="A2635" s="1084" t="s">
        <v>3633</v>
      </c>
      <c r="B2635" s="1494" t="s">
        <v>837</v>
      </c>
      <c r="C2635" s="1495"/>
      <c r="D2635" s="1495"/>
      <c r="E2635" s="1495"/>
      <c r="F2635" s="1495"/>
      <c r="G2635" s="1495"/>
      <c r="H2635" s="1495"/>
      <c r="I2635" s="1495"/>
      <c r="J2635" s="1496"/>
      <c r="K2635" s="196" t="s">
        <v>44</v>
      </c>
      <c r="L2635" s="1497">
        <f>'27ª MEDIÇÃO '!F146</f>
        <v>4</v>
      </c>
      <c r="M2635" s="1498"/>
      <c r="N2635" s="197">
        <f>L2635-H2645</f>
        <v>0</v>
      </c>
    </row>
    <row r="2636" spans="1:14">
      <c r="A2636" s="1554"/>
      <c r="B2636" s="1541"/>
      <c r="C2636" s="366"/>
      <c r="D2636" s="367" t="s">
        <v>2183</v>
      </c>
      <c r="E2636" s="1320" t="s">
        <v>2184</v>
      </c>
      <c r="F2636" s="367" t="s">
        <v>2185</v>
      </c>
      <c r="G2636" s="367" t="s">
        <v>2186</v>
      </c>
      <c r="H2636" s="1542" t="s">
        <v>476</v>
      </c>
      <c r="I2636" s="1543"/>
      <c r="J2636" s="1543"/>
      <c r="K2636" s="1543"/>
      <c r="L2636" s="1543"/>
      <c r="M2636" s="1543"/>
      <c r="N2636" s="1566"/>
    </row>
    <row r="2637" spans="1:14">
      <c r="A2637" s="1554"/>
      <c r="B2637" s="1541"/>
      <c r="C2637" s="368" t="s">
        <v>2382</v>
      </c>
      <c r="D2637" s="369" t="s">
        <v>2187</v>
      </c>
      <c r="E2637" s="529" t="s">
        <v>2188</v>
      </c>
      <c r="F2637" s="369" t="s">
        <v>2189</v>
      </c>
      <c r="G2637" s="370" t="s">
        <v>2879</v>
      </c>
      <c r="H2637" s="1542"/>
      <c r="I2637" s="1543"/>
      <c r="J2637" s="1543"/>
      <c r="K2637" s="1543"/>
      <c r="L2637" s="1543"/>
      <c r="M2637" s="1543"/>
      <c r="N2637" s="1566"/>
    </row>
    <row r="2638" spans="1:14">
      <c r="A2638" s="1611" t="s">
        <v>3620</v>
      </c>
      <c r="B2638" s="996" t="s">
        <v>3305</v>
      </c>
      <c r="C2638" s="354"/>
      <c r="D2638" s="341"/>
      <c r="E2638" s="350"/>
      <c r="F2638" s="350"/>
      <c r="G2638" s="350"/>
      <c r="H2638" s="371"/>
      <c r="I2638" s="1567"/>
      <c r="J2638" s="1543"/>
      <c r="K2638" s="1543"/>
      <c r="L2638" s="1543"/>
      <c r="M2638" s="1543"/>
      <c r="N2638" s="1566"/>
    </row>
    <row r="2639" spans="1:14">
      <c r="A2639" s="1612"/>
      <c r="B2639" s="360" t="s">
        <v>2344</v>
      </c>
      <c r="C2639" s="354"/>
      <c r="D2639" s="341">
        <v>0.6</v>
      </c>
      <c r="E2639" s="350">
        <v>2.1</v>
      </c>
      <c r="F2639" s="350"/>
      <c r="G2639" s="350">
        <v>1</v>
      </c>
      <c r="H2639" s="371">
        <f>G2639</f>
        <v>1</v>
      </c>
      <c r="I2639" s="1567"/>
      <c r="J2639" s="1543"/>
      <c r="K2639" s="1543"/>
      <c r="L2639" s="1543"/>
      <c r="M2639" s="1543"/>
      <c r="N2639" s="1566"/>
    </row>
    <row r="2640" spans="1:14">
      <c r="A2640" s="1612"/>
      <c r="B2640" s="360" t="s">
        <v>2461</v>
      </c>
      <c r="C2640" s="354"/>
      <c r="D2640" s="341">
        <v>0.6</v>
      </c>
      <c r="E2640" s="350">
        <v>2.1</v>
      </c>
      <c r="F2640" s="350"/>
      <c r="G2640" s="350">
        <v>1</v>
      </c>
      <c r="H2640" s="371">
        <f>G2640</f>
        <v>1</v>
      </c>
      <c r="I2640" s="1567"/>
      <c r="J2640" s="1543"/>
      <c r="K2640" s="1543"/>
      <c r="L2640" s="1543"/>
      <c r="M2640" s="1543"/>
      <c r="N2640" s="1566"/>
    </row>
    <row r="2641" spans="1:14">
      <c r="A2641" s="1604" t="s">
        <v>3854</v>
      </c>
      <c r="B2641" s="973" t="s">
        <v>3304</v>
      </c>
      <c r="C2641" s="292"/>
      <c r="D2641" s="292"/>
      <c r="E2641" s="901"/>
      <c r="F2641" s="292"/>
      <c r="G2641" s="292"/>
      <c r="H2641" s="292"/>
      <c r="I2641" s="1567"/>
      <c r="J2641" s="1543"/>
      <c r="K2641" s="1543"/>
      <c r="L2641" s="1543"/>
      <c r="M2641" s="1543"/>
      <c r="N2641" s="1566"/>
    </row>
    <row r="2642" spans="1:14">
      <c r="A2642" s="1605"/>
      <c r="B2642" s="973" t="s">
        <v>3853</v>
      </c>
      <c r="C2642" s="292"/>
      <c r="D2642" s="292">
        <v>1</v>
      </c>
      <c r="E2642" s="901">
        <v>2.1</v>
      </c>
      <c r="F2642" s="292"/>
      <c r="G2642" s="292">
        <v>1</v>
      </c>
      <c r="H2642" s="292">
        <f>G2642</f>
        <v>1</v>
      </c>
      <c r="I2642" s="1567"/>
      <c r="J2642" s="1543"/>
      <c r="K2642" s="1543"/>
      <c r="L2642" s="1543"/>
      <c r="M2642" s="1543"/>
      <c r="N2642" s="1566"/>
    </row>
    <row r="2643" spans="1:14">
      <c r="A2643" s="1605"/>
      <c r="B2643" s="1012" t="s">
        <v>3090</v>
      </c>
      <c r="C2643" s="292"/>
      <c r="D2643" s="292">
        <v>1</v>
      </c>
      <c r="E2643" s="901">
        <v>2.1</v>
      </c>
      <c r="F2643" s="292"/>
      <c r="G2643" s="292">
        <v>1</v>
      </c>
      <c r="H2643" s="292">
        <f>G2643</f>
        <v>1</v>
      </c>
      <c r="I2643" s="1567"/>
      <c r="J2643" s="1543"/>
      <c r="K2643" s="1543"/>
      <c r="L2643" s="1543"/>
      <c r="M2643" s="1543"/>
      <c r="N2643" s="1566"/>
    </row>
    <row r="2644" spans="1:14">
      <c r="A2644" s="1100"/>
      <c r="B2644" s="360"/>
      <c r="C2644" s="354"/>
      <c r="D2644" s="341"/>
      <c r="E2644" s="341"/>
      <c r="F2644" s="341"/>
      <c r="G2644" s="341"/>
      <c r="H2644" s="371"/>
      <c r="I2644" s="1567"/>
      <c r="J2644" s="1543"/>
      <c r="K2644" s="1543"/>
      <c r="L2644" s="1543"/>
      <c r="M2644" s="1543"/>
      <c r="N2644" s="1566"/>
    </row>
    <row r="2645" spans="1:14">
      <c r="A2645" s="1608" t="s">
        <v>2218</v>
      </c>
      <c r="B2645" s="1609"/>
      <c r="C2645" s="1609"/>
      <c r="D2645" s="1609"/>
      <c r="E2645" s="1609"/>
      <c r="F2645" s="1609"/>
      <c r="G2645" s="1610"/>
      <c r="H2645" s="271">
        <f>SUM(H2638:H2644)</f>
        <v>4</v>
      </c>
      <c r="I2645" s="1567"/>
      <c r="J2645" s="1543"/>
      <c r="K2645" s="1543"/>
      <c r="L2645" s="1543"/>
      <c r="M2645" s="1543"/>
      <c r="N2645" s="1566"/>
    </row>
    <row r="2646" spans="1:14">
      <c r="A2646" s="1519" t="s">
        <v>2219</v>
      </c>
      <c r="B2646" s="1517"/>
      <c r="C2646" s="1517"/>
      <c r="D2646" s="1517"/>
      <c r="E2646" s="1517"/>
      <c r="F2646" s="1517"/>
      <c r="G2646" s="1518"/>
      <c r="H2646" s="272">
        <f>SUM(H2639:H2640)</f>
        <v>2</v>
      </c>
      <c r="I2646" s="1543"/>
      <c r="J2646" s="1543"/>
      <c r="K2646" s="1543"/>
      <c r="L2646" s="1543"/>
      <c r="M2646" s="1543"/>
      <c r="N2646" s="1566"/>
    </row>
    <row r="2647" spans="1:14" ht="15.75" thickBot="1">
      <c r="A2647" s="1520" t="s">
        <v>2220</v>
      </c>
      <c r="B2647" s="1521"/>
      <c r="C2647" s="1521"/>
      <c r="D2647" s="1521"/>
      <c r="E2647" s="1521"/>
      <c r="F2647" s="1521"/>
      <c r="G2647" s="1522"/>
      <c r="H2647" s="216">
        <f>H2645-H2646</f>
        <v>2</v>
      </c>
      <c r="I2647" s="1568"/>
      <c r="J2647" s="1568"/>
      <c r="K2647" s="1568"/>
      <c r="L2647" s="1568"/>
      <c r="M2647" s="1568"/>
      <c r="N2647" s="1569"/>
    </row>
    <row r="2648" spans="1:14" ht="15.75" thickBot="1">
      <c r="A2648" s="1099"/>
      <c r="B2648" s="344"/>
      <c r="C2648" s="343"/>
      <c r="D2648" s="345"/>
      <c r="E2648" s="1265"/>
      <c r="F2648" s="345"/>
      <c r="G2648" s="345"/>
      <c r="H2648" s="219"/>
      <c r="I2648" s="408"/>
      <c r="J2648" s="408"/>
      <c r="K2648" s="408"/>
      <c r="L2648" s="408"/>
      <c r="M2648" s="408"/>
      <c r="N2648" s="409"/>
    </row>
    <row r="2649" spans="1:14" ht="30" customHeight="1">
      <c r="A2649" s="1084" t="s">
        <v>3634</v>
      </c>
      <c r="B2649" s="1494" t="s">
        <v>840</v>
      </c>
      <c r="C2649" s="1495"/>
      <c r="D2649" s="1495"/>
      <c r="E2649" s="1495"/>
      <c r="F2649" s="1495"/>
      <c r="G2649" s="1495"/>
      <c r="H2649" s="1495"/>
      <c r="I2649" s="1495"/>
      <c r="J2649" s="1496"/>
      <c r="K2649" s="196" t="s">
        <v>44</v>
      </c>
      <c r="L2649" s="1497">
        <f>'27ª MEDIÇÃO '!F147</f>
        <v>9</v>
      </c>
      <c r="M2649" s="1498"/>
      <c r="N2649" s="197">
        <f>L2649-H2667</f>
        <v>0</v>
      </c>
    </row>
    <row r="2650" spans="1:14">
      <c r="A2650" s="1554"/>
      <c r="B2650" s="1541"/>
      <c r="C2650" s="366"/>
      <c r="D2650" s="367" t="s">
        <v>2183</v>
      </c>
      <c r="E2650" s="1320" t="s">
        <v>2184</v>
      </c>
      <c r="F2650" s="367" t="s">
        <v>2185</v>
      </c>
      <c r="G2650" s="367" t="s">
        <v>2186</v>
      </c>
      <c r="H2650" s="1542" t="s">
        <v>476</v>
      </c>
      <c r="I2650" s="1543"/>
      <c r="J2650" s="1543"/>
      <c r="K2650" s="1543"/>
      <c r="L2650" s="1543"/>
      <c r="M2650" s="1543"/>
      <c r="N2650" s="1566"/>
    </row>
    <row r="2651" spans="1:14">
      <c r="A2651" s="1554"/>
      <c r="B2651" s="1541"/>
      <c r="C2651" s="368" t="s">
        <v>2382</v>
      </c>
      <c r="D2651" s="369" t="s">
        <v>2187</v>
      </c>
      <c r="E2651" s="529" t="s">
        <v>2188</v>
      </c>
      <c r="F2651" s="369" t="s">
        <v>2189</v>
      </c>
      <c r="G2651" s="370" t="s">
        <v>2879</v>
      </c>
      <c r="H2651" s="1542"/>
      <c r="I2651" s="1543"/>
      <c r="J2651" s="1543"/>
      <c r="K2651" s="1543"/>
      <c r="L2651" s="1543"/>
      <c r="M2651" s="1543"/>
      <c r="N2651" s="1566"/>
    </row>
    <row r="2652" spans="1:14">
      <c r="A2652" s="1611" t="s">
        <v>3620</v>
      </c>
      <c r="B2652" s="996" t="s">
        <v>3305</v>
      </c>
      <c r="C2652" s="354"/>
      <c r="D2652" s="341"/>
      <c r="E2652" s="350"/>
      <c r="F2652" s="350"/>
      <c r="G2652" s="350"/>
      <c r="H2652" s="371"/>
      <c r="I2652" s="1567"/>
      <c r="J2652" s="1543"/>
      <c r="K2652" s="1543"/>
      <c r="L2652" s="1543"/>
      <c r="M2652" s="1543"/>
      <c r="N2652" s="1566"/>
    </row>
    <row r="2653" spans="1:14">
      <c r="A2653" s="1612"/>
      <c r="B2653" s="360" t="s">
        <v>3096</v>
      </c>
      <c r="C2653" s="354"/>
      <c r="D2653" s="341">
        <v>0.8</v>
      </c>
      <c r="E2653" s="350">
        <v>2.1</v>
      </c>
      <c r="F2653" s="350"/>
      <c r="G2653" s="350">
        <v>1</v>
      </c>
      <c r="H2653" s="371">
        <f>G2653</f>
        <v>1</v>
      </c>
      <c r="I2653" s="1567"/>
      <c r="J2653" s="1543"/>
      <c r="K2653" s="1543"/>
      <c r="L2653" s="1543"/>
      <c r="M2653" s="1543"/>
      <c r="N2653" s="1566"/>
    </row>
    <row r="2654" spans="1:14">
      <c r="A2654" s="1100"/>
      <c r="B2654" s="360" t="s">
        <v>3304</v>
      </c>
      <c r="C2654" s="354"/>
      <c r="D2654" s="341"/>
      <c r="E2654" s="350"/>
      <c r="F2654" s="350"/>
      <c r="G2654" s="350"/>
      <c r="H2654" s="371"/>
      <c r="I2654" s="1567"/>
      <c r="J2654" s="1543"/>
      <c r="K2654" s="1543"/>
      <c r="L2654" s="1543"/>
      <c r="M2654" s="1543"/>
      <c r="N2654" s="1566"/>
    </row>
    <row r="2655" spans="1:14">
      <c r="A2655" s="1100"/>
      <c r="B2655" s="360" t="s">
        <v>3091</v>
      </c>
      <c r="C2655" s="354"/>
      <c r="D2655" s="341">
        <v>0.8</v>
      </c>
      <c r="E2655" s="350">
        <v>2.1</v>
      </c>
      <c r="F2655" s="350"/>
      <c r="G2655" s="350">
        <v>1</v>
      </c>
      <c r="H2655" s="371">
        <f t="shared" ref="H2655:H2662" si="64">G2655</f>
        <v>1</v>
      </c>
      <c r="I2655" s="1567"/>
      <c r="J2655" s="1543"/>
      <c r="K2655" s="1543"/>
      <c r="L2655" s="1543"/>
      <c r="M2655" s="1543"/>
      <c r="N2655" s="1566"/>
    </row>
    <row r="2656" spans="1:14">
      <c r="A2656" s="1100"/>
      <c r="B2656" s="360" t="s">
        <v>3860</v>
      </c>
      <c r="C2656" s="354"/>
      <c r="D2656" s="341">
        <v>0.8</v>
      </c>
      <c r="E2656" s="350">
        <v>2.1</v>
      </c>
      <c r="F2656" s="350"/>
      <c r="G2656" s="350">
        <v>1</v>
      </c>
      <c r="H2656" s="371">
        <f t="shared" si="64"/>
        <v>1</v>
      </c>
      <c r="I2656" s="1567"/>
      <c r="J2656" s="1543"/>
      <c r="K2656" s="1543"/>
      <c r="L2656" s="1543"/>
      <c r="M2656" s="1543"/>
      <c r="N2656" s="1566"/>
    </row>
    <row r="2657" spans="1:14">
      <c r="A2657" s="1100"/>
      <c r="B2657" s="360" t="s">
        <v>2438</v>
      </c>
      <c r="C2657" s="354"/>
      <c r="D2657" s="341">
        <v>0.8</v>
      </c>
      <c r="E2657" s="350">
        <v>2.1</v>
      </c>
      <c r="F2657" s="350"/>
      <c r="G2657" s="350">
        <v>1</v>
      </c>
      <c r="H2657" s="371">
        <f t="shared" si="64"/>
        <v>1</v>
      </c>
      <c r="I2657" s="1567"/>
      <c r="J2657" s="1543"/>
      <c r="K2657" s="1543"/>
      <c r="L2657" s="1543"/>
      <c r="M2657" s="1543"/>
      <c r="N2657" s="1566"/>
    </row>
    <row r="2658" spans="1:14">
      <c r="A2658" s="1100"/>
      <c r="B2658" s="360" t="s">
        <v>2952</v>
      </c>
      <c r="C2658" s="354"/>
      <c r="D2658" s="341">
        <v>0.8</v>
      </c>
      <c r="E2658" s="350">
        <v>2.1</v>
      </c>
      <c r="F2658" s="350"/>
      <c r="G2658" s="350">
        <v>1</v>
      </c>
      <c r="H2658" s="371">
        <f t="shared" si="64"/>
        <v>1</v>
      </c>
      <c r="I2658" s="1567"/>
      <c r="J2658" s="1543"/>
      <c r="K2658" s="1543"/>
      <c r="L2658" s="1543"/>
      <c r="M2658" s="1543"/>
      <c r="N2658" s="1566"/>
    </row>
    <row r="2659" spans="1:14">
      <c r="A2659" s="1100"/>
      <c r="B2659" s="360" t="s">
        <v>3861</v>
      </c>
      <c r="C2659" s="354"/>
      <c r="D2659" s="341">
        <v>0.8</v>
      </c>
      <c r="E2659" s="350">
        <v>2.1</v>
      </c>
      <c r="F2659" s="350"/>
      <c r="G2659" s="350">
        <v>1</v>
      </c>
      <c r="H2659" s="371">
        <f t="shared" si="64"/>
        <v>1</v>
      </c>
      <c r="I2659" s="1567"/>
      <c r="J2659" s="1543"/>
      <c r="K2659" s="1543"/>
      <c r="L2659" s="1543"/>
      <c r="M2659" s="1543"/>
      <c r="N2659" s="1566"/>
    </row>
    <row r="2660" spans="1:14">
      <c r="A2660" s="1100"/>
      <c r="B2660" s="360" t="s">
        <v>3862</v>
      </c>
      <c r="C2660" s="354"/>
      <c r="D2660" s="341">
        <v>0.8</v>
      </c>
      <c r="E2660" s="350">
        <v>2.1</v>
      </c>
      <c r="F2660" s="350"/>
      <c r="G2660" s="350">
        <v>1</v>
      </c>
      <c r="H2660" s="371">
        <f t="shared" si="64"/>
        <v>1</v>
      </c>
      <c r="I2660" s="1567"/>
      <c r="J2660" s="1543"/>
      <c r="K2660" s="1543"/>
      <c r="L2660" s="1543"/>
      <c r="M2660" s="1543"/>
      <c r="N2660" s="1566"/>
    </row>
    <row r="2661" spans="1:14">
      <c r="A2661" s="1100"/>
      <c r="B2661" s="360" t="s">
        <v>3095</v>
      </c>
      <c r="C2661" s="354"/>
      <c r="D2661" s="341">
        <v>0.8</v>
      </c>
      <c r="E2661" s="350">
        <v>2.1</v>
      </c>
      <c r="F2661" s="350"/>
      <c r="G2661" s="350">
        <v>1</v>
      </c>
      <c r="H2661" s="371">
        <f t="shared" si="64"/>
        <v>1</v>
      </c>
      <c r="I2661" s="1567"/>
      <c r="J2661" s="1543"/>
      <c r="K2661" s="1543"/>
      <c r="L2661" s="1543"/>
      <c r="M2661" s="1543"/>
      <c r="N2661" s="1566"/>
    </row>
    <row r="2662" spans="1:14">
      <c r="A2662" s="1100" t="s">
        <v>3981</v>
      </c>
      <c r="B2662" s="360" t="s">
        <v>3625</v>
      </c>
      <c r="C2662" s="354"/>
      <c r="D2662" s="341">
        <v>0.8</v>
      </c>
      <c r="E2662" s="350">
        <v>2.1</v>
      </c>
      <c r="F2662" s="350"/>
      <c r="G2662" s="350">
        <v>1</v>
      </c>
      <c r="H2662" s="371">
        <f t="shared" si="64"/>
        <v>1</v>
      </c>
      <c r="I2662" s="1567"/>
      <c r="J2662" s="1543"/>
      <c r="K2662" s="1543"/>
      <c r="L2662" s="1543"/>
      <c r="M2662" s="1543"/>
      <c r="N2662" s="1566"/>
    </row>
    <row r="2663" spans="1:14">
      <c r="A2663" s="1100"/>
      <c r="B2663" s="360"/>
      <c r="C2663" s="354"/>
      <c r="D2663" s="341"/>
      <c r="E2663" s="350"/>
      <c r="F2663" s="350"/>
      <c r="G2663" s="350"/>
      <c r="H2663" s="371"/>
      <c r="I2663" s="1567"/>
      <c r="J2663" s="1543"/>
      <c r="K2663" s="1543"/>
      <c r="L2663" s="1543"/>
      <c r="M2663" s="1543"/>
      <c r="N2663" s="1566"/>
    </row>
    <row r="2664" spans="1:14">
      <c r="A2664" s="1100"/>
      <c r="B2664" s="360"/>
      <c r="C2664" s="354"/>
      <c r="D2664" s="341"/>
      <c r="E2664" s="350"/>
      <c r="F2664" s="350"/>
      <c r="G2664" s="350"/>
      <c r="H2664" s="371"/>
      <c r="I2664" s="1567"/>
      <c r="J2664" s="1543"/>
      <c r="K2664" s="1543"/>
      <c r="L2664" s="1543"/>
      <c r="M2664" s="1543"/>
      <c r="N2664" s="1566"/>
    </row>
    <row r="2665" spans="1:14">
      <c r="A2665" s="1100"/>
      <c r="B2665" s="360"/>
      <c r="C2665" s="354"/>
      <c r="D2665" s="341"/>
      <c r="E2665" s="350"/>
      <c r="F2665" s="350"/>
      <c r="G2665" s="350"/>
      <c r="H2665" s="371"/>
      <c r="I2665" s="1567"/>
      <c r="J2665" s="1543"/>
      <c r="K2665" s="1543"/>
      <c r="L2665" s="1543"/>
      <c r="M2665" s="1543"/>
      <c r="N2665" s="1566"/>
    </row>
    <row r="2666" spans="1:14">
      <c r="A2666" s="1100"/>
      <c r="B2666" s="360"/>
      <c r="C2666" s="354"/>
      <c r="D2666" s="341"/>
      <c r="E2666" s="341"/>
      <c r="F2666" s="341"/>
      <c r="G2666" s="341"/>
      <c r="H2666" s="371"/>
      <c r="I2666" s="1567"/>
      <c r="J2666" s="1543"/>
      <c r="K2666" s="1543"/>
      <c r="L2666" s="1543"/>
      <c r="M2666" s="1543"/>
      <c r="N2666" s="1566"/>
    </row>
    <row r="2667" spans="1:14">
      <c r="A2667" s="1608" t="s">
        <v>2218</v>
      </c>
      <c r="B2667" s="1609"/>
      <c r="C2667" s="1609"/>
      <c r="D2667" s="1609"/>
      <c r="E2667" s="1609"/>
      <c r="F2667" s="1609"/>
      <c r="G2667" s="1610"/>
      <c r="H2667" s="271">
        <f>SUM(H2652:H2666)</f>
        <v>9</v>
      </c>
      <c r="I2667" s="1567"/>
      <c r="J2667" s="1543"/>
      <c r="K2667" s="1543"/>
      <c r="L2667" s="1543"/>
      <c r="M2667" s="1543"/>
      <c r="N2667" s="1566"/>
    </row>
    <row r="2668" spans="1:14">
      <c r="A2668" s="1519" t="s">
        <v>2219</v>
      </c>
      <c r="B2668" s="1517"/>
      <c r="C2668" s="1517"/>
      <c r="D2668" s="1517"/>
      <c r="E2668" s="1517"/>
      <c r="F2668" s="1517"/>
      <c r="G2668" s="1518"/>
      <c r="H2668" s="272">
        <f>SUM(H2653)</f>
        <v>1</v>
      </c>
      <c r="I2668" s="1543"/>
      <c r="J2668" s="1543"/>
      <c r="K2668" s="1543"/>
      <c r="L2668" s="1543"/>
      <c r="M2668" s="1543"/>
      <c r="N2668" s="1566"/>
    </row>
    <row r="2669" spans="1:14" ht="15.75" thickBot="1">
      <c r="A2669" s="1520" t="s">
        <v>2220</v>
      </c>
      <c r="B2669" s="1521"/>
      <c r="C2669" s="1521"/>
      <c r="D2669" s="1521"/>
      <c r="E2669" s="1521"/>
      <c r="F2669" s="1521"/>
      <c r="G2669" s="1522"/>
      <c r="H2669" s="216">
        <f>H2667-H2668</f>
        <v>8</v>
      </c>
      <c r="I2669" s="1568"/>
      <c r="J2669" s="1568"/>
      <c r="K2669" s="1568"/>
      <c r="L2669" s="1568"/>
      <c r="M2669" s="1568"/>
      <c r="N2669" s="1569"/>
    </row>
    <row r="2670" spans="1:14" ht="15.75" thickBot="1">
      <c r="A2670" s="1099"/>
      <c r="B2670" s="344"/>
      <c r="C2670" s="343"/>
      <c r="D2670" s="345"/>
      <c r="E2670" s="1265"/>
      <c r="F2670" s="345"/>
      <c r="G2670" s="345"/>
      <c r="H2670" s="219"/>
      <c r="I2670" s="408"/>
      <c r="J2670" s="408"/>
      <c r="K2670" s="408"/>
      <c r="L2670" s="408"/>
      <c r="M2670" s="408"/>
      <c r="N2670" s="409"/>
    </row>
    <row r="2671" spans="1:14" ht="30" customHeight="1">
      <c r="A2671" s="1084" t="s">
        <v>3635</v>
      </c>
      <c r="B2671" s="1494" t="s">
        <v>843</v>
      </c>
      <c r="C2671" s="1495"/>
      <c r="D2671" s="1495"/>
      <c r="E2671" s="1495"/>
      <c r="F2671" s="1495"/>
      <c r="G2671" s="1495"/>
      <c r="H2671" s="1495"/>
      <c r="I2671" s="1495"/>
      <c r="J2671" s="1496"/>
      <c r="K2671" s="196" t="s">
        <v>44</v>
      </c>
      <c r="L2671" s="1497">
        <f>'27ª MEDIÇÃO '!F148</f>
        <v>5</v>
      </c>
      <c r="M2671" s="1498"/>
      <c r="N2671" s="197">
        <f>L2671-H2683</f>
        <v>0</v>
      </c>
    </row>
    <row r="2672" spans="1:14">
      <c r="A2672" s="1554"/>
      <c r="B2672" s="1541"/>
      <c r="C2672" s="366"/>
      <c r="D2672" s="367" t="s">
        <v>2183</v>
      </c>
      <c r="E2672" s="1320" t="s">
        <v>2184</v>
      </c>
      <c r="F2672" s="367" t="s">
        <v>2185</v>
      </c>
      <c r="G2672" s="367" t="s">
        <v>2186</v>
      </c>
      <c r="H2672" s="1542" t="s">
        <v>476</v>
      </c>
      <c r="I2672" s="1543"/>
      <c r="J2672" s="1543"/>
      <c r="K2672" s="1543"/>
      <c r="L2672" s="1543"/>
      <c r="M2672" s="1543"/>
      <c r="N2672" s="1566"/>
    </row>
    <row r="2673" spans="1:14">
      <c r="A2673" s="1554"/>
      <c r="B2673" s="1541"/>
      <c r="C2673" s="368" t="s">
        <v>2382</v>
      </c>
      <c r="D2673" s="369" t="s">
        <v>2187</v>
      </c>
      <c r="E2673" s="529" t="s">
        <v>2188</v>
      </c>
      <c r="F2673" s="369" t="s">
        <v>2189</v>
      </c>
      <c r="G2673" s="370" t="s">
        <v>2879</v>
      </c>
      <c r="H2673" s="1542"/>
      <c r="I2673" s="1543"/>
      <c r="J2673" s="1543"/>
      <c r="K2673" s="1543"/>
      <c r="L2673" s="1543"/>
      <c r="M2673" s="1543"/>
      <c r="N2673" s="1566"/>
    </row>
    <row r="2674" spans="1:14">
      <c r="A2674" s="1611" t="s">
        <v>3620</v>
      </c>
      <c r="B2674" s="996" t="s">
        <v>3305</v>
      </c>
      <c r="C2674" s="354"/>
      <c r="D2674" s="341"/>
      <c r="E2674" s="350"/>
      <c r="F2674" s="350"/>
      <c r="G2674" s="350"/>
      <c r="H2674" s="371"/>
      <c r="I2674" s="1567"/>
      <c r="J2674" s="1543"/>
      <c r="K2674" s="1543"/>
      <c r="L2674" s="1543"/>
      <c r="M2674" s="1543"/>
      <c r="N2674" s="1566"/>
    </row>
    <row r="2675" spans="1:14">
      <c r="A2675" s="1612"/>
      <c r="B2675" s="1012" t="s">
        <v>3323</v>
      </c>
      <c r="C2675" s="354"/>
      <c r="D2675" s="341">
        <v>0.9</v>
      </c>
      <c r="E2675" s="350">
        <v>2.1</v>
      </c>
      <c r="F2675" s="350"/>
      <c r="G2675" s="350">
        <v>1</v>
      </c>
      <c r="H2675" s="371">
        <f>G2675</f>
        <v>1</v>
      </c>
      <c r="I2675" s="1567"/>
      <c r="J2675" s="1543"/>
      <c r="K2675" s="1543"/>
      <c r="L2675" s="1543"/>
      <c r="M2675" s="1543"/>
      <c r="N2675" s="1566"/>
    </row>
    <row r="2676" spans="1:14">
      <c r="A2676" s="1612"/>
      <c r="B2676" s="1012" t="s">
        <v>3322</v>
      </c>
      <c r="C2676" s="354"/>
      <c r="D2676" s="341">
        <v>0.9</v>
      </c>
      <c r="E2676" s="350">
        <v>2.1</v>
      </c>
      <c r="F2676" s="350"/>
      <c r="G2676" s="350">
        <v>1</v>
      </c>
      <c r="H2676" s="371">
        <f>G2676</f>
        <v>1</v>
      </c>
      <c r="I2676" s="1567"/>
      <c r="J2676" s="1543"/>
      <c r="K2676" s="1543"/>
      <c r="L2676" s="1543"/>
      <c r="M2676" s="1543"/>
      <c r="N2676" s="1566"/>
    </row>
    <row r="2677" spans="1:14">
      <c r="A2677" s="1612" t="s">
        <v>3854</v>
      </c>
      <c r="B2677" s="996" t="s">
        <v>3304</v>
      </c>
      <c r="C2677" s="354"/>
      <c r="D2677" s="341"/>
      <c r="E2677" s="350"/>
      <c r="F2677" s="350"/>
      <c r="G2677" s="350"/>
      <c r="H2677" s="371"/>
      <c r="I2677" s="1567"/>
      <c r="J2677" s="1543"/>
      <c r="K2677" s="1543"/>
      <c r="L2677" s="1543"/>
      <c r="M2677" s="1543"/>
      <c r="N2677" s="1566"/>
    </row>
    <row r="2678" spans="1:14">
      <c r="A2678" s="1612"/>
      <c r="B2678" s="1012" t="s">
        <v>3323</v>
      </c>
      <c r="C2678" s="354"/>
      <c r="D2678" s="341">
        <v>0.9</v>
      </c>
      <c r="E2678" s="350">
        <v>2.1</v>
      </c>
      <c r="F2678" s="350"/>
      <c r="G2678" s="350">
        <v>1</v>
      </c>
      <c r="H2678" s="371">
        <f>G2678</f>
        <v>1</v>
      </c>
      <c r="I2678" s="1567"/>
      <c r="J2678" s="1543"/>
      <c r="K2678" s="1543"/>
      <c r="L2678" s="1543"/>
      <c r="M2678" s="1543"/>
      <c r="N2678" s="1566"/>
    </row>
    <row r="2679" spans="1:14">
      <c r="A2679" s="1612"/>
      <c r="B2679" s="1012" t="s">
        <v>3322</v>
      </c>
      <c r="C2679" s="354"/>
      <c r="D2679" s="341">
        <v>0.9</v>
      </c>
      <c r="E2679" s="350">
        <v>2.1</v>
      </c>
      <c r="F2679" s="350"/>
      <c r="G2679" s="350">
        <v>1</v>
      </c>
      <c r="H2679" s="371">
        <f>G2679</f>
        <v>1</v>
      </c>
      <c r="I2679" s="1567"/>
      <c r="J2679" s="1543"/>
      <c r="K2679" s="1543"/>
      <c r="L2679" s="1543"/>
      <c r="M2679" s="1543"/>
      <c r="N2679" s="1566"/>
    </row>
    <row r="2680" spans="1:14">
      <c r="A2680" s="1612"/>
      <c r="B2680" s="890" t="s">
        <v>3318</v>
      </c>
      <c r="C2680" s="354"/>
      <c r="D2680" s="341">
        <v>0.9</v>
      </c>
      <c r="E2680" s="350">
        <v>2.1</v>
      </c>
      <c r="F2680" s="350"/>
      <c r="G2680" s="350">
        <v>1</v>
      </c>
      <c r="H2680" s="371">
        <f>G2680</f>
        <v>1</v>
      </c>
      <c r="I2680" s="1567"/>
      <c r="J2680" s="1543"/>
      <c r="K2680" s="1543"/>
      <c r="L2680" s="1543"/>
      <c r="M2680" s="1543"/>
      <c r="N2680" s="1566"/>
    </row>
    <row r="2681" spans="1:14">
      <c r="A2681" s="1100"/>
      <c r="B2681" s="890"/>
      <c r="C2681" s="354"/>
      <c r="D2681" s="341"/>
      <c r="E2681" s="350"/>
      <c r="F2681" s="350"/>
      <c r="G2681" s="350"/>
      <c r="H2681" s="371"/>
      <c r="I2681" s="1567"/>
      <c r="J2681" s="1543"/>
      <c r="K2681" s="1543"/>
      <c r="L2681" s="1543"/>
      <c r="M2681" s="1543"/>
      <c r="N2681" s="1566"/>
    </row>
    <row r="2682" spans="1:14">
      <c r="A2682" s="1100"/>
      <c r="B2682" s="360"/>
      <c r="C2682" s="354"/>
      <c r="D2682" s="341"/>
      <c r="E2682" s="341"/>
      <c r="F2682" s="341"/>
      <c r="G2682" s="341"/>
      <c r="H2682" s="371"/>
      <c r="I2682" s="1567"/>
      <c r="J2682" s="1543"/>
      <c r="K2682" s="1543"/>
      <c r="L2682" s="1543"/>
      <c r="M2682" s="1543"/>
      <c r="N2682" s="1566"/>
    </row>
    <row r="2683" spans="1:14">
      <c r="A2683" s="1608" t="s">
        <v>2218</v>
      </c>
      <c r="B2683" s="1609"/>
      <c r="C2683" s="1609"/>
      <c r="D2683" s="1609"/>
      <c r="E2683" s="1609"/>
      <c r="F2683" s="1609"/>
      <c r="G2683" s="1610"/>
      <c r="H2683" s="271">
        <f>SUM(H2674:H2682)</f>
        <v>5</v>
      </c>
      <c r="I2683" s="1567"/>
      <c r="J2683" s="1543"/>
      <c r="K2683" s="1543"/>
      <c r="L2683" s="1543"/>
      <c r="M2683" s="1543"/>
      <c r="N2683" s="1566"/>
    </row>
    <row r="2684" spans="1:14">
      <c r="A2684" s="1519" t="s">
        <v>2219</v>
      </c>
      <c r="B2684" s="1517"/>
      <c r="C2684" s="1517"/>
      <c r="D2684" s="1517"/>
      <c r="E2684" s="1517"/>
      <c r="F2684" s="1517"/>
      <c r="G2684" s="1518"/>
      <c r="H2684" s="272">
        <f>SUM(H2675:H2676)</f>
        <v>2</v>
      </c>
      <c r="I2684" s="1543"/>
      <c r="J2684" s="1543"/>
      <c r="K2684" s="1543"/>
      <c r="L2684" s="1543"/>
      <c r="M2684" s="1543"/>
      <c r="N2684" s="1566"/>
    </row>
    <row r="2685" spans="1:14" ht="15.75" thickBot="1">
      <c r="A2685" s="1520" t="s">
        <v>2220</v>
      </c>
      <c r="B2685" s="1521"/>
      <c r="C2685" s="1521"/>
      <c r="D2685" s="1521"/>
      <c r="E2685" s="1521"/>
      <c r="F2685" s="1521"/>
      <c r="G2685" s="1522"/>
      <c r="H2685" s="216">
        <f>H2683-H2684</f>
        <v>3</v>
      </c>
      <c r="I2685" s="1568"/>
      <c r="J2685" s="1568"/>
      <c r="K2685" s="1568"/>
      <c r="L2685" s="1568"/>
      <c r="M2685" s="1568"/>
      <c r="N2685" s="1569"/>
    </row>
    <row r="2686" spans="1:14" ht="15.75" thickBot="1">
      <c r="A2686" s="1099"/>
      <c r="B2686" s="344"/>
      <c r="C2686" s="343"/>
      <c r="D2686" s="345"/>
      <c r="E2686" s="1265"/>
      <c r="F2686" s="345"/>
      <c r="G2686" s="345"/>
      <c r="H2686" s="219"/>
      <c r="I2686" s="408"/>
      <c r="J2686" s="408"/>
      <c r="K2686" s="408"/>
      <c r="L2686" s="408"/>
      <c r="M2686" s="408"/>
      <c r="N2686" s="409"/>
    </row>
    <row r="2687" spans="1:14" ht="30" customHeight="1">
      <c r="A2687" s="1084" t="s">
        <v>3636</v>
      </c>
      <c r="B2687" s="1494" t="s">
        <v>849</v>
      </c>
      <c r="C2687" s="1495"/>
      <c r="D2687" s="1495"/>
      <c r="E2687" s="1495"/>
      <c r="F2687" s="1495"/>
      <c r="G2687" s="1495"/>
      <c r="H2687" s="1495"/>
      <c r="I2687" s="1495"/>
      <c r="J2687" s="1496"/>
      <c r="K2687" s="196" t="s">
        <v>44</v>
      </c>
      <c r="L2687" s="1497">
        <f>'27ª MEDIÇÃO '!F150</f>
        <v>28</v>
      </c>
      <c r="M2687" s="1498"/>
      <c r="N2687" s="197">
        <f>L2687-H2720</f>
        <v>0</v>
      </c>
    </row>
    <row r="2688" spans="1:14">
      <c r="A2688" s="1554"/>
      <c r="B2688" s="1541"/>
      <c r="C2688" s="366"/>
      <c r="D2688" s="367" t="s">
        <v>2183</v>
      </c>
      <c r="E2688" s="1320" t="s">
        <v>2184</v>
      </c>
      <c r="F2688" s="367" t="s">
        <v>2185</v>
      </c>
      <c r="G2688" s="367" t="s">
        <v>2186</v>
      </c>
      <c r="H2688" s="1542" t="s">
        <v>476</v>
      </c>
      <c r="I2688" s="1543"/>
      <c r="J2688" s="1543"/>
      <c r="K2688" s="1543"/>
      <c r="L2688" s="1543"/>
      <c r="M2688" s="1543"/>
      <c r="N2688" s="1566"/>
    </row>
    <row r="2689" spans="1:14">
      <c r="A2689" s="1554"/>
      <c r="B2689" s="1541"/>
      <c r="C2689" s="368" t="s">
        <v>2382</v>
      </c>
      <c r="D2689" s="369" t="s">
        <v>2187</v>
      </c>
      <c r="E2689" s="529" t="s">
        <v>2188</v>
      </c>
      <c r="F2689" s="369" t="s">
        <v>2189</v>
      </c>
      <c r="G2689" s="370" t="s">
        <v>2879</v>
      </c>
      <c r="H2689" s="1542"/>
      <c r="I2689" s="1543"/>
      <c r="J2689" s="1543"/>
      <c r="K2689" s="1543"/>
      <c r="L2689" s="1543"/>
      <c r="M2689" s="1543"/>
      <c r="N2689" s="1566"/>
    </row>
    <row r="2690" spans="1:14">
      <c r="A2690" s="1611" t="s">
        <v>3620</v>
      </c>
      <c r="B2690" s="996" t="s">
        <v>3305</v>
      </c>
      <c r="C2690" s="354"/>
      <c r="D2690" s="341"/>
      <c r="E2690" s="350"/>
      <c r="F2690" s="350"/>
      <c r="G2690" s="350"/>
      <c r="H2690" s="371"/>
      <c r="I2690" s="1567"/>
      <c r="J2690" s="1543"/>
      <c r="K2690" s="1543"/>
      <c r="L2690" s="1543"/>
      <c r="M2690" s="1543"/>
      <c r="N2690" s="1566"/>
    </row>
    <row r="2691" spans="1:14">
      <c r="A2691" s="1612"/>
      <c r="B2691" s="973" t="s">
        <v>2978</v>
      </c>
      <c r="C2691" s="354"/>
      <c r="D2691" s="341">
        <v>0.8</v>
      </c>
      <c r="E2691" s="350">
        <v>2.1</v>
      </c>
      <c r="F2691" s="350"/>
      <c r="G2691" s="350">
        <v>1</v>
      </c>
      <c r="H2691" s="371">
        <f>G2691</f>
        <v>1</v>
      </c>
      <c r="I2691" s="1567"/>
      <c r="J2691" s="1543"/>
      <c r="K2691" s="1543"/>
      <c r="L2691" s="1543"/>
      <c r="M2691" s="1543"/>
      <c r="N2691" s="1566"/>
    </row>
    <row r="2692" spans="1:14">
      <c r="A2692" s="1612"/>
      <c r="B2692" s="973" t="s">
        <v>3574</v>
      </c>
      <c r="C2692" s="354"/>
      <c r="D2692" s="341">
        <v>0.8</v>
      </c>
      <c r="E2692" s="350">
        <v>2.1</v>
      </c>
      <c r="F2692" s="350"/>
      <c r="G2692" s="350">
        <v>1</v>
      </c>
      <c r="H2692" s="371">
        <f t="shared" ref="H2692:H2705" si="65">G2692</f>
        <v>1</v>
      </c>
      <c r="I2692" s="1567"/>
      <c r="J2692" s="1543"/>
      <c r="K2692" s="1543"/>
      <c r="L2692" s="1543"/>
      <c r="M2692" s="1543"/>
      <c r="N2692" s="1566"/>
    </row>
    <row r="2693" spans="1:14">
      <c r="A2693" s="1612"/>
      <c r="B2693" s="973" t="s">
        <v>3575</v>
      </c>
      <c r="C2693" s="354"/>
      <c r="D2693" s="341">
        <v>0.8</v>
      </c>
      <c r="E2693" s="350">
        <v>2.1</v>
      </c>
      <c r="F2693" s="350"/>
      <c r="G2693" s="350">
        <v>1</v>
      </c>
      <c r="H2693" s="371">
        <f t="shared" si="65"/>
        <v>1</v>
      </c>
      <c r="I2693" s="1567"/>
      <c r="J2693" s="1543"/>
      <c r="K2693" s="1543"/>
      <c r="L2693" s="1543"/>
      <c r="M2693" s="1543"/>
      <c r="N2693" s="1566"/>
    </row>
    <row r="2694" spans="1:14">
      <c r="A2694" s="1612"/>
      <c r="B2694" s="973" t="s">
        <v>3464</v>
      </c>
      <c r="C2694" s="354"/>
      <c r="D2694" s="341">
        <v>0.8</v>
      </c>
      <c r="E2694" s="350">
        <v>2.1</v>
      </c>
      <c r="F2694" s="350"/>
      <c r="G2694" s="350">
        <v>1</v>
      </c>
      <c r="H2694" s="371">
        <f t="shared" si="65"/>
        <v>1</v>
      </c>
      <c r="I2694" s="1567"/>
      <c r="J2694" s="1543"/>
      <c r="K2694" s="1543"/>
      <c r="L2694" s="1543"/>
      <c r="M2694" s="1543"/>
      <c r="N2694" s="1566"/>
    </row>
    <row r="2695" spans="1:14">
      <c r="A2695" s="1612"/>
      <c r="B2695" s="973" t="s">
        <v>2989</v>
      </c>
      <c r="C2695" s="354"/>
      <c r="D2695" s="341">
        <v>0.8</v>
      </c>
      <c r="E2695" s="350">
        <v>2.1</v>
      </c>
      <c r="F2695" s="350"/>
      <c r="G2695" s="350">
        <v>1</v>
      </c>
      <c r="H2695" s="371">
        <f t="shared" si="65"/>
        <v>1</v>
      </c>
      <c r="I2695" s="1567"/>
      <c r="J2695" s="1543"/>
      <c r="K2695" s="1543"/>
      <c r="L2695" s="1543"/>
      <c r="M2695" s="1543"/>
      <c r="N2695" s="1566"/>
    </row>
    <row r="2696" spans="1:14">
      <c r="A2696" s="1612"/>
      <c r="B2696" s="973" t="s">
        <v>2982</v>
      </c>
      <c r="C2696" s="354"/>
      <c r="D2696" s="341">
        <v>0.8</v>
      </c>
      <c r="E2696" s="350">
        <v>2.1</v>
      </c>
      <c r="F2696" s="350"/>
      <c r="G2696" s="350">
        <v>1</v>
      </c>
      <c r="H2696" s="371">
        <f t="shared" si="65"/>
        <v>1</v>
      </c>
      <c r="I2696" s="1567"/>
      <c r="J2696" s="1543"/>
      <c r="K2696" s="1543"/>
      <c r="L2696" s="1543"/>
      <c r="M2696" s="1543"/>
      <c r="N2696" s="1566"/>
    </row>
    <row r="2697" spans="1:14">
      <c r="A2697" s="1612"/>
      <c r="B2697" s="973" t="s">
        <v>2342</v>
      </c>
      <c r="C2697" s="354"/>
      <c r="D2697" s="341">
        <v>0.8</v>
      </c>
      <c r="E2697" s="350">
        <v>2.1</v>
      </c>
      <c r="F2697" s="350"/>
      <c r="G2697" s="350">
        <v>1</v>
      </c>
      <c r="H2697" s="371">
        <f t="shared" si="65"/>
        <v>1</v>
      </c>
      <c r="I2697" s="1567"/>
      <c r="J2697" s="1543"/>
      <c r="K2697" s="1543"/>
      <c r="L2697" s="1543"/>
      <c r="M2697" s="1543"/>
      <c r="N2697" s="1566"/>
    </row>
    <row r="2698" spans="1:14">
      <c r="A2698" s="1612"/>
      <c r="B2698" s="973" t="s">
        <v>2984</v>
      </c>
      <c r="C2698" s="354"/>
      <c r="D2698" s="341">
        <v>0.8</v>
      </c>
      <c r="E2698" s="350">
        <v>2.1</v>
      </c>
      <c r="F2698" s="350"/>
      <c r="G2698" s="350">
        <v>1</v>
      </c>
      <c r="H2698" s="371">
        <f t="shared" si="65"/>
        <v>1</v>
      </c>
      <c r="I2698" s="1567"/>
      <c r="J2698" s="1543"/>
      <c r="K2698" s="1543"/>
      <c r="L2698" s="1543"/>
      <c r="M2698" s="1543"/>
      <c r="N2698" s="1566"/>
    </row>
    <row r="2699" spans="1:14">
      <c r="A2699" s="1612"/>
      <c r="B2699" s="973" t="s">
        <v>3622</v>
      </c>
      <c r="C2699" s="354"/>
      <c r="D2699" s="341">
        <v>0.8</v>
      </c>
      <c r="E2699" s="350">
        <v>2.1</v>
      </c>
      <c r="F2699" s="350"/>
      <c r="G2699" s="350">
        <v>1</v>
      </c>
      <c r="H2699" s="371">
        <f t="shared" si="65"/>
        <v>1</v>
      </c>
      <c r="I2699" s="1567"/>
      <c r="J2699" s="1543"/>
      <c r="K2699" s="1543"/>
      <c r="L2699" s="1543"/>
      <c r="M2699" s="1543"/>
      <c r="N2699" s="1566"/>
    </row>
    <row r="2700" spans="1:14">
      <c r="A2700" s="1612"/>
      <c r="B2700" s="973" t="s">
        <v>2231</v>
      </c>
      <c r="C2700" s="354"/>
      <c r="D2700" s="341">
        <v>0.8</v>
      </c>
      <c r="E2700" s="350">
        <v>2.1</v>
      </c>
      <c r="F2700" s="350"/>
      <c r="G2700" s="350">
        <v>1</v>
      </c>
      <c r="H2700" s="371">
        <f t="shared" si="65"/>
        <v>1</v>
      </c>
      <c r="I2700" s="1567"/>
      <c r="J2700" s="1543"/>
      <c r="K2700" s="1543"/>
      <c r="L2700" s="1543"/>
      <c r="M2700" s="1543"/>
      <c r="N2700" s="1566"/>
    </row>
    <row r="2701" spans="1:14">
      <c r="A2701" s="1612"/>
      <c r="B2701" s="973" t="s">
        <v>2980</v>
      </c>
      <c r="C2701" s="354"/>
      <c r="D2701" s="341">
        <v>0.8</v>
      </c>
      <c r="E2701" s="350">
        <v>2.1</v>
      </c>
      <c r="F2701" s="350"/>
      <c r="G2701" s="350">
        <v>1</v>
      </c>
      <c r="H2701" s="371">
        <f t="shared" si="65"/>
        <v>1</v>
      </c>
      <c r="I2701" s="1567"/>
      <c r="J2701" s="1543"/>
      <c r="K2701" s="1543"/>
      <c r="L2701" s="1543"/>
      <c r="M2701" s="1543"/>
      <c r="N2701" s="1566"/>
    </row>
    <row r="2702" spans="1:14">
      <c r="A2702" s="1612"/>
      <c r="B2702" s="973" t="s">
        <v>3378</v>
      </c>
      <c r="C2702" s="354"/>
      <c r="D2702" s="341">
        <v>0.8</v>
      </c>
      <c r="E2702" s="350">
        <v>2.1</v>
      </c>
      <c r="F2702" s="350"/>
      <c r="G2702" s="350">
        <v>1</v>
      </c>
      <c r="H2702" s="371">
        <f t="shared" si="65"/>
        <v>1</v>
      </c>
      <c r="I2702" s="1567"/>
      <c r="J2702" s="1543"/>
      <c r="K2702" s="1543"/>
      <c r="L2702" s="1543"/>
      <c r="M2702" s="1543"/>
      <c r="N2702" s="1566"/>
    </row>
    <row r="2703" spans="1:14">
      <c r="A2703" s="1612"/>
      <c r="B2703" s="973" t="s">
        <v>3623</v>
      </c>
      <c r="C2703" s="354"/>
      <c r="D2703" s="341">
        <v>0.8</v>
      </c>
      <c r="E2703" s="350">
        <v>2.1</v>
      </c>
      <c r="F2703" s="350"/>
      <c r="G2703" s="350">
        <v>1</v>
      </c>
      <c r="H2703" s="371">
        <f t="shared" si="65"/>
        <v>1</v>
      </c>
      <c r="I2703" s="1567"/>
      <c r="J2703" s="1543"/>
      <c r="K2703" s="1543"/>
      <c r="L2703" s="1543"/>
      <c r="M2703" s="1543"/>
      <c r="N2703" s="1566"/>
    </row>
    <row r="2704" spans="1:14">
      <c r="A2704" s="1612"/>
      <c r="B2704" s="973" t="s">
        <v>3624</v>
      </c>
      <c r="C2704" s="354"/>
      <c r="D2704" s="341">
        <v>0.8</v>
      </c>
      <c r="E2704" s="350">
        <v>2.1</v>
      </c>
      <c r="F2704" s="350"/>
      <c r="G2704" s="350">
        <v>1</v>
      </c>
      <c r="H2704" s="371">
        <f t="shared" si="65"/>
        <v>1</v>
      </c>
      <c r="I2704" s="1567"/>
      <c r="J2704" s="1543"/>
      <c r="K2704" s="1543"/>
      <c r="L2704" s="1543"/>
      <c r="M2704" s="1543"/>
      <c r="N2704" s="1566"/>
    </row>
    <row r="2705" spans="1:14">
      <c r="A2705" s="1612"/>
      <c r="B2705" s="973" t="s">
        <v>2234</v>
      </c>
      <c r="C2705" s="354"/>
      <c r="D2705" s="341">
        <v>0.8</v>
      </c>
      <c r="E2705" s="350">
        <v>2.1</v>
      </c>
      <c r="F2705" s="350"/>
      <c r="G2705" s="350">
        <v>1</v>
      </c>
      <c r="H2705" s="371">
        <f t="shared" si="65"/>
        <v>1</v>
      </c>
      <c r="I2705" s="1567"/>
      <c r="J2705" s="1543"/>
      <c r="K2705" s="1543"/>
      <c r="L2705" s="1543"/>
      <c r="M2705" s="1543"/>
      <c r="N2705" s="1566"/>
    </row>
    <row r="2706" spans="1:14">
      <c r="A2706" s="1605" t="s">
        <v>3854</v>
      </c>
      <c r="B2706" s="628" t="s">
        <v>3304</v>
      </c>
      <c r="C2706" s="354"/>
      <c r="D2706" s="341"/>
      <c r="E2706" s="350"/>
      <c r="F2706" s="350"/>
      <c r="G2706" s="350"/>
      <c r="H2706" s="371"/>
      <c r="I2706" s="1567"/>
      <c r="J2706" s="1543"/>
      <c r="K2706" s="1543"/>
      <c r="L2706" s="1543"/>
      <c r="M2706" s="1543"/>
      <c r="N2706" s="1566"/>
    </row>
    <row r="2707" spans="1:14">
      <c r="A2707" s="1605"/>
      <c r="B2707" s="1012" t="s">
        <v>2228</v>
      </c>
      <c r="C2707" s="354"/>
      <c r="D2707" s="341">
        <v>0.8</v>
      </c>
      <c r="E2707" s="350">
        <v>2.1</v>
      </c>
      <c r="F2707" s="350"/>
      <c r="G2707" s="350">
        <v>1</v>
      </c>
      <c r="H2707" s="371">
        <f t="shared" ref="H2707:H2719" si="66">G2707</f>
        <v>1</v>
      </c>
      <c r="I2707" s="1567"/>
      <c r="J2707" s="1543"/>
      <c r="K2707" s="1543"/>
      <c r="L2707" s="1543"/>
      <c r="M2707" s="1543"/>
      <c r="N2707" s="1566"/>
    </row>
    <row r="2708" spans="1:14">
      <c r="A2708" s="1605"/>
      <c r="B2708" s="1012" t="s">
        <v>2523</v>
      </c>
      <c r="C2708" s="354"/>
      <c r="D2708" s="341">
        <v>0.8</v>
      </c>
      <c r="E2708" s="350">
        <v>2.1</v>
      </c>
      <c r="F2708" s="350"/>
      <c r="G2708" s="350">
        <v>1</v>
      </c>
      <c r="H2708" s="371">
        <f t="shared" si="66"/>
        <v>1</v>
      </c>
      <c r="I2708" s="1567"/>
      <c r="J2708" s="1543"/>
      <c r="K2708" s="1543"/>
      <c r="L2708" s="1543"/>
      <c r="M2708" s="1543"/>
      <c r="N2708" s="1566"/>
    </row>
    <row r="2709" spans="1:14">
      <c r="A2709" s="1605"/>
      <c r="B2709" s="1012" t="s">
        <v>3571</v>
      </c>
      <c r="C2709" s="354"/>
      <c r="D2709" s="341">
        <v>0.8</v>
      </c>
      <c r="E2709" s="350">
        <v>2.1</v>
      </c>
      <c r="F2709" s="350"/>
      <c r="G2709" s="350">
        <v>1</v>
      </c>
      <c r="H2709" s="371">
        <f t="shared" si="66"/>
        <v>1</v>
      </c>
      <c r="I2709" s="1567"/>
      <c r="J2709" s="1543"/>
      <c r="K2709" s="1543"/>
      <c r="L2709" s="1543"/>
      <c r="M2709" s="1543"/>
      <c r="N2709" s="1566"/>
    </row>
    <row r="2710" spans="1:14">
      <c r="A2710" s="1605"/>
      <c r="B2710" s="1012" t="s">
        <v>3572</v>
      </c>
      <c r="C2710" s="354"/>
      <c r="D2710" s="341">
        <v>0.8</v>
      </c>
      <c r="E2710" s="350">
        <v>2.1</v>
      </c>
      <c r="F2710" s="350"/>
      <c r="G2710" s="350">
        <v>1</v>
      </c>
      <c r="H2710" s="371">
        <f t="shared" si="66"/>
        <v>1</v>
      </c>
      <c r="I2710" s="1567"/>
      <c r="J2710" s="1543"/>
      <c r="K2710" s="1543"/>
      <c r="L2710" s="1543"/>
      <c r="M2710" s="1543"/>
      <c r="N2710" s="1566"/>
    </row>
    <row r="2711" spans="1:14">
      <c r="A2711" s="1605"/>
      <c r="B2711" s="1012" t="s">
        <v>3573</v>
      </c>
      <c r="C2711" s="354"/>
      <c r="D2711" s="341">
        <v>0.8</v>
      </c>
      <c r="E2711" s="350">
        <v>2.1</v>
      </c>
      <c r="F2711" s="350"/>
      <c r="G2711" s="350">
        <v>1</v>
      </c>
      <c r="H2711" s="371">
        <f t="shared" si="66"/>
        <v>1</v>
      </c>
      <c r="I2711" s="1567"/>
      <c r="J2711" s="1543"/>
      <c r="K2711" s="1543"/>
      <c r="L2711" s="1543"/>
      <c r="M2711" s="1543"/>
      <c r="N2711" s="1566"/>
    </row>
    <row r="2712" spans="1:14">
      <c r="A2712" s="1605"/>
      <c r="B2712" s="1012" t="s">
        <v>2234</v>
      </c>
      <c r="C2712" s="354"/>
      <c r="D2712" s="341">
        <v>0.8</v>
      </c>
      <c r="E2712" s="350">
        <v>2.1</v>
      </c>
      <c r="F2712" s="350"/>
      <c r="G2712" s="350">
        <v>1</v>
      </c>
      <c r="H2712" s="371">
        <f t="shared" si="66"/>
        <v>1</v>
      </c>
      <c r="I2712" s="1567"/>
      <c r="J2712" s="1543"/>
      <c r="K2712" s="1543"/>
      <c r="L2712" s="1543"/>
      <c r="M2712" s="1543"/>
      <c r="N2712" s="1566"/>
    </row>
    <row r="2713" spans="1:14">
      <c r="A2713" s="1605"/>
      <c r="B2713" s="1012" t="s">
        <v>3624</v>
      </c>
      <c r="C2713" s="354"/>
      <c r="D2713" s="341">
        <v>0.8</v>
      </c>
      <c r="E2713" s="350">
        <v>2.1</v>
      </c>
      <c r="F2713" s="350"/>
      <c r="G2713" s="350">
        <v>1</v>
      </c>
      <c r="H2713" s="371">
        <f t="shared" si="66"/>
        <v>1</v>
      </c>
      <c r="I2713" s="1567"/>
      <c r="J2713" s="1543"/>
      <c r="K2713" s="1543"/>
      <c r="L2713" s="1543"/>
      <c r="M2713" s="1543"/>
      <c r="N2713" s="1566"/>
    </row>
    <row r="2714" spans="1:14">
      <c r="A2714" s="1605"/>
      <c r="B2714" s="1012" t="s">
        <v>3623</v>
      </c>
      <c r="C2714" s="354"/>
      <c r="D2714" s="341">
        <v>0.8</v>
      </c>
      <c r="E2714" s="350">
        <v>2.1</v>
      </c>
      <c r="F2714" s="350"/>
      <c r="G2714" s="350">
        <v>1</v>
      </c>
      <c r="H2714" s="371">
        <f t="shared" si="66"/>
        <v>1</v>
      </c>
      <c r="I2714" s="1567"/>
      <c r="J2714" s="1543"/>
      <c r="K2714" s="1543"/>
      <c r="L2714" s="1543"/>
      <c r="M2714" s="1543"/>
      <c r="N2714" s="1566"/>
    </row>
    <row r="2715" spans="1:14">
      <c r="A2715" s="1605"/>
      <c r="B2715" s="1012" t="s">
        <v>3855</v>
      </c>
      <c r="C2715" s="354"/>
      <c r="D2715" s="341">
        <v>0.8</v>
      </c>
      <c r="E2715" s="350">
        <v>2.1</v>
      </c>
      <c r="F2715" s="350"/>
      <c r="G2715" s="350">
        <v>1</v>
      </c>
      <c r="H2715" s="371">
        <f t="shared" si="66"/>
        <v>1</v>
      </c>
      <c r="I2715" s="1567"/>
      <c r="J2715" s="1543"/>
      <c r="K2715" s="1543"/>
      <c r="L2715" s="1543"/>
      <c r="M2715" s="1543"/>
      <c r="N2715" s="1566"/>
    </row>
    <row r="2716" spans="1:14">
      <c r="A2716" s="1605"/>
      <c r="B2716" s="1012" t="s">
        <v>2971</v>
      </c>
      <c r="C2716" s="354"/>
      <c r="D2716" s="341">
        <v>0.8</v>
      </c>
      <c r="E2716" s="350">
        <v>2.1</v>
      </c>
      <c r="F2716" s="350"/>
      <c r="G2716" s="350">
        <v>1</v>
      </c>
      <c r="H2716" s="371">
        <f t="shared" si="66"/>
        <v>1</v>
      </c>
      <c r="I2716" s="1567"/>
      <c r="J2716" s="1543"/>
      <c r="K2716" s="1543"/>
      <c r="L2716" s="1543"/>
      <c r="M2716" s="1543"/>
      <c r="N2716" s="1566"/>
    </row>
    <row r="2717" spans="1:14">
      <c r="A2717" s="1605"/>
      <c r="B2717" s="1012" t="s">
        <v>2974</v>
      </c>
      <c r="C2717" s="354"/>
      <c r="D2717" s="341">
        <v>0.8</v>
      </c>
      <c r="E2717" s="350">
        <v>2.1</v>
      </c>
      <c r="F2717" s="350"/>
      <c r="G2717" s="350">
        <v>1</v>
      </c>
      <c r="H2717" s="371">
        <f t="shared" si="66"/>
        <v>1</v>
      </c>
      <c r="I2717" s="1567"/>
      <c r="J2717" s="1543"/>
      <c r="K2717" s="1543"/>
      <c r="L2717" s="1543"/>
      <c r="M2717" s="1543"/>
      <c r="N2717" s="1566"/>
    </row>
    <row r="2718" spans="1:14">
      <c r="A2718" s="1605"/>
      <c r="B2718" s="1012" t="s">
        <v>2975</v>
      </c>
      <c r="C2718" s="354"/>
      <c r="D2718" s="341">
        <v>0.8</v>
      </c>
      <c r="E2718" s="350">
        <v>2.1</v>
      </c>
      <c r="F2718" s="350"/>
      <c r="G2718" s="350">
        <v>1</v>
      </c>
      <c r="H2718" s="371">
        <f t="shared" si="66"/>
        <v>1</v>
      </c>
      <c r="I2718" s="1567"/>
      <c r="J2718" s="1543"/>
      <c r="K2718" s="1543"/>
      <c r="L2718" s="1543"/>
      <c r="M2718" s="1543"/>
      <c r="N2718" s="1566"/>
    </row>
    <row r="2719" spans="1:14">
      <c r="A2719" s="1100" t="s">
        <v>3981</v>
      </c>
      <c r="B2719" s="360" t="s">
        <v>3625</v>
      </c>
      <c r="C2719" s="354"/>
      <c r="D2719" s="341">
        <v>0.8</v>
      </c>
      <c r="E2719" s="341">
        <v>2.1</v>
      </c>
      <c r="F2719" s="341"/>
      <c r="G2719" s="341">
        <v>1</v>
      </c>
      <c r="H2719" s="371">
        <f t="shared" si="66"/>
        <v>1</v>
      </c>
      <c r="I2719" s="1567"/>
      <c r="J2719" s="1543"/>
      <c r="K2719" s="1543"/>
      <c r="L2719" s="1543"/>
      <c r="M2719" s="1543"/>
      <c r="N2719" s="1566"/>
    </row>
    <row r="2720" spans="1:14">
      <c r="A2720" s="1608" t="s">
        <v>2218</v>
      </c>
      <c r="B2720" s="1609"/>
      <c r="C2720" s="1609"/>
      <c r="D2720" s="1609"/>
      <c r="E2720" s="1609"/>
      <c r="F2720" s="1609"/>
      <c r="G2720" s="1610"/>
      <c r="H2720" s="271">
        <f>SUM(H2690:H2719)</f>
        <v>28</v>
      </c>
      <c r="I2720" s="1567"/>
      <c r="J2720" s="1543"/>
      <c r="K2720" s="1543"/>
      <c r="L2720" s="1543"/>
      <c r="M2720" s="1543"/>
      <c r="N2720" s="1566"/>
    </row>
    <row r="2721" spans="1:14">
      <c r="A2721" s="1519" t="s">
        <v>2219</v>
      </c>
      <c r="B2721" s="1517"/>
      <c r="C2721" s="1517"/>
      <c r="D2721" s="1517"/>
      <c r="E2721" s="1517"/>
      <c r="F2721" s="1517"/>
      <c r="G2721" s="1518"/>
      <c r="H2721" s="272">
        <f>SUM(H2691:H2718)</f>
        <v>27</v>
      </c>
      <c r="I2721" s="1543"/>
      <c r="J2721" s="1543"/>
      <c r="K2721" s="1543"/>
      <c r="L2721" s="1543"/>
      <c r="M2721" s="1543"/>
      <c r="N2721" s="1566"/>
    </row>
    <row r="2722" spans="1:14" ht="15.75" thickBot="1">
      <c r="A2722" s="1520" t="s">
        <v>2220</v>
      </c>
      <c r="B2722" s="1521"/>
      <c r="C2722" s="1521"/>
      <c r="D2722" s="1521"/>
      <c r="E2722" s="1521"/>
      <c r="F2722" s="1521"/>
      <c r="G2722" s="1522"/>
      <c r="H2722" s="216">
        <f>H2720-H2721</f>
        <v>1</v>
      </c>
      <c r="I2722" s="1568"/>
      <c r="J2722" s="1568"/>
      <c r="K2722" s="1568"/>
      <c r="L2722" s="1568"/>
      <c r="M2722" s="1568"/>
      <c r="N2722" s="1569"/>
    </row>
    <row r="2723" spans="1:14" ht="15.75" thickBot="1">
      <c r="A2723" s="1099"/>
      <c r="B2723" s="344"/>
      <c r="C2723" s="343"/>
      <c r="D2723" s="345"/>
      <c r="E2723" s="1265"/>
      <c r="F2723" s="345"/>
      <c r="G2723" s="345"/>
      <c r="H2723" s="219"/>
      <c r="I2723" s="408"/>
      <c r="J2723" s="408"/>
      <c r="K2723" s="408"/>
      <c r="L2723" s="408"/>
      <c r="M2723" s="408"/>
      <c r="N2723" s="409"/>
    </row>
    <row r="2724" spans="1:14" ht="30" customHeight="1">
      <c r="A2724" s="1084" t="s">
        <v>3637</v>
      </c>
      <c r="B2724" s="1494" t="s">
        <v>852</v>
      </c>
      <c r="C2724" s="1495"/>
      <c r="D2724" s="1495"/>
      <c r="E2724" s="1495"/>
      <c r="F2724" s="1495"/>
      <c r="G2724" s="1495"/>
      <c r="H2724" s="1495"/>
      <c r="I2724" s="1495"/>
      <c r="J2724" s="1496"/>
      <c r="K2724" s="196" t="s">
        <v>44</v>
      </c>
      <c r="L2724" s="1497">
        <f>'27ª MEDIÇÃO '!F151</f>
        <v>2</v>
      </c>
      <c r="M2724" s="1498"/>
      <c r="N2724" s="197">
        <f>L2724-H2731</f>
        <v>0</v>
      </c>
    </row>
    <row r="2725" spans="1:14">
      <c r="A2725" s="1554"/>
      <c r="B2725" s="1541"/>
      <c r="C2725" s="366"/>
      <c r="D2725" s="367" t="s">
        <v>2183</v>
      </c>
      <c r="E2725" s="1320" t="s">
        <v>2184</v>
      </c>
      <c r="F2725" s="367" t="s">
        <v>2185</v>
      </c>
      <c r="G2725" s="367" t="s">
        <v>2186</v>
      </c>
      <c r="H2725" s="1542" t="s">
        <v>476</v>
      </c>
      <c r="I2725" s="1543"/>
      <c r="J2725" s="1543"/>
      <c r="K2725" s="1543"/>
      <c r="L2725" s="1543"/>
      <c r="M2725" s="1543"/>
      <c r="N2725" s="1566"/>
    </row>
    <row r="2726" spans="1:14">
      <c r="A2726" s="1554"/>
      <c r="B2726" s="1541"/>
      <c r="C2726" s="368" t="s">
        <v>2382</v>
      </c>
      <c r="D2726" s="369" t="s">
        <v>2187</v>
      </c>
      <c r="E2726" s="529" t="s">
        <v>2188</v>
      </c>
      <c r="F2726" s="369" t="s">
        <v>2189</v>
      </c>
      <c r="G2726" s="370" t="s">
        <v>2879</v>
      </c>
      <c r="H2726" s="1542"/>
      <c r="I2726" s="1543"/>
      <c r="J2726" s="1543"/>
      <c r="K2726" s="1543"/>
      <c r="L2726" s="1543"/>
      <c r="M2726" s="1543"/>
      <c r="N2726" s="1566"/>
    </row>
    <row r="2727" spans="1:14">
      <c r="A2727" s="1611" t="s">
        <v>3620</v>
      </c>
      <c r="B2727" s="996" t="s">
        <v>3305</v>
      </c>
      <c r="C2727" s="354"/>
      <c r="D2727" s="341"/>
      <c r="E2727" s="350"/>
      <c r="F2727" s="350"/>
      <c r="G2727" s="350"/>
      <c r="H2727" s="371"/>
      <c r="I2727" s="1567"/>
      <c r="J2727" s="1543"/>
      <c r="K2727" s="1543"/>
      <c r="L2727" s="1543"/>
      <c r="M2727" s="1543"/>
      <c r="N2727" s="1566"/>
    </row>
    <row r="2728" spans="1:14">
      <c r="A2728" s="1612"/>
      <c r="B2728" s="360" t="s">
        <v>2422</v>
      </c>
      <c r="C2728" s="354"/>
      <c r="D2728" s="341">
        <v>0.8</v>
      </c>
      <c r="E2728" s="350">
        <v>2.1</v>
      </c>
      <c r="F2728" s="350"/>
      <c r="G2728" s="350">
        <v>1</v>
      </c>
      <c r="H2728" s="371">
        <f>G2728</f>
        <v>1</v>
      </c>
      <c r="I2728" s="1567"/>
      <c r="J2728" s="1543"/>
      <c r="K2728" s="1543"/>
      <c r="L2728" s="1543"/>
      <c r="M2728" s="1543"/>
      <c r="N2728" s="1566"/>
    </row>
    <row r="2729" spans="1:14">
      <c r="A2729" s="1611" t="s">
        <v>3850</v>
      </c>
      <c r="B2729" s="996" t="s">
        <v>3304</v>
      </c>
      <c r="C2729" s="354"/>
      <c r="D2729" s="341"/>
      <c r="E2729" s="350"/>
      <c r="F2729" s="350"/>
      <c r="G2729" s="350"/>
      <c r="H2729" s="371"/>
      <c r="I2729" s="1567"/>
      <c r="J2729" s="1543"/>
      <c r="K2729" s="1543"/>
      <c r="L2729" s="1543"/>
      <c r="M2729" s="1543"/>
      <c r="N2729" s="1566"/>
    </row>
    <row r="2730" spans="1:14">
      <c r="A2730" s="1612"/>
      <c r="B2730" s="360" t="s">
        <v>3863</v>
      </c>
      <c r="C2730" s="354"/>
      <c r="D2730" s="341">
        <v>0.8</v>
      </c>
      <c r="E2730" s="350">
        <v>2.1</v>
      </c>
      <c r="F2730" s="350"/>
      <c r="G2730" s="350">
        <v>1</v>
      </c>
      <c r="H2730" s="371">
        <f>G2730</f>
        <v>1</v>
      </c>
      <c r="I2730" s="1567"/>
      <c r="J2730" s="1543"/>
      <c r="K2730" s="1543"/>
      <c r="L2730" s="1543"/>
      <c r="M2730" s="1543"/>
      <c r="N2730" s="1566"/>
    </row>
    <row r="2731" spans="1:14">
      <c r="A2731" s="1608" t="s">
        <v>2218</v>
      </c>
      <c r="B2731" s="1609"/>
      <c r="C2731" s="1609"/>
      <c r="D2731" s="1609"/>
      <c r="E2731" s="1609"/>
      <c r="F2731" s="1609"/>
      <c r="G2731" s="1610"/>
      <c r="H2731" s="271">
        <f>SUM(H2727:H2730)</f>
        <v>2</v>
      </c>
      <c r="I2731" s="1567"/>
      <c r="J2731" s="1543"/>
      <c r="K2731" s="1543"/>
      <c r="L2731" s="1543"/>
      <c r="M2731" s="1543"/>
      <c r="N2731" s="1566"/>
    </row>
    <row r="2732" spans="1:14">
      <c r="A2732" s="1519" t="s">
        <v>2219</v>
      </c>
      <c r="B2732" s="1517"/>
      <c r="C2732" s="1517"/>
      <c r="D2732" s="1517"/>
      <c r="E2732" s="1517"/>
      <c r="F2732" s="1517"/>
      <c r="G2732" s="1518"/>
      <c r="H2732" s="272">
        <f>SUM(H2728)</f>
        <v>1</v>
      </c>
      <c r="I2732" s="1543"/>
      <c r="J2732" s="1543"/>
      <c r="K2732" s="1543"/>
      <c r="L2732" s="1543"/>
      <c r="M2732" s="1543"/>
      <c r="N2732" s="1566"/>
    </row>
    <row r="2733" spans="1:14" ht="15.75" thickBot="1">
      <c r="A2733" s="1520" t="s">
        <v>2220</v>
      </c>
      <c r="B2733" s="1521"/>
      <c r="C2733" s="1521"/>
      <c r="D2733" s="1521"/>
      <c r="E2733" s="1521"/>
      <c r="F2733" s="1521"/>
      <c r="G2733" s="1522"/>
      <c r="H2733" s="216">
        <f>H2731-H2732</f>
        <v>1</v>
      </c>
      <c r="I2733" s="1568"/>
      <c r="J2733" s="1568"/>
      <c r="K2733" s="1568"/>
      <c r="L2733" s="1568"/>
      <c r="M2733" s="1568"/>
      <c r="N2733" s="1569"/>
    </row>
    <row r="2734" spans="1:14" ht="15.75" thickBot="1">
      <c r="A2734" s="1099"/>
      <c r="B2734" s="344"/>
      <c r="C2734" s="343"/>
      <c r="D2734" s="345"/>
      <c r="E2734" s="1265"/>
      <c r="F2734" s="345"/>
      <c r="G2734" s="345"/>
      <c r="H2734" s="219"/>
      <c r="I2734" s="408"/>
      <c r="J2734" s="408"/>
      <c r="K2734" s="408"/>
      <c r="L2734" s="408"/>
      <c r="M2734" s="408"/>
      <c r="N2734" s="409"/>
    </row>
    <row r="2735" spans="1:14" ht="30" customHeight="1">
      <c r="A2735" s="1084" t="s">
        <v>3982</v>
      </c>
      <c r="B2735" s="1494" t="s">
        <v>856</v>
      </c>
      <c r="C2735" s="1495"/>
      <c r="D2735" s="1495"/>
      <c r="E2735" s="1495"/>
      <c r="F2735" s="1495"/>
      <c r="G2735" s="1495"/>
      <c r="H2735" s="1495"/>
      <c r="I2735" s="1495"/>
      <c r="J2735" s="1496"/>
      <c r="K2735" s="196" t="s">
        <v>2329</v>
      </c>
      <c r="L2735" s="1497">
        <v>49</v>
      </c>
      <c r="M2735" s="1498"/>
      <c r="N2735" s="197">
        <f>L2735-H2744</f>
        <v>0</v>
      </c>
    </row>
    <row r="2736" spans="1:14">
      <c r="A2736" s="1554"/>
      <c r="B2736" s="1541"/>
      <c r="C2736" s="366"/>
      <c r="D2736" s="367" t="s">
        <v>2183</v>
      </c>
      <c r="E2736" s="1320" t="s">
        <v>2184</v>
      </c>
      <c r="F2736" s="367" t="s">
        <v>2185</v>
      </c>
      <c r="G2736" s="367" t="s">
        <v>2186</v>
      </c>
      <c r="H2736" s="1542" t="s">
        <v>476</v>
      </c>
      <c r="I2736" s="1543"/>
      <c r="J2736" s="1543"/>
      <c r="K2736" s="1543"/>
      <c r="L2736" s="1543"/>
      <c r="M2736" s="1543"/>
      <c r="N2736" s="1566"/>
    </row>
    <row r="2737" spans="1:14">
      <c r="A2737" s="1554"/>
      <c r="B2737" s="1541"/>
      <c r="C2737" s="368" t="s">
        <v>2382</v>
      </c>
      <c r="D2737" s="369" t="s">
        <v>2187</v>
      </c>
      <c r="E2737" s="529" t="s">
        <v>2188</v>
      </c>
      <c r="F2737" s="369" t="s">
        <v>2189</v>
      </c>
      <c r="G2737" s="370" t="s">
        <v>2879</v>
      </c>
      <c r="H2737" s="1542"/>
      <c r="I2737" s="1543"/>
      <c r="J2737" s="1543"/>
      <c r="K2737" s="1543"/>
      <c r="L2737" s="1543"/>
      <c r="M2737" s="1543"/>
      <c r="N2737" s="1566"/>
    </row>
    <row r="2738" spans="1:14">
      <c r="A2738" s="1611" t="s">
        <v>3981</v>
      </c>
      <c r="B2738" s="360" t="s">
        <v>3983</v>
      </c>
      <c r="C2738" s="354"/>
      <c r="D2738" s="341"/>
      <c r="E2738" s="350"/>
      <c r="F2738" s="350"/>
      <c r="G2738" s="350">
        <v>4</v>
      </c>
      <c r="H2738" s="371">
        <f t="shared" ref="H2738:H2742" si="67">G2738</f>
        <v>4</v>
      </c>
      <c r="I2738" s="1567"/>
      <c r="J2738" s="1543"/>
      <c r="K2738" s="1543"/>
      <c r="L2738" s="1543"/>
      <c r="M2738" s="1543"/>
      <c r="N2738" s="1566"/>
    </row>
    <row r="2739" spans="1:14">
      <c r="A2739" s="1612"/>
      <c r="B2739" s="360" t="s">
        <v>3984</v>
      </c>
      <c r="C2739" s="354"/>
      <c r="D2739" s="341"/>
      <c r="E2739" s="350"/>
      <c r="F2739" s="350"/>
      <c r="G2739" s="350">
        <v>8</v>
      </c>
      <c r="H2739" s="371">
        <f t="shared" si="67"/>
        <v>8</v>
      </c>
      <c r="I2739" s="1567"/>
      <c r="J2739" s="1543"/>
      <c r="K2739" s="1543"/>
      <c r="L2739" s="1543"/>
      <c r="M2739" s="1543"/>
      <c r="N2739" s="1566"/>
    </row>
    <row r="2740" spans="1:14">
      <c r="A2740" s="1612"/>
      <c r="B2740" s="360" t="s">
        <v>3985</v>
      </c>
      <c r="C2740" s="354"/>
      <c r="D2740" s="341"/>
      <c r="E2740" s="350"/>
      <c r="F2740" s="350"/>
      <c r="G2740" s="350">
        <v>5</v>
      </c>
      <c r="H2740" s="371">
        <f t="shared" si="67"/>
        <v>5</v>
      </c>
      <c r="I2740" s="1567"/>
      <c r="J2740" s="1543"/>
      <c r="K2740" s="1543"/>
      <c r="L2740" s="1543"/>
      <c r="M2740" s="1543"/>
      <c r="N2740" s="1566"/>
    </row>
    <row r="2741" spans="1:14">
      <c r="A2741" s="1612"/>
      <c r="B2741" s="360" t="s">
        <v>3988</v>
      </c>
      <c r="C2741" s="354"/>
      <c r="D2741" s="341"/>
      <c r="E2741" s="350"/>
      <c r="F2741" s="350"/>
      <c r="G2741" s="350">
        <v>1</v>
      </c>
      <c r="H2741" s="371">
        <f t="shared" si="67"/>
        <v>1</v>
      </c>
      <c r="I2741" s="1567"/>
      <c r="J2741" s="1543"/>
      <c r="K2741" s="1543"/>
      <c r="L2741" s="1543"/>
      <c r="M2741" s="1543"/>
      <c r="N2741" s="1566"/>
    </row>
    <row r="2742" spans="1:14">
      <c r="A2742" s="1612"/>
      <c r="B2742" s="360" t="s">
        <v>3986</v>
      </c>
      <c r="C2742" s="354"/>
      <c r="D2742" s="341"/>
      <c r="E2742" s="350"/>
      <c r="F2742" s="350"/>
      <c r="G2742" s="350">
        <v>29</v>
      </c>
      <c r="H2742" s="371">
        <f t="shared" si="67"/>
        <v>29</v>
      </c>
      <c r="I2742" s="1567"/>
      <c r="J2742" s="1543"/>
      <c r="K2742" s="1543"/>
      <c r="L2742" s="1543"/>
      <c r="M2742" s="1543"/>
      <c r="N2742" s="1566"/>
    </row>
    <row r="2743" spans="1:14">
      <c r="A2743" s="1613"/>
      <c r="B2743" s="360" t="s">
        <v>3987</v>
      </c>
      <c r="C2743" s="354"/>
      <c r="D2743" s="341"/>
      <c r="E2743" s="350"/>
      <c r="F2743" s="350"/>
      <c r="G2743" s="350">
        <v>2</v>
      </c>
      <c r="H2743" s="371">
        <f>G2743</f>
        <v>2</v>
      </c>
      <c r="I2743" s="1567"/>
      <c r="J2743" s="1543"/>
      <c r="K2743" s="1543"/>
      <c r="L2743" s="1543"/>
      <c r="M2743" s="1543"/>
      <c r="N2743" s="1566"/>
    </row>
    <row r="2744" spans="1:14">
      <c r="A2744" s="1608" t="s">
        <v>2218</v>
      </c>
      <c r="B2744" s="1609"/>
      <c r="C2744" s="1609"/>
      <c r="D2744" s="1609"/>
      <c r="E2744" s="1609"/>
      <c r="F2744" s="1609"/>
      <c r="G2744" s="1610"/>
      <c r="H2744" s="271">
        <f>SUM(H2738:H2743)</f>
        <v>49</v>
      </c>
      <c r="I2744" s="1567"/>
      <c r="J2744" s="1543"/>
      <c r="K2744" s="1543"/>
      <c r="L2744" s="1543"/>
      <c r="M2744" s="1543"/>
      <c r="N2744" s="1566"/>
    </row>
    <row r="2745" spans="1:14">
      <c r="A2745" s="1519" t="s">
        <v>2219</v>
      </c>
      <c r="B2745" s="1517"/>
      <c r="C2745" s="1517"/>
      <c r="D2745" s="1517"/>
      <c r="E2745" s="1517"/>
      <c r="F2745" s="1517"/>
      <c r="G2745" s="1518"/>
      <c r="H2745" s="272">
        <v>0</v>
      </c>
      <c r="I2745" s="1543"/>
      <c r="J2745" s="1543"/>
      <c r="K2745" s="1543"/>
      <c r="L2745" s="1543"/>
      <c r="M2745" s="1543"/>
      <c r="N2745" s="1566"/>
    </row>
    <row r="2746" spans="1:14" ht="15.75" thickBot="1">
      <c r="A2746" s="1520" t="s">
        <v>2220</v>
      </c>
      <c r="B2746" s="1521"/>
      <c r="C2746" s="1521"/>
      <c r="D2746" s="1521"/>
      <c r="E2746" s="1521"/>
      <c r="F2746" s="1521"/>
      <c r="G2746" s="1522"/>
      <c r="H2746" s="216">
        <f>H2744-H2745</f>
        <v>49</v>
      </c>
      <c r="I2746" s="1568"/>
      <c r="J2746" s="1568"/>
      <c r="K2746" s="1568"/>
      <c r="L2746" s="1568"/>
      <c r="M2746" s="1568"/>
      <c r="N2746" s="1569"/>
    </row>
    <row r="2747" spans="1:14" ht="15.75" thickBot="1">
      <c r="A2747" s="1099"/>
      <c r="B2747" s="344"/>
      <c r="C2747" s="343"/>
      <c r="D2747" s="345"/>
      <c r="E2747" s="1265"/>
      <c r="F2747" s="345"/>
      <c r="G2747" s="345"/>
      <c r="H2747" s="219"/>
      <c r="I2747" s="408"/>
      <c r="J2747" s="408"/>
      <c r="K2747" s="408"/>
      <c r="L2747" s="408"/>
      <c r="M2747" s="408"/>
      <c r="N2747" s="409"/>
    </row>
    <row r="2748" spans="1:14" ht="15.75" thickBot="1">
      <c r="A2748" s="1085" t="s">
        <v>3300</v>
      </c>
      <c r="B2748" s="1571" t="s">
        <v>858</v>
      </c>
      <c r="C2748" s="1572"/>
      <c r="D2748" s="1572"/>
      <c r="E2748" s="1572"/>
      <c r="F2748" s="1572"/>
      <c r="G2748" s="1572"/>
      <c r="H2748" s="1572"/>
      <c r="I2748" s="1572"/>
      <c r="J2748" s="1572"/>
      <c r="K2748" s="1572"/>
      <c r="L2748" s="1572"/>
      <c r="M2748" s="1572"/>
      <c r="N2748" s="1573"/>
    </row>
    <row r="2749" spans="1:14" ht="15.75" thickBot="1">
      <c r="A2749" s="1085" t="s">
        <v>3577</v>
      </c>
      <c r="B2749" s="1571" t="s">
        <v>3578</v>
      </c>
      <c r="C2749" s="1572"/>
      <c r="D2749" s="1572"/>
      <c r="E2749" s="1572"/>
      <c r="F2749" s="1572"/>
      <c r="G2749" s="1572"/>
      <c r="H2749" s="1572"/>
      <c r="I2749" s="1572"/>
      <c r="J2749" s="1572"/>
      <c r="K2749" s="1572"/>
      <c r="L2749" s="1572"/>
      <c r="M2749" s="1572"/>
      <c r="N2749" s="1573"/>
    </row>
    <row r="2750" spans="1:14" ht="30" customHeight="1">
      <c r="A2750" s="1084" t="s">
        <v>3576</v>
      </c>
      <c r="B2750" s="1494" t="s">
        <v>863</v>
      </c>
      <c r="C2750" s="1495"/>
      <c r="D2750" s="1495"/>
      <c r="E2750" s="1495"/>
      <c r="F2750" s="1495"/>
      <c r="G2750" s="1495"/>
      <c r="H2750" s="1495"/>
      <c r="I2750" s="1495"/>
      <c r="J2750" s="1496"/>
      <c r="K2750" s="196" t="s">
        <v>44</v>
      </c>
      <c r="L2750" s="1497">
        <f>'27ª MEDIÇÃO '!F156</f>
        <v>12.81</v>
      </c>
      <c r="M2750" s="1498"/>
      <c r="N2750" s="197">
        <f>L2750-H2774</f>
        <v>0</v>
      </c>
    </row>
    <row r="2751" spans="1:14">
      <c r="A2751" s="1554"/>
      <c r="B2751" s="1541"/>
      <c r="C2751" s="366"/>
      <c r="D2751" s="367" t="s">
        <v>2183</v>
      </c>
      <c r="E2751" s="1320" t="s">
        <v>2184</v>
      </c>
      <c r="F2751" s="367" t="s">
        <v>2185</v>
      </c>
      <c r="G2751" s="367" t="s">
        <v>2186</v>
      </c>
      <c r="H2751" s="1542" t="s">
        <v>476</v>
      </c>
      <c r="I2751" s="1543"/>
      <c r="J2751" s="1543"/>
      <c r="K2751" s="1543"/>
      <c r="L2751" s="1543"/>
      <c r="M2751" s="1543"/>
      <c r="N2751" s="1566"/>
    </row>
    <row r="2752" spans="1:14">
      <c r="A2752" s="1554"/>
      <c r="B2752" s="1541"/>
      <c r="C2752" s="368" t="s">
        <v>2382</v>
      </c>
      <c r="D2752" s="369" t="s">
        <v>2187</v>
      </c>
      <c r="E2752" s="529" t="s">
        <v>2188</v>
      </c>
      <c r="F2752" s="369" t="s">
        <v>2189</v>
      </c>
      <c r="G2752" s="370" t="s">
        <v>2879</v>
      </c>
      <c r="H2752" s="1542"/>
      <c r="I2752" s="1543"/>
      <c r="J2752" s="1543"/>
      <c r="K2752" s="1543"/>
      <c r="L2752" s="1543"/>
      <c r="M2752" s="1543"/>
      <c r="N2752" s="1566"/>
    </row>
    <row r="2753" spans="1:14">
      <c r="A2753" s="1611" t="s">
        <v>3569</v>
      </c>
      <c r="B2753" s="996" t="s">
        <v>3304</v>
      </c>
      <c r="C2753" s="354"/>
      <c r="D2753" s="341"/>
      <c r="E2753" s="350"/>
      <c r="F2753" s="350"/>
      <c r="G2753" s="350"/>
      <c r="H2753" s="371"/>
      <c r="I2753" s="1567"/>
      <c r="J2753" s="1543"/>
      <c r="K2753" s="1543"/>
      <c r="L2753" s="1543"/>
      <c r="M2753" s="1543"/>
      <c r="N2753" s="1566"/>
    </row>
    <row r="2754" spans="1:14">
      <c r="A2754" s="1612"/>
      <c r="B2754" s="360" t="s">
        <v>3579</v>
      </c>
      <c r="C2754" s="354"/>
      <c r="D2754" s="341">
        <v>0.6</v>
      </c>
      <c r="E2754" s="350">
        <v>2.1</v>
      </c>
      <c r="F2754" s="350"/>
      <c r="G2754" s="350">
        <v>1</v>
      </c>
      <c r="H2754" s="371">
        <f>D2754*E2754*G2754</f>
        <v>1.26</v>
      </c>
      <c r="I2754" s="1567"/>
      <c r="J2754" s="1543"/>
      <c r="K2754" s="1543"/>
      <c r="L2754" s="1543"/>
      <c r="M2754" s="1543"/>
      <c r="N2754" s="1566"/>
    </row>
    <row r="2755" spans="1:14">
      <c r="A2755" s="1612"/>
      <c r="B2755" s="360" t="s">
        <v>3580</v>
      </c>
      <c r="C2755" s="354"/>
      <c r="D2755" s="341">
        <v>0.6</v>
      </c>
      <c r="E2755" s="350">
        <v>2.1</v>
      </c>
      <c r="F2755" s="350"/>
      <c r="G2755" s="350">
        <v>1</v>
      </c>
      <c r="H2755" s="371">
        <f>D2755*E2755*G2755</f>
        <v>1.26</v>
      </c>
      <c r="I2755" s="1567"/>
      <c r="J2755" s="1543"/>
      <c r="K2755" s="1543"/>
      <c r="L2755" s="1543"/>
      <c r="M2755" s="1543"/>
      <c r="N2755" s="1566"/>
    </row>
    <row r="2756" spans="1:14">
      <c r="A2756" s="1612"/>
      <c r="B2756" s="360"/>
      <c r="C2756" s="354"/>
      <c r="D2756" s="341"/>
      <c r="E2756" s="341"/>
      <c r="F2756" s="341"/>
      <c r="G2756" s="341"/>
      <c r="H2756" s="371"/>
      <c r="I2756" s="1567"/>
      <c r="J2756" s="1543"/>
      <c r="K2756" s="1543"/>
      <c r="L2756" s="1543"/>
      <c r="M2756" s="1543"/>
      <c r="N2756" s="1566"/>
    </row>
    <row r="2757" spans="1:14">
      <c r="A2757" s="1611" t="s">
        <v>3620</v>
      </c>
      <c r="B2757" s="996" t="s">
        <v>3304</v>
      </c>
      <c r="C2757" s="354"/>
      <c r="D2757" s="341"/>
      <c r="E2757" s="350"/>
      <c r="F2757" s="350"/>
      <c r="G2757" s="350"/>
      <c r="H2757" s="371"/>
      <c r="I2757" s="1567"/>
      <c r="J2757" s="1543"/>
      <c r="K2757" s="1543"/>
      <c r="L2757" s="1543"/>
      <c r="M2757" s="1543"/>
      <c r="N2757" s="1566"/>
    </row>
    <row r="2758" spans="1:14">
      <c r="A2758" s="1612"/>
      <c r="B2758" s="360" t="s">
        <v>3589</v>
      </c>
      <c r="C2758" s="354"/>
      <c r="D2758" s="341">
        <v>0.9</v>
      </c>
      <c r="E2758" s="350">
        <v>2.1</v>
      </c>
      <c r="F2758" s="350"/>
      <c r="G2758" s="350">
        <v>1</v>
      </c>
      <c r="H2758" s="371">
        <f>D2758*E2758*G2758</f>
        <v>1.8900000000000001</v>
      </c>
      <c r="I2758" s="1567"/>
      <c r="J2758" s="1543"/>
      <c r="K2758" s="1543"/>
      <c r="L2758" s="1543"/>
      <c r="M2758" s="1543"/>
      <c r="N2758" s="1566"/>
    </row>
    <row r="2759" spans="1:14">
      <c r="A2759" s="1612"/>
      <c r="B2759" s="996" t="s">
        <v>3305</v>
      </c>
      <c r="C2759" s="354"/>
      <c r="D2759" s="341"/>
      <c r="E2759" s="350"/>
      <c r="F2759" s="350"/>
      <c r="G2759" s="350"/>
      <c r="H2759" s="371"/>
      <c r="I2759" s="1567"/>
      <c r="J2759" s="1543"/>
      <c r="K2759" s="1543"/>
      <c r="L2759" s="1543"/>
      <c r="M2759" s="1543"/>
      <c r="N2759" s="1566"/>
    </row>
    <row r="2760" spans="1:14">
      <c r="A2760" s="1612"/>
      <c r="B2760" s="360" t="s">
        <v>2440</v>
      </c>
      <c r="C2760" s="354"/>
      <c r="D2760" s="341">
        <v>0.6</v>
      </c>
      <c r="E2760" s="350">
        <v>2.1</v>
      </c>
      <c r="F2760" s="350"/>
      <c r="G2760" s="350">
        <v>1</v>
      </c>
      <c r="H2760" s="371">
        <f>D2760*E2760*G2760</f>
        <v>1.26</v>
      </c>
      <c r="I2760" s="1567"/>
      <c r="J2760" s="1543"/>
      <c r="K2760" s="1543"/>
      <c r="L2760" s="1543"/>
      <c r="M2760" s="1543"/>
      <c r="N2760" s="1566"/>
    </row>
    <row r="2761" spans="1:14">
      <c r="A2761" s="1612"/>
      <c r="B2761" s="360"/>
      <c r="C2761" s="354"/>
      <c r="D2761" s="341"/>
      <c r="E2761" s="341"/>
      <c r="F2761" s="341"/>
      <c r="G2761" s="341"/>
      <c r="H2761" s="371"/>
      <c r="I2761" s="1567"/>
      <c r="J2761" s="1543"/>
      <c r="K2761" s="1543"/>
      <c r="L2761" s="1543"/>
      <c r="M2761" s="1543"/>
      <c r="N2761" s="1566"/>
    </row>
    <row r="2762" spans="1:14">
      <c r="A2762" s="1611" t="s">
        <v>4080</v>
      </c>
      <c r="B2762" s="996" t="s">
        <v>3304</v>
      </c>
      <c r="C2762" s="354"/>
      <c r="D2762" s="341"/>
      <c r="E2762" s="350"/>
      <c r="F2762" s="350"/>
      <c r="G2762" s="350"/>
      <c r="H2762" s="371"/>
      <c r="I2762" s="1567"/>
      <c r="J2762" s="1543"/>
      <c r="K2762" s="1543"/>
      <c r="L2762" s="1543"/>
      <c r="M2762" s="1543"/>
      <c r="N2762" s="1566"/>
    </row>
    <row r="2763" spans="1:14">
      <c r="A2763" s="1612"/>
      <c r="B2763" s="360" t="s">
        <v>4081</v>
      </c>
      <c r="C2763" s="354"/>
      <c r="D2763" s="341"/>
      <c r="E2763" s="350"/>
      <c r="F2763" s="350"/>
      <c r="G2763" s="350"/>
      <c r="H2763" s="371"/>
      <c r="I2763" s="1567"/>
      <c r="J2763" s="1543"/>
      <c r="K2763" s="1543"/>
      <c r="L2763" s="1543"/>
      <c r="M2763" s="1543"/>
      <c r="N2763" s="1566"/>
    </row>
    <row r="2764" spans="1:14">
      <c r="A2764" s="1612"/>
      <c r="B2764" s="360" t="s">
        <v>4082</v>
      </c>
      <c r="C2764" s="354"/>
      <c r="D2764" s="341">
        <v>0.6</v>
      </c>
      <c r="E2764" s="350">
        <v>1.7</v>
      </c>
      <c r="F2764" s="350"/>
      <c r="G2764" s="350">
        <v>1</v>
      </c>
      <c r="H2764" s="371">
        <f>(D2764*E2764)*G2764</f>
        <v>1.02</v>
      </c>
      <c r="I2764" s="1567"/>
      <c r="J2764" s="1543"/>
      <c r="K2764" s="1543"/>
      <c r="L2764" s="1543"/>
      <c r="M2764" s="1543"/>
      <c r="N2764" s="1566"/>
    </row>
    <row r="2765" spans="1:14">
      <c r="A2765" s="1612"/>
      <c r="B2765" s="360" t="s">
        <v>4083</v>
      </c>
      <c r="C2765" s="354"/>
      <c r="D2765" s="341">
        <v>0.6</v>
      </c>
      <c r="E2765" s="350">
        <v>1.7</v>
      </c>
      <c r="F2765" s="350"/>
      <c r="G2765" s="350">
        <v>2</v>
      </c>
      <c r="H2765" s="371">
        <f>(D2765*E2765)*G2765</f>
        <v>2.04</v>
      </c>
      <c r="I2765" s="1567"/>
      <c r="J2765" s="1543"/>
      <c r="K2765" s="1543"/>
      <c r="L2765" s="1543"/>
      <c r="M2765" s="1543"/>
      <c r="N2765" s="1566"/>
    </row>
    <row r="2766" spans="1:14">
      <c r="A2766" s="1612"/>
      <c r="B2766" s="360" t="s">
        <v>4084</v>
      </c>
      <c r="C2766" s="354"/>
      <c r="D2766" s="341"/>
      <c r="E2766" s="350"/>
      <c r="F2766" s="350"/>
      <c r="G2766" s="350"/>
      <c r="H2766" s="371"/>
      <c r="I2766" s="1567"/>
      <c r="J2766" s="1543"/>
      <c r="K2766" s="1543"/>
      <c r="L2766" s="1543"/>
      <c r="M2766" s="1543"/>
      <c r="N2766" s="1566"/>
    </row>
    <row r="2767" spans="1:14">
      <c r="A2767" s="1612"/>
      <c r="B2767" s="360" t="s">
        <v>4082</v>
      </c>
      <c r="C2767" s="354"/>
      <c r="D2767" s="341">
        <v>0.6</v>
      </c>
      <c r="E2767" s="350">
        <v>1.7</v>
      </c>
      <c r="F2767" s="350"/>
      <c r="G2767" s="350">
        <v>1</v>
      </c>
      <c r="H2767" s="371">
        <f t="shared" ref="H2767:H2771" si="68">(D2767*E2767)*G2767</f>
        <v>1.02</v>
      </c>
      <c r="I2767" s="1567"/>
      <c r="J2767" s="1543"/>
      <c r="K2767" s="1543"/>
      <c r="L2767" s="1543"/>
      <c r="M2767" s="1543"/>
      <c r="N2767" s="1566"/>
    </row>
    <row r="2768" spans="1:14">
      <c r="A2768" s="1612"/>
      <c r="B2768" s="360" t="s">
        <v>4083</v>
      </c>
      <c r="C2768" s="354"/>
      <c r="D2768" s="341">
        <v>0.6</v>
      </c>
      <c r="E2768" s="350">
        <v>1.7</v>
      </c>
      <c r="F2768" s="350"/>
      <c r="G2768" s="350">
        <v>1</v>
      </c>
      <c r="H2768" s="371">
        <f t="shared" si="68"/>
        <v>1.02</v>
      </c>
      <c r="I2768" s="1567"/>
      <c r="J2768" s="1543"/>
      <c r="K2768" s="1543"/>
      <c r="L2768" s="1543"/>
      <c r="M2768" s="1543"/>
      <c r="N2768" s="1566"/>
    </row>
    <row r="2769" spans="1:14">
      <c r="A2769" s="1612"/>
      <c r="B2769" s="996" t="s">
        <v>3305</v>
      </c>
      <c r="C2769" s="354"/>
      <c r="D2769" s="341"/>
      <c r="E2769" s="350"/>
      <c r="F2769" s="350"/>
      <c r="G2769" s="350"/>
      <c r="H2769" s="371"/>
      <c r="I2769" s="1567"/>
      <c r="J2769" s="1543"/>
      <c r="K2769" s="1543"/>
      <c r="L2769" s="1543"/>
      <c r="M2769" s="1543"/>
      <c r="N2769" s="1566"/>
    </row>
    <row r="2770" spans="1:14">
      <c r="A2770" s="1612"/>
      <c r="B2770" s="360" t="s">
        <v>4085</v>
      </c>
      <c r="C2770" s="354"/>
      <c r="D2770" s="341"/>
      <c r="E2770" s="350"/>
      <c r="F2770" s="350"/>
      <c r="G2770" s="350"/>
      <c r="H2770" s="371"/>
      <c r="I2770" s="1567"/>
      <c r="J2770" s="1543"/>
      <c r="K2770" s="1543"/>
      <c r="L2770" s="1543"/>
      <c r="M2770" s="1543"/>
      <c r="N2770" s="1566"/>
    </row>
    <row r="2771" spans="1:14">
      <c r="A2771" s="1612"/>
      <c r="B2771" s="360" t="s">
        <v>4083</v>
      </c>
      <c r="C2771" s="354"/>
      <c r="D2771" s="341">
        <v>0.6</v>
      </c>
      <c r="E2771" s="350">
        <v>1.7</v>
      </c>
      <c r="F2771" s="350"/>
      <c r="G2771" s="350">
        <v>2</v>
      </c>
      <c r="H2771" s="371">
        <f t="shared" si="68"/>
        <v>2.04</v>
      </c>
      <c r="I2771" s="1567"/>
      <c r="J2771" s="1543"/>
      <c r="K2771" s="1543"/>
      <c r="L2771" s="1543"/>
      <c r="M2771" s="1543"/>
      <c r="N2771" s="1566"/>
    </row>
    <row r="2772" spans="1:14">
      <c r="A2772" s="1612"/>
      <c r="B2772" s="360"/>
      <c r="C2772" s="354"/>
      <c r="D2772" s="341"/>
      <c r="E2772" s="350"/>
      <c r="F2772" s="350"/>
      <c r="G2772" s="350"/>
      <c r="H2772" s="371"/>
      <c r="I2772" s="1567"/>
      <c r="J2772" s="1543"/>
      <c r="K2772" s="1543"/>
      <c r="L2772" s="1543"/>
      <c r="M2772" s="1543"/>
      <c r="N2772" s="1566"/>
    </row>
    <row r="2773" spans="1:14">
      <c r="A2773" s="1612"/>
      <c r="B2773" s="360"/>
      <c r="C2773" s="354"/>
      <c r="D2773" s="341"/>
      <c r="E2773" s="341"/>
      <c r="F2773" s="341"/>
      <c r="G2773" s="341"/>
      <c r="H2773" s="371"/>
      <c r="I2773" s="1567"/>
      <c r="J2773" s="1543"/>
      <c r="K2773" s="1543"/>
      <c r="L2773" s="1543"/>
      <c r="M2773" s="1543"/>
      <c r="N2773" s="1566"/>
    </row>
    <row r="2774" spans="1:14">
      <c r="A2774" s="1608" t="s">
        <v>2218</v>
      </c>
      <c r="B2774" s="1609"/>
      <c r="C2774" s="1609"/>
      <c r="D2774" s="1609"/>
      <c r="E2774" s="1609"/>
      <c r="F2774" s="1609"/>
      <c r="G2774" s="1610"/>
      <c r="H2774" s="271">
        <f>SUM(H2753:H2773)</f>
        <v>12.809999999999999</v>
      </c>
      <c r="I2774" s="1567"/>
      <c r="J2774" s="1543"/>
      <c r="K2774" s="1543"/>
      <c r="L2774" s="1543"/>
      <c r="M2774" s="1543"/>
      <c r="N2774" s="1566"/>
    </row>
    <row r="2775" spans="1:14">
      <c r="A2775" s="1519" t="s">
        <v>2219</v>
      </c>
      <c r="B2775" s="1517"/>
      <c r="C2775" s="1517"/>
      <c r="D2775" s="1517"/>
      <c r="E2775" s="1517"/>
      <c r="F2775" s="1517"/>
      <c r="G2775" s="1518"/>
      <c r="H2775" s="272">
        <f>SUM(H2751:H2760)</f>
        <v>5.67</v>
      </c>
      <c r="I2775" s="1543"/>
      <c r="J2775" s="1543"/>
      <c r="K2775" s="1543"/>
      <c r="L2775" s="1543"/>
      <c r="M2775" s="1543"/>
      <c r="N2775" s="1566"/>
    </row>
    <row r="2776" spans="1:14" ht="15.75" thickBot="1">
      <c r="A2776" s="1520" t="s">
        <v>2220</v>
      </c>
      <c r="B2776" s="1521"/>
      <c r="C2776" s="1521"/>
      <c r="D2776" s="1521"/>
      <c r="E2776" s="1521"/>
      <c r="F2776" s="1521"/>
      <c r="G2776" s="1522"/>
      <c r="H2776" s="216">
        <f>H2774-H2775</f>
        <v>7.1399999999999988</v>
      </c>
      <c r="I2776" s="1568"/>
      <c r="J2776" s="1568"/>
      <c r="K2776" s="1568"/>
      <c r="L2776" s="1568"/>
      <c r="M2776" s="1568"/>
      <c r="N2776" s="1569"/>
    </row>
    <row r="2777" spans="1:14" ht="15.75" thickBot="1">
      <c r="A2777" s="1099"/>
      <c r="B2777" s="344"/>
      <c r="C2777" s="343"/>
      <c r="D2777" s="345"/>
      <c r="E2777" s="1265"/>
      <c r="F2777" s="345"/>
      <c r="G2777" s="345"/>
      <c r="H2777" s="219"/>
      <c r="I2777" s="408"/>
      <c r="J2777" s="408"/>
      <c r="K2777" s="408"/>
      <c r="L2777" s="408"/>
      <c r="M2777" s="408"/>
      <c r="N2777" s="409"/>
    </row>
    <row r="2778" spans="1:14" ht="15.75" thickBot="1">
      <c r="A2778" s="1085" t="s">
        <v>3301</v>
      </c>
      <c r="B2778" s="1571" t="s">
        <v>865</v>
      </c>
      <c r="C2778" s="1572"/>
      <c r="D2778" s="1572"/>
      <c r="E2778" s="1572"/>
      <c r="F2778" s="1572"/>
      <c r="G2778" s="1572"/>
      <c r="H2778" s="1572"/>
      <c r="I2778" s="1572"/>
      <c r="J2778" s="1572"/>
      <c r="K2778" s="1572"/>
      <c r="L2778" s="1572"/>
      <c r="M2778" s="1572"/>
      <c r="N2778" s="1573"/>
    </row>
    <row r="2779" spans="1:14" ht="38.450000000000003" customHeight="1">
      <c r="A2779" s="1084" t="s">
        <v>3302</v>
      </c>
      <c r="B2779" s="1533" t="s">
        <v>3303</v>
      </c>
      <c r="C2779" s="1533"/>
      <c r="D2779" s="1533"/>
      <c r="E2779" s="1533"/>
      <c r="F2779" s="1533"/>
      <c r="G2779" s="1533"/>
      <c r="H2779" s="1533"/>
      <c r="I2779" s="1533"/>
      <c r="J2779" s="1533"/>
      <c r="K2779" s="266" t="s">
        <v>12</v>
      </c>
      <c r="L2779" s="1534">
        <f>'27ª MEDIÇÃO '!F158</f>
        <v>21.47</v>
      </c>
      <c r="M2779" s="1534"/>
      <c r="N2779" s="197">
        <f>L2779-H2809</f>
        <v>0</v>
      </c>
    </row>
    <row r="2780" spans="1:14">
      <c r="A2780" s="1574" t="s">
        <v>3294</v>
      </c>
      <c r="B2780" s="287"/>
      <c r="C2780" s="287" t="s">
        <v>12</v>
      </c>
      <c r="D2780" s="614" t="s">
        <v>2923</v>
      </c>
      <c r="E2780" s="531" t="s">
        <v>2583</v>
      </c>
      <c r="F2780" s="287" t="s">
        <v>3048</v>
      </c>
      <c r="G2780" s="287"/>
      <c r="H2780" s="289"/>
      <c r="I2780" s="1509"/>
      <c r="J2780" s="1509"/>
      <c r="K2780" s="1509"/>
      <c r="L2780" s="1509"/>
      <c r="M2780" s="1509"/>
      <c r="N2780" s="1510"/>
    </row>
    <row r="2781" spans="1:14">
      <c r="A2781" s="1707"/>
      <c r="B2781" s="900" t="s">
        <v>3304</v>
      </c>
      <c r="C2781" s="888"/>
      <c r="D2781" s="888"/>
      <c r="E2781" s="888"/>
      <c r="F2781" s="292"/>
      <c r="G2781" s="291"/>
      <c r="H2781" s="293"/>
      <c r="I2781" s="1509"/>
      <c r="J2781" s="1509"/>
      <c r="K2781" s="1509"/>
      <c r="L2781" s="1509"/>
      <c r="M2781" s="1509"/>
      <c r="N2781" s="1510"/>
    </row>
    <row r="2782" spans="1:14">
      <c r="A2782" s="1575"/>
      <c r="B2782" s="310" t="s">
        <v>2854</v>
      </c>
      <c r="C2782" s="888"/>
      <c r="D2782" s="901">
        <v>0.8</v>
      </c>
      <c r="E2782" s="901">
        <v>0.6</v>
      </c>
      <c r="F2782" s="292">
        <v>3</v>
      </c>
      <c r="G2782" s="311"/>
      <c r="H2782" s="887">
        <f>D2782*E2782*F2782</f>
        <v>1.44</v>
      </c>
      <c r="I2782" s="1509"/>
      <c r="J2782" s="1509"/>
      <c r="K2782" s="1509"/>
      <c r="L2782" s="1509"/>
      <c r="M2782" s="1509"/>
      <c r="N2782" s="1510"/>
    </row>
    <row r="2783" spans="1:14">
      <c r="A2783" s="1575"/>
      <c r="B2783" s="310" t="s">
        <v>2855</v>
      </c>
      <c r="C2783" s="888"/>
      <c r="D2783" s="901">
        <v>1.5</v>
      </c>
      <c r="E2783" s="901">
        <v>0.8</v>
      </c>
      <c r="F2783" s="292">
        <v>1</v>
      </c>
      <c r="G2783" s="311"/>
      <c r="H2783" s="887">
        <f>D2783*E2783*F2783</f>
        <v>1.2000000000000002</v>
      </c>
      <c r="I2783" s="1509"/>
      <c r="J2783" s="1509"/>
      <c r="K2783" s="1509"/>
      <c r="L2783" s="1509"/>
      <c r="M2783" s="1509"/>
      <c r="N2783" s="1510"/>
    </row>
    <row r="2784" spans="1:14">
      <c r="A2784" s="1575"/>
      <c r="B2784" s="310" t="s">
        <v>2856</v>
      </c>
      <c r="C2784" s="888"/>
      <c r="D2784" s="901">
        <v>2</v>
      </c>
      <c r="E2784" s="901">
        <v>0.8</v>
      </c>
      <c r="F2784" s="292">
        <v>2</v>
      </c>
      <c r="G2784" s="311"/>
      <c r="H2784" s="887">
        <f>D2784*E2784*F2784</f>
        <v>3.2</v>
      </c>
      <c r="I2784" s="1509"/>
      <c r="J2784" s="1509"/>
      <c r="K2784" s="1509"/>
      <c r="L2784" s="1509"/>
      <c r="M2784" s="1509"/>
      <c r="N2784" s="1510"/>
    </row>
    <row r="2785" spans="1:14">
      <c r="A2785" s="1575"/>
      <c r="B2785" s="310" t="s">
        <v>3228</v>
      </c>
      <c r="C2785" s="888"/>
      <c r="D2785" s="901">
        <v>3</v>
      </c>
      <c r="E2785" s="901">
        <v>0.3</v>
      </c>
      <c r="F2785" s="292">
        <v>1</v>
      </c>
      <c r="G2785" s="311"/>
      <c r="H2785" s="887">
        <f>D2785*E2785*F2785</f>
        <v>0.89999999999999991</v>
      </c>
      <c r="I2785" s="1509"/>
      <c r="J2785" s="1509"/>
      <c r="K2785" s="1509"/>
      <c r="L2785" s="1509"/>
      <c r="M2785" s="1509"/>
      <c r="N2785" s="1510"/>
    </row>
    <row r="2786" spans="1:14">
      <c r="A2786" s="1575"/>
      <c r="B2786" s="900" t="s">
        <v>3305</v>
      </c>
      <c r="C2786" s="888"/>
      <c r="D2786" s="901"/>
      <c r="E2786" s="901"/>
      <c r="F2786" s="292"/>
      <c r="G2786" s="311"/>
      <c r="H2786" s="887"/>
      <c r="I2786" s="1509"/>
      <c r="J2786" s="1509"/>
      <c r="K2786" s="1509"/>
      <c r="L2786" s="1509"/>
      <c r="M2786" s="1509"/>
      <c r="N2786" s="1510"/>
    </row>
    <row r="2787" spans="1:14">
      <c r="A2787" s="1575"/>
      <c r="B2787" s="310" t="s">
        <v>2258</v>
      </c>
      <c r="C2787" s="888"/>
      <c r="D2787" s="901">
        <v>0.55000000000000004</v>
      </c>
      <c r="E2787" s="901">
        <v>0.9</v>
      </c>
      <c r="F2787" s="292">
        <v>2</v>
      </c>
      <c r="G2787" s="311"/>
      <c r="H2787" s="887">
        <f>D2787*E2787*F2787</f>
        <v>0.9900000000000001</v>
      </c>
      <c r="I2787" s="1509"/>
      <c r="J2787" s="1509"/>
      <c r="K2787" s="1509"/>
      <c r="L2787" s="1509"/>
      <c r="M2787" s="1509"/>
      <c r="N2787" s="1510"/>
    </row>
    <row r="2788" spans="1:14">
      <c r="A2788" s="1575"/>
      <c r="B2788" s="310" t="s">
        <v>2854</v>
      </c>
      <c r="C2788" s="888"/>
      <c r="D2788" s="901">
        <v>0.8</v>
      </c>
      <c r="E2788" s="901">
        <v>0.6</v>
      </c>
      <c r="F2788" s="292">
        <v>2</v>
      </c>
      <c r="G2788" s="311"/>
      <c r="H2788" s="887">
        <f>D2788*E2788*F2788</f>
        <v>0.96</v>
      </c>
      <c r="I2788" s="1509"/>
      <c r="J2788" s="1509"/>
      <c r="K2788" s="1509"/>
      <c r="L2788" s="1509"/>
      <c r="M2788" s="1509"/>
      <c r="N2788" s="1510"/>
    </row>
    <row r="2789" spans="1:14">
      <c r="A2789" s="1575"/>
      <c r="B2789" s="310" t="s">
        <v>3050</v>
      </c>
      <c r="C2789" s="888"/>
      <c r="D2789" s="901">
        <v>0.8</v>
      </c>
      <c r="E2789" s="901">
        <v>0.8</v>
      </c>
      <c r="F2789" s="292">
        <v>1</v>
      </c>
      <c r="G2789" s="311"/>
      <c r="H2789" s="887">
        <f>D2789*E2789*F2789</f>
        <v>0.64000000000000012</v>
      </c>
      <c r="I2789" s="1509"/>
      <c r="J2789" s="1509"/>
      <c r="K2789" s="1509"/>
      <c r="L2789" s="1509"/>
      <c r="M2789" s="1509"/>
      <c r="N2789" s="1510"/>
    </row>
    <row r="2790" spans="1:14">
      <c r="A2790" s="1576"/>
      <c r="B2790" s="294"/>
      <c r="C2790" s="294"/>
      <c r="D2790" s="294"/>
      <c r="E2790" s="295"/>
      <c r="F2790" s="294"/>
      <c r="G2790" s="294"/>
      <c r="H2790" s="296"/>
      <c r="I2790" s="1509"/>
      <c r="J2790" s="1509"/>
      <c r="K2790" s="1509"/>
      <c r="L2790" s="1509"/>
      <c r="M2790" s="1509"/>
      <c r="N2790" s="1510"/>
    </row>
    <row r="2791" spans="1:14">
      <c r="A2791" s="1574" t="s">
        <v>3364</v>
      </c>
      <c r="B2791" s="287"/>
      <c r="C2791" s="287" t="s">
        <v>12</v>
      </c>
      <c r="D2791" s="614" t="s">
        <v>2923</v>
      </c>
      <c r="E2791" s="531" t="s">
        <v>2583</v>
      </c>
      <c r="F2791" s="287" t="s">
        <v>3048</v>
      </c>
      <c r="G2791" s="287"/>
      <c r="H2791" s="289"/>
      <c r="I2791" s="1509"/>
      <c r="J2791" s="1509"/>
      <c r="K2791" s="1509"/>
      <c r="L2791" s="1509"/>
      <c r="M2791" s="1509"/>
      <c r="N2791" s="1510"/>
    </row>
    <row r="2792" spans="1:14">
      <c r="A2792" s="1707"/>
      <c r="B2792" s="900" t="s">
        <v>3304</v>
      </c>
      <c r="C2792" s="888"/>
      <c r="D2792" s="888"/>
      <c r="E2792" s="888"/>
      <c r="F2792" s="292"/>
      <c r="G2792" s="291"/>
      <c r="H2792" s="293"/>
      <c r="I2792" s="1509"/>
      <c r="J2792" s="1509"/>
      <c r="K2792" s="1509"/>
      <c r="L2792" s="1509"/>
      <c r="M2792" s="1509"/>
      <c r="N2792" s="1510"/>
    </row>
    <row r="2793" spans="1:14">
      <c r="A2793" s="1575"/>
      <c r="B2793" s="310" t="s">
        <v>2854</v>
      </c>
      <c r="C2793" s="888"/>
      <c r="D2793" s="901">
        <v>0.8</v>
      </c>
      <c r="E2793" s="901">
        <v>0.6</v>
      </c>
      <c r="F2793" s="292">
        <v>2</v>
      </c>
      <c r="G2793" s="311"/>
      <c r="H2793" s="887">
        <f>D2793*E2793*F2793</f>
        <v>0.96</v>
      </c>
      <c r="I2793" s="1509"/>
      <c r="J2793" s="1509"/>
      <c r="K2793" s="1509"/>
      <c r="L2793" s="1509"/>
      <c r="M2793" s="1509"/>
      <c r="N2793" s="1510"/>
    </row>
    <row r="2794" spans="1:14">
      <c r="A2794" s="1575"/>
      <c r="B2794" s="310" t="s">
        <v>2855</v>
      </c>
      <c r="C2794" s="888"/>
      <c r="D2794" s="901">
        <v>1.5</v>
      </c>
      <c r="E2794" s="901">
        <v>0.8</v>
      </c>
      <c r="F2794" s="292">
        <v>1</v>
      </c>
      <c r="G2794" s="311"/>
      <c r="H2794" s="887">
        <f>D2794*E2794*F2794</f>
        <v>1.2000000000000002</v>
      </c>
      <c r="I2794" s="1509"/>
      <c r="J2794" s="1509"/>
      <c r="K2794" s="1509"/>
      <c r="L2794" s="1509"/>
      <c r="M2794" s="1509"/>
      <c r="N2794" s="1510"/>
    </row>
    <row r="2795" spans="1:14">
      <c r="A2795" s="1575"/>
      <c r="B2795" s="900" t="s">
        <v>3305</v>
      </c>
      <c r="C2795" s="888"/>
      <c r="D2795" s="901"/>
      <c r="E2795" s="901"/>
      <c r="F2795" s="292"/>
      <c r="G2795" s="311"/>
      <c r="H2795" s="887"/>
      <c r="I2795" s="1509"/>
      <c r="J2795" s="1509"/>
      <c r="K2795" s="1509"/>
      <c r="L2795" s="1509"/>
      <c r="M2795" s="1509"/>
      <c r="N2795" s="1510"/>
    </row>
    <row r="2796" spans="1:14">
      <c r="A2796" s="1575"/>
      <c r="B2796" s="310" t="s">
        <v>2258</v>
      </c>
      <c r="C2796" s="888"/>
      <c r="D2796" s="901">
        <v>0.55000000000000004</v>
      </c>
      <c r="E2796" s="901">
        <v>0.9</v>
      </c>
      <c r="F2796" s="292">
        <v>2</v>
      </c>
      <c r="G2796" s="311"/>
      <c r="H2796" s="887">
        <f>D2796*E2796*F2796</f>
        <v>0.9900000000000001</v>
      </c>
      <c r="I2796" s="1509"/>
      <c r="J2796" s="1509"/>
      <c r="K2796" s="1509"/>
      <c r="L2796" s="1509"/>
      <c r="M2796" s="1509"/>
      <c r="N2796" s="1510"/>
    </row>
    <row r="2797" spans="1:14">
      <c r="A2797" s="1575"/>
      <c r="B2797" s="310" t="s">
        <v>2854</v>
      </c>
      <c r="C2797" s="888"/>
      <c r="D2797" s="901">
        <v>0.8</v>
      </c>
      <c r="E2797" s="901">
        <v>0.6</v>
      </c>
      <c r="F2797" s="292">
        <v>1</v>
      </c>
      <c r="G2797" s="311"/>
      <c r="H2797" s="887">
        <f>D2797*E2797*F2797</f>
        <v>0.48</v>
      </c>
      <c r="I2797" s="1509"/>
      <c r="J2797" s="1509"/>
      <c r="K2797" s="1509"/>
      <c r="L2797" s="1509"/>
      <c r="M2797" s="1509"/>
      <c r="N2797" s="1510"/>
    </row>
    <row r="2798" spans="1:14">
      <c r="A2798" s="1576"/>
      <c r="B2798" s="294"/>
      <c r="C2798" s="294"/>
      <c r="D2798" s="294"/>
      <c r="E2798" s="295"/>
      <c r="F2798" s="294"/>
      <c r="G2798" s="294"/>
      <c r="H2798" s="296"/>
      <c r="I2798" s="1509"/>
      <c r="J2798" s="1509"/>
      <c r="K2798" s="1509"/>
      <c r="L2798" s="1509"/>
      <c r="M2798" s="1509"/>
      <c r="N2798" s="1510"/>
    </row>
    <row r="2799" spans="1:14">
      <c r="A2799" s="1530" t="s">
        <v>3569</v>
      </c>
      <c r="B2799" s="287"/>
      <c r="C2799" s="287" t="s">
        <v>12</v>
      </c>
      <c r="D2799" s="614" t="s">
        <v>2923</v>
      </c>
      <c r="E2799" s="531" t="s">
        <v>2583</v>
      </c>
      <c r="F2799" s="287" t="s">
        <v>3048</v>
      </c>
      <c r="G2799" s="287"/>
      <c r="H2799" s="289"/>
      <c r="I2799" s="1509"/>
      <c r="J2799" s="1509"/>
      <c r="K2799" s="1509"/>
      <c r="L2799" s="1509"/>
      <c r="M2799" s="1509"/>
      <c r="N2799" s="1510"/>
    </row>
    <row r="2800" spans="1:14">
      <c r="A2800" s="1531"/>
      <c r="B2800" s="900" t="s">
        <v>3304</v>
      </c>
      <c r="C2800" s="888"/>
      <c r="D2800" s="888"/>
      <c r="E2800" s="888"/>
      <c r="F2800" s="292"/>
      <c r="G2800" s="291"/>
      <c r="H2800" s="293"/>
      <c r="I2800" s="1509"/>
      <c r="J2800" s="1509"/>
      <c r="K2800" s="1509"/>
      <c r="L2800" s="1509"/>
      <c r="M2800" s="1509"/>
      <c r="N2800" s="1510"/>
    </row>
    <row r="2801" spans="1:14">
      <c r="A2801" s="1531"/>
      <c r="B2801" s="310" t="s">
        <v>2855</v>
      </c>
      <c r="C2801" s="888"/>
      <c r="D2801" s="901">
        <v>1.5</v>
      </c>
      <c r="E2801" s="901">
        <v>1.1499999999999999</v>
      </c>
      <c r="F2801" s="292">
        <v>1</v>
      </c>
      <c r="G2801" s="311"/>
      <c r="H2801" s="887">
        <v>1.41</v>
      </c>
      <c r="I2801" s="1509"/>
      <c r="J2801" s="1509"/>
      <c r="K2801" s="1509"/>
      <c r="L2801" s="1509"/>
      <c r="M2801" s="1509"/>
      <c r="N2801" s="1510"/>
    </row>
    <row r="2802" spans="1:14">
      <c r="A2802" s="1531"/>
      <c r="B2802" s="807" t="s">
        <v>2856</v>
      </c>
      <c r="C2802" s="888"/>
      <c r="D2802" s="901">
        <v>2</v>
      </c>
      <c r="E2802" s="901">
        <v>1.1499999999999999</v>
      </c>
      <c r="F2802" s="292">
        <v>2</v>
      </c>
      <c r="G2802" s="311"/>
      <c r="H2802" s="887">
        <v>3.2</v>
      </c>
      <c r="I2802" s="1509"/>
      <c r="J2802" s="1509"/>
      <c r="K2802" s="1509"/>
      <c r="L2802" s="1509"/>
      <c r="M2802" s="1509"/>
      <c r="N2802" s="1510"/>
    </row>
    <row r="2803" spans="1:14">
      <c r="A2803" s="1546"/>
      <c r="B2803" s="807"/>
      <c r="C2803" s="906"/>
      <c r="D2803" s="907"/>
      <c r="E2803" s="907"/>
      <c r="F2803" s="312"/>
      <c r="G2803" s="311"/>
      <c r="H2803" s="887"/>
      <c r="I2803" s="1509"/>
      <c r="J2803" s="1509"/>
      <c r="K2803" s="1509"/>
      <c r="L2803" s="1509"/>
      <c r="M2803" s="1509"/>
      <c r="N2803" s="1510"/>
    </row>
    <row r="2804" spans="1:14">
      <c r="A2804" s="1722" t="s">
        <v>3745</v>
      </c>
      <c r="B2804" s="1184" t="s">
        <v>3792</v>
      </c>
      <c r="C2804" s="906"/>
      <c r="D2804" s="907"/>
      <c r="E2804" s="907"/>
      <c r="F2804" s="312"/>
      <c r="G2804" s="311"/>
      <c r="H2804" s="887"/>
      <c r="I2804" s="1509"/>
      <c r="J2804" s="1509"/>
      <c r="K2804" s="1509"/>
      <c r="L2804" s="1509"/>
      <c r="M2804" s="1509"/>
      <c r="N2804" s="1510"/>
    </row>
    <row r="2805" spans="1:14">
      <c r="A2805" s="1523"/>
      <c r="B2805" s="1174" t="s">
        <v>3793</v>
      </c>
      <c r="C2805" s="906"/>
      <c r="D2805" s="1187">
        <v>0.8</v>
      </c>
      <c r="E2805" s="1341">
        <v>1.8</v>
      </c>
      <c r="F2805" s="1187">
        <v>1</v>
      </c>
      <c r="G2805" s="311"/>
      <c r="H2805" s="887">
        <f>D2805*E2805*F2805</f>
        <v>1.4400000000000002</v>
      </c>
      <c r="I2805" s="1509"/>
      <c r="J2805" s="1509"/>
      <c r="K2805" s="1509"/>
      <c r="L2805" s="1509"/>
      <c r="M2805" s="1509"/>
      <c r="N2805" s="1510"/>
    </row>
    <row r="2806" spans="1:14">
      <c r="A2806" s="1523"/>
      <c r="B2806" s="1174" t="s">
        <v>3794</v>
      </c>
      <c r="C2806" s="906"/>
      <c r="D2806" s="1187">
        <v>3</v>
      </c>
      <c r="E2806" s="1341">
        <v>0.5</v>
      </c>
      <c r="F2806" s="1187">
        <v>1</v>
      </c>
      <c r="G2806" s="311"/>
      <c r="H2806" s="887">
        <f>D2806*E2806*F2806</f>
        <v>1.5</v>
      </c>
      <c r="I2806" s="1509"/>
      <c r="J2806" s="1509"/>
      <c r="K2806" s="1509"/>
      <c r="L2806" s="1509"/>
      <c r="M2806" s="1509"/>
      <c r="N2806" s="1510"/>
    </row>
    <row r="2807" spans="1:14">
      <c r="A2807" s="1523"/>
      <c r="B2807" s="1184" t="s">
        <v>3795</v>
      </c>
      <c r="C2807" s="906"/>
      <c r="D2807" s="1188"/>
      <c r="E2807" s="1188"/>
      <c r="F2807" s="1188"/>
      <c r="G2807" s="311"/>
      <c r="H2807" s="887"/>
      <c r="I2807" s="1509"/>
      <c r="J2807" s="1509"/>
      <c r="K2807" s="1509"/>
      <c r="L2807" s="1509"/>
      <c r="M2807" s="1509"/>
      <c r="N2807" s="1510"/>
    </row>
    <row r="2808" spans="1:14">
      <c r="A2808" s="1515"/>
      <c r="B2808" s="1174" t="s">
        <v>2854</v>
      </c>
      <c r="C2808" s="294"/>
      <c r="D2808" s="1187">
        <v>0.8</v>
      </c>
      <c r="E2808" s="1341">
        <v>0.6</v>
      </c>
      <c r="F2808" s="1187">
        <v>2</v>
      </c>
      <c r="G2808" s="294"/>
      <c r="H2808" s="887">
        <f>D2808*E2808*F2808</f>
        <v>0.96</v>
      </c>
      <c r="I2808" s="1509"/>
      <c r="J2808" s="1509"/>
      <c r="K2808" s="1509"/>
      <c r="L2808" s="1509"/>
      <c r="M2808" s="1509"/>
      <c r="N2808" s="1510"/>
    </row>
    <row r="2809" spans="1:14">
      <c r="A2809" s="1577" t="s">
        <v>3383</v>
      </c>
      <c r="B2809" s="1542"/>
      <c r="C2809" s="1542"/>
      <c r="D2809" s="1542"/>
      <c r="E2809" s="1542"/>
      <c r="F2809" s="1542"/>
      <c r="G2809" s="1542"/>
      <c r="H2809" s="271">
        <f>SUM(H2780:H2808)</f>
        <v>21.470000000000006</v>
      </c>
      <c r="I2809" s="1509"/>
      <c r="J2809" s="1509"/>
      <c r="K2809" s="1509"/>
      <c r="L2809" s="1509"/>
      <c r="M2809" s="1509"/>
      <c r="N2809" s="1510"/>
    </row>
    <row r="2810" spans="1:14">
      <c r="A2810" s="1578" t="s">
        <v>2219</v>
      </c>
      <c r="B2810" s="1538"/>
      <c r="C2810" s="1538"/>
      <c r="D2810" s="1538"/>
      <c r="E2810" s="1538"/>
      <c r="F2810" s="1538"/>
      <c r="G2810" s="1538"/>
      <c r="H2810" s="320">
        <f>SUM(H2780:H2802)</f>
        <v>17.570000000000004</v>
      </c>
      <c r="I2810" s="1509"/>
      <c r="J2810" s="1509"/>
      <c r="K2810" s="1509"/>
      <c r="L2810" s="1509"/>
      <c r="M2810" s="1509"/>
      <c r="N2810" s="1510"/>
    </row>
    <row r="2811" spans="1:14" ht="15.75" thickBot="1">
      <c r="A2811" s="1579" t="s">
        <v>2220</v>
      </c>
      <c r="B2811" s="1580"/>
      <c r="C2811" s="1580"/>
      <c r="D2811" s="1580"/>
      <c r="E2811" s="1580"/>
      <c r="F2811" s="1580"/>
      <c r="G2811" s="1580"/>
      <c r="H2811" s="633">
        <f>H2809-H2810</f>
        <v>3.9000000000000021</v>
      </c>
      <c r="I2811" s="1512"/>
      <c r="J2811" s="1512"/>
      <c r="K2811" s="1512"/>
      <c r="L2811" s="1512"/>
      <c r="M2811" s="1512"/>
      <c r="N2811" s="1513"/>
    </row>
    <row r="2812" spans="1:14" ht="15.75" thickBot="1">
      <c r="A2812" s="1112"/>
      <c r="B2812" s="343"/>
      <c r="C2812" s="343"/>
      <c r="D2812" s="345"/>
      <c r="E2812" s="1342"/>
      <c r="F2812" s="343"/>
      <c r="G2812" s="343"/>
      <c r="H2812" s="902"/>
      <c r="I2812" s="408"/>
      <c r="J2812" s="408"/>
      <c r="K2812" s="408"/>
      <c r="L2812" s="408"/>
      <c r="M2812" s="408"/>
      <c r="N2812" s="408"/>
    </row>
    <row r="2813" spans="1:14" ht="15.75" thickBot="1">
      <c r="A2813" s="1085" t="s">
        <v>3306</v>
      </c>
      <c r="B2813" s="1571" t="s">
        <v>870</v>
      </c>
      <c r="C2813" s="1572"/>
      <c r="D2813" s="1572"/>
      <c r="E2813" s="1572"/>
      <c r="F2813" s="1572"/>
      <c r="G2813" s="1572"/>
      <c r="H2813" s="1572"/>
      <c r="I2813" s="1572"/>
      <c r="J2813" s="1572"/>
      <c r="K2813" s="1572"/>
      <c r="L2813" s="1572"/>
      <c r="M2813" s="1572"/>
      <c r="N2813" s="1573"/>
    </row>
    <row r="2814" spans="1:14" ht="38.450000000000003" customHeight="1">
      <c r="A2814" s="1084" t="s">
        <v>3307</v>
      </c>
      <c r="B2814" s="1533" t="s">
        <v>3308</v>
      </c>
      <c r="C2814" s="1533"/>
      <c r="D2814" s="1533"/>
      <c r="E2814" s="1533"/>
      <c r="F2814" s="1533"/>
      <c r="G2814" s="1533"/>
      <c r="H2814" s="1533"/>
      <c r="I2814" s="1533"/>
      <c r="J2814" s="1533"/>
      <c r="K2814" s="266" t="s">
        <v>12</v>
      </c>
      <c r="L2814" s="1534">
        <f>'27ª MEDIÇÃO '!F160</f>
        <v>19.22</v>
      </c>
      <c r="M2814" s="1534"/>
      <c r="N2814" s="197">
        <f>L2814-H2828</f>
        <v>0</v>
      </c>
    </row>
    <row r="2815" spans="1:14">
      <c r="A2815" s="1574" t="s">
        <v>3294</v>
      </c>
      <c r="B2815" s="287"/>
      <c r="C2815" s="287" t="s">
        <v>12</v>
      </c>
      <c r="D2815" s="614" t="s">
        <v>2923</v>
      </c>
      <c r="E2815" s="531" t="s">
        <v>2583</v>
      </c>
      <c r="F2815" s="287" t="s">
        <v>3048</v>
      </c>
      <c r="G2815" s="287"/>
      <c r="H2815" s="289"/>
      <c r="I2815" s="1509"/>
      <c r="J2815" s="1509"/>
      <c r="K2815" s="1509"/>
      <c r="L2815" s="1509"/>
      <c r="M2815" s="1509"/>
      <c r="N2815" s="1510"/>
    </row>
    <row r="2816" spans="1:14">
      <c r="A2816" s="1707"/>
      <c r="B2816" s="900" t="s">
        <v>3304</v>
      </c>
      <c r="C2816" s="888"/>
      <c r="D2816" s="888"/>
      <c r="E2816" s="888"/>
      <c r="F2816" s="292"/>
      <c r="G2816" s="291"/>
      <c r="H2816" s="293"/>
      <c r="I2816" s="1509"/>
      <c r="J2816" s="1509"/>
      <c r="K2816" s="1509"/>
      <c r="L2816" s="1509"/>
      <c r="M2816" s="1509"/>
      <c r="N2816" s="1510"/>
    </row>
    <row r="2817" spans="1:14">
      <c r="A2817" s="1575"/>
      <c r="B2817" s="310" t="s">
        <v>3041</v>
      </c>
      <c r="C2817" s="888"/>
      <c r="D2817" s="901">
        <v>1</v>
      </c>
      <c r="E2817" s="901">
        <v>1.8</v>
      </c>
      <c r="F2817" s="292">
        <v>2</v>
      </c>
      <c r="G2817" s="311"/>
      <c r="H2817" s="887">
        <f>D2817*E2817*F2817</f>
        <v>3.6</v>
      </c>
      <c r="I2817" s="1509"/>
      <c r="J2817" s="1509"/>
      <c r="K2817" s="1509"/>
      <c r="L2817" s="1509"/>
      <c r="M2817" s="1509"/>
      <c r="N2817" s="1510"/>
    </row>
    <row r="2818" spans="1:14">
      <c r="A2818" s="1575"/>
      <c r="B2818" s="807"/>
      <c r="C2818" s="888"/>
      <c r="D2818" s="901"/>
      <c r="E2818" s="901"/>
      <c r="F2818" s="292"/>
      <c r="G2818" s="311"/>
      <c r="H2818" s="887"/>
      <c r="I2818" s="1509"/>
      <c r="J2818" s="1509"/>
      <c r="K2818" s="1509"/>
      <c r="L2818" s="1509"/>
      <c r="M2818" s="1509"/>
      <c r="N2818" s="1510"/>
    </row>
    <row r="2819" spans="1:14">
      <c r="A2819" s="1575"/>
      <c r="B2819" s="900" t="s">
        <v>3305</v>
      </c>
      <c r="C2819" s="888"/>
      <c r="D2819" s="901"/>
      <c r="E2819" s="901"/>
      <c r="F2819" s="292"/>
      <c r="G2819" s="311"/>
      <c r="H2819" s="887"/>
      <c r="I2819" s="1509"/>
      <c r="J2819" s="1509"/>
      <c r="K2819" s="1509"/>
      <c r="L2819" s="1509"/>
      <c r="M2819" s="1509"/>
      <c r="N2819" s="1510"/>
    </row>
    <row r="2820" spans="1:14">
      <c r="A2820" s="1575"/>
      <c r="B2820" s="310" t="s">
        <v>2252</v>
      </c>
      <c r="C2820" s="888"/>
      <c r="D2820" s="901">
        <v>2</v>
      </c>
      <c r="E2820" s="901">
        <v>1.2</v>
      </c>
      <c r="F2820" s="292">
        <v>2</v>
      </c>
      <c r="G2820" s="311"/>
      <c r="H2820" s="887">
        <f>D2820*E2820*F2820</f>
        <v>4.8</v>
      </c>
      <c r="I2820" s="1509"/>
      <c r="J2820" s="1509"/>
      <c r="K2820" s="1509"/>
      <c r="L2820" s="1509"/>
      <c r="M2820" s="1509"/>
      <c r="N2820" s="1510"/>
    </row>
    <row r="2821" spans="1:14">
      <c r="A2821" s="1576"/>
      <c r="B2821" s="294"/>
      <c r="C2821" s="294"/>
      <c r="D2821" s="294"/>
      <c r="E2821" s="295"/>
      <c r="F2821" s="294"/>
      <c r="G2821" s="294"/>
      <c r="H2821" s="296"/>
      <c r="I2821" s="1509"/>
      <c r="J2821" s="1509"/>
      <c r="K2821" s="1509"/>
      <c r="L2821" s="1509"/>
      <c r="M2821" s="1509"/>
      <c r="N2821" s="1510"/>
    </row>
    <row r="2822" spans="1:14">
      <c r="A2822" s="1530" t="s">
        <v>3569</v>
      </c>
      <c r="B2822" s="287"/>
      <c r="C2822" s="287" t="s">
        <v>12</v>
      </c>
      <c r="D2822" s="614" t="s">
        <v>2923</v>
      </c>
      <c r="E2822" s="531" t="s">
        <v>2583</v>
      </c>
      <c r="F2822" s="287" t="s">
        <v>3048</v>
      </c>
      <c r="G2822" s="287"/>
      <c r="H2822" s="289"/>
      <c r="I2822" s="1509"/>
      <c r="J2822" s="1509"/>
      <c r="K2822" s="1509"/>
      <c r="L2822" s="1509"/>
      <c r="M2822" s="1509"/>
      <c r="N2822" s="1510"/>
    </row>
    <row r="2823" spans="1:14">
      <c r="A2823" s="1531"/>
      <c r="B2823" s="900" t="s">
        <v>3304</v>
      </c>
      <c r="C2823" s="888"/>
      <c r="D2823" s="888"/>
      <c r="E2823" s="888"/>
      <c r="F2823" s="292"/>
      <c r="G2823" s="291"/>
      <c r="H2823" s="293"/>
      <c r="I2823" s="1509"/>
      <c r="J2823" s="1509"/>
      <c r="K2823" s="1509"/>
      <c r="L2823" s="1509"/>
      <c r="M2823" s="1509"/>
      <c r="N2823" s="1510"/>
    </row>
    <row r="2824" spans="1:14">
      <c r="A2824" s="1531"/>
      <c r="B2824" s="310" t="s">
        <v>2853</v>
      </c>
      <c r="C2824" s="888"/>
      <c r="D2824" s="901">
        <v>0.9</v>
      </c>
      <c r="E2824" s="901">
        <v>1.1000000000000001</v>
      </c>
      <c r="F2824" s="292">
        <v>2</v>
      </c>
      <c r="G2824" s="311"/>
      <c r="H2824" s="887">
        <f>D2824*E2824*F2824</f>
        <v>1.9800000000000002</v>
      </c>
      <c r="I2824" s="1509"/>
      <c r="J2824" s="1509"/>
      <c r="K2824" s="1509"/>
      <c r="L2824" s="1509"/>
      <c r="M2824" s="1509"/>
      <c r="N2824" s="1510"/>
    </row>
    <row r="2825" spans="1:14">
      <c r="A2825" s="1531"/>
      <c r="B2825" s="807" t="s">
        <v>3042</v>
      </c>
      <c r="C2825" s="888"/>
      <c r="D2825" s="901">
        <v>1.6</v>
      </c>
      <c r="E2825" s="901">
        <v>1.1000000000000001</v>
      </c>
      <c r="F2825" s="292">
        <v>1</v>
      </c>
      <c r="G2825" s="311"/>
      <c r="H2825" s="887">
        <f>D2825*E2825*F2825</f>
        <v>1.7600000000000002</v>
      </c>
      <c r="I2825" s="1509"/>
      <c r="J2825" s="1509"/>
      <c r="K2825" s="1509"/>
      <c r="L2825" s="1509"/>
      <c r="M2825" s="1509"/>
      <c r="N2825" s="1510"/>
    </row>
    <row r="2826" spans="1:14">
      <c r="A2826" s="1546"/>
      <c r="B2826" s="807" t="s">
        <v>3227</v>
      </c>
      <c r="C2826" s="888"/>
      <c r="D2826" s="901">
        <v>8.8000000000000007</v>
      </c>
      <c r="E2826" s="901">
        <v>0.8</v>
      </c>
      <c r="F2826" s="292">
        <v>1</v>
      </c>
      <c r="G2826" s="311"/>
      <c r="H2826" s="887">
        <f>D2826*E2826*F2826</f>
        <v>7.0400000000000009</v>
      </c>
      <c r="I2826" s="1509"/>
      <c r="J2826" s="1509"/>
      <c r="K2826" s="1509"/>
      <c r="L2826" s="1509"/>
      <c r="M2826" s="1509"/>
      <c r="N2826" s="1510"/>
    </row>
    <row r="2827" spans="1:14">
      <c r="A2827" s="1165" t="s">
        <v>3850</v>
      </c>
      <c r="B2827" s="294" t="s">
        <v>3167</v>
      </c>
      <c r="C2827" s="294"/>
      <c r="D2827" s="294"/>
      <c r="E2827" s="295"/>
      <c r="F2827" s="294"/>
      <c r="G2827" s="294"/>
      <c r="H2827" s="296">
        <v>0.04</v>
      </c>
      <c r="I2827" s="1509"/>
      <c r="J2827" s="1509"/>
      <c r="K2827" s="1509"/>
      <c r="L2827" s="1509"/>
      <c r="M2827" s="1509"/>
      <c r="N2827" s="1510"/>
    </row>
    <row r="2828" spans="1:14">
      <c r="A2828" s="1577" t="s">
        <v>2218</v>
      </c>
      <c r="B2828" s="1542"/>
      <c r="C2828" s="1542"/>
      <c r="D2828" s="1542"/>
      <c r="E2828" s="1542"/>
      <c r="F2828" s="1542"/>
      <c r="G2828" s="1542"/>
      <c r="H2828" s="271">
        <f>SUM(H2815:H2827)</f>
        <v>19.22</v>
      </c>
      <c r="I2828" s="1509"/>
      <c r="J2828" s="1509"/>
      <c r="K2828" s="1509"/>
      <c r="L2828" s="1509"/>
      <c r="M2828" s="1509"/>
      <c r="N2828" s="1510"/>
    </row>
    <row r="2829" spans="1:14">
      <c r="A2829" s="1578" t="s">
        <v>2219</v>
      </c>
      <c r="B2829" s="1538"/>
      <c r="C2829" s="1538"/>
      <c r="D2829" s="1538"/>
      <c r="E2829" s="1538"/>
      <c r="F2829" s="1538"/>
      <c r="G2829" s="1538"/>
      <c r="H2829" s="320">
        <f>SUM(H2815:H2826)</f>
        <v>19.18</v>
      </c>
      <c r="I2829" s="1509"/>
      <c r="J2829" s="1509"/>
      <c r="K2829" s="1509"/>
      <c r="L2829" s="1509"/>
      <c r="M2829" s="1509"/>
      <c r="N2829" s="1510"/>
    </row>
    <row r="2830" spans="1:14" ht="15.75" thickBot="1">
      <c r="A2830" s="1579" t="s">
        <v>2220</v>
      </c>
      <c r="B2830" s="1580"/>
      <c r="C2830" s="1580"/>
      <c r="D2830" s="1580"/>
      <c r="E2830" s="1580"/>
      <c r="F2830" s="1580"/>
      <c r="G2830" s="1580"/>
      <c r="H2830" s="633">
        <f>H2828-H2829</f>
        <v>3.9999999999999147E-2</v>
      </c>
      <c r="I2830" s="1512"/>
      <c r="J2830" s="1512"/>
      <c r="K2830" s="1512"/>
      <c r="L2830" s="1512"/>
      <c r="M2830" s="1512"/>
      <c r="N2830" s="1513"/>
    </row>
    <row r="2831" spans="1:14" ht="15.75" thickBot="1">
      <c r="A2831" s="278"/>
      <c r="B2831" s="278"/>
      <c r="C2831" s="278"/>
      <c r="D2831" s="281"/>
      <c r="E2831" s="1319"/>
      <c r="F2831" s="278"/>
      <c r="G2831" s="278"/>
      <c r="H2831" s="217"/>
      <c r="I2831" s="279"/>
      <c r="J2831" s="279"/>
      <c r="K2831" s="279"/>
      <c r="L2831" s="279"/>
      <c r="M2831" s="279"/>
      <c r="N2831" s="279"/>
    </row>
    <row r="2832" spans="1:14" ht="38.450000000000003" customHeight="1">
      <c r="A2832" s="1084" t="s">
        <v>3581</v>
      </c>
      <c r="B2832" s="1533" t="s">
        <v>876</v>
      </c>
      <c r="C2832" s="1533"/>
      <c r="D2832" s="1533"/>
      <c r="E2832" s="1533"/>
      <c r="F2832" s="1533"/>
      <c r="G2832" s="1533"/>
      <c r="H2832" s="1533"/>
      <c r="I2832" s="1533"/>
      <c r="J2832" s="1533"/>
      <c r="K2832" s="266" t="s">
        <v>12</v>
      </c>
      <c r="L2832" s="1534">
        <f>'27ª MEDIÇÃO '!F161</f>
        <v>15.4</v>
      </c>
      <c r="M2832" s="1534"/>
      <c r="N2832" s="197">
        <f>L2832-H2840</f>
        <v>0</v>
      </c>
    </row>
    <row r="2833" spans="1:14">
      <c r="A2833" s="1574" t="s">
        <v>3569</v>
      </c>
      <c r="B2833" s="287"/>
      <c r="C2833" s="287" t="s">
        <v>12</v>
      </c>
      <c r="D2833" s="614" t="s">
        <v>2923</v>
      </c>
      <c r="E2833" s="531" t="s">
        <v>2583</v>
      </c>
      <c r="F2833" s="287" t="s">
        <v>3048</v>
      </c>
      <c r="G2833" s="287"/>
      <c r="H2833" s="289"/>
      <c r="I2833" s="1509"/>
      <c r="J2833" s="1509"/>
      <c r="K2833" s="1509"/>
      <c r="L2833" s="1509"/>
      <c r="M2833" s="1509"/>
      <c r="N2833" s="1510"/>
    </row>
    <row r="2834" spans="1:14">
      <c r="A2834" s="1707"/>
      <c r="B2834" s="900" t="s">
        <v>3304</v>
      </c>
      <c r="C2834" s="888"/>
      <c r="D2834" s="888"/>
      <c r="E2834" s="888"/>
      <c r="F2834" s="292"/>
      <c r="G2834" s="291"/>
      <c r="H2834" s="293"/>
      <c r="I2834" s="1509"/>
      <c r="J2834" s="1509"/>
      <c r="K2834" s="1509"/>
      <c r="L2834" s="1509"/>
      <c r="M2834" s="1509"/>
      <c r="N2834" s="1510"/>
    </row>
    <row r="2835" spans="1:14">
      <c r="A2835" s="1575"/>
      <c r="B2835" s="310" t="s">
        <v>3582</v>
      </c>
      <c r="C2835" s="888"/>
      <c r="D2835" s="901">
        <v>1</v>
      </c>
      <c r="E2835" s="901">
        <v>1.1000000000000001</v>
      </c>
      <c r="F2835" s="292">
        <v>3</v>
      </c>
      <c r="G2835" s="311"/>
      <c r="H2835" s="887">
        <f>D2835*E2835*F2835</f>
        <v>3.3000000000000003</v>
      </c>
      <c r="I2835" s="1509"/>
      <c r="J2835" s="1509"/>
      <c r="K2835" s="1509"/>
      <c r="L2835" s="1509"/>
      <c r="M2835" s="1509"/>
      <c r="N2835" s="1510"/>
    </row>
    <row r="2836" spans="1:14">
      <c r="A2836" s="1575"/>
      <c r="B2836" s="807"/>
      <c r="C2836" s="888"/>
      <c r="D2836" s="901"/>
      <c r="E2836" s="901"/>
      <c r="F2836" s="292"/>
      <c r="G2836" s="311"/>
      <c r="H2836" s="887"/>
      <c r="I2836" s="1509"/>
      <c r="J2836" s="1509"/>
      <c r="K2836" s="1509"/>
      <c r="L2836" s="1509"/>
      <c r="M2836" s="1509"/>
      <c r="N2836" s="1510"/>
    </row>
    <row r="2837" spans="1:14">
      <c r="A2837" s="1575"/>
      <c r="B2837" s="900" t="s">
        <v>3305</v>
      </c>
      <c r="C2837" s="888"/>
      <c r="D2837" s="901"/>
      <c r="E2837" s="901"/>
      <c r="F2837" s="292"/>
      <c r="G2837" s="311"/>
      <c r="H2837" s="887"/>
      <c r="I2837" s="1509"/>
      <c r="J2837" s="1509"/>
      <c r="K2837" s="1509"/>
      <c r="L2837" s="1509"/>
      <c r="M2837" s="1509"/>
      <c r="N2837" s="1510"/>
    </row>
    <row r="2838" spans="1:14">
      <c r="A2838" s="1575"/>
      <c r="B2838" s="310" t="s">
        <v>3582</v>
      </c>
      <c r="C2838" s="888"/>
      <c r="D2838" s="901">
        <v>1</v>
      </c>
      <c r="E2838" s="901">
        <v>1.1000000000000001</v>
      </c>
      <c r="F2838" s="292">
        <v>9</v>
      </c>
      <c r="G2838" s="311"/>
      <c r="H2838" s="887">
        <f>D2838*E2838*F2838</f>
        <v>9.9</v>
      </c>
      <c r="I2838" s="1509"/>
      <c r="J2838" s="1509"/>
      <c r="K2838" s="1509"/>
      <c r="L2838" s="1509"/>
      <c r="M2838" s="1509"/>
      <c r="N2838" s="1510"/>
    </row>
    <row r="2839" spans="1:14">
      <c r="A2839" s="1576"/>
      <c r="B2839" s="599" t="s">
        <v>3583</v>
      </c>
      <c r="C2839" s="294"/>
      <c r="D2839" s="901">
        <v>2</v>
      </c>
      <c r="E2839" s="901">
        <v>1.1000000000000001</v>
      </c>
      <c r="F2839" s="292">
        <v>1</v>
      </c>
      <c r="G2839" s="294"/>
      <c r="H2839" s="887">
        <f>D2839*E2839*F2839</f>
        <v>2.2000000000000002</v>
      </c>
      <c r="I2839" s="1509"/>
      <c r="J2839" s="1509"/>
      <c r="K2839" s="1509"/>
      <c r="L2839" s="1509"/>
      <c r="M2839" s="1509"/>
      <c r="N2839" s="1510"/>
    </row>
    <row r="2840" spans="1:14">
      <c r="A2840" s="1577" t="s">
        <v>2218</v>
      </c>
      <c r="B2840" s="1542"/>
      <c r="C2840" s="1542"/>
      <c r="D2840" s="1542"/>
      <c r="E2840" s="1542"/>
      <c r="F2840" s="1542"/>
      <c r="G2840" s="1542"/>
      <c r="H2840" s="271">
        <f>SUM(H2833:H2839)</f>
        <v>15.400000000000002</v>
      </c>
      <c r="I2840" s="1509"/>
      <c r="J2840" s="1509"/>
      <c r="K2840" s="1509"/>
      <c r="L2840" s="1509"/>
      <c r="M2840" s="1509"/>
      <c r="N2840" s="1510"/>
    </row>
    <row r="2841" spans="1:14">
      <c r="A2841" s="1578" t="s">
        <v>2219</v>
      </c>
      <c r="B2841" s="1538"/>
      <c r="C2841" s="1538"/>
      <c r="D2841" s="1538"/>
      <c r="E2841" s="1538"/>
      <c r="F2841" s="1538"/>
      <c r="G2841" s="1538"/>
      <c r="H2841" s="320">
        <f>SUM(H2833:H2834)</f>
        <v>0</v>
      </c>
      <c r="I2841" s="1509"/>
      <c r="J2841" s="1509"/>
      <c r="K2841" s="1509"/>
      <c r="L2841" s="1509"/>
      <c r="M2841" s="1509"/>
      <c r="N2841" s="1510"/>
    </row>
    <row r="2842" spans="1:14" ht="15.75" thickBot="1">
      <c r="A2842" s="1579" t="s">
        <v>2220</v>
      </c>
      <c r="B2842" s="1580"/>
      <c r="C2842" s="1580"/>
      <c r="D2842" s="1580"/>
      <c r="E2842" s="1580"/>
      <c r="F2842" s="1580"/>
      <c r="G2842" s="1580"/>
      <c r="H2842" s="633">
        <f>H2840-H2841</f>
        <v>15.400000000000002</v>
      </c>
      <c r="I2842" s="1512"/>
      <c r="J2842" s="1512"/>
      <c r="K2842" s="1512"/>
      <c r="L2842" s="1512"/>
      <c r="M2842" s="1512"/>
      <c r="N2842" s="1513"/>
    </row>
    <row r="2843" spans="1:14" ht="15.75" thickBot="1">
      <c r="A2843" s="278"/>
      <c r="B2843" s="278"/>
      <c r="C2843" s="278"/>
      <c r="D2843" s="281"/>
      <c r="E2843" s="1319"/>
      <c r="F2843" s="278"/>
      <c r="G2843" s="278"/>
      <c r="H2843" s="217"/>
      <c r="I2843" s="279"/>
      <c r="J2843" s="279"/>
      <c r="K2843" s="279"/>
      <c r="L2843" s="279"/>
      <c r="M2843" s="279"/>
      <c r="N2843" s="279"/>
    </row>
    <row r="2844" spans="1:14" ht="38.450000000000003" customHeight="1">
      <c r="A2844" s="1084" t="s">
        <v>3384</v>
      </c>
      <c r="B2844" s="1533" t="s">
        <v>879</v>
      </c>
      <c r="C2844" s="1533"/>
      <c r="D2844" s="1533"/>
      <c r="E2844" s="1533"/>
      <c r="F2844" s="1533"/>
      <c r="G2844" s="1533"/>
      <c r="H2844" s="1533"/>
      <c r="I2844" s="1533"/>
      <c r="J2844" s="1533"/>
      <c r="K2844" s="266" t="s">
        <v>12</v>
      </c>
      <c r="L2844" s="1534">
        <f>'27ª MEDIÇÃO '!F162</f>
        <v>2.2800000000000002</v>
      </c>
      <c r="M2844" s="1534"/>
      <c r="N2844" s="197">
        <f>L2844-H2851</f>
        <v>0</v>
      </c>
    </row>
    <row r="2845" spans="1:14">
      <c r="A2845" s="1530" t="s">
        <v>3364</v>
      </c>
      <c r="B2845" s="287"/>
      <c r="C2845" s="287" t="s">
        <v>12</v>
      </c>
      <c r="D2845" s="614" t="s">
        <v>2923</v>
      </c>
      <c r="E2845" s="531" t="s">
        <v>2583</v>
      </c>
      <c r="F2845" s="287" t="s">
        <v>3048</v>
      </c>
      <c r="G2845" s="287"/>
      <c r="H2845" s="289"/>
      <c r="I2845" s="1509"/>
      <c r="J2845" s="1509"/>
      <c r="K2845" s="1509"/>
      <c r="L2845" s="1509"/>
      <c r="M2845" s="1509"/>
      <c r="N2845" s="1510"/>
    </row>
    <row r="2846" spans="1:14">
      <c r="A2846" s="1531"/>
      <c r="B2846" s="900" t="s">
        <v>3305</v>
      </c>
      <c r="C2846" s="888"/>
      <c r="D2846" s="901"/>
      <c r="E2846" s="901"/>
      <c r="F2846" s="292"/>
      <c r="G2846" s="311"/>
      <c r="H2846" s="887"/>
      <c r="I2846" s="1509"/>
      <c r="J2846" s="1509"/>
      <c r="K2846" s="1509"/>
      <c r="L2846" s="1509"/>
      <c r="M2846" s="1509"/>
      <c r="N2846" s="1510"/>
    </row>
    <row r="2847" spans="1:14">
      <c r="A2847" s="1546"/>
      <c r="B2847" s="310" t="s">
        <v>3385</v>
      </c>
      <c r="C2847" s="888"/>
      <c r="D2847" s="901">
        <v>0.9</v>
      </c>
      <c r="E2847" s="901">
        <v>0.6</v>
      </c>
      <c r="F2847" s="292">
        <v>3</v>
      </c>
      <c r="G2847" s="311"/>
      <c r="H2847" s="887">
        <f>D2847*E2847*F2847</f>
        <v>1.62</v>
      </c>
      <c r="I2847" s="1509"/>
      <c r="J2847" s="1509"/>
      <c r="K2847" s="1509"/>
      <c r="L2847" s="1509"/>
      <c r="M2847" s="1509"/>
      <c r="N2847" s="1510"/>
    </row>
    <row r="2848" spans="1:14">
      <c r="A2848" s="1164"/>
      <c r="B2848" s="1189" t="s">
        <v>3796</v>
      </c>
      <c r="C2848" s="1186"/>
      <c r="D2848" s="1186"/>
      <c r="E2848" s="1186"/>
      <c r="F2848" s="312"/>
      <c r="G2848" s="311"/>
      <c r="H2848" s="887"/>
      <c r="I2848" s="1509"/>
      <c r="J2848" s="1509"/>
      <c r="K2848" s="1509"/>
      <c r="L2848" s="1509"/>
      <c r="M2848" s="1509"/>
      <c r="N2848" s="1510"/>
    </row>
    <row r="2849" spans="1:14">
      <c r="A2849" s="1164"/>
      <c r="B2849" s="1174" t="s">
        <v>3797</v>
      </c>
      <c r="C2849" s="1185"/>
      <c r="D2849" s="1187">
        <v>0.55000000000000004</v>
      </c>
      <c r="E2849" s="1341">
        <v>0.6</v>
      </c>
      <c r="F2849" s="1187">
        <v>2</v>
      </c>
      <c r="G2849" s="311"/>
      <c r="H2849" s="887">
        <f>D2849*E2849*F2849</f>
        <v>0.66</v>
      </c>
      <c r="I2849" s="1509"/>
      <c r="J2849" s="1509"/>
      <c r="K2849" s="1509"/>
      <c r="L2849" s="1509"/>
      <c r="M2849" s="1509"/>
      <c r="N2849" s="1510"/>
    </row>
    <row r="2850" spans="1:14">
      <c r="A2850" s="1165"/>
      <c r="B2850" s="294"/>
      <c r="C2850" s="294"/>
      <c r="D2850" s="294"/>
      <c r="E2850" s="295"/>
      <c r="F2850" s="294"/>
      <c r="G2850" s="294"/>
      <c r="H2850" s="296"/>
      <c r="I2850" s="1509"/>
      <c r="J2850" s="1509"/>
      <c r="K2850" s="1509"/>
      <c r="L2850" s="1509"/>
      <c r="M2850" s="1509"/>
      <c r="N2850" s="1510"/>
    </row>
    <row r="2851" spans="1:14">
      <c r="A2851" s="1577" t="s">
        <v>2218</v>
      </c>
      <c r="B2851" s="1542"/>
      <c r="C2851" s="1542"/>
      <c r="D2851" s="1542"/>
      <c r="E2851" s="1542"/>
      <c r="F2851" s="1542"/>
      <c r="G2851" s="1542"/>
      <c r="H2851" s="271">
        <f>SUM(H2845:H2850)</f>
        <v>2.2800000000000002</v>
      </c>
      <c r="I2851" s="1509"/>
      <c r="J2851" s="1509"/>
      <c r="K2851" s="1509"/>
      <c r="L2851" s="1509"/>
      <c r="M2851" s="1509"/>
      <c r="N2851" s="1510"/>
    </row>
    <row r="2852" spans="1:14">
      <c r="A2852" s="1578" t="s">
        <v>2219</v>
      </c>
      <c r="B2852" s="1538"/>
      <c r="C2852" s="1538"/>
      <c r="D2852" s="1538"/>
      <c r="E2852" s="1538"/>
      <c r="F2852" s="1538"/>
      <c r="G2852" s="1538"/>
      <c r="H2852" s="320">
        <f>SUM(H2845:H2848)</f>
        <v>1.62</v>
      </c>
      <c r="I2852" s="1509"/>
      <c r="J2852" s="1509"/>
      <c r="K2852" s="1509"/>
      <c r="L2852" s="1509"/>
      <c r="M2852" s="1509"/>
      <c r="N2852" s="1510"/>
    </row>
    <row r="2853" spans="1:14" ht="15.75" thickBot="1">
      <c r="A2853" s="1579" t="s">
        <v>2220</v>
      </c>
      <c r="B2853" s="1580"/>
      <c r="C2853" s="1580"/>
      <c r="D2853" s="1580"/>
      <c r="E2853" s="1580"/>
      <c r="F2853" s="1580"/>
      <c r="G2853" s="1580"/>
      <c r="H2853" s="633">
        <f>H2851-H2852</f>
        <v>0.66000000000000014</v>
      </c>
      <c r="I2853" s="1512"/>
      <c r="J2853" s="1512"/>
      <c r="K2853" s="1512"/>
      <c r="L2853" s="1512"/>
      <c r="M2853" s="1512"/>
      <c r="N2853" s="1513"/>
    </row>
    <row r="2854" spans="1:14" ht="38.450000000000003" customHeight="1">
      <c r="A2854" s="1084" t="s">
        <v>3893</v>
      </c>
      <c r="B2854" s="1533" t="s">
        <v>882</v>
      </c>
      <c r="C2854" s="1533"/>
      <c r="D2854" s="1533"/>
      <c r="E2854" s="1533"/>
      <c r="F2854" s="1533"/>
      <c r="G2854" s="1533"/>
      <c r="H2854" s="1533"/>
      <c r="I2854" s="1533"/>
      <c r="J2854" s="1533"/>
      <c r="K2854" s="266" t="s">
        <v>12</v>
      </c>
      <c r="L2854" s="1534">
        <v>13.54</v>
      </c>
      <c r="M2854" s="1534"/>
      <c r="N2854" s="197">
        <f>L2854-H2861</f>
        <v>4.5000000000001705E-3</v>
      </c>
    </row>
    <row r="2855" spans="1:14">
      <c r="A2855" s="1530" t="s">
        <v>4143</v>
      </c>
      <c r="B2855" s="287"/>
      <c r="C2855" s="287" t="s">
        <v>12</v>
      </c>
      <c r="D2855" s="614" t="s">
        <v>2923</v>
      </c>
      <c r="E2855" s="531" t="s">
        <v>2583</v>
      </c>
      <c r="F2855" s="287" t="s">
        <v>3048</v>
      </c>
      <c r="G2855" s="287"/>
      <c r="H2855" s="289"/>
      <c r="I2855" s="1509"/>
      <c r="J2855" s="1509"/>
      <c r="K2855" s="1509"/>
      <c r="L2855" s="1509"/>
      <c r="M2855" s="1509"/>
      <c r="N2855" s="1510"/>
    </row>
    <row r="2856" spans="1:14">
      <c r="A2856" s="1531"/>
      <c r="B2856" s="900" t="s">
        <v>3305</v>
      </c>
      <c r="C2856" s="888"/>
      <c r="D2856" s="901"/>
      <c r="E2856" s="292"/>
      <c r="F2856" s="292"/>
      <c r="G2856" s="311"/>
      <c r="H2856" s="887"/>
      <c r="I2856" s="1509"/>
      <c r="J2856" s="1509"/>
      <c r="K2856" s="1509"/>
      <c r="L2856" s="1509"/>
      <c r="M2856" s="1509"/>
      <c r="N2856" s="1510"/>
    </row>
    <row r="2857" spans="1:14">
      <c r="A2857" s="1531"/>
      <c r="B2857" s="310" t="s">
        <v>4144</v>
      </c>
      <c r="C2857" s="888"/>
      <c r="D2857" s="901">
        <v>4.5</v>
      </c>
      <c r="E2857" s="292">
        <v>1.1499999999999999</v>
      </c>
      <c r="F2857" s="292"/>
      <c r="G2857" s="311"/>
      <c r="H2857" s="887">
        <f>D2857*E2857</f>
        <v>5.1749999999999998</v>
      </c>
      <c r="I2857" s="1509"/>
      <c r="J2857" s="1509"/>
      <c r="K2857" s="1509"/>
      <c r="L2857" s="1509"/>
      <c r="M2857" s="1509"/>
      <c r="N2857" s="1510"/>
    </row>
    <row r="2858" spans="1:14">
      <c r="A2858" s="1531"/>
      <c r="B2858" s="310" t="s">
        <v>3789</v>
      </c>
      <c r="C2858" s="1186"/>
      <c r="D2858" s="901">
        <v>2.48</v>
      </c>
      <c r="E2858" s="312">
        <v>1.1499999999999999</v>
      </c>
      <c r="F2858" s="312"/>
      <c r="G2858" s="311"/>
      <c r="H2858" s="887">
        <f t="shared" ref="H2858:H2859" si="69">D2858*E2858</f>
        <v>2.8519999999999999</v>
      </c>
      <c r="I2858" s="1509"/>
      <c r="J2858" s="1509"/>
      <c r="K2858" s="1509"/>
      <c r="L2858" s="1509"/>
      <c r="M2858" s="1509"/>
      <c r="N2858" s="1510"/>
    </row>
    <row r="2859" spans="1:14">
      <c r="A2859" s="1546"/>
      <c r="B2859" s="1174" t="s">
        <v>4132</v>
      </c>
      <c r="C2859" s="1394"/>
      <c r="D2859" s="1187">
        <v>4.79</v>
      </c>
      <c r="E2859" s="1187">
        <v>1.1499999999999999</v>
      </c>
      <c r="F2859" s="1187"/>
      <c r="G2859" s="311"/>
      <c r="H2859" s="887">
        <f t="shared" si="69"/>
        <v>5.5084999999999997</v>
      </c>
      <c r="I2859" s="1509"/>
      <c r="J2859" s="1509"/>
      <c r="K2859" s="1509"/>
      <c r="L2859" s="1509"/>
      <c r="M2859" s="1509"/>
      <c r="N2859" s="1510"/>
    </row>
    <row r="2860" spans="1:14">
      <c r="A2860" s="1165"/>
      <c r="B2860" s="294"/>
      <c r="C2860" s="294"/>
      <c r="D2860" s="294"/>
      <c r="E2860" s="295"/>
      <c r="F2860" s="294"/>
      <c r="G2860" s="294"/>
      <c r="H2860" s="296"/>
      <c r="I2860" s="1509"/>
      <c r="J2860" s="1509"/>
      <c r="K2860" s="1509"/>
      <c r="L2860" s="1509"/>
      <c r="M2860" s="1509"/>
      <c r="N2860" s="1510"/>
    </row>
    <row r="2861" spans="1:14">
      <c r="A2861" s="1577" t="s">
        <v>2218</v>
      </c>
      <c r="B2861" s="1542"/>
      <c r="C2861" s="1542"/>
      <c r="D2861" s="1542"/>
      <c r="E2861" s="1542"/>
      <c r="F2861" s="1542"/>
      <c r="G2861" s="1542"/>
      <c r="H2861" s="271">
        <f>SUM(H2855:H2860)</f>
        <v>13.535499999999999</v>
      </c>
      <c r="I2861" s="1509"/>
      <c r="J2861" s="1509"/>
      <c r="K2861" s="1509"/>
      <c r="L2861" s="1509"/>
      <c r="M2861" s="1509"/>
      <c r="N2861" s="1510"/>
    </row>
    <row r="2862" spans="1:14">
      <c r="A2862" s="1578" t="s">
        <v>2219</v>
      </c>
      <c r="B2862" s="1538"/>
      <c r="C2862" s="1538"/>
      <c r="D2862" s="1538"/>
      <c r="E2862" s="1538"/>
      <c r="F2862" s="1538"/>
      <c r="G2862" s="1538"/>
      <c r="H2862" s="320">
        <v>0</v>
      </c>
      <c r="I2862" s="1509"/>
      <c r="J2862" s="1509"/>
      <c r="K2862" s="1509"/>
      <c r="L2862" s="1509"/>
      <c r="M2862" s="1509"/>
      <c r="N2862" s="1510"/>
    </row>
    <row r="2863" spans="1:14" ht="15.75" thickBot="1">
      <c r="A2863" s="1579" t="s">
        <v>2220</v>
      </c>
      <c r="B2863" s="1580"/>
      <c r="C2863" s="1580"/>
      <c r="D2863" s="1580"/>
      <c r="E2863" s="1580"/>
      <c r="F2863" s="1580"/>
      <c r="G2863" s="1580"/>
      <c r="H2863" s="633">
        <f>H2861-H2862</f>
        <v>13.535499999999999</v>
      </c>
      <c r="I2863" s="1512"/>
      <c r="J2863" s="1512"/>
      <c r="K2863" s="1512"/>
      <c r="L2863" s="1512"/>
      <c r="M2863" s="1512"/>
      <c r="N2863" s="1513"/>
    </row>
    <row r="2864" spans="1:14" ht="15.75" thickBot="1">
      <c r="A2864" s="1112"/>
      <c r="B2864" s="343"/>
      <c r="C2864" s="343"/>
      <c r="D2864" s="345"/>
      <c r="E2864" s="1342"/>
      <c r="F2864" s="343"/>
      <c r="G2864" s="343"/>
      <c r="H2864" s="902"/>
      <c r="I2864" s="408"/>
      <c r="J2864" s="408"/>
      <c r="K2864" s="408"/>
      <c r="L2864" s="408"/>
      <c r="M2864" s="408"/>
      <c r="N2864" s="408"/>
    </row>
    <row r="2865" spans="1:14" ht="15.75" thickBot="1">
      <c r="A2865" s="1085" t="s">
        <v>3584</v>
      </c>
      <c r="B2865" s="1571" t="s">
        <v>884</v>
      </c>
      <c r="C2865" s="1572"/>
      <c r="D2865" s="1572"/>
      <c r="E2865" s="1572"/>
      <c r="F2865" s="1572"/>
      <c r="G2865" s="1572"/>
      <c r="H2865" s="1572"/>
      <c r="I2865" s="1572"/>
      <c r="J2865" s="1572"/>
      <c r="K2865" s="1572"/>
      <c r="L2865" s="1572"/>
      <c r="M2865" s="1572"/>
      <c r="N2865" s="1573"/>
    </row>
    <row r="2866" spans="1:14" ht="38.450000000000003" customHeight="1">
      <c r="A2866" s="1084" t="s">
        <v>3585</v>
      </c>
      <c r="B2866" s="1533" t="s">
        <v>887</v>
      </c>
      <c r="C2866" s="1533"/>
      <c r="D2866" s="1533"/>
      <c r="E2866" s="1533"/>
      <c r="F2866" s="1533"/>
      <c r="G2866" s="1533"/>
      <c r="H2866" s="1533"/>
      <c r="I2866" s="1533"/>
      <c r="J2866" s="1533"/>
      <c r="K2866" s="266" t="s">
        <v>28</v>
      </c>
      <c r="L2866" s="1534">
        <f>'27ª MEDIÇÃO '!F165</f>
        <v>1</v>
      </c>
      <c r="M2866" s="1534"/>
      <c r="N2866" s="197">
        <f>L2866-H2872</f>
        <v>0</v>
      </c>
    </row>
    <row r="2867" spans="1:14">
      <c r="A2867" s="1530" t="s">
        <v>3620</v>
      </c>
      <c r="B2867" s="287"/>
      <c r="C2867" s="287" t="s">
        <v>12</v>
      </c>
      <c r="D2867" s="614" t="s">
        <v>2923</v>
      </c>
      <c r="E2867" s="531" t="s">
        <v>2583</v>
      </c>
      <c r="F2867" s="287" t="s">
        <v>3048</v>
      </c>
      <c r="G2867" s="287" t="s">
        <v>499</v>
      </c>
      <c r="H2867" s="289"/>
      <c r="I2867" s="1509"/>
      <c r="J2867" s="1509"/>
      <c r="K2867" s="1509"/>
      <c r="L2867" s="1509"/>
      <c r="M2867" s="1509"/>
      <c r="N2867" s="1510"/>
    </row>
    <row r="2868" spans="1:14">
      <c r="A2868" s="1531"/>
      <c r="B2868" s="900" t="s">
        <v>3304</v>
      </c>
      <c r="C2868" s="888"/>
      <c r="D2868" s="888"/>
      <c r="E2868" s="888"/>
      <c r="F2868" s="292"/>
      <c r="G2868" s="291"/>
      <c r="H2868" s="293"/>
      <c r="I2868" s="1509"/>
      <c r="J2868" s="1509"/>
      <c r="K2868" s="1509"/>
      <c r="L2868" s="1509"/>
      <c r="M2868" s="1509"/>
      <c r="N2868" s="1510"/>
    </row>
    <row r="2869" spans="1:14">
      <c r="A2869" s="1546"/>
      <c r="B2869" s="310" t="s">
        <v>3227</v>
      </c>
      <c r="C2869" s="888"/>
      <c r="D2869" s="901">
        <v>8.8000000000000007</v>
      </c>
      <c r="E2869" s="901">
        <v>0.8</v>
      </c>
      <c r="F2869" s="292">
        <v>1</v>
      </c>
      <c r="G2869" s="292">
        <v>0.5</v>
      </c>
      <c r="H2869" s="887">
        <f>F2869*G2869</f>
        <v>0.5</v>
      </c>
      <c r="I2869" s="1509"/>
      <c r="J2869" s="1509"/>
      <c r="K2869" s="1509"/>
      <c r="L2869" s="1509"/>
      <c r="M2869" s="1509"/>
      <c r="N2869" s="1510"/>
    </row>
    <row r="2870" spans="1:14">
      <c r="A2870" s="1164" t="s">
        <v>3937</v>
      </c>
      <c r="B2870" s="310" t="s">
        <v>3227</v>
      </c>
      <c r="C2870" s="906"/>
      <c r="D2870" s="901">
        <v>8.8000000000000007</v>
      </c>
      <c r="E2870" s="901">
        <v>0.8</v>
      </c>
      <c r="F2870" s="292">
        <v>1</v>
      </c>
      <c r="G2870" s="292">
        <v>0.5</v>
      </c>
      <c r="H2870" s="887">
        <f>F2870*G2870</f>
        <v>0.5</v>
      </c>
      <c r="I2870" s="1509"/>
      <c r="J2870" s="1509"/>
      <c r="K2870" s="1509"/>
      <c r="L2870" s="1509"/>
      <c r="M2870" s="1509"/>
      <c r="N2870" s="1510"/>
    </row>
    <row r="2871" spans="1:14">
      <c r="A2871" s="1165"/>
      <c r="B2871" s="294"/>
      <c r="C2871" s="294"/>
      <c r="D2871" s="294"/>
      <c r="E2871" s="295"/>
      <c r="F2871" s="294"/>
      <c r="G2871" s="294"/>
      <c r="H2871" s="296"/>
      <c r="I2871" s="1509"/>
      <c r="J2871" s="1509"/>
      <c r="K2871" s="1509"/>
      <c r="L2871" s="1509"/>
      <c r="M2871" s="1509"/>
      <c r="N2871" s="1510"/>
    </row>
    <row r="2872" spans="1:14">
      <c r="A2872" s="1577" t="s">
        <v>2218</v>
      </c>
      <c r="B2872" s="1542"/>
      <c r="C2872" s="1542"/>
      <c r="D2872" s="1542"/>
      <c r="E2872" s="1542"/>
      <c r="F2872" s="1542"/>
      <c r="G2872" s="1542"/>
      <c r="H2872" s="271">
        <f>SUM(H2867:H2871)</f>
        <v>1</v>
      </c>
      <c r="I2872" s="1509"/>
      <c r="J2872" s="1509"/>
      <c r="K2872" s="1509"/>
      <c r="L2872" s="1509"/>
      <c r="M2872" s="1509"/>
      <c r="N2872" s="1510"/>
    </row>
    <row r="2873" spans="1:14">
      <c r="A2873" s="1578" t="s">
        <v>2219</v>
      </c>
      <c r="B2873" s="1538"/>
      <c r="C2873" s="1538"/>
      <c r="D2873" s="1538"/>
      <c r="E2873" s="1538"/>
      <c r="F2873" s="1538"/>
      <c r="G2873" s="1538"/>
      <c r="H2873" s="320">
        <f>SUM(H2867:H2869)</f>
        <v>0.5</v>
      </c>
      <c r="I2873" s="1509"/>
      <c r="J2873" s="1509"/>
      <c r="K2873" s="1509"/>
      <c r="L2873" s="1509"/>
      <c r="M2873" s="1509"/>
      <c r="N2873" s="1510"/>
    </row>
    <row r="2874" spans="1:14" ht="15.75" thickBot="1">
      <c r="A2874" s="1579" t="s">
        <v>2220</v>
      </c>
      <c r="B2874" s="1580"/>
      <c r="C2874" s="1580"/>
      <c r="D2874" s="1580"/>
      <c r="E2874" s="1580"/>
      <c r="F2874" s="1580"/>
      <c r="G2874" s="1580"/>
      <c r="H2874" s="633">
        <f>H2872-H2873</f>
        <v>0.5</v>
      </c>
      <c r="I2874" s="1512"/>
      <c r="J2874" s="1512"/>
      <c r="K2874" s="1512"/>
      <c r="L2874" s="1512"/>
      <c r="M2874" s="1512"/>
      <c r="N2874" s="1513"/>
    </row>
    <row r="2875" spans="1:14" ht="15.75" thickBot="1">
      <c r="A2875" s="278"/>
      <c r="B2875" s="278"/>
      <c r="C2875" s="278"/>
      <c r="D2875" s="281"/>
      <c r="E2875" s="1319"/>
      <c r="F2875" s="278"/>
      <c r="G2875" s="278"/>
      <c r="H2875" s="217"/>
      <c r="I2875" s="279"/>
      <c r="J2875" s="279"/>
      <c r="K2875" s="279"/>
      <c r="L2875" s="279"/>
      <c r="M2875" s="279"/>
      <c r="N2875" s="279"/>
    </row>
    <row r="2876" spans="1:14" ht="38.450000000000003" customHeight="1">
      <c r="A2876" s="1084" t="s">
        <v>3586</v>
      </c>
      <c r="B2876" s="1533" t="s">
        <v>890</v>
      </c>
      <c r="C2876" s="1533"/>
      <c r="D2876" s="1533"/>
      <c r="E2876" s="1533"/>
      <c r="F2876" s="1533"/>
      <c r="G2876" s="1533"/>
      <c r="H2876" s="1533"/>
      <c r="I2876" s="1533"/>
      <c r="J2876" s="1533"/>
      <c r="K2876" s="266" t="s">
        <v>28</v>
      </c>
      <c r="L2876" s="1534">
        <f>'27ª MEDIÇÃO '!F166</f>
        <v>2</v>
      </c>
      <c r="M2876" s="1534"/>
      <c r="N2876" s="197">
        <f>L2876-H2882</f>
        <v>0</v>
      </c>
    </row>
    <row r="2877" spans="1:14">
      <c r="A2877" s="1530" t="s">
        <v>3620</v>
      </c>
      <c r="B2877" s="287"/>
      <c r="C2877" s="287" t="s">
        <v>12</v>
      </c>
      <c r="D2877" s="614" t="s">
        <v>2923</v>
      </c>
      <c r="E2877" s="531" t="s">
        <v>2583</v>
      </c>
      <c r="F2877" s="287" t="s">
        <v>3048</v>
      </c>
      <c r="G2877" s="287" t="s">
        <v>499</v>
      </c>
      <c r="H2877" s="289"/>
      <c r="I2877" s="1509"/>
      <c r="J2877" s="1509"/>
      <c r="K2877" s="1509"/>
      <c r="L2877" s="1509"/>
      <c r="M2877" s="1509"/>
      <c r="N2877" s="1510"/>
    </row>
    <row r="2878" spans="1:14">
      <c r="A2878" s="1531"/>
      <c r="B2878" s="900" t="s">
        <v>3304</v>
      </c>
      <c r="C2878" s="888"/>
      <c r="D2878" s="888"/>
      <c r="E2878" s="888"/>
      <c r="F2878" s="292"/>
      <c r="G2878" s="291"/>
      <c r="H2878" s="293"/>
      <c r="I2878" s="1509"/>
      <c r="J2878" s="1509"/>
      <c r="K2878" s="1509"/>
      <c r="L2878" s="1509"/>
      <c r="M2878" s="1509"/>
      <c r="N2878" s="1510"/>
    </row>
    <row r="2879" spans="1:14">
      <c r="A2879" s="1546"/>
      <c r="B2879" s="310" t="s">
        <v>2396</v>
      </c>
      <c r="C2879" s="888"/>
      <c r="D2879" s="901">
        <v>11.4</v>
      </c>
      <c r="E2879" s="901">
        <v>1.2</v>
      </c>
      <c r="F2879" s="292">
        <v>2</v>
      </c>
      <c r="G2879" s="292">
        <v>0.5</v>
      </c>
      <c r="H2879" s="887">
        <f>F2879*G2879</f>
        <v>1</v>
      </c>
      <c r="I2879" s="1509"/>
      <c r="J2879" s="1509"/>
      <c r="K2879" s="1509"/>
      <c r="L2879" s="1509"/>
      <c r="M2879" s="1509"/>
      <c r="N2879" s="1510"/>
    </row>
    <row r="2880" spans="1:14">
      <c r="A2880" s="1261" t="s">
        <v>3937</v>
      </c>
      <c r="B2880" s="310" t="s">
        <v>2396</v>
      </c>
      <c r="C2880" s="888"/>
      <c r="D2880" s="901">
        <v>11.4</v>
      </c>
      <c r="E2880" s="901">
        <v>1.2</v>
      </c>
      <c r="F2880" s="292">
        <v>2</v>
      </c>
      <c r="G2880" s="292">
        <v>0.5</v>
      </c>
      <c r="H2880" s="887">
        <f>F2880*G2880</f>
        <v>1</v>
      </c>
      <c r="I2880" s="1509"/>
      <c r="J2880" s="1509"/>
      <c r="K2880" s="1509"/>
      <c r="L2880" s="1509"/>
      <c r="M2880" s="1509"/>
      <c r="N2880" s="1510"/>
    </row>
    <row r="2881" spans="1:14">
      <c r="A2881" s="1165"/>
      <c r="B2881" s="294"/>
      <c r="C2881" s="294"/>
      <c r="D2881" s="294"/>
      <c r="E2881" s="295"/>
      <c r="F2881" s="294"/>
      <c r="G2881" s="294"/>
      <c r="H2881" s="296"/>
      <c r="I2881" s="1509"/>
      <c r="J2881" s="1509"/>
      <c r="K2881" s="1509"/>
      <c r="L2881" s="1509"/>
      <c r="M2881" s="1509"/>
      <c r="N2881" s="1510"/>
    </row>
    <row r="2882" spans="1:14">
      <c r="A2882" s="1577" t="s">
        <v>2218</v>
      </c>
      <c r="B2882" s="1542"/>
      <c r="C2882" s="1542"/>
      <c r="D2882" s="1542"/>
      <c r="E2882" s="1542"/>
      <c r="F2882" s="1542"/>
      <c r="G2882" s="1542"/>
      <c r="H2882" s="271">
        <f>SUM(H2877:H2881)</f>
        <v>2</v>
      </c>
      <c r="I2882" s="1509"/>
      <c r="J2882" s="1509"/>
      <c r="K2882" s="1509"/>
      <c r="L2882" s="1509"/>
      <c r="M2882" s="1509"/>
      <c r="N2882" s="1510"/>
    </row>
    <row r="2883" spans="1:14">
      <c r="A2883" s="1578" t="s">
        <v>2219</v>
      </c>
      <c r="B2883" s="1538"/>
      <c r="C2883" s="1538"/>
      <c r="D2883" s="1538"/>
      <c r="E2883" s="1538"/>
      <c r="F2883" s="1538"/>
      <c r="G2883" s="1538"/>
      <c r="H2883" s="320">
        <f>SUM(H2877)</f>
        <v>0</v>
      </c>
      <c r="I2883" s="1509"/>
      <c r="J2883" s="1509"/>
      <c r="K2883" s="1509"/>
      <c r="L2883" s="1509"/>
      <c r="M2883" s="1509"/>
      <c r="N2883" s="1510"/>
    </row>
    <row r="2884" spans="1:14" ht="15.75" thickBot="1">
      <c r="A2884" s="1579" t="s">
        <v>2220</v>
      </c>
      <c r="B2884" s="1580"/>
      <c r="C2884" s="1580"/>
      <c r="D2884" s="1580"/>
      <c r="E2884" s="1580"/>
      <c r="F2884" s="1580"/>
      <c r="G2884" s="1580"/>
      <c r="H2884" s="633">
        <f>H2882-H2883</f>
        <v>2</v>
      </c>
      <c r="I2884" s="1512"/>
      <c r="J2884" s="1512"/>
      <c r="K2884" s="1512"/>
      <c r="L2884" s="1512"/>
      <c r="M2884" s="1512"/>
      <c r="N2884" s="1513"/>
    </row>
    <row r="2885" spans="1:14" ht="15.75" thickBot="1">
      <c r="A2885" s="278"/>
      <c r="B2885" s="278"/>
      <c r="C2885" s="278"/>
      <c r="D2885" s="281"/>
      <c r="E2885" s="1319"/>
      <c r="F2885" s="278"/>
      <c r="G2885" s="278"/>
      <c r="H2885" s="217"/>
      <c r="I2885" s="279"/>
      <c r="J2885" s="279"/>
      <c r="K2885" s="279"/>
      <c r="L2885" s="279"/>
      <c r="M2885" s="279"/>
      <c r="N2885" s="279"/>
    </row>
    <row r="2886" spans="1:14" ht="38.450000000000003" customHeight="1">
      <c r="A2886" s="1084" t="s">
        <v>3587</v>
      </c>
      <c r="B2886" s="1533" t="s">
        <v>893</v>
      </c>
      <c r="C2886" s="1533"/>
      <c r="D2886" s="1533"/>
      <c r="E2886" s="1533"/>
      <c r="F2886" s="1533"/>
      <c r="G2886" s="1533"/>
      <c r="H2886" s="1533"/>
      <c r="I2886" s="1533"/>
      <c r="J2886" s="1533"/>
      <c r="K2886" s="266" t="s">
        <v>28</v>
      </c>
      <c r="L2886" s="1534">
        <f>'27ª MEDIÇÃO '!F167</f>
        <v>2</v>
      </c>
      <c r="M2886" s="1534"/>
      <c r="N2886" s="197">
        <f>L2886-H2893</f>
        <v>0</v>
      </c>
    </row>
    <row r="2887" spans="1:14">
      <c r="A2887" s="1530" t="s">
        <v>3620</v>
      </c>
      <c r="B2887" s="287"/>
      <c r="C2887" s="287" t="s">
        <v>12</v>
      </c>
      <c r="D2887" s="614" t="s">
        <v>2923</v>
      </c>
      <c r="E2887" s="531" t="s">
        <v>2583</v>
      </c>
      <c r="F2887" s="287" t="s">
        <v>3048</v>
      </c>
      <c r="G2887" s="287" t="s">
        <v>499</v>
      </c>
      <c r="H2887" s="289"/>
      <c r="I2887" s="1621" t="s">
        <v>4004</v>
      </c>
      <c r="J2887" s="1621"/>
      <c r="K2887" s="1621"/>
      <c r="L2887" s="1621"/>
      <c r="M2887" s="1621"/>
      <c r="N2887" s="1622"/>
    </row>
    <row r="2888" spans="1:14">
      <c r="A2888" s="1531"/>
      <c r="B2888" s="900" t="s">
        <v>3304</v>
      </c>
      <c r="C2888" s="888"/>
      <c r="D2888" s="888"/>
      <c r="E2888" s="888"/>
      <c r="F2888" s="292"/>
      <c r="G2888" s="291"/>
      <c r="H2888" s="293"/>
      <c r="I2888" s="1621"/>
      <c r="J2888" s="1621"/>
      <c r="K2888" s="1621"/>
      <c r="L2888" s="1621"/>
      <c r="M2888" s="1621"/>
      <c r="N2888" s="1622"/>
    </row>
    <row r="2889" spans="1:14">
      <c r="A2889" s="1546"/>
      <c r="B2889" s="310" t="s">
        <v>2395</v>
      </c>
      <c r="C2889" s="888"/>
      <c r="D2889" s="901">
        <v>1.8</v>
      </c>
      <c r="E2889" s="901">
        <v>4</v>
      </c>
      <c r="F2889" s="292">
        <v>2</v>
      </c>
      <c r="G2889" s="292">
        <v>0.5</v>
      </c>
      <c r="H2889" s="887">
        <f>F2889*G2889</f>
        <v>1</v>
      </c>
      <c r="I2889" s="1621"/>
      <c r="J2889" s="1621"/>
      <c r="K2889" s="1621"/>
      <c r="L2889" s="1621"/>
      <c r="M2889" s="1621"/>
      <c r="N2889" s="1622"/>
    </row>
    <row r="2890" spans="1:14">
      <c r="A2890" s="1261" t="s">
        <v>3937</v>
      </c>
      <c r="B2890" s="310" t="s">
        <v>2395</v>
      </c>
      <c r="C2890" s="906"/>
      <c r="D2890" s="901">
        <v>1.8</v>
      </c>
      <c r="E2890" s="901">
        <v>4</v>
      </c>
      <c r="F2890" s="292">
        <v>2</v>
      </c>
      <c r="G2890" s="292">
        <v>0.5</v>
      </c>
      <c r="H2890" s="887">
        <v>0.5</v>
      </c>
      <c r="I2890" s="1621"/>
      <c r="J2890" s="1621"/>
      <c r="K2890" s="1621"/>
      <c r="L2890" s="1621"/>
      <c r="M2890" s="1621"/>
      <c r="N2890" s="1622"/>
    </row>
    <row r="2891" spans="1:14">
      <c r="A2891" s="1261" t="s">
        <v>4003</v>
      </c>
      <c r="B2891" s="310" t="s">
        <v>2395</v>
      </c>
      <c r="C2891" s="906"/>
      <c r="D2891" s="907">
        <v>1.8</v>
      </c>
      <c r="E2891" s="907">
        <v>4</v>
      </c>
      <c r="F2891" s="312">
        <v>2</v>
      </c>
      <c r="G2891" s="312">
        <v>0.25</v>
      </c>
      <c r="H2891" s="887">
        <f>F2891*G2891</f>
        <v>0.5</v>
      </c>
      <c r="I2891" s="1621"/>
      <c r="J2891" s="1621"/>
      <c r="K2891" s="1621"/>
      <c r="L2891" s="1621"/>
      <c r="M2891" s="1621"/>
      <c r="N2891" s="1622"/>
    </row>
    <row r="2892" spans="1:14">
      <c r="A2892" s="1165"/>
      <c r="B2892" s="294"/>
      <c r="C2892" s="294"/>
      <c r="D2892" s="294"/>
      <c r="E2892" s="295"/>
      <c r="F2892" s="294"/>
      <c r="G2892" s="294"/>
      <c r="H2892" s="296"/>
      <c r="I2892" s="1621"/>
      <c r="J2892" s="1621"/>
      <c r="K2892" s="1621"/>
      <c r="L2892" s="1621"/>
      <c r="M2892" s="1621"/>
      <c r="N2892" s="1622"/>
    </row>
    <row r="2893" spans="1:14">
      <c r="A2893" s="1577" t="s">
        <v>2218</v>
      </c>
      <c r="B2893" s="1542"/>
      <c r="C2893" s="1542"/>
      <c r="D2893" s="1542"/>
      <c r="E2893" s="1542"/>
      <c r="F2893" s="1542"/>
      <c r="G2893" s="1542"/>
      <c r="H2893" s="271">
        <f>SUM(H2887:H2892)</f>
        <v>2</v>
      </c>
      <c r="I2893" s="1621"/>
      <c r="J2893" s="1621"/>
      <c r="K2893" s="1621"/>
      <c r="L2893" s="1621"/>
      <c r="M2893" s="1621"/>
      <c r="N2893" s="1622"/>
    </row>
    <row r="2894" spans="1:14">
      <c r="A2894" s="1578" t="s">
        <v>2219</v>
      </c>
      <c r="B2894" s="1538"/>
      <c r="C2894" s="1538"/>
      <c r="D2894" s="1538"/>
      <c r="E2894" s="1538"/>
      <c r="F2894" s="1538"/>
      <c r="G2894" s="1538"/>
      <c r="H2894" s="320">
        <f>SUM(H2887)</f>
        <v>0</v>
      </c>
      <c r="I2894" s="1621"/>
      <c r="J2894" s="1621"/>
      <c r="K2894" s="1621"/>
      <c r="L2894" s="1621"/>
      <c r="M2894" s="1621"/>
      <c r="N2894" s="1622"/>
    </row>
    <row r="2895" spans="1:14" ht="15.75" thickBot="1">
      <c r="A2895" s="1579" t="s">
        <v>2220</v>
      </c>
      <c r="B2895" s="1580"/>
      <c r="C2895" s="1580"/>
      <c r="D2895" s="1580"/>
      <c r="E2895" s="1580"/>
      <c r="F2895" s="1580"/>
      <c r="G2895" s="1580"/>
      <c r="H2895" s="633">
        <f>H2893-H2894</f>
        <v>2</v>
      </c>
      <c r="I2895" s="1624"/>
      <c r="J2895" s="1624"/>
      <c r="K2895" s="1624"/>
      <c r="L2895" s="1624"/>
      <c r="M2895" s="1624"/>
      <c r="N2895" s="1625"/>
    </row>
    <row r="2896" spans="1:14" ht="15.75" thickBot="1">
      <c r="A2896" s="278"/>
      <c r="B2896" s="278"/>
      <c r="C2896" s="278"/>
      <c r="D2896" s="281"/>
      <c r="E2896" s="1319"/>
      <c r="F2896" s="278"/>
      <c r="G2896" s="278"/>
      <c r="H2896" s="217"/>
      <c r="I2896" s="279"/>
      <c r="J2896" s="279"/>
      <c r="K2896" s="279"/>
      <c r="L2896" s="279"/>
      <c r="M2896" s="279"/>
      <c r="N2896" s="279"/>
    </row>
    <row r="2897" spans="1:14" ht="15.75" thickBot="1">
      <c r="A2897" s="1085" t="s">
        <v>3939</v>
      </c>
      <c r="B2897" s="1571"/>
      <c r="C2897" s="1572"/>
      <c r="D2897" s="1572"/>
      <c r="E2897" s="1572"/>
      <c r="F2897" s="1572"/>
      <c r="G2897" s="1572"/>
      <c r="H2897" s="1572"/>
      <c r="I2897" s="1572"/>
      <c r="J2897" s="1572"/>
      <c r="K2897" s="1572"/>
      <c r="L2897" s="1572"/>
      <c r="M2897" s="1572"/>
      <c r="N2897" s="1573"/>
    </row>
    <row r="2898" spans="1:14" ht="38.450000000000003" customHeight="1">
      <c r="A2898" s="1084" t="s">
        <v>3940</v>
      </c>
      <c r="B2898" s="1533" t="s">
        <v>898</v>
      </c>
      <c r="C2898" s="1533"/>
      <c r="D2898" s="1533"/>
      <c r="E2898" s="1533"/>
      <c r="F2898" s="1533"/>
      <c r="G2898" s="1533"/>
      <c r="H2898" s="1533"/>
      <c r="I2898" s="1533"/>
      <c r="J2898" s="1533"/>
      <c r="K2898" s="266" t="s">
        <v>2329</v>
      </c>
      <c r="L2898" s="1534">
        <v>2</v>
      </c>
      <c r="M2898" s="1534"/>
      <c r="N2898" s="197">
        <f>L2898-H2902</f>
        <v>0</v>
      </c>
    </row>
    <row r="2899" spans="1:14">
      <c r="A2899" s="1163"/>
      <c r="B2899" s="287"/>
      <c r="C2899" s="287" t="s">
        <v>12</v>
      </c>
      <c r="D2899" s="614" t="s">
        <v>3128</v>
      </c>
      <c r="E2899" s="531" t="s">
        <v>2583</v>
      </c>
      <c r="F2899" s="287" t="s">
        <v>3048</v>
      </c>
      <c r="G2899" s="287" t="s">
        <v>3640</v>
      </c>
      <c r="H2899" s="289"/>
      <c r="I2899" s="1509"/>
      <c r="J2899" s="1509"/>
      <c r="K2899" s="1509"/>
      <c r="L2899" s="1509"/>
      <c r="M2899" s="1509"/>
      <c r="N2899" s="1510"/>
    </row>
    <row r="2900" spans="1:14">
      <c r="A2900" s="1163" t="s">
        <v>3937</v>
      </c>
      <c r="B2900" s="310" t="s">
        <v>3946</v>
      </c>
      <c r="C2900" s="888"/>
      <c r="D2900" s="901"/>
      <c r="E2900" s="901"/>
      <c r="F2900" s="292">
        <v>1</v>
      </c>
      <c r="G2900" s="311">
        <v>100</v>
      </c>
      <c r="H2900" s="887">
        <v>1</v>
      </c>
      <c r="I2900" s="1509"/>
      <c r="J2900" s="1509"/>
      <c r="K2900" s="1509"/>
      <c r="L2900" s="1509"/>
      <c r="M2900" s="1509"/>
      <c r="N2900" s="1510"/>
    </row>
    <row r="2901" spans="1:14">
      <c r="A2901" s="1163" t="s">
        <v>3981</v>
      </c>
      <c r="B2901" s="310" t="s">
        <v>3946</v>
      </c>
      <c r="C2901" s="888"/>
      <c r="D2901" s="901"/>
      <c r="E2901" s="901"/>
      <c r="F2901" s="292">
        <v>1</v>
      </c>
      <c r="G2901" s="311">
        <v>100</v>
      </c>
      <c r="H2901" s="887">
        <v>1</v>
      </c>
      <c r="I2901" s="1509"/>
      <c r="J2901" s="1509"/>
      <c r="K2901" s="1509"/>
      <c r="L2901" s="1509"/>
      <c r="M2901" s="1509"/>
      <c r="N2901" s="1510"/>
    </row>
    <row r="2902" spans="1:14">
      <c r="A2902" s="1577" t="s">
        <v>2218</v>
      </c>
      <c r="B2902" s="1542"/>
      <c r="C2902" s="1542"/>
      <c r="D2902" s="1542"/>
      <c r="E2902" s="1542"/>
      <c r="F2902" s="1542"/>
      <c r="G2902" s="1542"/>
      <c r="H2902" s="271">
        <f>SUM(H2899:H2901)</f>
        <v>2</v>
      </c>
      <c r="I2902" s="1509"/>
      <c r="J2902" s="1509"/>
      <c r="K2902" s="1509"/>
      <c r="L2902" s="1509"/>
      <c r="M2902" s="1509"/>
      <c r="N2902" s="1510"/>
    </row>
    <row r="2903" spans="1:14">
      <c r="A2903" s="1578" t="s">
        <v>2219</v>
      </c>
      <c r="B2903" s="1538"/>
      <c r="C2903" s="1538"/>
      <c r="D2903" s="1538"/>
      <c r="E2903" s="1538"/>
      <c r="F2903" s="1538"/>
      <c r="G2903" s="1538"/>
      <c r="H2903" s="320">
        <f>SUM(H2899)</f>
        <v>0</v>
      </c>
      <c r="I2903" s="1509"/>
      <c r="J2903" s="1509"/>
      <c r="K2903" s="1509"/>
      <c r="L2903" s="1509"/>
      <c r="M2903" s="1509"/>
      <c r="N2903" s="1510"/>
    </row>
    <row r="2904" spans="1:14" ht="15.75" thickBot="1">
      <c r="A2904" s="1579" t="s">
        <v>2220</v>
      </c>
      <c r="B2904" s="1580"/>
      <c r="C2904" s="1580"/>
      <c r="D2904" s="1580"/>
      <c r="E2904" s="1580"/>
      <c r="F2904" s="1580"/>
      <c r="G2904" s="1580"/>
      <c r="H2904" s="633">
        <f>H2902-H2903</f>
        <v>2</v>
      </c>
      <c r="I2904" s="1512"/>
      <c r="J2904" s="1512"/>
      <c r="K2904" s="1512"/>
      <c r="L2904" s="1512"/>
      <c r="M2904" s="1512"/>
      <c r="N2904" s="1513"/>
    </row>
    <row r="2905" spans="1:14" ht="15.75" thickBot="1">
      <c r="A2905" s="1780"/>
      <c r="B2905" s="1781"/>
      <c r="C2905" s="1781"/>
      <c r="D2905" s="1781"/>
      <c r="E2905" s="1781"/>
      <c r="F2905" s="1781"/>
      <c r="G2905" s="1781"/>
      <c r="H2905" s="1781"/>
      <c r="I2905" s="1781"/>
      <c r="J2905" s="1781"/>
      <c r="K2905" s="1781"/>
      <c r="L2905" s="1781"/>
      <c r="M2905" s="1781"/>
      <c r="N2905" s="1782"/>
    </row>
    <row r="2906" spans="1:14" ht="38.450000000000003" customHeight="1">
      <c r="A2906" s="1084" t="s">
        <v>3941</v>
      </c>
      <c r="B2906" s="1533" t="s">
        <v>901</v>
      </c>
      <c r="C2906" s="1533"/>
      <c r="D2906" s="1533"/>
      <c r="E2906" s="1533"/>
      <c r="F2906" s="1533"/>
      <c r="G2906" s="1533"/>
      <c r="H2906" s="1533"/>
      <c r="I2906" s="1533"/>
      <c r="J2906" s="1533"/>
      <c r="K2906" s="266" t="s">
        <v>2329</v>
      </c>
      <c r="L2906" s="1534">
        <v>1</v>
      </c>
      <c r="M2906" s="1534"/>
      <c r="N2906" s="197">
        <f>L2906-H2910</f>
        <v>0</v>
      </c>
    </row>
    <row r="2907" spans="1:14">
      <c r="A2907" s="1574" t="s">
        <v>3937</v>
      </c>
      <c r="B2907" s="287"/>
      <c r="C2907" s="287" t="s">
        <v>12</v>
      </c>
      <c r="D2907" s="614" t="s">
        <v>3128</v>
      </c>
      <c r="E2907" s="531" t="s">
        <v>2583</v>
      </c>
      <c r="F2907" s="287" t="s">
        <v>3048</v>
      </c>
      <c r="G2907" s="287" t="s">
        <v>3640</v>
      </c>
      <c r="H2907" s="289"/>
      <c r="I2907" s="1509"/>
      <c r="J2907" s="1509"/>
      <c r="K2907" s="1509"/>
      <c r="L2907" s="1509"/>
      <c r="M2907" s="1509"/>
      <c r="N2907" s="1510"/>
    </row>
    <row r="2908" spans="1:14">
      <c r="A2908" s="1575"/>
      <c r="B2908" s="310" t="s">
        <v>3947</v>
      </c>
      <c r="C2908" s="888"/>
      <c r="D2908" s="901"/>
      <c r="E2908" s="901"/>
      <c r="F2908" s="292">
        <v>1</v>
      </c>
      <c r="G2908" s="311">
        <v>100</v>
      </c>
      <c r="H2908" s="887">
        <v>1</v>
      </c>
      <c r="I2908" s="1509"/>
      <c r="J2908" s="1509"/>
      <c r="K2908" s="1509"/>
      <c r="L2908" s="1509"/>
      <c r="M2908" s="1509"/>
      <c r="N2908" s="1510"/>
    </row>
    <row r="2909" spans="1:14">
      <c r="A2909" s="1576"/>
      <c r="B2909" s="294"/>
      <c r="C2909" s="294"/>
      <c r="D2909" s="294"/>
      <c r="E2909" s="295"/>
      <c r="F2909" s="294"/>
      <c r="G2909" s="294"/>
      <c r="H2909" s="296"/>
      <c r="I2909" s="1509"/>
      <c r="J2909" s="1509"/>
      <c r="K2909" s="1509"/>
      <c r="L2909" s="1509"/>
      <c r="M2909" s="1509"/>
      <c r="N2909" s="1510"/>
    </row>
    <row r="2910" spans="1:14">
      <c r="A2910" s="1577" t="s">
        <v>2218</v>
      </c>
      <c r="B2910" s="1542"/>
      <c r="C2910" s="1542"/>
      <c r="D2910" s="1542"/>
      <c r="E2910" s="1542"/>
      <c r="F2910" s="1542"/>
      <c r="G2910" s="1542"/>
      <c r="H2910" s="271">
        <f>SUM(H2907:H2909)</f>
        <v>1</v>
      </c>
      <c r="I2910" s="1509"/>
      <c r="J2910" s="1509"/>
      <c r="K2910" s="1509"/>
      <c r="L2910" s="1509"/>
      <c r="M2910" s="1509"/>
      <c r="N2910" s="1510"/>
    </row>
    <row r="2911" spans="1:14">
      <c r="A2911" s="1578" t="s">
        <v>2219</v>
      </c>
      <c r="B2911" s="1538"/>
      <c r="C2911" s="1538"/>
      <c r="D2911" s="1538"/>
      <c r="E2911" s="1538"/>
      <c r="F2911" s="1538"/>
      <c r="G2911" s="1538"/>
      <c r="H2911" s="320">
        <f>SUM(H2907)</f>
        <v>0</v>
      </c>
      <c r="I2911" s="1509"/>
      <c r="J2911" s="1509"/>
      <c r="K2911" s="1509"/>
      <c r="L2911" s="1509"/>
      <c r="M2911" s="1509"/>
      <c r="N2911" s="1510"/>
    </row>
    <row r="2912" spans="1:14" ht="15.75" thickBot="1">
      <c r="A2912" s="1579" t="s">
        <v>2220</v>
      </c>
      <c r="B2912" s="1580"/>
      <c r="C2912" s="1580"/>
      <c r="D2912" s="1580"/>
      <c r="E2912" s="1580"/>
      <c r="F2912" s="1580"/>
      <c r="G2912" s="1580"/>
      <c r="H2912" s="633">
        <f>H2910-H2911</f>
        <v>1</v>
      </c>
      <c r="I2912" s="1512"/>
      <c r="J2912" s="1512"/>
      <c r="K2912" s="1512"/>
      <c r="L2912" s="1512"/>
      <c r="M2912" s="1512"/>
      <c r="N2912" s="1513"/>
    </row>
    <row r="2913" spans="1:14" ht="15.75" thickBot="1">
      <c r="A2913" s="1780"/>
      <c r="B2913" s="1781"/>
      <c r="C2913" s="1781"/>
      <c r="D2913" s="1781"/>
      <c r="E2913" s="1781"/>
      <c r="F2913" s="1781"/>
      <c r="G2913" s="1781"/>
      <c r="H2913" s="1781"/>
      <c r="I2913" s="1781"/>
      <c r="J2913" s="1781"/>
      <c r="K2913" s="1781"/>
      <c r="L2913" s="1781"/>
      <c r="M2913" s="1781"/>
      <c r="N2913" s="1782"/>
    </row>
    <row r="2914" spans="1:14" ht="38.450000000000003" customHeight="1">
      <c r="A2914" s="1084" t="s">
        <v>3942</v>
      </c>
      <c r="B2914" s="1533" t="s">
        <v>904</v>
      </c>
      <c r="C2914" s="1533"/>
      <c r="D2914" s="1533"/>
      <c r="E2914" s="1533"/>
      <c r="F2914" s="1533"/>
      <c r="G2914" s="1533"/>
      <c r="H2914" s="1533"/>
      <c r="I2914" s="1533"/>
      <c r="J2914" s="1533"/>
      <c r="K2914" s="266" t="s">
        <v>2329</v>
      </c>
      <c r="L2914" s="1534">
        <v>1</v>
      </c>
      <c r="M2914" s="1534"/>
      <c r="N2914" s="197">
        <f>L2914-H2918</f>
        <v>0</v>
      </c>
    </row>
    <row r="2915" spans="1:14">
      <c r="A2915" s="1163"/>
      <c r="B2915" s="287"/>
      <c r="C2915" s="287" t="s">
        <v>12</v>
      </c>
      <c r="D2915" s="614" t="s">
        <v>3128</v>
      </c>
      <c r="E2915" s="531" t="s">
        <v>2583</v>
      </c>
      <c r="F2915" s="287" t="s">
        <v>3048</v>
      </c>
      <c r="G2915" s="287" t="s">
        <v>3640</v>
      </c>
      <c r="H2915" s="289"/>
      <c r="I2915" s="1509"/>
      <c r="J2915" s="1509"/>
      <c r="K2915" s="1509"/>
      <c r="L2915" s="1509"/>
      <c r="M2915" s="1509"/>
      <c r="N2915" s="1510"/>
    </row>
    <row r="2916" spans="1:14">
      <c r="A2916" s="1163" t="s">
        <v>3981</v>
      </c>
      <c r="B2916" s="310" t="s">
        <v>3989</v>
      </c>
      <c r="C2916" s="888"/>
      <c r="D2916" s="901"/>
      <c r="E2916" s="901"/>
      <c r="F2916" s="292">
        <v>1</v>
      </c>
      <c r="G2916" s="311">
        <v>100</v>
      </c>
      <c r="H2916" s="887">
        <v>1</v>
      </c>
      <c r="I2916" s="1509"/>
      <c r="J2916" s="1509"/>
      <c r="K2916" s="1509"/>
      <c r="L2916" s="1509"/>
      <c r="M2916" s="1509"/>
      <c r="N2916" s="1510"/>
    </row>
    <row r="2917" spans="1:14">
      <c r="A2917" s="1165"/>
      <c r="B2917" s="294"/>
      <c r="C2917" s="294"/>
      <c r="D2917" s="294"/>
      <c r="E2917" s="295"/>
      <c r="F2917" s="294"/>
      <c r="G2917" s="294"/>
      <c r="H2917" s="296"/>
      <c r="I2917" s="1509"/>
      <c r="J2917" s="1509"/>
      <c r="K2917" s="1509"/>
      <c r="L2917" s="1509"/>
      <c r="M2917" s="1509"/>
      <c r="N2917" s="1510"/>
    </row>
    <row r="2918" spans="1:14">
      <c r="A2918" s="1577" t="s">
        <v>2218</v>
      </c>
      <c r="B2918" s="1542"/>
      <c r="C2918" s="1542"/>
      <c r="D2918" s="1542"/>
      <c r="E2918" s="1542"/>
      <c r="F2918" s="1542"/>
      <c r="G2918" s="1542"/>
      <c r="H2918" s="271">
        <f>SUM(H2915:H2917)</f>
        <v>1</v>
      </c>
      <c r="I2918" s="1509"/>
      <c r="J2918" s="1509"/>
      <c r="K2918" s="1509"/>
      <c r="L2918" s="1509"/>
      <c r="M2918" s="1509"/>
      <c r="N2918" s="1510"/>
    </row>
    <row r="2919" spans="1:14">
      <c r="A2919" s="1578" t="s">
        <v>2219</v>
      </c>
      <c r="B2919" s="1538"/>
      <c r="C2919" s="1538"/>
      <c r="D2919" s="1538"/>
      <c r="E2919" s="1538"/>
      <c r="F2919" s="1538"/>
      <c r="G2919" s="1538"/>
      <c r="H2919" s="320">
        <f>SUM(H2915)</f>
        <v>0</v>
      </c>
      <c r="I2919" s="1509"/>
      <c r="J2919" s="1509"/>
      <c r="K2919" s="1509"/>
      <c r="L2919" s="1509"/>
      <c r="M2919" s="1509"/>
      <c r="N2919" s="1510"/>
    </row>
    <row r="2920" spans="1:14" ht="15.75" thickBot="1">
      <c r="A2920" s="1579" t="s">
        <v>2220</v>
      </c>
      <c r="B2920" s="1580"/>
      <c r="C2920" s="1580"/>
      <c r="D2920" s="1580"/>
      <c r="E2920" s="1580"/>
      <c r="F2920" s="1580"/>
      <c r="G2920" s="1580"/>
      <c r="H2920" s="633">
        <f>H2918-H2919</f>
        <v>1</v>
      </c>
      <c r="I2920" s="1512"/>
      <c r="J2920" s="1512"/>
      <c r="K2920" s="1512"/>
      <c r="L2920" s="1512"/>
      <c r="M2920" s="1512"/>
      <c r="N2920" s="1513"/>
    </row>
    <row r="2921" spans="1:14" ht="15.75" thickBot="1">
      <c r="A2921" s="1780"/>
      <c r="B2921" s="1781"/>
      <c r="C2921" s="1781"/>
      <c r="D2921" s="1781"/>
      <c r="E2921" s="1781"/>
      <c r="F2921" s="1781"/>
      <c r="G2921" s="1781"/>
      <c r="H2921" s="1781"/>
      <c r="I2921" s="1781"/>
      <c r="J2921" s="1781"/>
      <c r="K2921" s="1781"/>
      <c r="L2921" s="1781"/>
      <c r="M2921" s="1781"/>
      <c r="N2921" s="1782"/>
    </row>
    <row r="2922" spans="1:14" ht="38.450000000000003" customHeight="1">
      <c r="A2922" s="1084" t="s">
        <v>3943</v>
      </c>
      <c r="B2922" s="1533" t="s">
        <v>907</v>
      </c>
      <c r="C2922" s="1533"/>
      <c r="D2922" s="1533"/>
      <c r="E2922" s="1533"/>
      <c r="F2922" s="1533"/>
      <c r="G2922" s="1533"/>
      <c r="H2922" s="1533"/>
      <c r="I2922" s="1533"/>
      <c r="J2922" s="1533"/>
      <c r="K2922" s="266" t="s">
        <v>2329</v>
      </c>
      <c r="L2922" s="1534">
        <v>1</v>
      </c>
      <c r="M2922" s="1534"/>
      <c r="N2922" s="197">
        <f>L2922-H2926</f>
        <v>0</v>
      </c>
    </row>
    <row r="2923" spans="1:14">
      <c r="A2923" s="1246"/>
      <c r="B2923" s="287"/>
      <c r="C2923" s="287" t="s">
        <v>12</v>
      </c>
      <c r="D2923" s="614" t="s">
        <v>3128</v>
      </c>
      <c r="E2923" s="531" t="s">
        <v>2583</v>
      </c>
      <c r="F2923" s="287" t="s">
        <v>3048</v>
      </c>
      <c r="G2923" s="287" t="s">
        <v>3640</v>
      </c>
      <c r="H2923" s="289"/>
      <c r="I2923" s="1509"/>
      <c r="J2923" s="1509"/>
      <c r="K2923" s="1509"/>
      <c r="L2923" s="1509"/>
      <c r="M2923" s="1509"/>
      <c r="N2923" s="1510"/>
    </row>
    <row r="2924" spans="1:14">
      <c r="A2924" s="1163" t="s">
        <v>3981</v>
      </c>
      <c r="B2924" s="310" t="s">
        <v>3990</v>
      </c>
      <c r="C2924" s="888"/>
      <c r="D2924" s="901"/>
      <c r="E2924" s="901"/>
      <c r="F2924" s="292">
        <v>1</v>
      </c>
      <c r="G2924" s="311">
        <v>100</v>
      </c>
      <c r="H2924" s="887">
        <v>1</v>
      </c>
      <c r="I2924" s="1509"/>
      <c r="J2924" s="1509"/>
      <c r="K2924" s="1509"/>
      <c r="L2924" s="1509"/>
      <c r="M2924" s="1509"/>
      <c r="N2924" s="1510"/>
    </row>
    <row r="2925" spans="1:14">
      <c r="A2925" s="1247"/>
      <c r="B2925" s="294"/>
      <c r="C2925" s="294"/>
      <c r="D2925" s="294"/>
      <c r="E2925" s="295"/>
      <c r="F2925" s="294"/>
      <c r="G2925" s="294"/>
      <c r="H2925" s="296"/>
      <c r="I2925" s="1509"/>
      <c r="J2925" s="1509"/>
      <c r="K2925" s="1509"/>
      <c r="L2925" s="1509"/>
      <c r="M2925" s="1509"/>
      <c r="N2925" s="1510"/>
    </row>
    <row r="2926" spans="1:14">
      <c r="A2926" s="1577" t="s">
        <v>2218</v>
      </c>
      <c r="B2926" s="1542"/>
      <c r="C2926" s="1542"/>
      <c r="D2926" s="1542"/>
      <c r="E2926" s="1542"/>
      <c r="F2926" s="1542"/>
      <c r="G2926" s="1542"/>
      <c r="H2926" s="271">
        <f>SUM(H2923:H2925)</f>
        <v>1</v>
      </c>
      <c r="I2926" s="1509"/>
      <c r="J2926" s="1509"/>
      <c r="K2926" s="1509"/>
      <c r="L2926" s="1509"/>
      <c r="M2926" s="1509"/>
      <c r="N2926" s="1510"/>
    </row>
    <row r="2927" spans="1:14">
      <c r="A2927" s="1578" t="s">
        <v>2219</v>
      </c>
      <c r="B2927" s="1538"/>
      <c r="C2927" s="1538"/>
      <c r="D2927" s="1538"/>
      <c r="E2927" s="1538"/>
      <c r="F2927" s="1538"/>
      <c r="G2927" s="1538"/>
      <c r="H2927" s="320">
        <f>SUM(H2923)</f>
        <v>0</v>
      </c>
      <c r="I2927" s="1509"/>
      <c r="J2927" s="1509"/>
      <c r="K2927" s="1509"/>
      <c r="L2927" s="1509"/>
      <c r="M2927" s="1509"/>
      <c r="N2927" s="1510"/>
    </row>
    <row r="2928" spans="1:14" ht="15.75" thickBot="1">
      <c r="A2928" s="1579" t="s">
        <v>2220</v>
      </c>
      <c r="B2928" s="1580"/>
      <c r="C2928" s="1580"/>
      <c r="D2928" s="1580"/>
      <c r="E2928" s="1580"/>
      <c r="F2928" s="1580"/>
      <c r="G2928" s="1580"/>
      <c r="H2928" s="633">
        <f>H2926-H2927</f>
        <v>1</v>
      </c>
      <c r="I2928" s="1512"/>
      <c r="J2928" s="1512"/>
      <c r="K2928" s="1512"/>
      <c r="L2928" s="1512"/>
      <c r="M2928" s="1512"/>
      <c r="N2928" s="1513"/>
    </row>
    <row r="2929" spans="1:14" ht="15.75" thickBot="1">
      <c r="A2929" s="1780"/>
      <c r="B2929" s="1781"/>
      <c r="C2929" s="1781"/>
      <c r="D2929" s="1781"/>
      <c r="E2929" s="1781"/>
      <c r="F2929" s="1781"/>
      <c r="G2929" s="1781"/>
      <c r="H2929" s="1781"/>
      <c r="I2929" s="1781"/>
      <c r="J2929" s="1781"/>
      <c r="K2929" s="1781"/>
      <c r="L2929" s="1781"/>
      <c r="M2929" s="1781"/>
      <c r="N2929" s="1782"/>
    </row>
    <row r="2930" spans="1:14" ht="38.450000000000003" customHeight="1">
      <c r="A2930" s="1084" t="s">
        <v>3944</v>
      </c>
      <c r="B2930" s="1533" t="s">
        <v>910</v>
      </c>
      <c r="C2930" s="1533"/>
      <c r="D2930" s="1533"/>
      <c r="E2930" s="1533"/>
      <c r="F2930" s="1533"/>
      <c r="G2930" s="1533"/>
      <c r="H2930" s="1533"/>
      <c r="I2930" s="1533"/>
      <c r="J2930" s="1533"/>
      <c r="K2930" s="266" t="s">
        <v>2329</v>
      </c>
      <c r="L2930" s="1534">
        <v>1</v>
      </c>
      <c r="M2930" s="1534"/>
      <c r="N2930" s="197">
        <f>L2930-H2934</f>
        <v>0</v>
      </c>
    </row>
    <row r="2931" spans="1:14">
      <c r="A2931" s="1163"/>
      <c r="B2931" s="287"/>
      <c r="C2931" s="287" t="s">
        <v>12</v>
      </c>
      <c r="D2931" s="614" t="s">
        <v>3128</v>
      </c>
      <c r="E2931" s="531" t="s">
        <v>2583</v>
      </c>
      <c r="F2931" s="287" t="s">
        <v>3048</v>
      </c>
      <c r="G2931" s="287" t="s">
        <v>3640</v>
      </c>
      <c r="H2931" s="289"/>
      <c r="I2931" s="1509"/>
      <c r="J2931" s="1509"/>
      <c r="K2931" s="1509"/>
      <c r="L2931" s="1509"/>
      <c r="M2931" s="1509"/>
      <c r="N2931" s="1510"/>
    </row>
    <row r="2932" spans="1:14">
      <c r="A2932" s="1163" t="s">
        <v>4143</v>
      </c>
      <c r="B2932" s="310" t="s">
        <v>4145</v>
      </c>
      <c r="C2932" s="888"/>
      <c r="D2932" s="901"/>
      <c r="E2932" s="901"/>
      <c r="F2932" s="292">
        <v>1</v>
      </c>
      <c r="G2932" s="311"/>
      <c r="H2932" s="887">
        <v>1</v>
      </c>
      <c r="I2932" s="1509"/>
      <c r="J2932" s="1509"/>
      <c r="K2932" s="1509"/>
      <c r="L2932" s="1509"/>
      <c r="M2932" s="1509"/>
      <c r="N2932" s="1510"/>
    </row>
    <row r="2933" spans="1:14">
      <c r="A2933" s="1165"/>
      <c r="B2933" s="294"/>
      <c r="C2933" s="294"/>
      <c r="D2933" s="294"/>
      <c r="E2933" s="295"/>
      <c r="F2933" s="294"/>
      <c r="G2933" s="294"/>
      <c r="H2933" s="296"/>
      <c r="I2933" s="1509"/>
      <c r="J2933" s="1509"/>
      <c r="K2933" s="1509"/>
      <c r="L2933" s="1509"/>
      <c r="M2933" s="1509"/>
      <c r="N2933" s="1510"/>
    </row>
    <row r="2934" spans="1:14">
      <c r="A2934" s="1577"/>
      <c r="B2934" s="1542"/>
      <c r="C2934" s="1542"/>
      <c r="D2934" s="1542"/>
      <c r="E2934" s="1542"/>
      <c r="F2934" s="1542"/>
      <c r="G2934" s="1542"/>
      <c r="H2934" s="271">
        <f>SUM(H2931:H2933)</f>
        <v>1</v>
      </c>
      <c r="I2934" s="1509"/>
      <c r="J2934" s="1509"/>
      <c r="K2934" s="1509"/>
      <c r="L2934" s="1509"/>
      <c r="M2934" s="1509"/>
      <c r="N2934" s="1510"/>
    </row>
    <row r="2935" spans="1:14">
      <c r="A2935" s="1578" t="s">
        <v>2219</v>
      </c>
      <c r="B2935" s="1538"/>
      <c r="C2935" s="1538"/>
      <c r="D2935" s="1538"/>
      <c r="E2935" s="1538"/>
      <c r="F2935" s="1538"/>
      <c r="G2935" s="1538"/>
      <c r="H2935" s="320">
        <f>SUM(H2931)</f>
        <v>0</v>
      </c>
      <c r="I2935" s="1509"/>
      <c r="J2935" s="1509"/>
      <c r="K2935" s="1509"/>
      <c r="L2935" s="1509"/>
      <c r="M2935" s="1509"/>
      <c r="N2935" s="1510"/>
    </row>
    <row r="2936" spans="1:14" ht="15.75" thickBot="1">
      <c r="A2936" s="1579" t="s">
        <v>2220</v>
      </c>
      <c r="B2936" s="1580"/>
      <c r="C2936" s="1580"/>
      <c r="D2936" s="1580"/>
      <c r="E2936" s="1580"/>
      <c r="F2936" s="1580"/>
      <c r="G2936" s="1580"/>
      <c r="H2936" s="633">
        <f>H2934-H2935</f>
        <v>1</v>
      </c>
      <c r="I2936" s="1512"/>
      <c r="J2936" s="1512"/>
      <c r="K2936" s="1512"/>
      <c r="L2936" s="1512"/>
      <c r="M2936" s="1512"/>
      <c r="N2936" s="1513"/>
    </row>
    <row r="2937" spans="1:14" ht="15.75" thickBot="1">
      <c r="A2937" s="1780"/>
      <c r="B2937" s="1781"/>
      <c r="C2937" s="1781"/>
      <c r="D2937" s="1781"/>
      <c r="E2937" s="1781"/>
      <c r="F2937" s="1781"/>
      <c r="G2937" s="1781"/>
      <c r="H2937" s="1781"/>
      <c r="I2937" s="1781"/>
      <c r="J2937" s="1781"/>
      <c r="K2937" s="1781"/>
      <c r="L2937" s="1781"/>
      <c r="M2937" s="1781"/>
      <c r="N2937" s="1782"/>
    </row>
    <row r="2938" spans="1:14" ht="38.450000000000003" customHeight="1">
      <c r="A2938" s="1084" t="s">
        <v>3945</v>
      </c>
      <c r="B2938" s="1533" t="s">
        <v>913</v>
      </c>
      <c r="C2938" s="1533"/>
      <c r="D2938" s="1533"/>
      <c r="E2938" s="1533"/>
      <c r="F2938" s="1533"/>
      <c r="G2938" s="1533"/>
      <c r="H2938" s="1533"/>
      <c r="I2938" s="1533"/>
      <c r="J2938" s="1533"/>
      <c r="K2938" s="266" t="s">
        <v>12</v>
      </c>
      <c r="L2938" s="1534">
        <v>63.5</v>
      </c>
      <c r="M2938" s="1534"/>
      <c r="N2938" s="197">
        <f>L2938-H2942</f>
        <v>0</v>
      </c>
    </row>
    <row r="2939" spans="1:14">
      <c r="A2939" s="1574" t="s">
        <v>3937</v>
      </c>
      <c r="B2939" s="287"/>
      <c r="C2939" s="287" t="s">
        <v>12</v>
      </c>
      <c r="D2939" s="614" t="s">
        <v>3128</v>
      </c>
      <c r="E2939" s="531" t="s">
        <v>2583</v>
      </c>
      <c r="F2939" s="287" t="s">
        <v>3048</v>
      </c>
      <c r="G2939" s="287" t="s">
        <v>3640</v>
      </c>
      <c r="H2939" s="289"/>
      <c r="I2939" s="1509"/>
      <c r="J2939" s="1509"/>
      <c r="K2939" s="1509"/>
      <c r="L2939" s="1509"/>
      <c r="M2939" s="1509"/>
      <c r="N2939" s="1510"/>
    </row>
    <row r="2940" spans="1:14">
      <c r="A2940" s="1575"/>
      <c r="B2940" s="310" t="s">
        <v>3948</v>
      </c>
      <c r="C2940" s="888"/>
      <c r="D2940" s="901">
        <v>63.5</v>
      </c>
      <c r="E2940" s="901"/>
      <c r="F2940" s="292"/>
      <c r="G2940" s="311">
        <v>100</v>
      </c>
      <c r="H2940" s="887">
        <v>63.5</v>
      </c>
      <c r="I2940" s="1509"/>
      <c r="J2940" s="1509"/>
      <c r="K2940" s="1509"/>
      <c r="L2940" s="1509"/>
      <c r="M2940" s="1509"/>
      <c r="N2940" s="1510"/>
    </row>
    <row r="2941" spans="1:14">
      <c r="A2941" s="1576"/>
      <c r="B2941" s="294"/>
      <c r="C2941" s="294"/>
      <c r="D2941" s="294"/>
      <c r="E2941" s="295"/>
      <c r="F2941" s="294"/>
      <c r="G2941" s="294"/>
      <c r="H2941" s="296"/>
      <c r="I2941" s="1509"/>
      <c r="J2941" s="1509"/>
      <c r="K2941" s="1509"/>
      <c r="L2941" s="1509"/>
      <c r="M2941" s="1509"/>
      <c r="N2941" s="1510"/>
    </row>
    <row r="2942" spans="1:14">
      <c r="A2942" s="1577" t="s">
        <v>2218</v>
      </c>
      <c r="B2942" s="1542"/>
      <c r="C2942" s="1542"/>
      <c r="D2942" s="1542"/>
      <c r="E2942" s="1542"/>
      <c r="F2942" s="1542"/>
      <c r="G2942" s="1542"/>
      <c r="H2942" s="271">
        <f>SUM(H2939:H2941)</f>
        <v>63.5</v>
      </c>
      <c r="I2942" s="1509"/>
      <c r="J2942" s="1509"/>
      <c r="K2942" s="1509"/>
      <c r="L2942" s="1509"/>
      <c r="M2942" s="1509"/>
      <c r="N2942" s="1510"/>
    </row>
    <row r="2943" spans="1:14">
      <c r="A2943" s="1578" t="s">
        <v>2219</v>
      </c>
      <c r="B2943" s="1538"/>
      <c r="C2943" s="1538"/>
      <c r="D2943" s="1538"/>
      <c r="E2943" s="1538"/>
      <c r="F2943" s="1538"/>
      <c r="G2943" s="1538"/>
      <c r="H2943" s="320">
        <f>SUM(H2939)</f>
        <v>0</v>
      </c>
      <c r="I2943" s="1509"/>
      <c r="J2943" s="1509"/>
      <c r="K2943" s="1509"/>
      <c r="L2943" s="1509"/>
      <c r="M2943" s="1509"/>
      <c r="N2943" s="1510"/>
    </row>
    <row r="2944" spans="1:14" ht="15.75" thickBot="1">
      <c r="A2944" s="1579" t="s">
        <v>2220</v>
      </c>
      <c r="B2944" s="1580"/>
      <c r="C2944" s="1580"/>
      <c r="D2944" s="1580"/>
      <c r="E2944" s="1580"/>
      <c r="F2944" s="1580"/>
      <c r="G2944" s="1580"/>
      <c r="H2944" s="633">
        <f>H2942-H2943</f>
        <v>63.5</v>
      </c>
      <c r="I2944" s="1512"/>
      <c r="J2944" s="1512"/>
      <c r="K2944" s="1512"/>
      <c r="L2944" s="1512"/>
      <c r="M2944" s="1512"/>
      <c r="N2944" s="1513"/>
    </row>
    <row r="2945" spans="1:14" ht="15.75" thickBot="1">
      <c r="A2945" s="1780"/>
      <c r="B2945" s="1781"/>
      <c r="C2945" s="1781"/>
      <c r="D2945" s="1781"/>
      <c r="E2945" s="1781"/>
      <c r="F2945" s="1781"/>
      <c r="G2945" s="1781"/>
      <c r="H2945" s="1781"/>
      <c r="I2945" s="1781"/>
      <c r="J2945" s="1781"/>
      <c r="K2945" s="1781"/>
      <c r="L2945" s="1781"/>
      <c r="M2945" s="1781"/>
      <c r="N2945" s="1782"/>
    </row>
    <row r="2946" spans="1:14" ht="15.75" thickBot="1">
      <c r="A2946" s="1085" t="s">
        <v>3555</v>
      </c>
      <c r="B2946" s="1571" t="s">
        <v>915</v>
      </c>
      <c r="C2946" s="1572"/>
      <c r="D2946" s="1572"/>
      <c r="E2946" s="1572"/>
      <c r="F2946" s="1572"/>
      <c r="G2946" s="1572"/>
      <c r="H2946" s="1572"/>
      <c r="I2946" s="1572"/>
      <c r="J2946" s="1572"/>
      <c r="K2946" s="1572"/>
      <c r="L2946" s="1572"/>
      <c r="M2946" s="1572"/>
      <c r="N2946" s="1573"/>
    </row>
    <row r="2947" spans="1:14" ht="38.450000000000003" customHeight="1">
      <c r="A2947" s="1084" t="s">
        <v>3949</v>
      </c>
      <c r="B2947" s="1533" t="s">
        <v>2134</v>
      </c>
      <c r="C2947" s="1533"/>
      <c r="D2947" s="1533"/>
      <c r="E2947" s="1533"/>
      <c r="F2947" s="1533"/>
      <c r="G2947" s="1533"/>
      <c r="H2947" s="1533"/>
      <c r="I2947" s="1533"/>
      <c r="J2947" s="1533"/>
      <c r="K2947" s="266" t="s">
        <v>12</v>
      </c>
      <c r="L2947" s="1534">
        <v>22.91</v>
      </c>
      <c r="M2947" s="1534"/>
      <c r="N2947" s="197">
        <f>L2947-H2951</f>
        <v>0</v>
      </c>
    </row>
    <row r="2948" spans="1:14">
      <c r="A2948" s="1574" t="s">
        <v>3937</v>
      </c>
      <c r="B2948" s="287"/>
      <c r="C2948" s="287" t="s">
        <v>12</v>
      </c>
      <c r="D2948" s="614" t="s">
        <v>3128</v>
      </c>
      <c r="E2948" s="531" t="s">
        <v>2583</v>
      </c>
      <c r="F2948" s="287" t="s">
        <v>3048</v>
      </c>
      <c r="G2948" s="287" t="s">
        <v>3640</v>
      </c>
      <c r="H2948" s="289"/>
      <c r="I2948" s="1509"/>
      <c r="J2948" s="1509"/>
      <c r="K2948" s="1509"/>
      <c r="L2948" s="1509"/>
      <c r="M2948" s="1509"/>
      <c r="N2948" s="1510"/>
    </row>
    <row r="2949" spans="1:14">
      <c r="A2949" s="1575"/>
      <c r="B2949" s="310" t="s">
        <v>2380</v>
      </c>
      <c r="C2949" s="888">
        <v>22.91</v>
      </c>
      <c r="D2949" s="901"/>
      <c r="E2949" s="901"/>
      <c r="F2949" s="292"/>
      <c r="G2949" s="311">
        <v>1</v>
      </c>
      <c r="H2949" s="887">
        <f>C2949*G2949</f>
        <v>22.91</v>
      </c>
      <c r="I2949" s="1509"/>
      <c r="J2949" s="1509"/>
      <c r="K2949" s="1509"/>
      <c r="L2949" s="1509"/>
      <c r="M2949" s="1509"/>
      <c r="N2949" s="1510"/>
    </row>
    <row r="2950" spans="1:14">
      <c r="A2950" s="1576"/>
      <c r="B2950" s="294"/>
      <c r="C2950" s="294"/>
      <c r="D2950" s="294"/>
      <c r="E2950" s="295"/>
      <c r="F2950" s="294"/>
      <c r="G2950" s="294"/>
      <c r="H2950" s="296"/>
      <c r="I2950" s="1509"/>
      <c r="J2950" s="1509"/>
      <c r="K2950" s="1509"/>
      <c r="L2950" s="1509"/>
      <c r="M2950" s="1509"/>
      <c r="N2950" s="1510"/>
    </row>
    <row r="2951" spans="1:14">
      <c r="A2951" s="1577" t="s">
        <v>2218</v>
      </c>
      <c r="B2951" s="1542"/>
      <c r="C2951" s="1542"/>
      <c r="D2951" s="1542"/>
      <c r="E2951" s="1542"/>
      <c r="F2951" s="1542"/>
      <c r="G2951" s="1542"/>
      <c r="H2951" s="271">
        <f>SUM(H2948:H2950)</f>
        <v>22.91</v>
      </c>
      <c r="I2951" s="1509"/>
      <c r="J2951" s="1509"/>
      <c r="K2951" s="1509"/>
      <c r="L2951" s="1509"/>
      <c r="M2951" s="1509"/>
      <c r="N2951" s="1510"/>
    </row>
    <row r="2952" spans="1:14">
      <c r="A2952" s="1578" t="s">
        <v>2219</v>
      </c>
      <c r="B2952" s="1538"/>
      <c r="C2952" s="1538"/>
      <c r="D2952" s="1538"/>
      <c r="E2952" s="1538"/>
      <c r="F2952" s="1538"/>
      <c r="G2952" s="1538"/>
      <c r="H2952" s="320">
        <f>SUM(H2948)</f>
        <v>0</v>
      </c>
      <c r="I2952" s="1509"/>
      <c r="J2952" s="1509"/>
      <c r="K2952" s="1509"/>
      <c r="L2952" s="1509"/>
      <c r="M2952" s="1509"/>
      <c r="N2952" s="1510"/>
    </row>
    <row r="2953" spans="1:14" ht="15.75" thickBot="1">
      <c r="A2953" s="1579" t="s">
        <v>2220</v>
      </c>
      <c r="B2953" s="1580"/>
      <c r="C2953" s="1580"/>
      <c r="D2953" s="1580"/>
      <c r="E2953" s="1580"/>
      <c r="F2953" s="1580"/>
      <c r="G2953" s="1580"/>
      <c r="H2953" s="633">
        <f>H2951-H2952</f>
        <v>22.91</v>
      </c>
      <c r="I2953" s="1512"/>
      <c r="J2953" s="1512"/>
      <c r="K2953" s="1512"/>
      <c r="L2953" s="1512"/>
      <c r="M2953" s="1512"/>
      <c r="N2953" s="1513"/>
    </row>
    <row r="2954" spans="1:14" ht="15.75" thickBot="1">
      <c r="A2954" s="278"/>
      <c r="B2954" s="278"/>
      <c r="C2954" s="278"/>
      <c r="D2954" s="281"/>
      <c r="E2954" s="1319"/>
      <c r="F2954" s="278"/>
      <c r="G2954" s="278"/>
      <c r="H2954" s="217"/>
      <c r="I2954" s="279"/>
      <c r="J2954" s="279"/>
      <c r="K2954" s="279"/>
      <c r="L2954" s="279"/>
      <c r="M2954" s="279"/>
      <c r="N2954" s="279"/>
    </row>
    <row r="2955" spans="1:14" ht="38.450000000000003" customHeight="1">
      <c r="A2955" s="1084" t="s">
        <v>3638</v>
      </c>
      <c r="B2955" s="1533" t="s">
        <v>920</v>
      </c>
      <c r="C2955" s="1533"/>
      <c r="D2955" s="1533"/>
      <c r="E2955" s="1533"/>
      <c r="F2955" s="1533"/>
      <c r="G2955" s="1533"/>
      <c r="H2955" s="1533"/>
      <c r="I2955" s="1533"/>
      <c r="J2955" s="1533"/>
      <c r="K2955" s="266" t="s">
        <v>2329</v>
      </c>
      <c r="L2955" s="1534">
        <v>1</v>
      </c>
      <c r="M2955" s="1534"/>
      <c r="N2955" s="197">
        <f>L2955-H2960</f>
        <v>0</v>
      </c>
    </row>
    <row r="2956" spans="1:14">
      <c r="A2956" s="1703" t="s">
        <v>3620</v>
      </c>
      <c r="B2956" s="287"/>
      <c r="C2956" s="287" t="s">
        <v>12</v>
      </c>
      <c r="D2956" s="614" t="s">
        <v>3128</v>
      </c>
      <c r="E2956" s="531" t="s">
        <v>2583</v>
      </c>
      <c r="F2956" s="287" t="s">
        <v>3048</v>
      </c>
      <c r="G2956" s="287" t="s">
        <v>3640</v>
      </c>
      <c r="H2956" s="289"/>
      <c r="I2956" s="1509"/>
      <c r="J2956" s="1509"/>
      <c r="K2956" s="1509"/>
      <c r="L2956" s="1509"/>
      <c r="M2956" s="1509"/>
      <c r="N2956" s="1510"/>
    </row>
    <row r="2957" spans="1:14">
      <c r="A2957" s="1640"/>
      <c r="B2957" s="310" t="s">
        <v>3639</v>
      </c>
      <c r="C2957" s="888"/>
      <c r="D2957" s="901">
        <v>1.5</v>
      </c>
      <c r="E2957" s="901">
        <v>2.4</v>
      </c>
      <c r="F2957" s="292">
        <v>1</v>
      </c>
      <c r="G2957" s="311">
        <v>0.5</v>
      </c>
      <c r="H2957" s="887">
        <f>F2957*G2957</f>
        <v>0.5</v>
      </c>
      <c r="I2957" s="1509"/>
      <c r="J2957" s="1509"/>
      <c r="K2957" s="1509"/>
      <c r="L2957" s="1509"/>
      <c r="M2957" s="1509"/>
      <c r="N2957" s="1510"/>
    </row>
    <row r="2958" spans="1:14">
      <c r="A2958" s="1703" t="s">
        <v>3937</v>
      </c>
      <c r="B2958" s="310"/>
      <c r="C2958" s="906"/>
      <c r="D2958" s="907"/>
      <c r="E2958" s="907"/>
      <c r="F2958" s="312"/>
      <c r="G2958" s="311"/>
      <c r="H2958" s="887"/>
      <c r="I2958" s="1509"/>
      <c r="J2958" s="1509"/>
      <c r="K2958" s="1509"/>
      <c r="L2958" s="1509"/>
      <c r="M2958" s="1509"/>
      <c r="N2958" s="1510"/>
    </row>
    <row r="2959" spans="1:14">
      <c r="A2959" s="1640"/>
      <c r="B2959" s="310" t="s">
        <v>3639</v>
      </c>
      <c r="C2959" s="294"/>
      <c r="D2959" s="901">
        <v>1.5</v>
      </c>
      <c r="E2959" s="901">
        <v>2.4</v>
      </c>
      <c r="F2959" s="292">
        <v>1</v>
      </c>
      <c r="G2959" s="311">
        <v>0.5</v>
      </c>
      <c r="H2959" s="887">
        <f>F2959*G2959</f>
        <v>0.5</v>
      </c>
      <c r="I2959" s="1509"/>
      <c r="J2959" s="1509"/>
      <c r="K2959" s="1509"/>
      <c r="L2959" s="1509"/>
      <c r="M2959" s="1509"/>
      <c r="N2959" s="1510"/>
    </row>
    <row r="2960" spans="1:14">
      <c r="A2960" s="1577" t="s">
        <v>2218</v>
      </c>
      <c r="B2960" s="1542"/>
      <c r="C2960" s="1542"/>
      <c r="D2960" s="1542"/>
      <c r="E2960" s="1542"/>
      <c r="F2960" s="1542"/>
      <c r="G2960" s="1542"/>
      <c r="H2960" s="271">
        <f>SUM(H2956:H2959)</f>
        <v>1</v>
      </c>
      <c r="I2960" s="1509"/>
      <c r="J2960" s="1509"/>
      <c r="K2960" s="1509"/>
      <c r="L2960" s="1509"/>
      <c r="M2960" s="1509"/>
      <c r="N2960" s="1510"/>
    </row>
    <row r="2961" spans="1:14">
      <c r="A2961" s="1578" t="s">
        <v>2219</v>
      </c>
      <c r="B2961" s="1538"/>
      <c r="C2961" s="1538"/>
      <c r="D2961" s="1538"/>
      <c r="E2961" s="1538"/>
      <c r="F2961" s="1538"/>
      <c r="G2961" s="1538"/>
      <c r="H2961" s="320">
        <f>SUM(H2956)</f>
        <v>0</v>
      </c>
      <c r="I2961" s="1509"/>
      <c r="J2961" s="1509"/>
      <c r="K2961" s="1509"/>
      <c r="L2961" s="1509"/>
      <c r="M2961" s="1509"/>
      <c r="N2961" s="1510"/>
    </row>
    <row r="2962" spans="1:14" ht="15.75" thickBot="1">
      <c r="A2962" s="1579" t="s">
        <v>2220</v>
      </c>
      <c r="B2962" s="1580"/>
      <c r="C2962" s="1580"/>
      <c r="D2962" s="1580"/>
      <c r="E2962" s="1580"/>
      <c r="F2962" s="1580"/>
      <c r="G2962" s="1580"/>
      <c r="H2962" s="633">
        <f>H2960-H2961</f>
        <v>1</v>
      </c>
      <c r="I2962" s="1512"/>
      <c r="J2962" s="1512"/>
      <c r="K2962" s="1512"/>
      <c r="L2962" s="1512"/>
      <c r="M2962" s="1512"/>
      <c r="N2962" s="1513"/>
    </row>
    <row r="2963" spans="1:14" ht="15.75" thickBot="1">
      <c r="A2963" s="278"/>
      <c r="B2963" s="278"/>
      <c r="C2963" s="278"/>
      <c r="D2963" s="281"/>
      <c r="E2963" s="1319"/>
      <c r="F2963" s="278"/>
      <c r="G2963" s="278"/>
      <c r="H2963" s="217"/>
      <c r="I2963" s="279"/>
      <c r="J2963" s="279"/>
      <c r="K2963" s="279"/>
      <c r="L2963" s="279"/>
      <c r="M2963" s="279"/>
      <c r="N2963" s="279"/>
    </row>
    <row r="2964" spans="1:14" ht="38.450000000000003" customHeight="1">
      <c r="A2964" s="1084" t="s">
        <v>3556</v>
      </c>
      <c r="B2964" s="1533" t="s">
        <v>922</v>
      </c>
      <c r="C2964" s="1533"/>
      <c r="D2964" s="1533"/>
      <c r="E2964" s="1533"/>
      <c r="F2964" s="1533"/>
      <c r="G2964" s="1533"/>
      <c r="H2964" s="1533"/>
      <c r="I2964" s="1533"/>
      <c r="J2964" s="1533"/>
      <c r="K2964" s="266" t="s">
        <v>12</v>
      </c>
      <c r="L2964" s="1534">
        <f>'27ª MEDIÇÃO '!F178</f>
        <v>72.8</v>
      </c>
      <c r="M2964" s="1534"/>
      <c r="N2964" s="197">
        <f>L2964-H2988</f>
        <v>4.9999999999812417E-3</v>
      </c>
    </row>
    <row r="2965" spans="1:14">
      <c r="A2965" s="1530" t="s">
        <v>3521</v>
      </c>
      <c r="B2965" s="287"/>
      <c r="C2965" s="287" t="s">
        <v>12</v>
      </c>
      <c r="D2965" s="614" t="s">
        <v>3128</v>
      </c>
      <c r="E2965" s="531" t="s">
        <v>2583</v>
      </c>
      <c r="F2965" s="287" t="s">
        <v>3048</v>
      </c>
      <c r="G2965" s="287"/>
      <c r="H2965" s="289"/>
      <c r="I2965" s="1509"/>
      <c r="J2965" s="1509"/>
      <c r="K2965" s="1509"/>
      <c r="L2965" s="1509"/>
      <c r="M2965" s="1509"/>
      <c r="N2965" s="1510"/>
    </row>
    <row r="2966" spans="1:14">
      <c r="A2966" s="1531"/>
      <c r="B2966" s="900" t="s">
        <v>3304</v>
      </c>
      <c r="C2966" s="888"/>
      <c r="D2966" s="888"/>
      <c r="E2966" s="888"/>
      <c r="F2966" s="292"/>
      <c r="G2966" s="291"/>
      <c r="H2966" s="293"/>
      <c r="I2966" s="1509"/>
      <c r="J2966" s="1509"/>
      <c r="K2966" s="1509"/>
      <c r="L2966" s="1509"/>
      <c r="M2966" s="1509"/>
      <c r="N2966" s="1510"/>
    </row>
    <row r="2967" spans="1:14">
      <c r="A2967" s="1531"/>
      <c r="B2967" s="310" t="s">
        <v>3557</v>
      </c>
      <c r="C2967" s="888"/>
      <c r="D2967" s="901">
        <v>1</v>
      </c>
      <c r="E2967" s="901">
        <v>1.8</v>
      </c>
      <c r="F2967" s="292">
        <v>2</v>
      </c>
      <c r="G2967" s="311"/>
      <c r="H2967" s="887">
        <f>(D2967*E2967)*F2967</f>
        <v>3.6</v>
      </c>
      <c r="I2967" s="1509"/>
      <c r="J2967" s="1509"/>
      <c r="K2967" s="1509"/>
      <c r="L2967" s="1509"/>
      <c r="M2967" s="1509"/>
      <c r="N2967" s="1510"/>
    </row>
    <row r="2968" spans="1:14">
      <c r="A2968" s="1531"/>
      <c r="B2968" s="310" t="s">
        <v>3558</v>
      </c>
      <c r="C2968" s="888"/>
      <c r="D2968" s="901">
        <v>1.6</v>
      </c>
      <c r="E2968" s="901">
        <v>1.1000000000000001</v>
      </c>
      <c r="F2968" s="292">
        <v>1</v>
      </c>
      <c r="G2968" s="311"/>
      <c r="H2968" s="887">
        <f t="shared" ref="H2968:H2973" si="70">(D2968*E2968)*F2968</f>
        <v>1.7600000000000002</v>
      </c>
      <c r="I2968" s="1509"/>
      <c r="J2968" s="1509"/>
      <c r="K2968" s="1509"/>
      <c r="L2968" s="1509"/>
      <c r="M2968" s="1509"/>
      <c r="N2968" s="1510"/>
    </row>
    <row r="2969" spans="1:14">
      <c r="A2969" s="1531"/>
      <c r="B2969" s="310" t="s">
        <v>3559</v>
      </c>
      <c r="C2969" s="888"/>
      <c r="D2969" s="901">
        <v>8.8000000000000007</v>
      </c>
      <c r="E2969" s="901">
        <v>0.8</v>
      </c>
      <c r="F2969" s="292">
        <v>1</v>
      </c>
      <c r="G2969" s="311"/>
      <c r="H2969" s="887">
        <f t="shared" si="70"/>
        <v>7.0400000000000009</v>
      </c>
      <c r="I2969" s="1509"/>
      <c r="J2969" s="1509"/>
      <c r="K2969" s="1509"/>
      <c r="L2969" s="1509"/>
      <c r="M2969" s="1509"/>
      <c r="N2969" s="1510"/>
    </row>
    <row r="2970" spans="1:14" ht="24">
      <c r="A2970" s="1531"/>
      <c r="B2970" s="310" t="s">
        <v>3560</v>
      </c>
      <c r="C2970" s="888"/>
      <c r="D2970" s="901">
        <v>0.8</v>
      </c>
      <c r="E2970" s="901">
        <v>0.6</v>
      </c>
      <c r="F2970" s="292">
        <v>5</v>
      </c>
      <c r="G2970" s="311"/>
      <c r="H2970" s="887">
        <f t="shared" si="70"/>
        <v>2.4</v>
      </c>
      <c r="I2970" s="1509"/>
      <c r="J2970" s="1509"/>
      <c r="K2970" s="1509"/>
      <c r="L2970" s="1509"/>
      <c r="M2970" s="1509"/>
      <c r="N2970" s="1510"/>
    </row>
    <row r="2971" spans="1:14">
      <c r="A2971" s="1531"/>
      <c r="B2971" s="310" t="s">
        <v>3561</v>
      </c>
      <c r="C2971" s="888"/>
      <c r="D2971" s="901">
        <v>1.5</v>
      </c>
      <c r="E2971" s="901">
        <v>0.8</v>
      </c>
      <c r="F2971" s="292">
        <v>1</v>
      </c>
      <c r="G2971" s="311"/>
      <c r="H2971" s="887">
        <f t="shared" si="70"/>
        <v>1.2000000000000002</v>
      </c>
      <c r="I2971" s="1509"/>
      <c r="J2971" s="1509"/>
      <c r="K2971" s="1509"/>
      <c r="L2971" s="1509"/>
      <c r="M2971" s="1509"/>
      <c r="N2971" s="1510"/>
    </row>
    <row r="2972" spans="1:14">
      <c r="A2972" s="1531"/>
      <c r="B2972" s="310" t="s">
        <v>3562</v>
      </c>
      <c r="C2972" s="888"/>
      <c r="D2972" s="901">
        <v>2</v>
      </c>
      <c r="E2972" s="901">
        <v>0.8</v>
      </c>
      <c r="F2972" s="292">
        <v>4</v>
      </c>
      <c r="G2972" s="311"/>
      <c r="H2972" s="887">
        <f t="shared" si="70"/>
        <v>6.4</v>
      </c>
      <c r="I2972" s="1509"/>
      <c r="J2972" s="1509"/>
      <c r="K2972" s="1509"/>
      <c r="L2972" s="1509"/>
      <c r="M2972" s="1509"/>
      <c r="N2972" s="1510"/>
    </row>
    <row r="2973" spans="1:14">
      <c r="A2973" s="1531"/>
      <c r="B2973" s="310" t="s">
        <v>3563</v>
      </c>
      <c r="C2973" s="888"/>
      <c r="D2973" s="901">
        <v>3</v>
      </c>
      <c r="E2973" s="901">
        <v>0.3</v>
      </c>
      <c r="F2973" s="292">
        <v>1</v>
      </c>
      <c r="G2973" s="311"/>
      <c r="H2973" s="887">
        <f t="shared" si="70"/>
        <v>0.89999999999999991</v>
      </c>
      <c r="I2973" s="1509"/>
      <c r="J2973" s="1509"/>
      <c r="K2973" s="1509"/>
      <c r="L2973" s="1509"/>
      <c r="M2973" s="1509"/>
      <c r="N2973" s="1510"/>
    </row>
    <row r="2974" spans="1:14">
      <c r="A2974" s="1531"/>
      <c r="B2974" s="310"/>
      <c r="C2974" s="888"/>
      <c r="D2974" s="901"/>
      <c r="E2974" s="901"/>
      <c r="F2974" s="292"/>
      <c r="G2974" s="311"/>
      <c r="H2974" s="887"/>
      <c r="I2974" s="1509"/>
      <c r="J2974" s="1509"/>
      <c r="K2974" s="1509"/>
      <c r="L2974" s="1509"/>
      <c r="M2974" s="1509"/>
      <c r="N2974" s="1510"/>
    </row>
    <row r="2975" spans="1:14">
      <c r="A2975" s="1531"/>
      <c r="B2975" s="900" t="s">
        <v>3305</v>
      </c>
      <c r="C2975" s="888"/>
      <c r="D2975" s="901"/>
      <c r="E2975" s="901"/>
      <c r="F2975" s="292"/>
      <c r="G2975" s="311"/>
      <c r="H2975" s="887"/>
      <c r="I2975" s="1509"/>
      <c r="J2975" s="1509"/>
      <c r="K2975" s="1509"/>
      <c r="L2975" s="1509"/>
      <c r="M2975" s="1509"/>
      <c r="N2975" s="1510"/>
    </row>
    <row r="2976" spans="1:14">
      <c r="A2976" s="1531"/>
      <c r="B2976" s="310" t="s">
        <v>2396</v>
      </c>
      <c r="C2976" s="888"/>
      <c r="D2976" s="901">
        <v>11.4</v>
      </c>
      <c r="E2976" s="901">
        <v>1.2</v>
      </c>
      <c r="F2976" s="292">
        <v>2</v>
      </c>
      <c r="G2976" s="311"/>
      <c r="H2976" s="887">
        <f t="shared" ref="H2976:H2981" si="71">(D2976*E2976)*F2976</f>
        <v>27.36</v>
      </c>
      <c r="I2976" s="1509"/>
      <c r="J2976" s="1509"/>
      <c r="K2976" s="1509"/>
      <c r="L2976" s="1509"/>
      <c r="M2976" s="1509"/>
      <c r="N2976" s="1510"/>
    </row>
    <row r="2977" spans="1:14">
      <c r="A2977" s="1531"/>
      <c r="B2977" s="310" t="s">
        <v>3564</v>
      </c>
      <c r="C2977" s="888"/>
      <c r="D2977" s="901">
        <v>2</v>
      </c>
      <c r="E2977" s="901">
        <v>1.2</v>
      </c>
      <c r="F2977" s="292">
        <v>2</v>
      </c>
      <c r="G2977" s="311"/>
      <c r="H2977" s="887">
        <f t="shared" si="71"/>
        <v>4.8</v>
      </c>
      <c r="I2977" s="1509"/>
      <c r="J2977" s="1509"/>
      <c r="K2977" s="1509"/>
      <c r="L2977" s="1509"/>
      <c r="M2977" s="1509"/>
      <c r="N2977" s="1510"/>
    </row>
    <row r="2978" spans="1:14">
      <c r="A2978" s="1531"/>
      <c r="B2978" s="290" t="s">
        <v>3565</v>
      </c>
      <c r="C2978" s="888"/>
      <c r="D2978" s="901">
        <v>1.8</v>
      </c>
      <c r="E2978" s="901">
        <v>4</v>
      </c>
      <c r="F2978" s="292">
        <v>1</v>
      </c>
      <c r="G2978" s="311"/>
      <c r="H2978" s="887">
        <f t="shared" si="71"/>
        <v>7.2</v>
      </c>
      <c r="I2978" s="1509"/>
      <c r="J2978" s="1509"/>
      <c r="K2978" s="1509"/>
      <c r="L2978" s="1509"/>
      <c r="M2978" s="1509"/>
      <c r="N2978" s="1510"/>
    </row>
    <row r="2979" spans="1:14">
      <c r="A2979" s="1531"/>
      <c r="B2979" s="310" t="s">
        <v>3566</v>
      </c>
      <c r="C2979" s="888"/>
      <c r="D2979" s="901">
        <v>0.55000000000000004</v>
      </c>
      <c r="E2979" s="901">
        <v>0.9</v>
      </c>
      <c r="F2979" s="292">
        <v>2</v>
      </c>
      <c r="G2979" s="311"/>
      <c r="H2979" s="887">
        <f t="shared" si="71"/>
        <v>0.9900000000000001</v>
      </c>
      <c r="I2979" s="1509"/>
      <c r="J2979" s="1509"/>
      <c r="K2979" s="1509"/>
      <c r="L2979" s="1509"/>
      <c r="M2979" s="1509"/>
      <c r="N2979" s="1510"/>
    </row>
    <row r="2980" spans="1:14" ht="24">
      <c r="A2980" s="1531"/>
      <c r="B2980" s="310" t="s">
        <v>3568</v>
      </c>
      <c r="C2980" s="888"/>
      <c r="D2980" s="901">
        <v>0.8</v>
      </c>
      <c r="E2980" s="901">
        <v>0.6</v>
      </c>
      <c r="F2980" s="292">
        <v>5</v>
      </c>
      <c r="G2980" s="311"/>
      <c r="H2980" s="887">
        <f t="shared" si="71"/>
        <v>2.4</v>
      </c>
      <c r="I2980" s="1509"/>
      <c r="J2980" s="1509"/>
      <c r="K2980" s="1509"/>
      <c r="L2980" s="1509"/>
      <c r="M2980" s="1509"/>
      <c r="N2980" s="1510"/>
    </row>
    <row r="2981" spans="1:14">
      <c r="A2981" s="1546"/>
      <c r="B2981" s="310" t="s">
        <v>3567</v>
      </c>
      <c r="C2981" s="888"/>
      <c r="D2981" s="901">
        <v>0.8</v>
      </c>
      <c r="E2981" s="901">
        <v>0.8</v>
      </c>
      <c r="F2981" s="292">
        <v>1</v>
      </c>
      <c r="G2981" s="311"/>
      <c r="H2981" s="887">
        <f t="shared" si="71"/>
        <v>0.64000000000000012</v>
      </c>
      <c r="I2981" s="1509"/>
      <c r="J2981" s="1509"/>
      <c r="K2981" s="1509"/>
      <c r="L2981" s="1509"/>
      <c r="M2981" s="1509"/>
      <c r="N2981" s="1510"/>
    </row>
    <row r="2982" spans="1:14">
      <c r="A2982" s="1164"/>
      <c r="B2982" s="290"/>
      <c r="C2982" s="906"/>
      <c r="D2982" s="901"/>
      <c r="E2982" s="901"/>
      <c r="F2982" s="312"/>
      <c r="G2982" s="311"/>
      <c r="H2982" s="887"/>
      <c r="I2982" s="1509"/>
      <c r="J2982" s="1509"/>
      <c r="K2982" s="1509"/>
      <c r="L2982" s="1509"/>
      <c r="M2982" s="1509"/>
      <c r="N2982" s="1510"/>
    </row>
    <row r="2983" spans="1:14">
      <c r="A2983" s="1575" t="s">
        <v>3892</v>
      </c>
      <c r="B2983" s="1207" t="s">
        <v>3896</v>
      </c>
      <c r="C2983" s="1209"/>
      <c r="D2983" s="1209"/>
      <c r="E2983" s="1209"/>
      <c r="F2983" s="1204"/>
      <c r="G2983" s="311"/>
      <c r="H2983" s="887"/>
      <c r="I2983" s="1509"/>
      <c r="J2983" s="1509"/>
      <c r="K2983" s="1509"/>
      <c r="L2983" s="1509"/>
      <c r="M2983" s="1509"/>
      <c r="N2983" s="1510"/>
    </row>
    <row r="2984" spans="1:14" ht="15" customHeight="1">
      <c r="A2984" s="1639"/>
      <c r="B2984" s="1206" t="s">
        <v>3894</v>
      </c>
      <c r="C2984" s="1210"/>
      <c r="D2984" s="1211">
        <v>2.7</v>
      </c>
      <c r="E2984" s="1211">
        <v>0.75</v>
      </c>
      <c r="F2984" s="1204">
        <v>1</v>
      </c>
      <c r="G2984" s="311"/>
      <c r="H2984" s="887">
        <f t="shared" ref="H2984:H2987" si="72">(D2984*E2984)*F2984</f>
        <v>2.0250000000000004</v>
      </c>
      <c r="I2984" s="1509"/>
      <c r="J2984" s="1509"/>
      <c r="K2984" s="1509"/>
      <c r="L2984" s="1509"/>
      <c r="M2984" s="1509"/>
      <c r="N2984" s="1510"/>
    </row>
    <row r="2985" spans="1:14">
      <c r="A2985" s="1639"/>
      <c r="B2985" s="1205" t="s">
        <v>3895</v>
      </c>
      <c r="C2985" s="1208"/>
      <c r="D2985" s="1212">
        <v>1.5</v>
      </c>
      <c r="E2985" s="1213">
        <v>1</v>
      </c>
      <c r="F2985" s="1204">
        <v>2</v>
      </c>
      <c r="G2985" s="311"/>
      <c r="H2985" s="887">
        <f t="shared" si="72"/>
        <v>3</v>
      </c>
      <c r="I2985" s="1509"/>
      <c r="J2985" s="1509"/>
      <c r="K2985" s="1509"/>
      <c r="L2985" s="1509"/>
      <c r="M2985" s="1509"/>
      <c r="N2985" s="1510"/>
    </row>
    <row r="2986" spans="1:14">
      <c r="A2986" s="1639"/>
      <c r="B2986" s="290"/>
      <c r="C2986" s="984"/>
      <c r="D2986" s="901"/>
      <c r="E2986" s="901"/>
      <c r="F2986" s="312"/>
      <c r="G2986" s="311"/>
      <c r="H2986" s="887"/>
      <c r="I2986" s="1509"/>
      <c r="J2986" s="1509"/>
      <c r="K2986" s="1509"/>
      <c r="L2986" s="1509"/>
      <c r="M2986" s="1509"/>
      <c r="N2986" s="1510"/>
    </row>
    <row r="2987" spans="1:14">
      <c r="A2987" s="1708"/>
      <c r="B2987" s="294" t="s">
        <v>3897</v>
      </c>
      <c r="C2987" s="294"/>
      <c r="D2987" s="294">
        <v>0.9</v>
      </c>
      <c r="E2987" s="295">
        <v>0.4</v>
      </c>
      <c r="F2987" s="294">
        <v>3</v>
      </c>
      <c r="G2987" s="294"/>
      <c r="H2987" s="887">
        <f t="shared" si="72"/>
        <v>1.08</v>
      </c>
      <c r="I2987" s="1509"/>
      <c r="J2987" s="1509"/>
      <c r="K2987" s="1509"/>
      <c r="L2987" s="1509"/>
      <c r="M2987" s="1509"/>
      <c r="N2987" s="1510"/>
    </row>
    <row r="2988" spans="1:14">
      <c r="A2988" s="1577" t="s">
        <v>2218</v>
      </c>
      <c r="B2988" s="1542"/>
      <c r="C2988" s="1542"/>
      <c r="D2988" s="1542"/>
      <c r="E2988" s="1542"/>
      <c r="F2988" s="1542"/>
      <c r="G2988" s="1542"/>
      <c r="H2988" s="271">
        <f>SUM(H2965:H2987)</f>
        <v>72.795000000000016</v>
      </c>
      <c r="I2988" s="1509"/>
      <c r="J2988" s="1509"/>
      <c r="K2988" s="1509"/>
      <c r="L2988" s="1509"/>
      <c r="M2988" s="1509"/>
      <c r="N2988" s="1510"/>
    </row>
    <row r="2989" spans="1:14">
      <c r="A2989" s="1578" t="s">
        <v>2219</v>
      </c>
      <c r="B2989" s="1538"/>
      <c r="C2989" s="1538"/>
      <c r="D2989" s="1538"/>
      <c r="E2989" s="1538"/>
      <c r="F2989" s="1538"/>
      <c r="G2989" s="1538"/>
      <c r="H2989" s="320">
        <f>SUM(H2965:H2981)</f>
        <v>66.690000000000012</v>
      </c>
      <c r="I2989" s="1509"/>
      <c r="J2989" s="1509"/>
      <c r="K2989" s="1509"/>
      <c r="L2989" s="1509"/>
      <c r="M2989" s="1509"/>
      <c r="N2989" s="1510"/>
    </row>
    <row r="2990" spans="1:14" ht="15.75" thickBot="1">
      <c r="A2990" s="1579" t="s">
        <v>2220</v>
      </c>
      <c r="B2990" s="1580"/>
      <c r="C2990" s="1580"/>
      <c r="D2990" s="1580"/>
      <c r="E2990" s="1580"/>
      <c r="F2990" s="1580"/>
      <c r="G2990" s="1580"/>
      <c r="H2990" s="633">
        <f>H2988-H2989</f>
        <v>6.105000000000004</v>
      </c>
      <c r="I2990" s="1512"/>
      <c r="J2990" s="1512"/>
      <c r="K2990" s="1512"/>
      <c r="L2990" s="1512"/>
      <c r="M2990" s="1512"/>
      <c r="N2990" s="1513"/>
    </row>
    <row r="2991" spans="1:14" ht="15.75" thickBot="1">
      <c r="A2991" s="1085" t="s">
        <v>4087</v>
      </c>
      <c r="B2991" s="1571" t="s">
        <v>924</v>
      </c>
      <c r="C2991" s="1572"/>
      <c r="D2991" s="1572"/>
      <c r="E2991" s="1572"/>
      <c r="F2991" s="1572"/>
      <c r="G2991" s="1572"/>
      <c r="H2991" s="1572"/>
      <c r="I2991" s="1572"/>
      <c r="J2991" s="1572"/>
      <c r="K2991" s="1572"/>
      <c r="L2991" s="1572"/>
      <c r="M2991" s="1572"/>
      <c r="N2991" s="1573"/>
    </row>
    <row r="2992" spans="1:14" ht="38.450000000000003" customHeight="1">
      <c r="A2992" s="1084" t="s">
        <v>4086</v>
      </c>
      <c r="B2992" s="1533" t="str">
        <f>'27ª MEDIÇÃO '!C180</f>
        <v>Brise em chapa de alumínio, mod. 84f 45°, ref. Lumibrise ou equiv, painel (alum) 0,48mm e porta-painel (Aluzinc) 0,43mm, incl acessórios de fixação, pintura e tratamento com tinta epóxi</v>
      </c>
      <c r="C2992" s="1533"/>
      <c r="D2992" s="1533"/>
      <c r="E2992" s="1533"/>
      <c r="F2992" s="1533"/>
      <c r="G2992" s="1533"/>
      <c r="H2992" s="1533"/>
      <c r="I2992" s="1533"/>
      <c r="J2992" s="1533"/>
      <c r="K2992" s="266" t="s">
        <v>12</v>
      </c>
      <c r="L2992" s="1534">
        <f>'27ª MEDIÇÃO '!F180</f>
        <v>14.86</v>
      </c>
      <c r="M2992" s="1534"/>
      <c r="N2992" s="197">
        <f>L2992-H2996</f>
        <v>0</v>
      </c>
    </row>
    <row r="2993" spans="1:14">
      <c r="A2993" s="1574" t="s">
        <v>4080</v>
      </c>
      <c r="B2993" s="287"/>
      <c r="C2993" s="287" t="s">
        <v>12</v>
      </c>
      <c r="D2993" s="614" t="s">
        <v>3128</v>
      </c>
      <c r="E2993" s="531" t="s">
        <v>2583</v>
      </c>
      <c r="F2993" s="287" t="s">
        <v>3048</v>
      </c>
      <c r="G2993" s="287" t="s">
        <v>3640</v>
      </c>
      <c r="H2993" s="289"/>
      <c r="I2993" s="1509"/>
      <c r="J2993" s="1509"/>
      <c r="K2993" s="1509"/>
      <c r="L2993" s="1509"/>
      <c r="M2993" s="1509"/>
      <c r="N2993" s="1510"/>
    </row>
    <row r="2994" spans="1:14">
      <c r="A2994" s="1575"/>
      <c r="B2994" s="310" t="s">
        <v>2474</v>
      </c>
      <c r="C2994" s="888">
        <v>14.86</v>
      </c>
      <c r="D2994" s="901"/>
      <c r="E2994" s="901"/>
      <c r="F2994" s="292"/>
      <c r="G2994" s="311">
        <v>1</v>
      </c>
      <c r="H2994" s="887">
        <f>C2994*G2994</f>
        <v>14.86</v>
      </c>
      <c r="I2994" s="1509"/>
      <c r="J2994" s="1509"/>
      <c r="K2994" s="1509"/>
      <c r="L2994" s="1509"/>
      <c r="M2994" s="1509"/>
      <c r="N2994" s="1510"/>
    </row>
    <row r="2995" spans="1:14">
      <c r="A2995" s="1576"/>
      <c r="B2995" s="294"/>
      <c r="C2995" s="294"/>
      <c r="D2995" s="294"/>
      <c r="E2995" s="295"/>
      <c r="F2995" s="294"/>
      <c r="G2995" s="294"/>
      <c r="H2995" s="296"/>
      <c r="I2995" s="1509"/>
      <c r="J2995" s="1509"/>
      <c r="K2995" s="1509"/>
      <c r="L2995" s="1509"/>
      <c r="M2995" s="1509"/>
      <c r="N2995" s="1510"/>
    </row>
    <row r="2996" spans="1:14">
      <c r="A2996" s="1577" t="s">
        <v>2218</v>
      </c>
      <c r="B2996" s="1542"/>
      <c r="C2996" s="1542"/>
      <c r="D2996" s="1542"/>
      <c r="E2996" s="1542"/>
      <c r="F2996" s="1542"/>
      <c r="G2996" s="1542"/>
      <c r="H2996" s="271">
        <f>SUM(H2993:H2995)</f>
        <v>14.86</v>
      </c>
      <c r="I2996" s="1509"/>
      <c r="J2996" s="1509"/>
      <c r="K2996" s="1509"/>
      <c r="L2996" s="1509"/>
      <c r="M2996" s="1509"/>
      <c r="N2996" s="1510"/>
    </row>
    <row r="2997" spans="1:14">
      <c r="A2997" s="1578" t="s">
        <v>2219</v>
      </c>
      <c r="B2997" s="1538"/>
      <c r="C2997" s="1538"/>
      <c r="D2997" s="1538"/>
      <c r="E2997" s="1538"/>
      <c r="F2997" s="1538"/>
      <c r="G2997" s="1538"/>
      <c r="H2997" s="320">
        <f>SUM(H2993)</f>
        <v>0</v>
      </c>
      <c r="I2997" s="1509"/>
      <c r="J2997" s="1509"/>
      <c r="K2997" s="1509"/>
      <c r="L2997" s="1509"/>
      <c r="M2997" s="1509"/>
      <c r="N2997" s="1510"/>
    </row>
    <row r="2998" spans="1:14" ht="15.75" thickBot="1">
      <c r="A2998" s="1579" t="s">
        <v>2220</v>
      </c>
      <c r="B2998" s="1580"/>
      <c r="C2998" s="1580"/>
      <c r="D2998" s="1580"/>
      <c r="E2998" s="1580"/>
      <c r="F2998" s="1580"/>
      <c r="G2998" s="1580"/>
      <c r="H2998" s="633">
        <f>H2996-H2997</f>
        <v>14.86</v>
      </c>
      <c r="I2998" s="1512"/>
      <c r="J2998" s="1512"/>
      <c r="K2998" s="1512"/>
      <c r="L2998" s="1512"/>
      <c r="M2998" s="1512"/>
      <c r="N2998" s="1513"/>
    </row>
    <row r="2999" spans="1:14" ht="15.75" thickBot="1">
      <c r="A2999" s="278"/>
      <c r="B2999" s="278"/>
      <c r="C2999" s="278"/>
      <c r="D2999" s="281"/>
      <c r="E2999" s="1319"/>
      <c r="F2999" s="278"/>
      <c r="G2999" s="278"/>
      <c r="H2999" s="217"/>
      <c r="I2999" s="279"/>
      <c r="J2999" s="279"/>
      <c r="K2999" s="279"/>
      <c r="L2999" s="279"/>
      <c r="M2999" s="279"/>
      <c r="N2999" s="279"/>
    </row>
    <row r="3000" spans="1:14" ht="38.450000000000003" customHeight="1">
      <c r="A3000" s="1084" t="s">
        <v>4089</v>
      </c>
      <c r="B3000" s="1533" t="str">
        <f>'27ª MEDIÇÃO '!C181</f>
        <v>Estrut. metálica p/ fixação de brises em laje em tubo de aço dim. 70x50 e cant. de ferro 1.1/4"x 3/16", incl. montagem e sist. de trat. e pint. fundo prime epóxi(75µm), esmalte epóxi(125µm) e acab. em esmalte poliuretano(75µm)</v>
      </c>
      <c r="C3000" s="1533"/>
      <c r="D3000" s="1533"/>
      <c r="E3000" s="1533"/>
      <c r="F3000" s="1533"/>
      <c r="G3000" s="1533"/>
      <c r="H3000" s="1533"/>
      <c r="I3000" s="1533"/>
      <c r="J3000" s="1533"/>
      <c r="K3000" s="266" t="s">
        <v>12</v>
      </c>
      <c r="L3000" s="1534">
        <f>'27ª MEDIÇÃO '!F181</f>
        <v>14.86</v>
      </c>
      <c r="M3000" s="1534"/>
      <c r="N3000" s="197">
        <f>L3000-H3004</f>
        <v>0</v>
      </c>
    </row>
    <row r="3001" spans="1:14">
      <c r="A3001" s="1574" t="s">
        <v>4080</v>
      </c>
      <c r="B3001" s="287"/>
      <c r="C3001" s="287" t="s">
        <v>12</v>
      </c>
      <c r="D3001" s="614" t="s">
        <v>3128</v>
      </c>
      <c r="E3001" s="531" t="s">
        <v>2583</v>
      </c>
      <c r="F3001" s="287" t="s">
        <v>3048</v>
      </c>
      <c r="G3001" s="287" t="s">
        <v>3640</v>
      </c>
      <c r="H3001" s="289"/>
      <c r="I3001" s="1509"/>
      <c r="J3001" s="1509"/>
      <c r="K3001" s="1509"/>
      <c r="L3001" s="1509"/>
      <c r="M3001" s="1509"/>
      <c r="N3001" s="1510"/>
    </row>
    <row r="3002" spans="1:14">
      <c r="A3002" s="1575"/>
      <c r="B3002" s="310" t="s">
        <v>4088</v>
      </c>
      <c r="C3002" s="888">
        <v>14.86</v>
      </c>
      <c r="D3002" s="901"/>
      <c r="E3002" s="901"/>
      <c r="F3002" s="292"/>
      <c r="G3002" s="311">
        <v>1</v>
      </c>
      <c r="H3002" s="887">
        <f>C3002*G3002</f>
        <v>14.86</v>
      </c>
      <c r="I3002" s="1509"/>
      <c r="J3002" s="1509"/>
      <c r="K3002" s="1509"/>
      <c r="L3002" s="1509"/>
      <c r="M3002" s="1509"/>
      <c r="N3002" s="1510"/>
    </row>
    <row r="3003" spans="1:14">
      <c r="A3003" s="1576"/>
      <c r="B3003" s="294"/>
      <c r="C3003" s="294"/>
      <c r="D3003" s="294"/>
      <c r="E3003" s="295"/>
      <c r="F3003" s="294"/>
      <c r="G3003" s="294"/>
      <c r="H3003" s="296"/>
      <c r="I3003" s="1509"/>
      <c r="J3003" s="1509"/>
      <c r="K3003" s="1509"/>
      <c r="L3003" s="1509"/>
      <c r="M3003" s="1509"/>
      <c r="N3003" s="1510"/>
    </row>
    <row r="3004" spans="1:14">
      <c r="A3004" s="1577" t="s">
        <v>2218</v>
      </c>
      <c r="B3004" s="1542"/>
      <c r="C3004" s="1542"/>
      <c r="D3004" s="1542"/>
      <c r="E3004" s="1542"/>
      <c r="F3004" s="1542"/>
      <c r="G3004" s="1542"/>
      <c r="H3004" s="271">
        <f>SUM(H3001:H3003)</f>
        <v>14.86</v>
      </c>
      <c r="I3004" s="1509"/>
      <c r="J3004" s="1509"/>
      <c r="K3004" s="1509"/>
      <c r="L3004" s="1509"/>
      <c r="M3004" s="1509"/>
      <c r="N3004" s="1510"/>
    </row>
    <row r="3005" spans="1:14">
      <c r="A3005" s="1578" t="s">
        <v>2219</v>
      </c>
      <c r="B3005" s="1538"/>
      <c r="C3005" s="1538"/>
      <c r="D3005" s="1538"/>
      <c r="E3005" s="1538"/>
      <c r="F3005" s="1538"/>
      <c r="G3005" s="1538"/>
      <c r="H3005" s="320">
        <f>SUM(H3001)</f>
        <v>0</v>
      </c>
      <c r="I3005" s="1509"/>
      <c r="J3005" s="1509"/>
      <c r="K3005" s="1509"/>
      <c r="L3005" s="1509"/>
      <c r="M3005" s="1509"/>
      <c r="N3005" s="1510"/>
    </row>
    <row r="3006" spans="1:14" ht="15.75" thickBot="1">
      <c r="A3006" s="1579" t="s">
        <v>2220</v>
      </c>
      <c r="B3006" s="1580"/>
      <c r="C3006" s="1580"/>
      <c r="D3006" s="1580"/>
      <c r="E3006" s="1580"/>
      <c r="F3006" s="1580"/>
      <c r="G3006" s="1580"/>
      <c r="H3006" s="633">
        <f>H3004-H3005</f>
        <v>14.86</v>
      </c>
      <c r="I3006" s="1512"/>
      <c r="J3006" s="1512"/>
      <c r="K3006" s="1512"/>
      <c r="L3006" s="1512"/>
      <c r="M3006" s="1512"/>
      <c r="N3006" s="1513"/>
    </row>
    <row r="3007" spans="1:14" ht="15.75" thickBot="1">
      <c r="A3007" s="278"/>
      <c r="B3007" s="278"/>
      <c r="C3007" s="278"/>
      <c r="D3007" s="281"/>
      <c r="E3007" s="1319"/>
      <c r="F3007" s="278"/>
      <c r="G3007" s="278"/>
      <c r="H3007" s="217"/>
      <c r="I3007" s="279"/>
      <c r="J3007" s="279"/>
      <c r="K3007" s="279"/>
      <c r="L3007" s="279"/>
      <c r="M3007" s="279"/>
      <c r="N3007" s="279"/>
    </row>
    <row r="3008" spans="1:14" ht="38.450000000000003" customHeight="1">
      <c r="A3008" s="1084" t="s">
        <v>4090</v>
      </c>
      <c r="B3008" s="1533" t="str">
        <f>'27ª MEDIÇÃO '!C182</f>
        <v>Tela de proteção das esquadrias em tela de nylon tipo mosquiteiro, inclusive, requadro em alumínio natural anodizado, conforme detalhe de projeto</v>
      </c>
      <c r="C3008" s="1533"/>
      <c r="D3008" s="1533"/>
      <c r="E3008" s="1533"/>
      <c r="F3008" s="1533"/>
      <c r="G3008" s="1533"/>
      <c r="H3008" s="1533"/>
      <c r="I3008" s="1533"/>
      <c r="J3008" s="1533"/>
      <c r="K3008" s="266" t="s">
        <v>12</v>
      </c>
      <c r="L3008" s="1534">
        <f>'27ª MEDIÇÃO '!F182</f>
        <v>10.18</v>
      </c>
      <c r="M3008" s="1534"/>
      <c r="N3008" s="197">
        <f>L3008-H3012</f>
        <v>0</v>
      </c>
    </row>
    <row r="3009" spans="1:14">
      <c r="A3009" s="1574" t="s">
        <v>4080</v>
      </c>
      <c r="B3009" s="287"/>
      <c r="C3009" s="287" t="s">
        <v>12</v>
      </c>
      <c r="D3009" s="614" t="s">
        <v>3128</v>
      </c>
      <c r="E3009" s="531" t="s">
        <v>2583</v>
      </c>
      <c r="F3009" s="287" t="s">
        <v>3048</v>
      </c>
      <c r="G3009" s="287" t="s">
        <v>3640</v>
      </c>
      <c r="H3009" s="289"/>
      <c r="I3009" s="1509"/>
      <c r="J3009" s="1509"/>
      <c r="K3009" s="1509"/>
      <c r="L3009" s="1509"/>
      <c r="M3009" s="1509"/>
      <c r="N3009" s="1510"/>
    </row>
    <row r="3010" spans="1:14">
      <c r="A3010" s="1575"/>
      <c r="B3010" s="310" t="s">
        <v>4088</v>
      </c>
      <c r="C3010" s="888">
        <v>10.18</v>
      </c>
      <c r="D3010" s="901"/>
      <c r="E3010" s="901"/>
      <c r="F3010" s="292"/>
      <c r="G3010" s="311">
        <v>1</v>
      </c>
      <c r="H3010" s="887">
        <f>C3010*G3010</f>
        <v>10.18</v>
      </c>
      <c r="I3010" s="1509"/>
      <c r="J3010" s="1509"/>
      <c r="K3010" s="1509"/>
      <c r="L3010" s="1509"/>
      <c r="M3010" s="1509"/>
      <c r="N3010" s="1510"/>
    </row>
    <row r="3011" spans="1:14">
      <c r="A3011" s="1576"/>
      <c r="B3011" s="294"/>
      <c r="C3011" s="294"/>
      <c r="D3011" s="294"/>
      <c r="E3011" s="295"/>
      <c r="F3011" s="294"/>
      <c r="G3011" s="294"/>
      <c r="H3011" s="296"/>
      <c r="I3011" s="1509"/>
      <c r="J3011" s="1509"/>
      <c r="K3011" s="1509"/>
      <c r="L3011" s="1509"/>
      <c r="M3011" s="1509"/>
      <c r="N3011" s="1510"/>
    </row>
    <row r="3012" spans="1:14">
      <c r="A3012" s="1577" t="s">
        <v>2218</v>
      </c>
      <c r="B3012" s="1542"/>
      <c r="C3012" s="1542"/>
      <c r="D3012" s="1542"/>
      <c r="E3012" s="1542"/>
      <c r="F3012" s="1542"/>
      <c r="G3012" s="1542"/>
      <c r="H3012" s="271">
        <f>SUM(H3009:H3011)</f>
        <v>10.18</v>
      </c>
      <c r="I3012" s="1509"/>
      <c r="J3012" s="1509"/>
      <c r="K3012" s="1509"/>
      <c r="L3012" s="1509"/>
      <c r="M3012" s="1509"/>
      <c r="N3012" s="1510"/>
    </row>
    <row r="3013" spans="1:14">
      <c r="A3013" s="1578" t="s">
        <v>2219</v>
      </c>
      <c r="B3013" s="1538"/>
      <c r="C3013" s="1538"/>
      <c r="D3013" s="1538"/>
      <c r="E3013" s="1538"/>
      <c r="F3013" s="1538"/>
      <c r="G3013" s="1538"/>
      <c r="H3013" s="320">
        <f>SUM(H3009)</f>
        <v>0</v>
      </c>
      <c r="I3013" s="1509"/>
      <c r="J3013" s="1509"/>
      <c r="K3013" s="1509"/>
      <c r="L3013" s="1509"/>
      <c r="M3013" s="1509"/>
      <c r="N3013" s="1510"/>
    </row>
    <row r="3014" spans="1:14" ht="15.75" thickBot="1">
      <c r="A3014" s="1579" t="s">
        <v>2220</v>
      </c>
      <c r="B3014" s="1580"/>
      <c r="C3014" s="1580"/>
      <c r="D3014" s="1580"/>
      <c r="E3014" s="1580"/>
      <c r="F3014" s="1580"/>
      <c r="G3014" s="1580"/>
      <c r="H3014" s="633">
        <f>H3012-H3013</f>
        <v>10.18</v>
      </c>
      <c r="I3014" s="1512"/>
      <c r="J3014" s="1512"/>
      <c r="K3014" s="1512"/>
      <c r="L3014" s="1512"/>
      <c r="M3014" s="1512"/>
      <c r="N3014" s="1513"/>
    </row>
    <row r="3015" spans="1:14">
      <c r="A3015" s="278"/>
      <c r="B3015" s="278"/>
      <c r="C3015" s="278"/>
      <c r="D3015" s="281"/>
      <c r="E3015" s="1319"/>
      <c r="F3015" s="278"/>
      <c r="G3015" s="278"/>
      <c r="H3015" s="217"/>
      <c r="I3015" s="279"/>
      <c r="J3015" s="279"/>
      <c r="K3015" s="279"/>
      <c r="L3015" s="279"/>
      <c r="M3015" s="279"/>
      <c r="N3015" s="279"/>
    </row>
    <row r="3016" spans="1:14" ht="15.75" thickBot="1">
      <c r="A3016" s="278"/>
      <c r="B3016" s="278"/>
      <c r="C3016" s="278"/>
      <c r="D3016" s="278"/>
      <c r="E3016" s="1319"/>
      <c r="F3016" s="278"/>
      <c r="G3016" s="278"/>
      <c r="H3016" s="766"/>
      <c r="I3016" s="279"/>
      <c r="J3016" s="279"/>
      <c r="K3016" s="279"/>
      <c r="L3016" s="279"/>
      <c r="M3016" s="279"/>
      <c r="N3016" s="279"/>
    </row>
    <row r="3017" spans="1:14" ht="15.75" thickBot="1">
      <c r="A3017" s="1085" t="s">
        <v>3864</v>
      </c>
      <c r="B3017" s="1571" t="s">
        <v>937</v>
      </c>
      <c r="C3017" s="1572"/>
      <c r="D3017" s="1572"/>
      <c r="E3017" s="1572"/>
      <c r="F3017" s="1572"/>
      <c r="G3017" s="1572"/>
      <c r="H3017" s="1572"/>
      <c r="I3017" s="1572"/>
      <c r="J3017" s="1572"/>
      <c r="K3017" s="1572"/>
      <c r="L3017" s="1572"/>
      <c r="M3017" s="1572"/>
      <c r="N3017" s="1573"/>
    </row>
    <row r="3018" spans="1:14" ht="23.25" customHeight="1">
      <c r="A3018" s="1084" t="s">
        <v>3865</v>
      </c>
      <c r="B3018" s="1533" t="s">
        <v>940</v>
      </c>
      <c r="C3018" s="1533"/>
      <c r="D3018" s="1533"/>
      <c r="E3018" s="1533"/>
      <c r="F3018" s="1533"/>
      <c r="G3018" s="1533"/>
      <c r="H3018" s="1533"/>
      <c r="I3018" s="1533"/>
      <c r="J3018" s="1533"/>
      <c r="K3018" s="266" t="s">
        <v>12</v>
      </c>
      <c r="L3018" s="1534">
        <v>51.19</v>
      </c>
      <c r="M3018" s="1534"/>
      <c r="N3018" s="197">
        <f>L3018-H3040</f>
        <v>-11.240000000000009</v>
      </c>
    </row>
    <row r="3019" spans="1:14">
      <c r="A3019" s="1163"/>
      <c r="B3019" s="287"/>
      <c r="C3019" s="287" t="s">
        <v>12</v>
      </c>
      <c r="D3019" s="614" t="s">
        <v>3128</v>
      </c>
      <c r="E3019" s="531" t="s">
        <v>2583</v>
      </c>
      <c r="F3019" s="287" t="s">
        <v>3048</v>
      </c>
      <c r="G3019" s="287" t="s">
        <v>3640</v>
      </c>
      <c r="H3019" s="289"/>
      <c r="I3019" s="1509"/>
      <c r="J3019" s="1509"/>
      <c r="K3019" s="1509"/>
      <c r="L3019" s="1509"/>
      <c r="M3019" s="1509"/>
      <c r="N3019" s="1510"/>
    </row>
    <row r="3020" spans="1:14">
      <c r="A3020" s="1575" t="s">
        <v>3850</v>
      </c>
      <c r="B3020" s="913" t="s">
        <v>3304</v>
      </c>
      <c r="C3020" s="297"/>
      <c r="D3020" s="904"/>
      <c r="E3020" s="903"/>
      <c r="F3020" s="297"/>
      <c r="G3020" s="692"/>
      <c r="H3020" s="1172"/>
      <c r="I3020" s="1509"/>
      <c r="J3020" s="1509"/>
      <c r="K3020" s="1509"/>
      <c r="L3020" s="1509"/>
      <c r="M3020" s="1509"/>
      <c r="N3020" s="1510"/>
    </row>
    <row r="3021" spans="1:14">
      <c r="A3021" s="1639"/>
      <c r="B3021" s="913" t="s">
        <v>2854</v>
      </c>
      <c r="C3021" s="297"/>
      <c r="D3021" s="903">
        <v>0.8</v>
      </c>
      <c r="E3021" s="903">
        <v>0.6</v>
      </c>
      <c r="F3021" s="297">
        <v>5</v>
      </c>
      <c r="G3021" s="692"/>
      <c r="H3021" s="1172">
        <f>D3021*E3021*F3021</f>
        <v>2.4</v>
      </c>
      <c r="I3021" s="1509"/>
      <c r="J3021" s="1509"/>
      <c r="K3021" s="1509"/>
      <c r="L3021" s="1509"/>
      <c r="M3021" s="1509"/>
      <c r="N3021" s="1510"/>
    </row>
    <row r="3022" spans="1:14">
      <c r="A3022" s="1639"/>
      <c r="B3022" s="913" t="s">
        <v>2855</v>
      </c>
      <c r="C3022" s="297"/>
      <c r="D3022" s="903">
        <v>1.5</v>
      </c>
      <c r="E3022" s="903">
        <v>0.8</v>
      </c>
      <c r="F3022" s="297">
        <v>4</v>
      </c>
      <c r="G3022" s="692"/>
      <c r="H3022" s="1172">
        <f t="shared" ref="H3022:H3038" si="73">D3022*E3022*F3022</f>
        <v>4.8000000000000007</v>
      </c>
      <c r="I3022" s="1509"/>
      <c r="J3022" s="1509"/>
      <c r="K3022" s="1509"/>
      <c r="L3022" s="1509"/>
      <c r="M3022" s="1509"/>
      <c r="N3022" s="1510"/>
    </row>
    <row r="3023" spans="1:14">
      <c r="A3023" s="1639"/>
      <c r="B3023" s="913" t="s">
        <v>2856</v>
      </c>
      <c r="C3023" s="297"/>
      <c r="D3023" s="903">
        <v>2</v>
      </c>
      <c r="E3023" s="903">
        <v>0.8</v>
      </c>
      <c r="F3023" s="297">
        <v>4</v>
      </c>
      <c r="G3023" s="692"/>
      <c r="H3023" s="1172">
        <f t="shared" si="73"/>
        <v>6.4</v>
      </c>
      <c r="I3023" s="1509"/>
      <c r="J3023" s="1509"/>
      <c r="K3023" s="1509"/>
      <c r="L3023" s="1509"/>
      <c r="M3023" s="1509"/>
      <c r="N3023" s="1510"/>
    </row>
    <row r="3024" spans="1:14">
      <c r="A3024" s="1639"/>
      <c r="B3024" s="913" t="s">
        <v>3228</v>
      </c>
      <c r="C3024" s="297"/>
      <c r="D3024" s="903">
        <v>3</v>
      </c>
      <c r="E3024" s="903">
        <v>0.3</v>
      </c>
      <c r="F3024" s="297">
        <v>1</v>
      </c>
      <c r="G3024" s="692"/>
      <c r="H3024" s="1172">
        <f t="shared" si="73"/>
        <v>0.89999999999999991</v>
      </c>
      <c r="I3024" s="1509"/>
      <c r="J3024" s="1509"/>
      <c r="K3024" s="1509"/>
      <c r="L3024" s="1509"/>
      <c r="M3024" s="1509"/>
      <c r="N3024" s="1510"/>
    </row>
    <row r="3025" spans="1:14">
      <c r="A3025" s="1639"/>
      <c r="B3025" s="913" t="s">
        <v>2853</v>
      </c>
      <c r="C3025" s="297"/>
      <c r="D3025" s="903">
        <v>0.9</v>
      </c>
      <c r="E3025" s="903">
        <v>1.1000000000000001</v>
      </c>
      <c r="F3025" s="297">
        <v>2</v>
      </c>
      <c r="G3025" s="692"/>
      <c r="H3025" s="1172">
        <f t="shared" si="73"/>
        <v>1.9800000000000002</v>
      </c>
      <c r="I3025" s="1509"/>
      <c r="J3025" s="1509"/>
      <c r="K3025" s="1509"/>
      <c r="L3025" s="1509"/>
      <c r="M3025" s="1509"/>
      <c r="N3025" s="1510"/>
    </row>
    <row r="3026" spans="1:14">
      <c r="A3026" s="1639"/>
      <c r="B3026" s="913" t="s">
        <v>3041</v>
      </c>
      <c r="C3026" s="297"/>
      <c r="D3026" s="903">
        <v>1</v>
      </c>
      <c r="E3026" s="903">
        <v>1.8</v>
      </c>
      <c r="F3026" s="297">
        <v>2</v>
      </c>
      <c r="G3026" s="692"/>
      <c r="H3026" s="1172">
        <f t="shared" si="73"/>
        <v>3.6</v>
      </c>
      <c r="I3026" s="1509"/>
      <c r="J3026" s="1509"/>
      <c r="K3026" s="1509"/>
      <c r="L3026" s="1509"/>
      <c r="M3026" s="1509"/>
      <c r="N3026" s="1510"/>
    </row>
    <row r="3027" spans="1:14">
      <c r="A3027" s="1639"/>
      <c r="B3027" s="913" t="s">
        <v>3305</v>
      </c>
      <c r="C3027" s="297"/>
      <c r="D3027" s="903"/>
      <c r="E3027" s="903"/>
      <c r="F3027" s="297"/>
      <c r="G3027" s="692"/>
      <c r="H3027" s="1172"/>
      <c r="I3027" s="1509"/>
      <c r="J3027" s="1509"/>
      <c r="K3027" s="1509"/>
      <c r="L3027" s="1509"/>
      <c r="M3027" s="1509"/>
      <c r="N3027" s="1510"/>
    </row>
    <row r="3028" spans="1:14">
      <c r="A3028" s="1639"/>
      <c r="B3028" s="913" t="s">
        <v>2258</v>
      </c>
      <c r="C3028" s="297"/>
      <c r="D3028" s="903">
        <v>0.55000000000000004</v>
      </c>
      <c r="E3028" s="903">
        <v>0.9</v>
      </c>
      <c r="F3028" s="297">
        <v>2</v>
      </c>
      <c r="G3028" s="692"/>
      <c r="H3028" s="1172">
        <f t="shared" si="73"/>
        <v>0.9900000000000001</v>
      </c>
      <c r="I3028" s="1509"/>
      <c r="J3028" s="1509"/>
      <c r="K3028" s="1509"/>
      <c r="L3028" s="1509"/>
      <c r="M3028" s="1509"/>
      <c r="N3028" s="1510"/>
    </row>
    <row r="3029" spans="1:14">
      <c r="A3029" s="1639"/>
      <c r="B3029" s="913" t="s">
        <v>2854</v>
      </c>
      <c r="C3029" s="297"/>
      <c r="D3029" s="903">
        <v>0.8</v>
      </c>
      <c r="E3029" s="903">
        <v>0.6</v>
      </c>
      <c r="F3029" s="297">
        <v>3</v>
      </c>
      <c r="G3029" s="692"/>
      <c r="H3029" s="1172">
        <f t="shared" si="73"/>
        <v>1.44</v>
      </c>
      <c r="I3029" s="1509"/>
      <c r="J3029" s="1509"/>
      <c r="K3029" s="1509"/>
      <c r="L3029" s="1509"/>
      <c r="M3029" s="1509"/>
      <c r="N3029" s="1510"/>
    </row>
    <row r="3030" spans="1:14">
      <c r="A3030" s="1639"/>
      <c r="B3030" s="1197" t="s">
        <v>3050</v>
      </c>
      <c r="C3030" s="888"/>
      <c r="D3030" s="901">
        <v>0.8</v>
      </c>
      <c r="E3030" s="901">
        <v>0.8</v>
      </c>
      <c r="F3030" s="292">
        <v>1</v>
      </c>
      <c r="G3030" s="311"/>
      <c r="H3030" s="1172">
        <f t="shared" si="73"/>
        <v>0.64000000000000012</v>
      </c>
      <c r="I3030" s="1509"/>
      <c r="J3030" s="1509"/>
      <c r="K3030" s="1509"/>
      <c r="L3030" s="1509"/>
      <c r="M3030" s="1509"/>
      <c r="N3030" s="1510"/>
    </row>
    <row r="3031" spans="1:14">
      <c r="A3031" s="1640"/>
      <c r="B3031" s="1197" t="s">
        <v>2252</v>
      </c>
      <c r="C3031" s="906"/>
      <c r="D3031" s="907">
        <v>2</v>
      </c>
      <c r="E3031" s="907">
        <v>1.2</v>
      </c>
      <c r="F3031" s="312">
        <v>2</v>
      </c>
      <c r="G3031" s="311"/>
      <c r="H3031" s="1172">
        <f t="shared" si="73"/>
        <v>4.8</v>
      </c>
      <c r="I3031" s="1509"/>
      <c r="J3031" s="1509"/>
      <c r="K3031" s="1509"/>
      <c r="L3031" s="1509"/>
      <c r="M3031" s="1509"/>
      <c r="N3031" s="1510"/>
    </row>
    <row r="3032" spans="1:14">
      <c r="A3032" s="1575" t="s">
        <v>3950</v>
      </c>
      <c r="B3032" s="913" t="s">
        <v>3304</v>
      </c>
      <c r="C3032" s="906"/>
      <c r="D3032" s="907"/>
      <c r="E3032" s="907"/>
      <c r="F3032" s="312"/>
      <c r="G3032" s="311"/>
      <c r="H3032" s="1172"/>
      <c r="I3032" s="1509"/>
      <c r="J3032" s="1509"/>
      <c r="K3032" s="1509"/>
      <c r="L3032" s="1509"/>
      <c r="M3032" s="1509"/>
      <c r="N3032" s="1510"/>
    </row>
    <row r="3033" spans="1:14">
      <c r="A3033" s="1639"/>
      <c r="B3033" s="1197" t="s">
        <v>3042</v>
      </c>
      <c r="C3033" s="906"/>
      <c r="D3033" s="907">
        <v>1.6</v>
      </c>
      <c r="E3033" s="907">
        <v>1.1000000000000001</v>
      </c>
      <c r="F3033" s="312">
        <v>1</v>
      </c>
      <c r="G3033" s="311"/>
      <c r="H3033" s="1172">
        <f t="shared" si="73"/>
        <v>1.7600000000000002</v>
      </c>
      <c r="I3033" s="1509"/>
      <c r="J3033" s="1509"/>
      <c r="K3033" s="1509"/>
      <c r="L3033" s="1509"/>
      <c r="M3033" s="1509"/>
      <c r="N3033" s="1510"/>
    </row>
    <row r="3034" spans="1:14">
      <c r="A3034" s="1639"/>
      <c r="B3034" s="1197" t="s">
        <v>3227</v>
      </c>
      <c r="C3034" s="906"/>
      <c r="D3034" s="907">
        <v>8.8000000000000007</v>
      </c>
      <c r="E3034" s="907">
        <v>0.8</v>
      </c>
      <c r="F3034" s="312">
        <v>1</v>
      </c>
      <c r="G3034" s="311"/>
      <c r="H3034" s="1172">
        <f t="shared" si="73"/>
        <v>7.0400000000000009</v>
      </c>
      <c r="I3034" s="1509"/>
      <c r="J3034" s="1509"/>
      <c r="K3034" s="1509"/>
      <c r="L3034" s="1509"/>
      <c r="M3034" s="1509"/>
      <c r="N3034" s="1510"/>
    </row>
    <row r="3035" spans="1:14">
      <c r="A3035" s="1639"/>
      <c r="B3035" s="913" t="s">
        <v>3305</v>
      </c>
      <c r="C3035" s="906"/>
      <c r="D3035" s="907"/>
      <c r="E3035" s="907"/>
      <c r="F3035" s="312"/>
      <c r="G3035" s="311"/>
      <c r="H3035" s="1172"/>
      <c r="I3035" s="1509"/>
      <c r="J3035" s="1509"/>
      <c r="K3035" s="1509"/>
      <c r="L3035" s="1509"/>
      <c r="M3035" s="1509"/>
      <c r="N3035" s="1510"/>
    </row>
    <row r="3036" spans="1:14">
      <c r="A3036" s="1639"/>
      <c r="B3036" s="1197" t="s">
        <v>2396</v>
      </c>
      <c r="C3036" s="906"/>
      <c r="D3036" s="907">
        <v>11.4</v>
      </c>
      <c r="E3036" s="907">
        <v>1.2</v>
      </c>
      <c r="F3036" s="312">
        <v>1</v>
      </c>
      <c r="G3036" s="311"/>
      <c r="H3036" s="1172">
        <f t="shared" si="73"/>
        <v>13.68</v>
      </c>
      <c r="I3036" s="1509"/>
      <c r="J3036" s="1509"/>
      <c r="K3036" s="1509"/>
      <c r="L3036" s="1509"/>
      <c r="M3036" s="1509"/>
      <c r="N3036" s="1510"/>
    </row>
    <row r="3037" spans="1:14">
      <c r="A3037" s="1639" t="s">
        <v>4003</v>
      </c>
      <c r="B3037" s="1197" t="s">
        <v>2395</v>
      </c>
      <c r="C3037" s="906"/>
      <c r="D3037" s="907">
        <v>1.8</v>
      </c>
      <c r="E3037" s="907">
        <v>4</v>
      </c>
      <c r="F3037" s="312">
        <v>1</v>
      </c>
      <c r="G3037" s="311"/>
      <c r="H3037" s="1172">
        <f t="shared" si="73"/>
        <v>7.2</v>
      </c>
      <c r="I3037" s="1509"/>
      <c r="J3037" s="1509"/>
      <c r="K3037" s="1509"/>
      <c r="L3037" s="1509"/>
      <c r="M3037" s="1509"/>
      <c r="N3037" s="1510"/>
    </row>
    <row r="3038" spans="1:14">
      <c r="A3038" s="1640"/>
      <c r="B3038" s="1197" t="s">
        <v>2252</v>
      </c>
      <c r="C3038" s="906"/>
      <c r="D3038" s="907">
        <v>2</v>
      </c>
      <c r="E3038" s="907">
        <v>1.2</v>
      </c>
      <c r="F3038" s="312">
        <v>2</v>
      </c>
      <c r="G3038" s="311"/>
      <c r="H3038" s="1172">
        <f t="shared" si="73"/>
        <v>4.8</v>
      </c>
      <c r="I3038" s="1509"/>
      <c r="J3038" s="1509"/>
      <c r="K3038" s="1509"/>
      <c r="L3038" s="1509"/>
      <c r="M3038" s="1509"/>
      <c r="N3038" s="1510"/>
    </row>
    <row r="3039" spans="1:14">
      <c r="A3039" s="1165"/>
      <c r="B3039" s="599"/>
      <c r="C3039" s="294"/>
      <c r="D3039" s="294"/>
      <c r="E3039" s="295"/>
      <c r="F3039" s="294"/>
      <c r="G3039" s="294"/>
      <c r="H3039" s="1172"/>
      <c r="I3039" s="1509"/>
      <c r="J3039" s="1509"/>
      <c r="K3039" s="1509"/>
      <c r="L3039" s="1509"/>
      <c r="M3039" s="1509"/>
      <c r="N3039" s="1510"/>
    </row>
    <row r="3040" spans="1:14">
      <c r="A3040" s="1577" t="s">
        <v>2218</v>
      </c>
      <c r="B3040" s="1542"/>
      <c r="C3040" s="1542"/>
      <c r="D3040" s="1542"/>
      <c r="E3040" s="1542"/>
      <c r="F3040" s="1542"/>
      <c r="G3040" s="1542"/>
      <c r="H3040" s="271">
        <f>SUM(H3019:H3039)</f>
        <v>62.430000000000007</v>
      </c>
      <c r="I3040" s="1509"/>
      <c r="J3040" s="1509"/>
      <c r="K3040" s="1509"/>
      <c r="L3040" s="1509"/>
      <c r="M3040" s="1509"/>
      <c r="N3040" s="1510"/>
    </row>
    <row r="3041" spans="1:14">
      <c r="A3041" s="1578" t="s">
        <v>2219</v>
      </c>
      <c r="B3041" s="1538"/>
      <c r="C3041" s="1538"/>
      <c r="D3041" s="1538"/>
      <c r="E3041" s="1538"/>
      <c r="F3041" s="1538"/>
      <c r="G3041" s="1538"/>
      <c r="H3041" s="320">
        <f>SUM(H3020:H3031)</f>
        <v>27.950000000000003</v>
      </c>
      <c r="I3041" s="1509"/>
      <c r="J3041" s="1509"/>
      <c r="K3041" s="1509"/>
      <c r="L3041" s="1509"/>
      <c r="M3041" s="1509"/>
      <c r="N3041" s="1510"/>
    </row>
    <row r="3042" spans="1:14" ht="15.75" thickBot="1">
      <c r="A3042" s="1579" t="s">
        <v>2220</v>
      </c>
      <c r="B3042" s="1580"/>
      <c r="C3042" s="1580"/>
      <c r="D3042" s="1580"/>
      <c r="E3042" s="1580"/>
      <c r="F3042" s="1580"/>
      <c r="G3042" s="1580"/>
      <c r="H3042" s="633">
        <f>H3040-H3041</f>
        <v>34.480000000000004</v>
      </c>
      <c r="I3042" s="1512"/>
      <c r="J3042" s="1512"/>
      <c r="K3042" s="1512"/>
      <c r="L3042" s="1512"/>
      <c r="M3042" s="1512"/>
      <c r="N3042" s="1513"/>
    </row>
    <row r="3043" spans="1:14" ht="15.75" thickBot="1">
      <c r="A3043" s="1112"/>
      <c r="B3043" s="278"/>
      <c r="C3043" s="278"/>
      <c r="D3043" s="278"/>
      <c r="E3043" s="1319"/>
      <c r="F3043" s="278"/>
      <c r="G3043" s="278"/>
      <c r="H3043" s="766"/>
      <c r="I3043" s="279"/>
      <c r="J3043" s="279"/>
      <c r="K3043" s="279"/>
      <c r="L3043" s="279"/>
      <c r="M3043" s="279"/>
      <c r="N3043" s="279"/>
    </row>
    <row r="3044" spans="1:14">
      <c r="A3044" s="1084" t="s">
        <v>3866</v>
      </c>
      <c r="B3044" s="1533" t="s">
        <v>943</v>
      </c>
      <c r="C3044" s="1533"/>
      <c r="D3044" s="1533"/>
      <c r="E3044" s="1533"/>
      <c r="F3044" s="1533"/>
      <c r="G3044" s="1533"/>
      <c r="H3044" s="1533"/>
      <c r="I3044" s="1533"/>
      <c r="J3044" s="1533"/>
      <c r="K3044" s="266" t="s">
        <v>12</v>
      </c>
      <c r="L3044" s="1534">
        <v>24.62</v>
      </c>
      <c r="M3044" s="1534"/>
      <c r="N3044" s="197">
        <f>L3044-H3055</f>
        <v>9.2199999999999989</v>
      </c>
    </row>
    <row r="3045" spans="1:14">
      <c r="A3045" s="1574"/>
      <c r="B3045" s="1217"/>
      <c r="C3045" s="287" t="s">
        <v>12</v>
      </c>
      <c r="D3045" s="614" t="s">
        <v>3128</v>
      </c>
      <c r="E3045" s="531" t="s">
        <v>2583</v>
      </c>
      <c r="F3045" s="287" t="s">
        <v>3048</v>
      </c>
      <c r="G3045" s="287" t="s">
        <v>3640</v>
      </c>
      <c r="H3045" s="289"/>
      <c r="I3045" s="1509"/>
      <c r="J3045" s="1509"/>
      <c r="K3045" s="1509"/>
      <c r="L3045" s="1509"/>
      <c r="M3045" s="1509"/>
      <c r="N3045" s="1510"/>
    </row>
    <row r="3046" spans="1:14">
      <c r="A3046" s="1639"/>
      <c r="B3046" s="597" t="s">
        <v>2727</v>
      </c>
      <c r="C3046" s="297"/>
      <c r="D3046" s="904"/>
      <c r="E3046" s="903"/>
      <c r="F3046" s="297"/>
      <c r="G3046" s="692"/>
      <c r="H3046" s="1172"/>
      <c r="I3046" s="1509"/>
      <c r="J3046" s="1509"/>
      <c r="K3046" s="1509"/>
      <c r="L3046" s="1509"/>
      <c r="M3046" s="1509"/>
      <c r="N3046" s="1510"/>
    </row>
    <row r="3047" spans="1:14">
      <c r="A3047" s="1639"/>
      <c r="B3047" s="913" t="s">
        <v>3582</v>
      </c>
      <c r="C3047" s="297"/>
      <c r="D3047" s="903">
        <v>1</v>
      </c>
      <c r="E3047" s="903">
        <v>1.1000000000000001</v>
      </c>
      <c r="F3047" s="692">
        <v>3</v>
      </c>
      <c r="G3047" s="692"/>
      <c r="H3047" s="887">
        <f>D3047*E3047*F3047</f>
        <v>3.3000000000000003</v>
      </c>
      <c r="I3047" s="1509"/>
      <c r="J3047" s="1509"/>
      <c r="K3047" s="1509"/>
      <c r="L3047" s="1509"/>
      <c r="M3047" s="1509"/>
      <c r="N3047" s="1510"/>
    </row>
    <row r="3048" spans="1:14">
      <c r="A3048" s="1575"/>
      <c r="B3048" s="913" t="s">
        <v>2929</v>
      </c>
      <c r="C3048" s="888"/>
      <c r="D3048" s="901"/>
      <c r="E3048" s="901"/>
      <c r="F3048" s="1215"/>
      <c r="G3048" s="1215"/>
      <c r="H3048" s="887"/>
      <c r="I3048" s="1509"/>
      <c r="J3048" s="1509"/>
      <c r="K3048" s="1509"/>
      <c r="L3048" s="1509"/>
      <c r="M3048" s="1509"/>
      <c r="N3048" s="1510"/>
    </row>
    <row r="3049" spans="1:14">
      <c r="A3049" s="1575"/>
      <c r="B3049" s="1197" t="s">
        <v>3582</v>
      </c>
      <c r="C3049" s="906"/>
      <c r="D3049" s="907">
        <v>1</v>
      </c>
      <c r="E3049" s="907">
        <v>1.1000000000000001</v>
      </c>
      <c r="F3049" s="1216">
        <v>9</v>
      </c>
      <c r="G3049" s="1216"/>
      <c r="H3049" s="887">
        <f t="shared" ref="H3049" si="74">D3049*E3049*F3049</f>
        <v>9.9</v>
      </c>
      <c r="I3049" s="1509"/>
      <c r="J3049" s="1509"/>
      <c r="K3049" s="1509"/>
      <c r="L3049" s="1509"/>
      <c r="M3049" s="1509"/>
      <c r="N3049" s="1510"/>
    </row>
    <row r="3050" spans="1:14">
      <c r="A3050" s="1575"/>
      <c r="B3050" s="597" t="s">
        <v>3583</v>
      </c>
      <c r="C3050" s="292"/>
      <c r="D3050" s="292">
        <v>2</v>
      </c>
      <c r="E3050" s="901">
        <v>1.1000000000000001</v>
      </c>
      <c r="F3050" s="312">
        <v>1</v>
      </c>
      <c r="G3050" s="312"/>
      <c r="H3050" s="887">
        <f t="shared" ref="H3050" si="75">D3050*E3050*F3050</f>
        <v>2.2000000000000002</v>
      </c>
      <c r="I3050" s="1509"/>
      <c r="J3050" s="1509"/>
      <c r="K3050" s="1509"/>
      <c r="L3050" s="1509"/>
      <c r="M3050" s="1509"/>
      <c r="N3050" s="1510"/>
    </row>
    <row r="3051" spans="1:14">
      <c r="A3051" s="1575"/>
      <c r="B3051" s="913"/>
      <c r="C3051" s="692"/>
      <c r="D3051" s="692"/>
      <c r="E3051" s="993"/>
      <c r="F3051" s="312"/>
      <c r="G3051" s="312"/>
      <c r="H3051" s="887"/>
      <c r="I3051" s="1509"/>
      <c r="J3051" s="1509"/>
      <c r="K3051" s="1509"/>
      <c r="L3051" s="1509"/>
      <c r="M3051" s="1509"/>
      <c r="N3051" s="1510"/>
    </row>
    <row r="3052" spans="1:14">
      <c r="A3052" s="1575"/>
      <c r="B3052" s="597"/>
      <c r="C3052" s="292"/>
      <c r="D3052" s="292"/>
      <c r="E3052" s="907"/>
      <c r="F3052" s="292"/>
      <c r="G3052" s="292"/>
      <c r="H3052" s="887"/>
      <c r="I3052" s="1509"/>
      <c r="J3052" s="1509"/>
      <c r="K3052" s="1509"/>
      <c r="L3052" s="1509"/>
      <c r="M3052" s="1509"/>
      <c r="N3052" s="1510"/>
    </row>
    <row r="3053" spans="1:14">
      <c r="A3053" s="1575"/>
      <c r="B3053" s="913"/>
      <c r="C3053" s="292"/>
      <c r="D3053" s="297"/>
      <c r="E3053" s="907"/>
      <c r="F3053" s="292"/>
      <c r="G3053" s="692"/>
      <c r="H3053" s="887"/>
      <c r="I3053" s="1509"/>
      <c r="J3053" s="1509"/>
      <c r="K3053" s="1509"/>
      <c r="L3053" s="1509"/>
      <c r="M3053" s="1509"/>
      <c r="N3053" s="1510"/>
    </row>
    <row r="3054" spans="1:14">
      <c r="A3054" s="1576"/>
      <c r="B3054" s="599"/>
      <c r="C3054" s="703"/>
      <c r="D3054" s="703"/>
      <c r="E3054" s="1214"/>
      <c r="F3054" s="294"/>
      <c r="G3054" s="294"/>
      <c r="H3054" s="887"/>
      <c r="I3054" s="1509"/>
      <c r="J3054" s="1509"/>
      <c r="K3054" s="1509"/>
      <c r="L3054" s="1509"/>
      <c r="M3054" s="1509"/>
      <c r="N3054" s="1510"/>
    </row>
    <row r="3055" spans="1:14">
      <c r="A3055" s="1577" t="s">
        <v>2218</v>
      </c>
      <c r="B3055" s="1542"/>
      <c r="C3055" s="1542"/>
      <c r="D3055" s="1542"/>
      <c r="E3055" s="1542"/>
      <c r="F3055" s="1542"/>
      <c r="G3055" s="1542"/>
      <c r="H3055" s="271">
        <f>SUM(H3045:H3054)</f>
        <v>15.400000000000002</v>
      </c>
      <c r="I3055" s="1509"/>
      <c r="J3055" s="1509"/>
      <c r="K3055" s="1509"/>
      <c r="L3055" s="1509"/>
      <c r="M3055" s="1509"/>
      <c r="N3055" s="1510"/>
    </row>
    <row r="3056" spans="1:14">
      <c r="A3056" s="1578" t="s">
        <v>2219</v>
      </c>
      <c r="B3056" s="1538"/>
      <c r="C3056" s="1538"/>
      <c r="D3056" s="1538"/>
      <c r="E3056" s="1538"/>
      <c r="F3056" s="1538"/>
      <c r="G3056" s="1538"/>
      <c r="H3056" s="320">
        <f>SUM(H3045)</f>
        <v>0</v>
      </c>
      <c r="I3056" s="1509"/>
      <c r="J3056" s="1509"/>
      <c r="K3056" s="1509"/>
      <c r="L3056" s="1509"/>
      <c r="M3056" s="1509"/>
      <c r="N3056" s="1510"/>
    </row>
    <row r="3057" spans="1:14" ht="15.75" thickBot="1">
      <c r="A3057" s="1579" t="s">
        <v>2220</v>
      </c>
      <c r="B3057" s="1580"/>
      <c r="C3057" s="1580"/>
      <c r="D3057" s="1580"/>
      <c r="E3057" s="1580"/>
      <c r="F3057" s="1580"/>
      <c r="G3057" s="1580"/>
      <c r="H3057" s="633">
        <f>H3055-H3056</f>
        <v>15.400000000000002</v>
      </c>
      <c r="I3057" s="1512"/>
      <c r="J3057" s="1512"/>
      <c r="K3057" s="1512"/>
      <c r="L3057" s="1512"/>
      <c r="M3057" s="1512"/>
      <c r="N3057" s="1513"/>
    </row>
    <row r="3058" spans="1:14" ht="15.75" thickBot="1">
      <c r="A3058" s="1104"/>
      <c r="B3058" s="278"/>
      <c r="C3058" s="278"/>
      <c r="D3058" s="278"/>
      <c r="E3058" s="1319"/>
      <c r="F3058" s="278"/>
      <c r="G3058" s="278"/>
      <c r="H3058" s="766"/>
      <c r="I3058" s="279"/>
      <c r="J3058" s="279"/>
      <c r="K3058" s="279"/>
      <c r="L3058" s="279"/>
      <c r="M3058" s="279"/>
      <c r="N3058" s="279"/>
    </row>
    <row r="3059" spans="1:14" ht="15.75" thickBot="1">
      <c r="A3059" s="1085" t="s">
        <v>3867</v>
      </c>
      <c r="B3059" s="1571" t="s">
        <v>3868</v>
      </c>
      <c r="C3059" s="1572"/>
      <c r="D3059" s="1572"/>
      <c r="E3059" s="1572"/>
      <c r="F3059" s="1572"/>
      <c r="G3059" s="1572"/>
      <c r="H3059" s="1572"/>
      <c r="I3059" s="1572"/>
      <c r="J3059" s="1572"/>
      <c r="K3059" s="1572"/>
      <c r="L3059" s="1572"/>
      <c r="M3059" s="1572"/>
      <c r="N3059" s="1573"/>
    </row>
    <row r="3060" spans="1:14" ht="24.75" customHeight="1">
      <c r="A3060" s="1084" t="s">
        <v>3869</v>
      </c>
      <c r="B3060" s="1533" t="s">
        <v>164</v>
      </c>
      <c r="C3060" s="1533"/>
      <c r="D3060" s="1533"/>
      <c r="E3060" s="1533"/>
      <c r="F3060" s="1533"/>
      <c r="G3060" s="1533"/>
      <c r="H3060" s="1533"/>
      <c r="I3060" s="1533"/>
      <c r="J3060" s="1533"/>
      <c r="K3060" s="266" t="s">
        <v>12</v>
      </c>
      <c r="L3060" s="1534">
        <v>6.87</v>
      </c>
      <c r="M3060" s="1534"/>
      <c r="N3060" s="197">
        <f>L3060-H3065</f>
        <v>0</v>
      </c>
    </row>
    <row r="3061" spans="1:14">
      <c r="A3061" s="1163"/>
      <c r="B3061" s="287"/>
      <c r="C3061" s="287" t="s">
        <v>12</v>
      </c>
      <c r="D3061" s="614" t="s">
        <v>3128</v>
      </c>
      <c r="E3061" s="531" t="s">
        <v>2583</v>
      </c>
      <c r="F3061" s="287" t="s">
        <v>3048</v>
      </c>
      <c r="G3061" s="287" t="s">
        <v>3640</v>
      </c>
      <c r="H3061" s="289"/>
      <c r="I3061" s="1509"/>
      <c r="J3061" s="1509"/>
      <c r="K3061" s="1509"/>
      <c r="L3061" s="1509"/>
      <c r="M3061" s="1509"/>
      <c r="N3061" s="1510"/>
    </row>
    <row r="3062" spans="1:14">
      <c r="A3062" s="1575" t="s">
        <v>3991</v>
      </c>
      <c r="B3062" s="310" t="s">
        <v>2929</v>
      </c>
      <c r="C3062" s="888">
        <v>0.84</v>
      </c>
      <c r="D3062" s="901"/>
      <c r="E3062" s="901"/>
      <c r="F3062" s="292"/>
      <c r="G3062" s="311"/>
      <c r="H3062" s="887">
        <f>C3062</f>
        <v>0.84</v>
      </c>
      <c r="I3062" s="1509"/>
      <c r="J3062" s="1509"/>
      <c r="K3062" s="1509"/>
      <c r="L3062" s="1509"/>
      <c r="M3062" s="1509"/>
      <c r="N3062" s="1510"/>
    </row>
    <row r="3063" spans="1:14">
      <c r="A3063" s="1708"/>
      <c r="B3063" s="599" t="s">
        <v>2727</v>
      </c>
      <c r="C3063" s="294">
        <v>4.03</v>
      </c>
      <c r="D3063" s="294"/>
      <c r="E3063" s="295"/>
      <c r="F3063" s="294"/>
      <c r="G3063" s="294"/>
      <c r="H3063" s="887">
        <f>C3063</f>
        <v>4.03</v>
      </c>
      <c r="I3063" s="1509"/>
      <c r="J3063" s="1509"/>
      <c r="K3063" s="1509"/>
      <c r="L3063" s="1509"/>
      <c r="M3063" s="1509"/>
      <c r="N3063" s="1510"/>
    </row>
    <row r="3064" spans="1:14">
      <c r="A3064" s="1262" t="s">
        <v>4003</v>
      </c>
      <c r="B3064" s="599" t="s">
        <v>2929</v>
      </c>
      <c r="C3064" s="294">
        <v>2</v>
      </c>
      <c r="D3064" s="294"/>
      <c r="E3064" s="295"/>
      <c r="F3064" s="294"/>
      <c r="G3064" s="294"/>
      <c r="H3064" s="887">
        <f>C3064</f>
        <v>2</v>
      </c>
      <c r="I3064" s="1509"/>
      <c r="J3064" s="1509"/>
      <c r="K3064" s="1509"/>
      <c r="L3064" s="1509"/>
      <c r="M3064" s="1509"/>
      <c r="N3064" s="1510"/>
    </row>
    <row r="3065" spans="1:14">
      <c r="A3065" s="1577" t="s">
        <v>2218</v>
      </c>
      <c r="B3065" s="1542"/>
      <c r="C3065" s="1542"/>
      <c r="D3065" s="1542"/>
      <c r="E3065" s="1542"/>
      <c r="F3065" s="1542"/>
      <c r="G3065" s="1542"/>
      <c r="H3065" s="271">
        <f>SUM(H3061:H3064)</f>
        <v>6.87</v>
      </c>
      <c r="I3065" s="1509"/>
      <c r="J3065" s="1509"/>
      <c r="K3065" s="1509"/>
      <c r="L3065" s="1509"/>
      <c r="M3065" s="1509"/>
      <c r="N3065" s="1510"/>
    </row>
    <row r="3066" spans="1:14">
      <c r="A3066" s="1578" t="s">
        <v>2219</v>
      </c>
      <c r="B3066" s="1538"/>
      <c r="C3066" s="1538"/>
      <c r="D3066" s="1538"/>
      <c r="E3066" s="1538"/>
      <c r="F3066" s="1538"/>
      <c r="G3066" s="1538"/>
      <c r="H3066" s="320">
        <f>SUM(H3062:H3063)</f>
        <v>4.87</v>
      </c>
      <c r="I3066" s="1509"/>
      <c r="J3066" s="1509"/>
      <c r="K3066" s="1509"/>
      <c r="L3066" s="1509"/>
      <c r="M3066" s="1509"/>
      <c r="N3066" s="1510"/>
    </row>
    <row r="3067" spans="1:14" ht="15.75" thickBot="1">
      <c r="A3067" s="1579" t="s">
        <v>2220</v>
      </c>
      <c r="B3067" s="1580"/>
      <c r="C3067" s="1580"/>
      <c r="D3067" s="1580"/>
      <c r="E3067" s="1580"/>
      <c r="F3067" s="1580"/>
      <c r="G3067" s="1580"/>
      <c r="H3067" s="633">
        <f>H3065-H3066</f>
        <v>2</v>
      </c>
      <c r="I3067" s="1512"/>
      <c r="J3067" s="1512"/>
      <c r="K3067" s="1512"/>
      <c r="L3067" s="1512"/>
      <c r="M3067" s="1512"/>
      <c r="N3067" s="1513"/>
    </row>
    <row r="3068" spans="1:14" ht="15.75" thickBot="1">
      <c r="A3068" s="1104"/>
      <c r="B3068" s="278"/>
      <c r="C3068" s="278"/>
      <c r="D3068" s="278"/>
      <c r="E3068" s="1319"/>
      <c r="F3068" s="278"/>
      <c r="G3068" s="278"/>
      <c r="H3068" s="766"/>
      <c r="I3068" s="279"/>
      <c r="J3068" s="279"/>
      <c r="K3068" s="279"/>
      <c r="L3068" s="279"/>
      <c r="M3068" s="279"/>
      <c r="N3068" s="279"/>
    </row>
    <row r="3069" spans="1:14" ht="15.75" thickBot="1">
      <c r="A3069" s="1085" t="s">
        <v>3870</v>
      </c>
      <c r="B3069" s="1571" t="s">
        <v>948</v>
      </c>
      <c r="C3069" s="1572"/>
      <c r="D3069" s="1572"/>
      <c r="E3069" s="1572"/>
      <c r="F3069" s="1572"/>
      <c r="G3069" s="1572"/>
      <c r="H3069" s="1572"/>
      <c r="I3069" s="1572"/>
      <c r="J3069" s="1572"/>
      <c r="K3069" s="1572"/>
      <c r="L3069" s="1572"/>
      <c r="M3069" s="1572"/>
      <c r="N3069" s="1573"/>
    </row>
    <row r="3070" spans="1:14">
      <c r="A3070" s="1084" t="s">
        <v>3871</v>
      </c>
      <c r="B3070" s="1533" t="s">
        <v>951</v>
      </c>
      <c r="C3070" s="1533"/>
      <c r="D3070" s="1533"/>
      <c r="E3070" s="1533"/>
      <c r="F3070" s="1533"/>
      <c r="G3070" s="1533"/>
      <c r="H3070" s="1533"/>
      <c r="I3070" s="1533"/>
      <c r="J3070" s="1533"/>
      <c r="K3070" s="266" t="s">
        <v>12</v>
      </c>
      <c r="L3070" s="1534">
        <v>13.54</v>
      </c>
      <c r="M3070" s="1534"/>
      <c r="N3070" s="197">
        <f>L3070-H3076</f>
        <v>0</v>
      </c>
    </row>
    <row r="3071" spans="1:14">
      <c r="A3071" s="1574"/>
      <c r="B3071" s="287"/>
      <c r="C3071" s="287" t="s">
        <v>12</v>
      </c>
      <c r="D3071" s="614" t="s">
        <v>3128</v>
      </c>
      <c r="E3071" s="531" t="s">
        <v>2583</v>
      </c>
      <c r="F3071" s="287" t="s">
        <v>3048</v>
      </c>
      <c r="G3071" s="287" t="s">
        <v>3640</v>
      </c>
      <c r="H3071" s="289"/>
      <c r="I3071" s="1509"/>
      <c r="J3071" s="1509"/>
      <c r="K3071" s="1509"/>
      <c r="L3071" s="1509"/>
      <c r="M3071" s="1509"/>
      <c r="N3071" s="1510"/>
    </row>
    <row r="3072" spans="1:14">
      <c r="A3072" s="1639"/>
      <c r="B3072" s="1395" t="s">
        <v>4146</v>
      </c>
      <c r="C3072" s="888"/>
      <c r="D3072" s="901"/>
      <c r="E3072" s="292"/>
      <c r="F3072" s="297"/>
      <c r="G3072" s="692"/>
      <c r="H3072" s="1172"/>
      <c r="I3072" s="1509"/>
      <c r="J3072" s="1509"/>
      <c r="K3072" s="1509"/>
      <c r="L3072" s="1509"/>
      <c r="M3072" s="1509"/>
      <c r="N3072" s="1510"/>
    </row>
    <row r="3073" spans="1:14">
      <c r="A3073" s="1639"/>
      <c r="B3073" s="501" t="s">
        <v>4144</v>
      </c>
      <c r="C3073" s="888"/>
      <c r="D3073" s="901">
        <v>4.5</v>
      </c>
      <c r="E3073" s="292">
        <v>1</v>
      </c>
      <c r="F3073" s="297">
        <v>5.18</v>
      </c>
      <c r="G3073" s="692"/>
      <c r="H3073" s="1172">
        <v>5.18</v>
      </c>
      <c r="I3073" s="1509"/>
      <c r="J3073" s="1509"/>
      <c r="K3073" s="1509"/>
      <c r="L3073" s="1509"/>
      <c r="M3073" s="1509"/>
      <c r="N3073" s="1510"/>
    </row>
    <row r="3074" spans="1:14">
      <c r="A3074" s="1575"/>
      <c r="B3074" s="501" t="s">
        <v>3789</v>
      </c>
      <c r="C3074" s="1186"/>
      <c r="D3074" s="901">
        <v>2.48</v>
      </c>
      <c r="E3074" s="312">
        <v>1</v>
      </c>
      <c r="F3074" s="292">
        <v>2.85</v>
      </c>
      <c r="G3074" s="311"/>
      <c r="H3074" s="1172">
        <v>2.85</v>
      </c>
      <c r="I3074" s="1509"/>
      <c r="J3074" s="1509"/>
      <c r="K3074" s="1509"/>
      <c r="L3074" s="1509"/>
      <c r="M3074" s="1509"/>
      <c r="N3074" s="1510"/>
    </row>
    <row r="3075" spans="1:14">
      <c r="A3075" s="1576"/>
      <c r="B3075" s="355" t="s">
        <v>4132</v>
      </c>
      <c r="C3075" s="1394"/>
      <c r="D3075" s="1187">
        <v>4.79</v>
      </c>
      <c r="E3075" s="1187">
        <v>1</v>
      </c>
      <c r="F3075" s="294">
        <v>5.51</v>
      </c>
      <c r="G3075" s="294"/>
      <c r="H3075" s="1172">
        <v>5.51</v>
      </c>
      <c r="I3075" s="1509"/>
      <c r="J3075" s="1509"/>
      <c r="K3075" s="1509"/>
      <c r="L3075" s="1509"/>
      <c r="M3075" s="1509"/>
      <c r="N3075" s="1510"/>
    </row>
    <row r="3076" spans="1:14">
      <c r="A3076" s="1577" t="s">
        <v>2218</v>
      </c>
      <c r="B3076" s="1542"/>
      <c r="C3076" s="1542"/>
      <c r="D3076" s="1542"/>
      <c r="E3076" s="1542"/>
      <c r="F3076" s="1542"/>
      <c r="G3076" s="1542"/>
      <c r="H3076" s="271">
        <f>SUM(H3073:H3075)</f>
        <v>13.54</v>
      </c>
      <c r="I3076" s="1509"/>
      <c r="J3076" s="1509"/>
      <c r="K3076" s="1509"/>
      <c r="L3076" s="1509"/>
      <c r="M3076" s="1509"/>
      <c r="N3076" s="1510"/>
    </row>
    <row r="3077" spans="1:14">
      <c r="A3077" s="1578" t="s">
        <v>2219</v>
      </c>
      <c r="B3077" s="1538"/>
      <c r="C3077" s="1538"/>
      <c r="D3077" s="1538"/>
      <c r="E3077" s="1538"/>
      <c r="F3077" s="1538"/>
      <c r="G3077" s="1538"/>
      <c r="H3077" s="320">
        <f>SUM(H3071)</f>
        <v>0</v>
      </c>
      <c r="I3077" s="1509"/>
      <c r="J3077" s="1509"/>
      <c r="K3077" s="1509"/>
      <c r="L3077" s="1509"/>
      <c r="M3077" s="1509"/>
      <c r="N3077" s="1510"/>
    </row>
    <row r="3078" spans="1:14" ht="15.75" thickBot="1">
      <c r="A3078" s="1579" t="s">
        <v>2220</v>
      </c>
      <c r="B3078" s="1580"/>
      <c r="C3078" s="1580"/>
      <c r="D3078" s="1580"/>
      <c r="E3078" s="1580"/>
      <c r="F3078" s="1580"/>
      <c r="G3078" s="1580"/>
      <c r="H3078" s="633">
        <f>H3076-H3077</f>
        <v>13.54</v>
      </c>
      <c r="I3078" s="1512"/>
      <c r="J3078" s="1512"/>
      <c r="K3078" s="1512"/>
      <c r="L3078" s="1512"/>
      <c r="M3078" s="1512"/>
      <c r="N3078" s="1513"/>
    </row>
    <row r="3079" spans="1:14" ht="15.75" thickBot="1">
      <c r="A3079" s="1104"/>
      <c r="B3079" s="278"/>
      <c r="C3079" s="278"/>
      <c r="D3079" s="278"/>
      <c r="E3079" s="1319"/>
      <c r="F3079" s="278"/>
      <c r="G3079" s="278"/>
      <c r="H3079" s="766"/>
      <c r="I3079" s="279"/>
      <c r="J3079" s="279"/>
      <c r="K3079" s="279"/>
      <c r="L3079" s="279"/>
      <c r="M3079" s="279"/>
      <c r="N3079" s="279"/>
    </row>
    <row r="3080" spans="1:14" ht="15.75" thickBot="1">
      <c r="A3080" s="1085" t="s">
        <v>3231</v>
      </c>
      <c r="B3080" s="1571" t="s">
        <v>3232</v>
      </c>
      <c r="C3080" s="1572"/>
      <c r="D3080" s="1572"/>
      <c r="E3080" s="1572"/>
      <c r="F3080" s="1572"/>
      <c r="G3080" s="1572"/>
      <c r="H3080" s="1572"/>
      <c r="I3080" s="1572"/>
      <c r="J3080" s="1572"/>
      <c r="K3080" s="1572"/>
      <c r="L3080" s="1572"/>
      <c r="M3080" s="1572"/>
      <c r="N3080" s="1573"/>
    </row>
    <row r="3081" spans="1:14" ht="42.6" customHeight="1">
      <c r="A3081" s="1085" t="s">
        <v>2948</v>
      </c>
      <c r="B3081" s="1494" t="s">
        <v>2135</v>
      </c>
      <c r="C3081" s="1495"/>
      <c r="D3081" s="1495"/>
      <c r="E3081" s="1495"/>
      <c r="F3081" s="1495"/>
      <c r="G3081" s="1495"/>
      <c r="H3081" s="1495"/>
      <c r="I3081" s="1495"/>
      <c r="J3081" s="1496"/>
      <c r="K3081" s="266" t="s">
        <v>92</v>
      </c>
      <c r="L3081" s="1497">
        <f>'27ª MEDIÇÃO '!F193</f>
        <v>4735.6000000000004</v>
      </c>
      <c r="M3081" s="1498"/>
      <c r="N3081" s="197">
        <f>L3081-H3090</f>
        <v>0</v>
      </c>
    </row>
    <row r="3082" spans="1:14" ht="24">
      <c r="A3082" s="1218"/>
      <c r="B3082" s="298"/>
      <c r="C3082" s="297" t="s">
        <v>2627</v>
      </c>
      <c r="D3082" s="297" t="s">
        <v>2187</v>
      </c>
      <c r="E3082" s="903" t="s">
        <v>2928</v>
      </c>
      <c r="F3082" s="297" t="s">
        <v>2945</v>
      </c>
      <c r="G3082" s="297" t="s">
        <v>2709</v>
      </c>
      <c r="H3082" s="634" t="s">
        <v>476</v>
      </c>
      <c r="I3082" s="1727"/>
      <c r="J3082" s="1509"/>
      <c r="K3082" s="1509"/>
      <c r="L3082" s="1509"/>
      <c r="M3082" s="1509"/>
      <c r="N3082" s="1510"/>
    </row>
    <row r="3083" spans="1:14">
      <c r="A3083" s="1218" t="s">
        <v>2942</v>
      </c>
      <c r="B3083" s="290" t="s">
        <v>2947</v>
      </c>
      <c r="C3083" s="292"/>
      <c r="D3083" s="291"/>
      <c r="E3083" s="1340"/>
      <c r="F3083" s="291"/>
      <c r="G3083" s="291"/>
      <c r="H3083" s="635">
        <f>C3083</f>
        <v>0</v>
      </c>
      <c r="I3083" s="1727"/>
      <c r="J3083" s="1509"/>
      <c r="K3083" s="1509"/>
      <c r="L3083" s="1509"/>
      <c r="M3083" s="1509"/>
      <c r="N3083" s="1510"/>
    </row>
    <row r="3084" spans="1:14">
      <c r="A3084" s="1219" t="s">
        <v>2997</v>
      </c>
      <c r="B3084" s="290" t="s">
        <v>3097</v>
      </c>
      <c r="C3084" s="292"/>
      <c r="D3084" s="292"/>
      <c r="E3084" s="901"/>
      <c r="F3084" s="341"/>
      <c r="G3084" s="341"/>
      <c r="H3084" s="635">
        <f>3929.04-H3080</f>
        <v>3929.04</v>
      </c>
      <c r="I3084" s="1727"/>
      <c r="J3084" s="1509"/>
      <c r="K3084" s="1509"/>
      <c r="L3084" s="1509"/>
      <c r="M3084" s="1509"/>
      <c r="N3084" s="1510"/>
    </row>
    <row r="3085" spans="1:14">
      <c r="A3085" s="1219" t="s">
        <v>3158</v>
      </c>
      <c r="B3085" s="290" t="s">
        <v>3171</v>
      </c>
      <c r="C3085" s="312"/>
      <c r="D3085" s="312"/>
      <c r="E3085" s="907"/>
      <c r="F3085" s="351"/>
      <c r="G3085" s="351"/>
      <c r="H3085" s="635">
        <v>711.81</v>
      </c>
      <c r="I3085" s="1727"/>
      <c r="J3085" s="1509"/>
      <c r="K3085" s="1509"/>
      <c r="L3085" s="1509"/>
      <c r="M3085" s="1509"/>
      <c r="N3085" s="1510"/>
    </row>
    <row r="3086" spans="1:14">
      <c r="A3086" s="1725" t="s">
        <v>3892</v>
      </c>
      <c r="B3086" s="699" t="s">
        <v>3898</v>
      </c>
      <c r="C3086" s="297"/>
      <c r="D3086" s="297"/>
      <c r="E3086" s="298"/>
      <c r="F3086" s="297"/>
      <c r="G3086" s="297"/>
      <c r="H3086" s="1221">
        <v>75.45</v>
      </c>
      <c r="I3086" s="1509"/>
      <c r="J3086" s="1509"/>
      <c r="K3086" s="1509"/>
      <c r="L3086" s="1509"/>
      <c r="M3086" s="1509"/>
      <c r="N3086" s="1510"/>
    </row>
    <row r="3087" spans="1:14">
      <c r="A3087" s="1725"/>
      <c r="B3087" s="1202" t="s">
        <v>3899</v>
      </c>
      <c r="C3087" s="291"/>
      <c r="D3087" s="291"/>
      <c r="E3087" s="290"/>
      <c r="F3087" s="292"/>
      <c r="G3087" s="291"/>
      <c r="H3087" s="1222">
        <v>6.35</v>
      </c>
      <c r="I3087" s="1509"/>
      <c r="J3087" s="1509"/>
      <c r="K3087" s="1509"/>
      <c r="L3087" s="1509"/>
      <c r="M3087" s="1509"/>
      <c r="N3087" s="1510"/>
    </row>
    <row r="3088" spans="1:14">
      <c r="A3088" s="1860"/>
      <c r="B3088" s="597" t="s">
        <v>3900</v>
      </c>
      <c r="C3088" s="292"/>
      <c r="D3088" s="292"/>
      <c r="E3088" s="290"/>
      <c r="F3088" s="292"/>
      <c r="G3088" s="292"/>
      <c r="H3088" s="1222">
        <v>12.95</v>
      </c>
      <c r="I3088" s="1509"/>
      <c r="J3088" s="1509"/>
      <c r="K3088" s="1509"/>
      <c r="L3088" s="1509"/>
      <c r="M3088" s="1509"/>
      <c r="N3088" s="1510"/>
    </row>
    <row r="3089" spans="1:14">
      <c r="A3089" s="1220" t="s">
        <v>3981</v>
      </c>
      <c r="B3089" s="597" t="s">
        <v>4000</v>
      </c>
      <c r="C3089" s="375"/>
      <c r="D3089" s="375"/>
      <c r="E3089" s="695"/>
      <c r="F3089" s="375"/>
      <c r="G3089" s="375"/>
      <c r="H3089" s="1259"/>
      <c r="I3089" s="1509"/>
      <c r="J3089" s="1509"/>
      <c r="K3089" s="1509"/>
      <c r="L3089" s="1509"/>
      <c r="M3089" s="1509"/>
      <c r="N3089" s="1510"/>
    </row>
    <row r="3090" spans="1:14">
      <c r="A3090" s="1577" t="s">
        <v>2218</v>
      </c>
      <c r="B3090" s="1542"/>
      <c r="C3090" s="1542"/>
      <c r="D3090" s="1542"/>
      <c r="E3090" s="1542"/>
      <c r="F3090" s="1542"/>
      <c r="G3090" s="1542"/>
      <c r="H3090" s="271">
        <f>SUM(H3083:H3088)</f>
        <v>4735.6000000000004</v>
      </c>
      <c r="I3090" s="1509"/>
      <c r="J3090" s="1509"/>
      <c r="K3090" s="1509"/>
      <c r="L3090" s="1509"/>
      <c r="M3090" s="1509"/>
      <c r="N3090" s="1510"/>
    </row>
    <row r="3091" spans="1:14">
      <c r="A3091" s="1578" t="s">
        <v>2219</v>
      </c>
      <c r="B3091" s="1538"/>
      <c r="C3091" s="1538"/>
      <c r="D3091" s="1538"/>
      <c r="E3091" s="1538"/>
      <c r="F3091" s="1538"/>
      <c r="G3091" s="1538"/>
      <c r="H3091" s="320">
        <f>SUM(H3083:H3085)</f>
        <v>4640.8500000000004</v>
      </c>
      <c r="I3091" s="1509"/>
      <c r="J3091" s="1509"/>
      <c r="K3091" s="1509"/>
      <c r="L3091" s="1509"/>
      <c r="M3091" s="1509"/>
      <c r="N3091" s="1510"/>
    </row>
    <row r="3092" spans="1:14" ht="15.75" thickBot="1">
      <c r="A3092" s="1579" t="s">
        <v>2220</v>
      </c>
      <c r="B3092" s="1580"/>
      <c r="C3092" s="1580"/>
      <c r="D3092" s="1580"/>
      <c r="E3092" s="1580"/>
      <c r="F3092" s="1580"/>
      <c r="G3092" s="1580"/>
      <c r="H3092" s="633">
        <f>H3090-H3091</f>
        <v>94.75</v>
      </c>
      <c r="I3092" s="1512"/>
      <c r="J3092" s="1512"/>
      <c r="K3092" s="1512"/>
      <c r="L3092" s="1512"/>
      <c r="M3092" s="1512"/>
      <c r="N3092" s="1513"/>
    </row>
    <row r="3093" spans="1:14" ht="15.75" thickBot="1">
      <c r="A3093" s="278"/>
      <c r="B3093" s="278"/>
      <c r="C3093" s="278"/>
      <c r="D3093" s="281"/>
      <c r="E3093" s="1319"/>
      <c r="F3093" s="278"/>
      <c r="G3093" s="278"/>
      <c r="H3093" s="766"/>
      <c r="I3093" s="279"/>
      <c r="J3093" s="279"/>
      <c r="K3093" s="279"/>
      <c r="L3093" s="279"/>
      <c r="M3093" s="279"/>
      <c r="N3093" s="279"/>
    </row>
    <row r="3094" spans="1:14" ht="15.75" thickBot="1">
      <c r="A3094" s="1085" t="s">
        <v>3233</v>
      </c>
      <c r="B3094" s="1571" t="s">
        <v>958</v>
      </c>
      <c r="C3094" s="1572"/>
      <c r="D3094" s="1572"/>
      <c r="E3094" s="1572"/>
      <c r="F3094" s="1572"/>
      <c r="G3094" s="1572"/>
      <c r="H3094" s="1572"/>
      <c r="I3094" s="1572"/>
      <c r="J3094" s="1572"/>
      <c r="K3094" s="1572"/>
      <c r="L3094" s="1572"/>
      <c r="M3094" s="1572"/>
      <c r="N3094" s="1573"/>
    </row>
    <row r="3095" spans="1:14" ht="38.450000000000003" customHeight="1">
      <c r="A3095" s="1084" t="s">
        <v>3098</v>
      </c>
      <c r="B3095" s="1533" t="s">
        <v>2133</v>
      </c>
      <c r="C3095" s="1533"/>
      <c r="D3095" s="1533"/>
      <c r="E3095" s="1533"/>
      <c r="F3095" s="1533"/>
      <c r="G3095" s="1533"/>
      <c r="H3095" s="1533"/>
      <c r="I3095" s="1533"/>
      <c r="J3095" s="1533"/>
      <c r="K3095" s="266" t="s">
        <v>12</v>
      </c>
      <c r="L3095" s="1534">
        <f>'27ª MEDIÇÃO '!F195</f>
        <v>331.39</v>
      </c>
      <c r="M3095" s="1534"/>
      <c r="N3095" s="197">
        <f>L3095-H3102</f>
        <v>0</v>
      </c>
    </row>
    <row r="3096" spans="1:14">
      <c r="A3096" s="1574" t="s">
        <v>2997</v>
      </c>
      <c r="B3096" s="287"/>
      <c r="C3096" s="287"/>
      <c r="D3096" s="287"/>
      <c r="E3096" s="288"/>
      <c r="F3096" s="287"/>
      <c r="G3096" s="287"/>
      <c r="H3096" s="289"/>
      <c r="I3096" s="1509"/>
      <c r="J3096" s="1509"/>
      <c r="K3096" s="1509"/>
      <c r="L3096" s="1509"/>
      <c r="M3096" s="1509"/>
      <c r="N3096" s="1510"/>
    </row>
    <row r="3097" spans="1:14">
      <c r="A3097" s="1707"/>
      <c r="B3097" s="290" t="s">
        <v>3099</v>
      </c>
      <c r="C3097" s="291"/>
      <c r="D3097" s="291"/>
      <c r="E3097" s="290"/>
      <c r="F3097" s="292"/>
      <c r="G3097" s="291"/>
      <c r="H3097" s="293">
        <v>245.08</v>
      </c>
      <c r="I3097" s="1509"/>
      <c r="J3097" s="1509"/>
      <c r="K3097" s="1509"/>
      <c r="L3097" s="1509"/>
      <c r="M3097" s="1509"/>
      <c r="N3097" s="1510"/>
    </row>
    <row r="3098" spans="1:14">
      <c r="A3098" s="1576"/>
      <c r="B3098" s="294"/>
      <c r="C3098" s="294"/>
      <c r="D3098" s="294"/>
      <c r="E3098" s="295"/>
      <c r="F3098" s="294"/>
      <c r="G3098" s="294"/>
      <c r="H3098" s="296"/>
      <c r="I3098" s="1509"/>
      <c r="J3098" s="1509"/>
      <c r="K3098" s="1509"/>
      <c r="L3098" s="1509"/>
      <c r="M3098" s="1509"/>
      <c r="N3098" s="1510"/>
    </row>
    <row r="3099" spans="1:14">
      <c r="A3099" s="1219" t="s">
        <v>3158</v>
      </c>
      <c r="B3099" s="290" t="s">
        <v>3171</v>
      </c>
      <c r="C3099" s="291"/>
      <c r="D3099" s="291"/>
      <c r="E3099" s="290"/>
      <c r="F3099" s="292"/>
      <c r="G3099" s="291"/>
      <c r="H3099" s="635">
        <v>78.349999999999994</v>
      </c>
      <c r="I3099" s="1509"/>
      <c r="J3099" s="1509"/>
      <c r="K3099" s="1509"/>
      <c r="L3099" s="1509"/>
      <c r="M3099" s="1509"/>
      <c r="N3099" s="1510"/>
    </row>
    <row r="3100" spans="1:14">
      <c r="A3100" s="1219" t="s">
        <v>3892</v>
      </c>
      <c r="B3100" s="290" t="s">
        <v>3899</v>
      </c>
      <c r="C3100" s="291"/>
      <c r="D3100" s="291"/>
      <c r="E3100" s="290"/>
      <c r="F3100" s="292"/>
      <c r="G3100" s="291"/>
      <c r="H3100" s="635">
        <v>4.92</v>
      </c>
      <c r="I3100" s="1509"/>
      <c r="J3100" s="1509"/>
      <c r="K3100" s="1509"/>
      <c r="L3100" s="1509"/>
      <c r="M3100" s="1509"/>
      <c r="N3100" s="1510"/>
    </row>
    <row r="3101" spans="1:14">
      <c r="A3101" s="1220" t="s">
        <v>3981</v>
      </c>
      <c r="B3101" s="597" t="s">
        <v>4000</v>
      </c>
      <c r="C3101" s="292"/>
      <c r="D3101" s="292"/>
      <c r="E3101" s="290"/>
      <c r="F3101" s="292"/>
      <c r="G3101" s="292"/>
      <c r="H3101" s="292">
        <v>3.04</v>
      </c>
      <c r="I3101" s="1509"/>
      <c r="J3101" s="1509"/>
      <c r="K3101" s="1509"/>
      <c r="L3101" s="1509"/>
      <c r="M3101" s="1509"/>
      <c r="N3101" s="1510"/>
    </row>
    <row r="3102" spans="1:14">
      <c r="A3102" s="1577" t="s">
        <v>2218</v>
      </c>
      <c r="B3102" s="1542"/>
      <c r="C3102" s="1542"/>
      <c r="D3102" s="1542"/>
      <c r="E3102" s="1542"/>
      <c r="F3102" s="1542"/>
      <c r="G3102" s="1542"/>
      <c r="H3102" s="271">
        <f>SUM(H3096:H3101)</f>
        <v>331.39000000000004</v>
      </c>
      <c r="I3102" s="1509"/>
      <c r="J3102" s="1509"/>
      <c r="K3102" s="1509"/>
      <c r="L3102" s="1509"/>
      <c r="M3102" s="1509"/>
      <c r="N3102" s="1510"/>
    </row>
    <row r="3103" spans="1:14">
      <c r="A3103" s="1578" t="s">
        <v>2219</v>
      </c>
      <c r="B3103" s="1538"/>
      <c r="C3103" s="1538"/>
      <c r="D3103" s="1538"/>
      <c r="E3103" s="1538"/>
      <c r="F3103" s="1538"/>
      <c r="G3103" s="1538"/>
      <c r="H3103" s="320">
        <f>SUM(H3096:H3100)</f>
        <v>328.35</v>
      </c>
      <c r="I3103" s="1509"/>
      <c r="J3103" s="1509"/>
      <c r="K3103" s="1509"/>
      <c r="L3103" s="1509"/>
      <c r="M3103" s="1509"/>
      <c r="N3103" s="1510"/>
    </row>
    <row r="3104" spans="1:14" ht="15.75" thickBot="1">
      <c r="A3104" s="1579" t="s">
        <v>2220</v>
      </c>
      <c r="B3104" s="1580"/>
      <c r="C3104" s="1580"/>
      <c r="D3104" s="1580"/>
      <c r="E3104" s="1580"/>
      <c r="F3104" s="1580"/>
      <c r="G3104" s="1580"/>
      <c r="H3104" s="633">
        <f>H3102-H3103</f>
        <v>3.0400000000000205</v>
      </c>
      <c r="I3104" s="1512"/>
      <c r="J3104" s="1512"/>
      <c r="K3104" s="1512"/>
      <c r="L3104" s="1512"/>
      <c r="M3104" s="1512"/>
      <c r="N3104" s="1513"/>
    </row>
    <row r="3105" spans="1:14" ht="15.75" thickBot="1">
      <c r="A3105" s="278"/>
      <c r="B3105" s="278"/>
      <c r="C3105" s="278"/>
      <c r="D3105" s="281"/>
      <c r="E3105" s="1319"/>
      <c r="F3105" s="278"/>
      <c r="G3105" s="278"/>
      <c r="H3105" s="766"/>
      <c r="I3105" s="279"/>
      <c r="J3105" s="279"/>
      <c r="K3105" s="279"/>
      <c r="L3105" s="279"/>
      <c r="M3105" s="279"/>
      <c r="N3105" s="279"/>
    </row>
    <row r="3106" spans="1:14" ht="15.75" thickBot="1">
      <c r="A3106" s="1085" t="s">
        <v>3234</v>
      </c>
      <c r="B3106" s="1571" t="s">
        <v>962</v>
      </c>
      <c r="C3106" s="1572"/>
      <c r="D3106" s="1572"/>
      <c r="E3106" s="1572"/>
      <c r="F3106" s="1572"/>
      <c r="G3106" s="1572"/>
      <c r="H3106" s="1572"/>
      <c r="I3106" s="1572"/>
      <c r="J3106" s="1572"/>
      <c r="K3106" s="1572"/>
      <c r="L3106" s="1572"/>
      <c r="M3106" s="1572"/>
      <c r="N3106" s="1573"/>
    </row>
    <row r="3107" spans="1:14" ht="38.450000000000003" customHeight="1">
      <c r="A3107" s="1084" t="s">
        <v>3229</v>
      </c>
      <c r="B3107" s="1533" t="s">
        <v>965</v>
      </c>
      <c r="C3107" s="1533"/>
      <c r="D3107" s="1533"/>
      <c r="E3107" s="1533"/>
      <c r="F3107" s="1533"/>
      <c r="G3107" s="1533"/>
      <c r="H3107" s="1533"/>
      <c r="I3107" s="1533"/>
      <c r="J3107" s="1533"/>
      <c r="K3107" s="266" t="s">
        <v>12</v>
      </c>
      <c r="L3107" s="1534">
        <f>'27ª MEDIÇÃO '!F197</f>
        <v>48.78</v>
      </c>
      <c r="M3107" s="1534"/>
      <c r="N3107" s="197">
        <f>L3107-H3111</f>
        <v>5.2100000000000009</v>
      </c>
    </row>
    <row r="3108" spans="1:14">
      <c r="A3108" s="1574" t="s">
        <v>4080</v>
      </c>
      <c r="B3108" s="287"/>
      <c r="C3108" s="287"/>
      <c r="D3108" s="287"/>
      <c r="E3108" s="288"/>
      <c r="F3108" s="287"/>
      <c r="G3108" s="287"/>
      <c r="H3108" s="289"/>
      <c r="I3108" s="1509"/>
      <c r="J3108" s="1509"/>
      <c r="K3108" s="1509"/>
      <c r="L3108" s="1509"/>
      <c r="M3108" s="1509"/>
      <c r="N3108" s="1510"/>
    </row>
    <row r="3109" spans="1:14">
      <c r="A3109" s="1707"/>
      <c r="B3109" s="1202" t="s">
        <v>4142</v>
      </c>
      <c r="C3109" s="291"/>
      <c r="D3109" s="291"/>
      <c r="E3109" s="290"/>
      <c r="F3109" s="1716">
        <v>1414.07</v>
      </c>
      <c r="G3109" s="1717"/>
      <c r="H3109" s="1720">
        <v>43.57</v>
      </c>
      <c r="I3109" s="1509"/>
      <c r="J3109" s="1509"/>
      <c r="K3109" s="1509"/>
      <c r="L3109" s="1509"/>
      <c r="M3109" s="1509"/>
      <c r="N3109" s="1510"/>
    </row>
    <row r="3110" spans="1:14">
      <c r="A3110" s="1576"/>
      <c r="B3110" s="599" t="s">
        <v>4141</v>
      </c>
      <c r="C3110" s="294"/>
      <c r="D3110" s="294"/>
      <c r="E3110" s="295"/>
      <c r="F3110" s="1718">
        <v>4490.38</v>
      </c>
      <c r="G3110" s="1719"/>
      <c r="H3110" s="1721"/>
      <c r="I3110" s="1509"/>
      <c r="J3110" s="1509"/>
      <c r="K3110" s="1509"/>
      <c r="L3110" s="1509"/>
      <c r="M3110" s="1509"/>
      <c r="N3110" s="1510"/>
    </row>
    <row r="3111" spans="1:14">
      <c r="A3111" s="1577" t="s">
        <v>2218</v>
      </c>
      <c r="B3111" s="1542"/>
      <c r="C3111" s="1542"/>
      <c r="D3111" s="1542"/>
      <c r="E3111" s="1542"/>
      <c r="F3111" s="1542"/>
      <c r="G3111" s="1542"/>
      <c r="H3111" s="271">
        <f>SUM(H3108:H3110)</f>
        <v>43.57</v>
      </c>
      <c r="I3111" s="1509"/>
      <c r="J3111" s="1509"/>
      <c r="K3111" s="1509"/>
      <c r="L3111" s="1509"/>
      <c r="M3111" s="1509"/>
      <c r="N3111" s="1510"/>
    </row>
    <row r="3112" spans="1:14">
      <c r="A3112" s="1578" t="s">
        <v>2219</v>
      </c>
      <c r="B3112" s="1538"/>
      <c r="C3112" s="1538"/>
      <c r="D3112" s="1538"/>
      <c r="E3112" s="1538"/>
      <c r="F3112" s="1538"/>
      <c r="G3112" s="1538"/>
      <c r="H3112" s="320">
        <f>SUM(H3108:H3110)</f>
        <v>43.57</v>
      </c>
      <c r="I3112" s="1509"/>
      <c r="J3112" s="1509"/>
      <c r="K3112" s="1509"/>
      <c r="L3112" s="1509"/>
      <c r="M3112" s="1509"/>
      <c r="N3112" s="1510"/>
    </row>
    <row r="3113" spans="1:14" ht="15.75" thickBot="1">
      <c r="A3113" s="1579" t="s">
        <v>2220</v>
      </c>
      <c r="B3113" s="1580"/>
      <c r="C3113" s="1580"/>
      <c r="D3113" s="1580"/>
      <c r="E3113" s="1580"/>
      <c r="F3113" s="1580"/>
      <c r="G3113" s="1580"/>
      <c r="H3113" s="633">
        <f>H3111-H3112</f>
        <v>0</v>
      </c>
      <c r="I3113" s="1512"/>
      <c r="J3113" s="1512"/>
      <c r="K3113" s="1512"/>
      <c r="L3113" s="1512"/>
      <c r="M3113" s="1512"/>
      <c r="N3113" s="1513"/>
    </row>
    <row r="3114" spans="1:14" ht="15.75" thickBot="1">
      <c r="A3114" s="278"/>
      <c r="B3114" s="278"/>
      <c r="C3114" s="278"/>
      <c r="D3114" s="281"/>
      <c r="E3114" s="1319"/>
      <c r="F3114" s="278"/>
      <c r="G3114" s="278"/>
      <c r="H3114" s="766"/>
      <c r="I3114" s="279"/>
      <c r="J3114" s="279"/>
      <c r="K3114" s="279"/>
      <c r="L3114" s="279"/>
      <c r="M3114" s="279"/>
      <c r="N3114" s="279"/>
    </row>
    <row r="3115" spans="1:14" ht="38.450000000000003" customHeight="1">
      <c r="A3115" s="1084" t="s">
        <v>3230</v>
      </c>
      <c r="B3115" s="1533" t="s">
        <v>968</v>
      </c>
      <c r="C3115" s="1533"/>
      <c r="D3115" s="1533"/>
      <c r="E3115" s="1533"/>
      <c r="F3115" s="1533"/>
      <c r="G3115" s="1533"/>
      <c r="H3115" s="1533"/>
      <c r="I3115" s="1533"/>
      <c r="J3115" s="1533"/>
      <c r="K3115" s="266" t="s">
        <v>12</v>
      </c>
      <c r="L3115" s="1534">
        <f>'27ª MEDIÇÃO '!F198</f>
        <v>100.11</v>
      </c>
      <c r="M3115" s="1534"/>
      <c r="N3115" s="197">
        <f>L3115-H3123</f>
        <v>0</v>
      </c>
    </row>
    <row r="3116" spans="1:14" ht="36">
      <c r="A3116" s="1163"/>
      <c r="B3116" s="287"/>
      <c r="C3116" s="287" t="s">
        <v>3031</v>
      </c>
      <c r="D3116" s="531" t="s">
        <v>3238</v>
      </c>
      <c r="E3116" s="614" t="s">
        <v>3236</v>
      </c>
      <c r="F3116" s="287" t="s">
        <v>3237</v>
      </c>
      <c r="G3116" s="287"/>
      <c r="H3116" s="289"/>
      <c r="I3116" s="1509"/>
      <c r="J3116" s="1509"/>
      <c r="K3116" s="1509"/>
      <c r="L3116" s="1509"/>
      <c r="M3116" s="1509"/>
      <c r="N3116" s="1510"/>
    </row>
    <row r="3117" spans="1:14">
      <c r="A3117" s="1575" t="s">
        <v>3217</v>
      </c>
      <c r="B3117" s="290" t="s">
        <v>3099</v>
      </c>
      <c r="C3117" s="888">
        <v>22.21</v>
      </c>
      <c r="D3117" s="888">
        <v>1.48</v>
      </c>
      <c r="E3117" s="888">
        <v>0.3</v>
      </c>
      <c r="F3117" s="292">
        <v>0.05</v>
      </c>
      <c r="G3117" s="291"/>
      <c r="H3117" s="293">
        <v>37.65</v>
      </c>
      <c r="I3117" s="1509"/>
      <c r="J3117" s="1509"/>
      <c r="K3117" s="1509"/>
      <c r="L3117" s="1509"/>
      <c r="M3117" s="1509"/>
      <c r="N3117" s="1510"/>
    </row>
    <row r="3118" spans="1:14">
      <c r="A3118" s="1640"/>
      <c r="B3118" s="310" t="s">
        <v>3235</v>
      </c>
      <c r="C3118" s="888">
        <v>11.4</v>
      </c>
      <c r="D3118" s="888">
        <v>0.85</v>
      </c>
      <c r="E3118" s="888">
        <v>0.3</v>
      </c>
      <c r="F3118" s="292">
        <v>0.05</v>
      </c>
      <c r="G3118" s="311"/>
      <c r="H3118" s="887">
        <v>13.68</v>
      </c>
      <c r="I3118" s="1509"/>
      <c r="J3118" s="1509"/>
      <c r="K3118" s="1509"/>
      <c r="L3118" s="1509"/>
      <c r="M3118" s="1509"/>
      <c r="N3118" s="1510"/>
    </row>
    <row r="3119" spans="1:14">
      <c r="A3119" s="1164"/>
      <c r="B3119" s="310"/>
      <c r="C3119" s="906"/>
      <c r="D3119" s="906"/>
      <c r="E3119" s="906"/>
      <c r="F3119" s="312"/>
      <c r="G3119" s="311"/>
      <c r="H3119" s="887"/>
      <c r="I3119" s="1509"/>
      <c r="J3119" s="1509"/>
      <c r="K3119" s="1509"/>
      <c r="L3119" s="1509"/>
      <c r="M3119" s="1509"/>
      <c r="N3119" s="1510"/>
    </row>
    <row r="3120" spans="1:14">
      <c r="A3120" s="1575" t="s">
        <v>3745</v>
      </c>
      <c r="B3120" s="1166" t="s">
        <v>3776</v>
      </c>
      <c r="C3120" s="1167">
        <v>41.55</v>
      </c>
      <c r="D3120" s="906"/>
      <c r="E3120" s="906"/>
      <c r="F3120" s="312"/>
      <c r="G3120" s="311"/>
      <c r="H3120" s="887">
        <f>C3120</f>
        <v>41.55</v>
      </c>
      <c r="I3120" s="1509"/>
      <c r="J3120" s="1509"/>
      <c r="K3120" s="1509"/>
      <c r="L3120" s="1509"/>
      <c r="M3120" s="1509"/>
      <c r="N3120" s="1510"/>
    </row>
    <row r="3121" spans="1:14" ht="25.5">
      <c r="A3121" s="1640"/>
      <c r="B3121" s="1166" t="s">
        <v>3777</v>
      </c>
      <c r="C3121" s="1168">
        <v>7.23</v>
      </c>
      <c r="D3121" s="906"/>
      <c r="E3121" s="906"/>
      <c r="F3121" s="312"/>
      <c r="G3121" s="311"/>
      <c r="H3121" s="887">
        <f>C3121</f>
        <v>7.23</v>
      </c>
      <c r="I3121" s="1509"/>
      <c r="J3121" s="1509"/>
      <c r="K3121" s="1509"/>
      <c r="L3121" s="1509"/>
      <c r="M3121" s="1509"/>
      <c r="N3121" s="1510"/>
    </row>
    <row r="3122" spans="1:14">
      <c r="A3122" s="1165"/>
      <c r="B3122" s="294"/>
      <c r="C3122" s="294"/>
      <c r="D3122" s="294"/>
      <c r="E3122" s="295"/>
      <c r="F3122" s="294"/>
      <c r="G3122" s="294"/>
      <c r="H3122" s="296"/>
      <c r="I3122" s="1509"/>
      <c r="J3122" s="1509"/>
      <c r="K3122" s="1509"/>
      <c r="L3122" s="1509"/>
      <c r="M3122" s="1509"/>
      <c r="N3122" s="1510"/>
    </row>
    <row r="3123" spans="1:14">
      <c r="A3123" s="1577" t="s">
        <v>2218</v>
      </c>
      <c r="B3123" s="1542"/>
      <c r="C3123" s="1542"/>
      <c r="D3123" s="1542"/>
      <c r="E3123" s="1542"/>
      <c r="F3123" s="1542"/>
      <c r="G3123" s="1542"/>
      <c r="H3123" s="271">
        <f>SUM(H3116:H3122)</f>
        <v>100.11</v>
      </c>
      <c r="I3123" s="1509"/>
      <c r="J3123" s="1509"/>
      <c r="K3123" s="1509"/>
      <c r="L3123" s="1509"/>
      <c r="M3123" s="1509"/>
      <c r="N3123" s="1510"/>
    </row>
    <row r="3124" spans="1:14">
      <c r="A3124" s="1578" t="s">
        <v>2219</v>
      </c>
      <c r="B3124" s="1538"/>
      <c r="C3124" s="1538"/>
      <c r="D3124" s="1538"/>
      <c r="E3124" s="1538"/>
      <c r="F3124" s="1538"/>
      <c r="G3124" s="1538"/>
      <c r="H3124" s="320">
        <f>SUM(H3116:H3119)</f>
        <v>51.33</v>
      </c>
      <c r="I3124" s="1509"/>
      <c r="J3124" s="1509"/>
      <c r="K3124" s="1509"/>
      <c r="L3124" s="1509"/>
      <c r="M3124" s="1509"/>
      <c r="N3124" s="1510"/>
    </row>
    <row r="3125" spans="1:14" ht="15.75" thickBot="1">
      <c r="A3125" s="1579" t="s">
        <v>2220</v>
      </c>
      <c r="B3125" s="1580"/>
      <c r="C3125" s="1580"/>
      <c r="D3125" s="1580"/>
      <c r="E3125" s="1580"/>
      <c r="F3125" s="1580"/>
      <c r="G3125" s="1580"/>
      <c r="H3125" s="633">
        <f>H3123-H3124</f>
        <v>48.78</v>
      </c>
      <c r="I3125" s="1512"/>
      <c r="J3125" s="1512"/>
      <c r="K3125" s="1512"/>
      <c r="L3125" s="1512"/>
      <c r="M3125" s="1512"/>
      <c r="N3125" s="1513"/>
    </row>
    <row r="3126" spans="1:14" ht="15.75" thickBot="1">
      <c r="A3126" s="278"/>
      <c r="B3126" s="278"/>
      <c r="C3126" s="278"/>
      <c r="D3126" s="281"/>
      <c r="E3126" s="1319"/>
      <c r="F3126" s="278"/>
      <c r="G3126" s="278"/>
      <c r="H3126" s="766"/>
      <c r="I3126" s="279"/>
      <c r="J3126" s="279"/>
      <c r="K3126" s="279"/>
      <c r="L3126" s="279"/>
      <c r="M3126" s="279"/>
      <c r="N3126" s="279"/>
    </row>
    <row r="3127" spans="1:14" ht="29.45" customHeight="1">
      <c r="A3127" s="1084" t="s">
        <v>3172</v>
      </c>
      <c r="B3127" s="1533" t="s">
        <v>973</v>
      </c>
      <c r="C3127" s="1533"/>
      <c r="D3127" s="1533"/>
      <c r="E3127" s="1533"/>
      <c r="F3127" s="1533"/>
      <c r="G3127" s="1533"/>
      <c r="H3127" s="1533"/>
      <c r="I3127" s="1533"/>
      <c r="J3127" s="1533"/>
      <c r="K3127" s="266" t="s">
        <v>44</v>
      </c>
      <c r="L3127" s="1534">
        <f>'27ª MEDIÇÃO '!F200</f>
        <v>181.43</v>
      </c>
      <c r="M3127" s="1534"/>
      <c r="N3127" s="197">
        <f>L3127-H3138</f>
        <v>0</v>
      </c>
    </row>
    <row r="3128" spans="1:14">
      <c r="A3128" s="1710" t="s">
        <v>3158</v>
      </c>
      <c r="B3128" s="820"/>
      <c r="C3128" s="827"/>
      <c r="D3128" s="828" t="s">
        <v>3128</v>
      </c>
      <c r="E3128" s="288"/>
      <c r="F3128" s="287"/>
      <c r="G3128" s="287"/>
      <c r="H3128" s="289"/>
      <c r="I3128" s="1509"/>
      <c r="J3128" s="1509"/>
      <c r="K3128" s="1509"/>
      <c r="L3128" s="1509"/>
      <c r="M3128" s="1509"/>
      <c r="N3128" s="1510"/>
    </row>
    <row r="3129" spans="1:14">
      <c r="A3129" s="1536"/>
      <c r="B3129" s="516" t="s">
        <v>3173</v>
      </c>
      <c r="C3129" s="829"/>
      <c r="D3129" s="752">
        <v>52</v>
      </c>
      <c r="E3129" s="290"/>
      <c r="F3129" s="292"/>
      <c r="G3129" s="291"/>
      <c r="H3129" s="831">
        <f>D3129</f>
        <v>52</v>
      </c>
      <c r="I3129" s="1509"/>
      <c r="J3129" s="1509"/>
      <c r="K3129" s="1509"/>
      <c r="L3129" s="1509"/>
      <c r="M3129" s="1509"/>
      <c r="N3129" s="1510"/>
    </row>
    <row r="3130" spans="1:14">
      <c r="A3130" s="1536"/>
      <c r="B3130" s="436" t="s">
        <v>3174</v>
      </c>
      <c r="C3130" s="829"/>
      <c r="D3130" s="752">
        <v>36.17</v>
      </c>
      <c r="E3130" s="290"/>
      <c r="F3130" s="292"/>
      <c r="G3130" s="292"/>
      <c r="H3130" s="831">
        <f>D3130</f>
        <v>36.17</v>
      </c>
      <c r="I3130" s="1509"/>
      <c r="J3130" s="1509"/>
      <c r="K3130" s="1509"/>
      <c r="L3130" s="1509"/>
      <c r="M3130" s="1509"/>
      <c r="N3130" s="1510"/>
    </row>
    <row r="3131" spans="1:14">
      <c r="A3131" s="1537"/>
      <c r="B3131" s="753"/>
      <c r="C3131" s="830"/>
      <c r="D3131" s="754"/>
      <c r="E3131" s="295"/>
      <c r="F3131" s="294"/>
      <c r="G3131" s="294"/>
      <c r="H3131" s="296"/>
      <c r="I3131" s="1509"/>
      <c r="J3131" s="1509"/>
      <c r="K3131" s="1509"/>
      <c r="L3131" s="1509"/>
      <c r="M3131" s="1509"/>
      <c r="N3131" s="1510"/>
    </row>
    <row r="3132" spans="1:14">
      <c r="A3132" s="1535" t="s">
        <v>3465</v>
      </c>
      <c r="B3132" s="820"/>
      <c r="C3132" s="827"/>
      <c r="D3132" s="828" t="s">
        <v>3128</v>
      </c>
      <c r="E3132" s="288"/>
      <c r="F3132" s="287"/>
      <c r="G3132" s="287"/>
      <c r="H3132" s="289"/>
      <c r="I3132" s="1509"/>
      <c r="J3132" s="1509"/>
      <c r="K3132" s="1509"/>
      <c r="L3132" s="1509"/>
      <c r="M3132" s="1509"/>
      <c r="N3132" s="1510"/>
    </row>
    <row r="3133" spans="1:14">
      <c r="A3133" s="1529"/>
      <c r="B3133" s="516" t="s">
        <v>3173</v>
      </c>
      <c r="C3133" s="829"/>
      <c r="D3133" s="752">
        <v>31.1</v>
      </c>
      <c r="E3133" s="290"/>
      <c r="F3133" s="292"/>
      <c r="G3133" s="291"/>
      <c r="H3133" s="831">
        <f>D3133</f>
        <v>31.1</v>
      </c>
      <c r="I3133" s="1509"/>
      <c r="J3133" s="1509"/>
      <c r="K3133" s="1509"/>
      <c r="L3133" s="1509"/>
      <c r="M3133" s="1509"/>
      <c r="N3133" s="1510"/>
    </row>
    <row r="3134" spans="1:14">
      <c r="A3134" s="1097"/>
      <c r="B3134" s="436"/>
      <c r="C3134" s="829"/>
      <c r="D3134" s="752"/>
      <c r="E3134" s="290"/>
      <c r="F3134" s="292"/>
      <c r="G3134" s="292"/>
      <c r="H3134" s="831"/>
      <c r="I3134" s="1509"/>
      <c r="J3134" s="1509"/>
      <c r="K3134" s="1509"/>
      <c r="L3134" s="1509"/>
      <c r="M3134" s="1509"/>
      <c r="N3134" s="1510"/>
    </row>
    <row r="3135" spans="1:14">
      <c r="A3135" s="1529" t="s">
        <v>3745</v>
      </c>
      <c r="B3135" s="516" t="s">
        <v>3173</v>
      </c>
      <c r="C3135" s="1169"/>
      <c r="D3135" s="1171">
        <v>41.66</v>
      </c>
      <c r="E3135" s="310"/>
      <c r="F3135" s="312"/>
      <c r="G3135" s="312"/>
      <c r="H3135" s="831">
        <f>D3135</f>
        <v>41.66</v>
      </c>
      <c r="I3135" s="1509"/>
      <c r="J3135" s="1509"/>
      <c r="K3135" s="1509"/>
      <c r="L3135" s="1509"/>
      <c r="M3135" s="1509"/>
      <c r="N3135" s="1510"/>
    </row>
    <row r="3136" spans="1:14">
      <c r="A3136" s="1529"/>
      <c r="B3136" s="1170" t="s">
        <v>3778</v>
      </c>
      <c r="C3136" s="1169"/>
      <c r="D3136" s="1171">
        <v>17.170000000000002</v>
      </c>
      <c r="E3136" s="310"/>
      <c r="F3136" s="312"/>
      <c r="G3136" s="312"/>
      <c r="H3136" s="831">
        <f>D3136</f>
        <v>17.170000000000002</v>
      </c>
      <c r="I3136" s="1509"/>
      <c r="J3136" s="1509"/>
      <c r="K3136" s="1509"/>
      <c r="L3136" s="1509"/>
      <c r="M3136" s="1509"/>
      <c r="N3136" s="1510"/>
    </row>
    <row r="3137" spans="1:14">
      <c r="A3137" s="1545"/>
      <c r="B3137" s="1170" t="s">
        <v>3773</v>
      </c>
      <c r="C3137" s="830"/>
      <c r="D3137" s="1171">
        <v>3.33</v>
      </c>
      <c r="E3137" s="295"/>
      <c r="F3137" s="294"/>
      <c r="G3137" s="294"/>
      <c r="H3137" s="831">
        <f>D3137</f>
        <v>3.33</v>
      </c>
      <c r="I3137" s="1509"/>
      <c r="J3137" s="1509"/>
      <c r="K3137" s="1509"/>
      <c r="L3137" s="1509"/>
      <c r="M3137" s="1509"/>
      <c r="N3137" s="1510"/>
    </row>
    <row r="3138" spans="1:14">
      <c r="A3138" s="1577" t="s">
        <v>2218</v>
      </c>
      <c r="B3138" s="1542"/>
      <c r="C3138" s="1542"/>
      <c r="D3138" s="1542"/>
      <c r="E3138" s="1542"/>
      <c r="F3138" s="1542"/>
      <c r="G3138" s="1542"/>
      <c r="H3138" s="271">
        <f>SUM(H3128:H3137)</f>
        <v>181.43000000000004</v>
      </c>
      <c r="I3138" s="1509"/>
      <c r="J3138" s="1509"/>
      <c r="K3138" s="1509"/>
      <c r="L3138" s="1509"/>
      <c r="M3138" s="1509"/>
      <c r="N3138" s="1510"/>
    </row>
    <row r="3139" spans="1:14">
      <c r="A3139" s="1578" t="s">
        <v>2219</v>
      </c>
      <c r="B3139" s="1538"/>
      <c r="C3139" s="1538"/>
      <c r="D3139" s="1538"/>
      <c r="E3139" s="1538"/>
      <c r="F3139" s="1538"/>
      <c r="G3139" s="1538"/>
      <c r="H3139" s="320">
        <f>SUM(H3128:H3133)</f>
        <v>119.27000000000001</v>
      </c>
      <c r="I3139" s="1509"/>
      <c r="J3139" s="1509"/>
      <c r="K3139" s="1509"/>
      <c r="L3139" s="1509"/>
      <c r="M3139" s="1509"/>
      <c r="N3139" s="1510"/>
    </row>
    <row r="3140" spans="1:14" ht="15.75" thickBot="1">
      <c r="A3140" s="1579" t="s">
        <v>2220</v>
      </c>
      <c r="B3140" s="1580"/>
      <c r="C3140" s="1580"/>
      <c r="D3140" s="1580"/>
      <c r="E3140" s="1580"/>
      <c r="F3140" s="1580"/>
      <c r="G3140" s="1580"/>
      <c r="H3140" s="633">
        <f>H3138-H3139</f>
        <v>62.160000000000025</v>
      </c>
      <c r="I3140" s="1512"/>
      <c r="J3140" s="1512"/>
      <c r="K3140" s="1512"/>
      <c r="L3140" s="1512"/>
      <c r="M3140" s="1512"/>
      <c r="N3140" s="1513"/>
    </row>
    <row r="3141" spans="1:14" ht="15.75" thickBot="1">
      <c r="A3141" s="278"/>
      <c r="B3141" s="278"/>
      <c r="C3141" s="278"/>
      <c r="D3141" s="281"/>
      <c r="E3141" s="1319"/>
      <c r="F3141" s="278"/>
      <c r="G3141" s="278"/>
      <c r="H3141" s="766"/>
      <c r="I3141" s="279"/>
      <c r="J3141" s="279"/>
      <c r="K3141" s="279"/>
      <c r="L3141" s="279"/>
      <c r="M3141" s="279"/>
      <c r="N3141" s="279"/>
    </row>
    <row r="3142" spans="1:14" ht="15.75" thickBot="1">
      <c r="A3142" s="1085" t="s">
        <v>3244</v>
      </c>
      <c r="B3142" s="1571" t="s">
        <v>3245</v>
      </c>
      <c r="C3142" s="1572"/>
      <c r="D3142" s="1572"/>
      <c r="E3142" s="1572"/>
      <c r="F3142" s="1572"/>
      <c r="G3142" s="1572"/>
      <c r="H3142" s="1572"/>
      <c r="I3142" s="1572"/>
      <c r="J3142" s="1572"/>
      <c r="K3142" s="1572"/>
      <c r="L3142" s="1572"/>
      <c r="M3142" s="1572"/>
      <c r="N3142" s="1573"/>
    </row>
    <row r="3143" spans="1:14" ht="15.75" thickBot="1">
      <c r="A3143" s="1085" t="s">
        <v>3309</v>
      </c>
      <c r="B3143" s="1571" t="s">
        <v>3310</v>
      </c>
      <c r="C3143" s="1572"/>
      <c r="D3143" s="1572"/>
      <c r="E3143" s="1572"/>
      <c r="F3143" s="1572"/>
      <c r="G3143" s="1572"/>
      <c r="H3143" s="1572"/>
      <c r="I3143" s="1572"/>
      <c r="J3143" s="1572"/>
      <c r="K3143" s="1572"/>
      <c r="L3143" s="1572"/>
      <c r="M3143" s="1572"/>
      <c r="N3143" s="1573"/>
    </row>
    <row r="3144" spans="1:14" ht="38.450000000000003" customHeight="1">
      <c r="A3144" s="1084" t="s">
        <v>3311</v>
      </c>
      <c r="B3144" s="1533" t="s">
        <v>3312</v>
      </c>
      <c r="C3144" s="1533"/>
      <c r="D3144" s="1533"/>
      <c r="E3144" s="1533"/>
      <c r="F3144" s="1533"/>
      <c r="G3144" s="1533"/>
      <c r="H3144" s="1533"/>
      <c r="I3144" s="1533"/>
      <c r="J3144" s="1533"/>
      <c r="K3144" s="266" t="s">
        <v>12</v>
      </c>
      <c r="L3144" s="1534">
        <f>'27ª MEDIÇÃO '!F203</f>
        <v>176.99</v>
      </c>
      <c r="M3144" s="1534"/>
      <c r="N3144" s="197">
        <f>L3144-H3185</f>
        <v>-1.999999999981128E-3</v>
      </c>
    </row>
    <row r="3145" spans="1:14">
      <c r="A3145" s="1574" t="s">
        <v>3294</v>
      </c>
      <c r="B3145" s="287"/>
      <c r="C3145" s="287" t="s">
        <v>2222</v>
      </c>
      <c r="D3145" s="531" t="s">
        <v>3313</v>
      </c>
      <c r="E3145" s="614" t="s">
        <v>3314</v>
      </c>
      <c r="F3145" s="287" t="s">
        <v>3315</v>
      </c>
      <c r="G3145" s="287"/>
      <c r="H3145" s="289"/>
      <c r="I3145" s="1509"/>
      <c r="J3145" s="1509"/>
      <c r="K3145" s="1509"/>
      <c r="L3145" s="1509"/>
      <c r="M3145" s="1509"/>
      <c r="N3145" s="1510"/>
    </row>
    <row r="3146" spans="1:14">
      <c r="A3146" s="1640"/>
      <c r="B3146" s="900" t="s">
        <v>3304</v>
      </c>
      <c r="C3146" s="297"/>
      <c r="D3146" s="903"/>
      <c r="E3146" s="904"/>
      <c r="F3146" s="297"/>
      <c r="G3146" s="297"/>
      <c r="H3146" s="905"/>
      <c r="I3146" s="1509"/>
      <c r="J3146" s="1509"/>
      <c r="K3146" s="1509"/>
      <c r="L3146" s="1509"/>
      <c r="M3146" s="1509"/>
      <c r="N3146" s="1510"/>
    </row>
    <row r="3147" spans="1:14">
      <c r="A3147" s="1640"/>
      <c r="B3147" s="310" t="s">
        <v>3096</v>
      </c>
      <c r="C3147" s="297"/>
      <c r="D3147" s="903">
        <v>1.08</v>
      </c>
      <c r="E3147" s="903">
        <v>4.41</v>
      </c>
      <c r="F3147" s="297">
        <v>0.3</v>
      </c>
      <c r="G3147" s="297"/>
      <c r="H3147" s="905">
        <f t="shared" ref="H3147:H3156" si="76">F3147*E3147+D3147</f>
        <v>2.403</v>
      </c>
      <c r="I3147" s="1509"/>
      <c r="J3147" s="1509"/>
      <c r="K3147" s="1509"/>
      <c r="L3147" s="1509"/>
      <c r="M3147" s="1509"/>
      <c r="N3147" s="1510"/>
    </row>
    <row r="3148" spans="1:14">
      <c r="A3148" s="1640"/>
      <c r="B3148" s="310" t="s">
        <v>3316</v>
      </c>
      <c r="C3148" s="297"/>
      <c r="D3148" s="903">
        <v>1.08</v>
      </c>
      <c r="E3148" s="903">
        <v>4.4000000000000004</v>
      </c>
      <c r="F3148" s="297">
        <v>0.3</v>
      </c>
      <c r="G3148" s="297"/>
      <c r="H3148" s="905">
        <f t="shared" si="76"/>
        <v>2.4000000000000004</v>
      </c>
      <c r="I3148" s="1509"/>
      <c r="J3148" s="1509"/>
      <c r="K3148" s="1509"/>
      <c r="L3148" s="1509"/>
      <c r="M3148" s="1509"/>
      <c r="N3148" s="1510"/>
    </row>
    <row r="3149" spans="1:14">
      <c r="A3149" s="1640"/>
      <c r="B3149" s="310" t="s">
        <v>3317</v>
      </c>
      <c r="C3149" s="297"/>
      <c r="D3149" s="903">
        <v>3.22</v>
      </c>
      <c r="E3149" s="903">
        <v>7.77</v>
      </c>
      <c r="F3149" s="297">
        <v>0.3</v>
      </c>
      <c r="G3149" s="297"/>
      <c r="H3149" s="905">
        <f t="shared" si="76"/>
        <v>5.5510000000000002</v>
      </c>
      <c r="I3149" s="1509"/>
      <c r="J3149" s="1509"/>
      <c r="K3149" s="1509"/>
      <c r="L3149" s="1509"/>
      <c r="M3149" s="1509"/>
      <c r="N3149" s="1510"/>
    </row>
    <row r="3150" spans="1:14">
      <c r="A3150" s="1640"/>
      <c r="B3150" s="310" t="s">
        <v>3318</v>
      </c>
      <c r="C3150" s="297"/>
      <c r="D3150" s="903">
        <v>2.5299999999999998</v>
      </c>
      <c r="E3150" s="903">
        <v>7.42</v>
      </c>
      <c r="F3150" s="297">
        <v>0.3</v>
      </c>
      <c r="G3150" s="297"/>
      <c r="H3150" s="905">
        <f t="shared" si="76"/>
        <v>4.7560000000000002</v>
      </c>
      <c r="I3150" s="1509"/>
      <c r="J3150" s="1509"/>
      <c r="K3150" s="1509"/>
      <c r="L3150" s="1509"/>
      <c r="M3150" s="1509"/>
      <c r="N3150" s="1510"/>
    </row>
    <row r="3151" spans="1:14">
      <c r="A3151" s="1640"/>
      <c r="B3151" s="310" t="s">
        <v>3319</v>
      </c>
      <c r="C3151" s="297"/>
      <c r="D3151" s="903">
        <v>6.6</v>
      </c>
      <c r="E3151" s="903">
        <v>10.66</v>
      </c>
      <c r="F3151" s="297">
        <v>0.3</v>
      </c>
      <c r="G3151" s="297"/>
      <c r="H3151" s="905">
        <f t="shared" si="76"/>
        <v>9.798</v>
      </c>
      <c r="I3151" s="1509"/>
      <c r="J3151" s="1509"/>
      <c r="K3151" s="1509"/>
      <c r="L3151" s="1509"/>
      <c r="M3151" s="1509"/>
      <c r="N3151" s="1510"/>
    </row>
    <row r="3152" spans="1:14">
      <c r="A3152" s="1640"/>
      <c r="B3152" s="310" t="s">
        <v>3320</v>
      </c>
      <c r="C3152" s="297"/>
      <c r="D3152" s="903">
        <v>6.85</v>
      </c>
      <c r="E3152" s="903">
        <v>11.01</v>
      </c>
      <c r="F3152" s="297">
        <v>0.3</v>
      </c>
      <c r="G3152" s="297"/>
      <c r="H3152" s="905">
        <f t="shared" si="76"/>
        <v>10.152999999999999</v>
      </c>
      <c r="I3152" s="1509"/>
      <c r="J3152" s="1509"/>
      <c r="K3152" s="1509"/>
      <c r="L3152" s="1509"/>
      <c r="M3152" s="1509"/>
      <c r="N3152" s="1510"/>
    </row>
    <row r="3153" spans="1:14">
      <c r="A3153" s="1640"/>
      <c r="B3153" s="310" t="s">
        <v>3321</v>
      </c>
      <c r="C3153" s="297"/>
      <c r="D3153" s="903">
        <v>3.78</v>
      </c>
      <c r="E3153" s="903">
        <v>8.1199999999999992</v>
      </c>
      <c r="F3153" s="297">
        <v>0.3</v>
      </c>
      <c r="G3153" s="297"/>
      <c r="H3153" s="905">
        <f t="shared" si="76"/>
        <v>6.2159999999999993</v>
      </c>
      <c r="I3153" s="1509"/>
      <c r="J3153" s="1509"/>
      <c r="K3153" s="1509"/>
      <c r="L3153" s="1509"/>
      <c r="M3153" s="1509"/>
      <c r="N3153" s="1510"/>
    </row>
    <row r="3154" spans="1:14">
      <c r="A3154" s="1640"/>
      <c r="B3154" s="310" t="s">
        <v>2344</v>
      </c>
      <c r="C3154" s="297"/>
      <c r="D3154" s="903">
        <v>1.76</v>
      </c>
      <c r="E3154" s="903">
        <v>5.4</v>
      </c>
      <c r="F3154" s="297">
        <v>0.3</v>
      </c>
      <c r="G3154" s="297"/>
      <c r="H3154" s="905">
        <f t="shared" si="76"/>
        <v>3.38</v>
      </c>
      <c r="I3154" s="1509"/>
      <c r="J3154" s="1509"/>
      <c r="K3154" s="1509"/>
      <c r="L3154" s="1509"/>
      <c r="M3154" s="1509"/>
      <c r="N3154" s="1510"/>
    </row>
    <row r="3155" spans="1:14">
      <c r="A3155" s="1640"/>
      <c r="B3155" s="310" t="s">
        <v>3322</v>
      </c>
      <c r="C3155" s="297"/>
      <c r="D3155" s="903">
        <v>4.12</v>
      </c>
      <c r="E3155" s="903">
        <v>7.65</v>
      </c>
      <c r="F3155" s="297">
        <v>0.3</v>
      </c>
      <c r="G3155" s="297"/>
      <c r="H3155" s="905">
        <f t="shared" si="76"/>
        <v>6.415</v>
      </c>
      <c r="I3155" s="1509"/>
      <c r="J3155" s="1509"/>
      <c r="K3155" s="1509"/>
      <c r="L3155" s="1509"/>
      <c r="M3155" s="1509"/>
      <c r="N3155" s="1510"/>
    </row>
    <row r="3156" spans="1:14">
      <c r="A3156" s="1640"/>
      <c r="B3156" s="310" t="s">
        <v>3323</v>
      </c>
      <c r="C3156" s="297"/>
      <c r="D3156" s="903">
        <v>3.88</v>
      </c>
      <c r="E3156" s="903">
        <v>7.7</v>
      </c>
      <c r="F3156" s="297">
        <v>0.3</v>
      </c>
      <c r="G3156" s="297"/>
      <c r="H3156" s="905">
        <f t="shared" si="76"/>
        <v>6.1899999999999995</v>
      </c>
      <c r="I3156" s="1509"/>
      <c r="J3156" s="1509"/>
      <c r="K3156" s="1509"/>
      <c r="L3156" s="1509"/>
      <c r="M3156" s="1509"/>
      <c r="N3156" s="1510"/>
    </row>
    <row r="3157" spans="1:14">
      <c r="A3157" s="1640"/>
      <c r="B3157" s="900" t="s">
        <v>3305</v>
      </c>
      <c r="C3157" s="297"/>
      <c r="D3157" s="903"/>
      <c r="E3157" s="903"/>
      <c r="F3157" s="297"/>
      <c r="G3157" s="297"/>
      <c r="H3157" s="905"/>
      <c r="I3157" s="1509"/>
      <c r="J3157" s="1509"/>
      <c r="K3157" s="1509"/>
      <c r="L3157" s="1509"/>
      <c r="M3157" s="1509"/>
      <c r="N3157" s="1510"/>
    </row>
    <row r="3158" spans="1:14">
      <c r="A3158" s="1640"/>
      <c r="B3158" s="310" t="s">
        <v>2461</v>
      </c>
      <c r="C3158" s="297"/>
      <c r="D3158" s="903">
        <v>1.82</v>
      </c>
      <c r="E3158" s="903">
        <v>5.45</v>
      </c>
      <c r="F3158" s="297">
        <v>0.3</v>
      </c>
      <c r="G3158" s="297"/>
      <c r="H3158" s="905">
        <f t="shared" ref="H3158:H3164" si="77">F3158*E3158+D3158</f>
        <v>3.4550000000000001</v>
      </c>
      <c r="I3158" s="1509"/>
      <c r="J3158" s="1509"/>
      <c r="K3158" s="1509"/>
      <c r="L3158" s="1509"/>
      <c r="M3158" s="1509"/>
      <c r="N3158" s="1510"/>
    </row>
    <row r="3159" spans="1:14">
      <c r="A3159" s="1640"/>
      <c r="B3159" s="310" t="s">
        <v>3096</v>
      </c>
      <c r="C3159" s="297"/>
      <c r="D3159" s="903">
        <v>5.13</v>
      </c>
      <c r="E3159" s="903">
        <v>10.01</v>
      </c>
      <c r="F3159" s="297">
        <v>0.3</v>
      </c>
      <c r="G3159" s="297"/>
      <c r="H3159" s="905">
        <f t="shared" si="77"/>
        <v>8.1329999999999991</v>
      </c>
      <c r="I3159" s="1509"/>
      <c r="J3159" s="1509"/>
      <c r="K3159" s="1509"/>
      <c r="L3159" s="1509"/>
      <c r="M3159" s="1509"/>
      <c r="N3159" s="1510"/>
    </row>
    <row r="3160" spans="1:14">
      <c r="A3160" s="1707"/>
      <c r="B3160" s="310" t="s">
        <v>3324</v>
      </c>
      <c r="C3160" s="888"/>
      <c r="D3160" s="901">
        <v>3.33</v>
      </c>
      <c r="E3160" s="901">
        <v>7.55</v>
      </c>
      <c r="F3160" s="297">
        <v>0.3</v>
      </c>
      <c r="G3160" s="291"/>
      <c r="H3160" s="905">
        <f t="shared" si="77"/>
        <v>5.5949999999999998</v>
      </c>
      <c r="I3160" s="1509"/>
      <c r="J3160" s="1509"/>
      <c r="K3160" s="1509"/>
      <c r="L3160" s="1509"/>
      <c r="M3160" s="1509"/>
      <c r="N3160" s="1510"/>
    </row>
    <row r="3161" spans="1:14">
      <c r="A3161" s="1575"/>
      <c r="B3161" s="310" t="s">
        <v>3325</v>
      </c>
      <c r="C3161" s="888"/>
      <c r="D3161" s="901">
        <v>2.39</v>
      </c>
      <c r="E3161" s="901">
        <v>6.27</v>
      </c>
      <c r="F3161" s="297">
        <v>0.3</v>
      </c>
      <c r="G3161" s="311"/>
      <c r="H3161" s="905">
        <f t="shared" si="77"/>
        <v>4.2709999999999999</v>
      </c>
      <c r="I3161" s="1509"/>
      <c r="J3161" s="1509"/>
      <c r="K3161" s="1509"/>
      <c r="L3161" s="1509"/>
      <c r="M3161" s="1509"/>
      <c r="N3161" s="1510"/>
    </row>
    <row r="3162" spans="1:14">
      <c r="A3162" s="1575"/>
      <c r="B3162" s="310" t="s">
        <v>2344</v>
      </c>
      <c r="C3162" s="906"/>
      <c r="D3162" s="907">
        <v>1.98</v>
      </c>
      <c r="E3162" s="907">
        <v>5.8</v>
      </c>
      <c r="F3162" s="297">
        <v>0.3</v>
      </c>
      <c r="G3162" s="311"/>
      <c r="H3162" s="905">
        <f t="shared" si="77"/>
        <v>3.7199999999999998</v>
      </c>
      <c r="I3162" s="1509"/>
      <c r="J3162" s="1509"/>
      <c r="K3162" s="1509"/>
      <c r="L3162" s="1509"/>
      <c r="M3162" s="1509"/>
      <c r="N3162" s="1510"/>
    </row>
    <row r="3163" spans="1:14">
      <c r="A3163" s="1575"/>
      <c r="B3163" s="310" t="s">
        <v>3323</v>
      </c>
      <c r="C3163" s="906"/>
      <c r="D3163" s="907">
        <v>4.9000000000000004</v>
      </c>
      <c r="E3163" s="907">
        <v>8.9499999999999993</v>
      </c>
      <c r="F3163" s="297">
        <v>0.3</v>
      </c>
      <c r="G3163" s="311"/>
      <c r="H3163" s="905">
        <f t="shared" si="77"/>
        <v>7.585</v>
      </c>
      <c r="I3163" s="1509"/>
      <c r="J3163" s="1509"/>
      <c r="K3163" s="1509"/>
      <c r="L3163" s="1509"/>
      <c r="M3163" s="1509"/>
      <c r="N3163" s="1510"/>
    </row>
    <row r="3164" spans="1:14">
      <c r="A3164" s="1575"/>
      <c r="B3164" s="310" t="s">
        <v>3322</v>
      </c>
      <c r="C3164" s="906"/>
      <c r="D3164" s="907">
        <v>5.08</v>
      </c>
      <c r="E3164" s="907">
        <v>9.2899999999999991</v>
      </c>
      <c r="F3164" s="312">
        <v>0.3</v>
      </c>
      <c r="G3164" s="311"/>
      <c r="H3164" s="905">
        <f t="shared" si="77"/>
        <v>7.8669999999999991</v>
      </c>
      <c r="I3164" s="1509"/>
      <c r="J3164" s="1509"/>
      <c r="K3164" s="1509"/>
      <c r="L3164" s="1509"/>
      <c r="M3164" s="1509"/>
      <c r="N3164" s="1510"/>
    </row>
    <row r="3165" spans="1:14">
      <c r="A3165" s="1576"/>
      <c r="B3165" s="294"/>
      <c r="C3165" s="294"/>
      <c r="D3165" s="294"/>
      <c r="E3165" s="295"/>
      <c r="F3165" s="294"/>
      <c r="G3165" s="294"/>
      <c r="H3165" s="296"/>
      <c r="I3165" s="1509"/>
      <c r="J3165" s="1509"/>
      <c r="K3165" s="1509"/>
      <c r="L3165" s="1509"/>
      <c r="M3165" s="1509"/>
      <c r="N3165" s="1510"/>
    </row>
    <row r="3166" spans="1:14">
      <c r="A3166" s="1574" t="s">
        <v>3364</v>
      </c>
      <c r="B3166" s="287"/>
      <c r="C3166" s="287" t="s">
        <v>2222</v>
      </c>
      <c r="D3166" s="531" t="s">
        <v>3313</v>
      </c>
      <c r="E3166" s="614" t="s">
        <v>3314</v>
      </c>
      <c r="F3166" s="287" t="s">
        <v>3315</v>
      </c>
      <c r="G3166" s="287"/>
      <c r="H3166" s="289"/>
      <c r="I3166" s="1509"/>
      <c r="J3166" s="1509"/>
      <c r="K3166" s="1509"/>
      <c r="L3166" s="1509"/>
      <c r="M3166" s="1509"/>
      <c r="N3166" s="1510"/>
    </row>
    <row r="3167" spans="1:14">
      <c r="A3167" s="1640"/>
      <c r="B3167" s="900" t="s">
        <v>3304</v>
      </c>
      <c r="C3167" s="297"/>
      <c r="D3167" s="903"/>
      <c r="E3167" s="904"/>
      <c r="F3167" s="297"/>
      <c r="G3167" s="297"/>
      <c r="H3167" s="905"/>
      <c r="I3167" s="1509"/>
      <c r="J3167" s="1509"/>
      <c r="K3167" s="1509"/>
      <c r="L3167" s="1509"/>
      <c r="M3167" s="1509"/>
      <c r="N3167" s="1510"/>
    </row>
    <row r="3168" spans="1:14">
      <c r="A3168" s="1640"/>
      <c r="B3168" s="310" t="s">
        <v>3360</v>
      </c>
      <c r="C3168" s="297"/>
      <c r="D3168" s="903">
        <v>6.74</v>
      </c>
      <c r="E3168" s="903">
        <v>13.77</v>
      </c>
      <c r="F3168" s="297">
        <v>0.3</v>
      </c>
      <c r="G3168" s="297"/>
      <c r="H3168" s="905">
        <f>F3168*E3168+D3168</f>
        <v>10.870999999999999</v>
      </c>
      <c r="I3168" s="1509"/>
      <c r="J3168" s="1509"/>
      <c r="K3168" s="1509"/>
      <c r="L3168" s="1509"/>
      <c r="M3168" s="1509"/>
      <c r="N3168" s="1510"/>
    </row>
    <row r="3169" spans="1:14">
      <c r="A3169" s="1640"/>
      <c r="B3169" s="310" t="s">
        <v>3386</v>
      </c>
      <c r="C3169" s="297"/>
      <c r="D3169" s="903">
        <v>17.170000000000002</v>
      </c>
      <c r="E3169" s="903">
        <v>21.91</v>
      </c>
      <c r="F3169" s="297">
        <v>0.3</v>
      </c>
      <c r="G3169" s="297"/>
      <c r="H3169" s="905">
        <f>F3169*E3169+D3169</f>
        <v>23.743000000000002</v>
      </c>
      <c r="I3169" s="1509"/>
      <c r="J3169" s="1509"/>
      <c r="K3169" s="1509"/>
      <c r="L3169" s="1509"/>
      <c r="M3169" s="1509"/>
      <c r="N3169" s="1510"/>
    </row>
    <row r="3170" spans="1:14">
      <c r="A3170" s="1640"/>
      <c r="B3170" s="900" t="s">
        <v>3305</v>
      </c>
      <c r="C3170" s="297"/>
      <c r="D3170" s="903"/>
      <c r="E3170" s="903"/>
      <c r="F3170" s="297"/>
      <c r="G3170" s="297"/>
      <c r="H3170" s="905"/>
      <c r="I3170" s="1509"/>
      <c r="J3170" s="1509"/>
      <c r="K3170" s="1509"/>
      <c r="L3170" s="1509"/>
      <c r="M3170" s="1509"/>
      <c r="N3170" s="1510"/>
    </row>
    <row r="3171" spans="1:14">
      <c r="A3171" s="1640"/>
      <c r="B3171" s="310" t="s">
        <v>2342</v>
      </c>
      <c r="C3171" s="297"/>
      <c r="D3171" s="903">
        <v>12.59</v>
      </c>
      <c r="E3171" s="903">
        <v>16.04</v>
      </c>
      <c r="F3171" s="297">
        <v>0.3</v>
      </c>
      <c r="G3171" s="297"/>
      <c r="H3171" s="905">
        <f>F3171*E3171+D3171</f>
        <v>17.402000000000001</v>
      </c>
      <c r="I3171" s="1509"/>
      <c r="J3171" s="1509"/>
      <c r="K3171" s="1509"/>
      <c r="L3171" s="1509"/>
      <c r="M3171" s="1509"/>
      <c r="N3171" s="1510"/>
    </row>
    <row r="3172" spans="1:14">
      <c r="A3172" s="1576"/>
      <c r="B3172" s="294"/>
      <c r="C3172" s="294"/>
      <c r="D3172" s="294"/>
      <c r="E3172" s="295"/>
      <c r="F3172" s="294"/>
      <c r="G3172" s="294"/>
      <c r="H3172" s="296"/>
      <c r="I3172" s="1509"/>
      <c r="J3172" s="1509"/>
      <c r="K3172" s="1509"/>
      <c r="L3172" s="1509"/>
      <c r="M3172" s="1509"/>
      <c r="N3172" s="1510"/>
    </row>
    <row r="3173" spans="1:14">
      <c r="A3173" s="1530" t="s">
        <v>3620</v>
      </c>
      <c r="B3173" s="287"/>
      <c r="C3173" s="287" t="s">
        <v>2222</v>
      </c>
      <c r="D3173" s="531" t="s">
        <v>3313</v>
      </c>
      <c r="E3173" s="614" t="s">
        <v>3314</v>
      </c>
      <c r="F3173" s="287" t="s">
        <v>3315</v>
      </c>
      <c r="G3173" s="287"/>
      <c r="H3173" s="289"/>
      <c r="I3173" s="1509"/>
      <c r="J3173" s="1509"/>
      <c r="K3173" s="1509"/>
      <c r="L3173" s="1509"/>
      <c r="M3173" s="1509"/>
      <c r="N3173" s="1510"/>
    </row>
    <row r="3174" spans="1:14">
      <c r="A3174" s="1531"/>
      <c r="B3174" s="900" t="s">
        <v>3304</v>
      </c>
      <c r="C3174" s="297"/>
      <c r="D3174" s="903"/>
      <c r="E3174" s="904"/>
      <c r="F3174" s="297"/>
      <c r="G3174" s="297"/>
      <c r="H3174" s="905"/>
      <c r="I3174" s="1509"/>
      <c r="J3174" s="1509"/>
      <c r="K3174" s="1509"/>
      <c r="L3174" s="1509"/>
      <c r="M3174" s="1509"/>
      <c r="N3174" s="1510"/>
    </row>
    <row r="3175" spans="1:14">
      <c r="A3175" s="1546"/>
      <c r="B3175" s="310" t="s">
        <v>3589</v>
      </c>
      <c r="C3175" s="297"/>
      <c r="D3175" s="903">
        <v>2.2799999999999998</v>
      </c>
      <c r="E3175" s="903">
        <v>6.66</v>
      </c>
      <c r="F3175" s="297">
        <v>0.3</v>
      </c>
      <c r="G3175" s="297"/>
      <c r="H3175" s="905">
        <f>F3175*E3175+D3175</f>
        <v>4.2779999999999996</v>
      </c>
      <c r="I3175" s="1509"/>
      <c r="J3175" s="1509"/>
      <c r="K3175" s="1509"/>
      <c r="L3175" s="1509"/>
      <c r="M3175" s="1509"/>
      <c r="N3175" s="1510"/>
    </row>
    <row r="3176" spans="1:14">
      <c r="A3176" s="1173"/>
      <c r="B3176" s="310"/>
      <c r="C3176" s="692"/>
      <c r="D3176" s="993"/>
      <c r="E3176" s="993"/>
      <c r="F3176" s="692"/>
      <c r="G3176" s="692"/>
      <c r="H3176" s="1172"/>
      <c r="I3176" s="1509"/>
      <c r="J3176" s="1509"/>
      <c r="K3176" s="1509"/>
      <c r="L3176" s="1509"/>
      <c r="M3176" s="1509"/>
      <c r="N3176" s="1510"/>
    </row>
    <row r="3177" spans="1:14">
      <c r="A3177" s="1173" t="s">
        <v>3745</v>
      </c>
      <c r="B3177" s="1174" t="s">
        <v>3779</v>
      </c>
      <c r="C3177" s="692"/>
      <c r="D3177" s="1176">
        <v>1</v>
      </c>
      <c r="E3177" s="1175">
        <v>22.81</v>
      </c>
      <c r="F3177" s="692"/>
      <c r="G3177" s="692"/>
      <c r="H3177" s="1172">
        <f>D3177*E3177</f>
        <v>22.81</v>
      </c>
      <c r="I3177" s="1509"/>
      <c r="J3177" s="1509"/>
      <c r="K3177" s="1509"/>
      <c r="L3177" s="1509"/>
      <c r="M3177" s="1509"/>
      <c r="N3177" s="1510"/>
    </row>
    <row r="3178" spans="1:14">
      <c r="A3178" s="1173"/>
      <c r="B3178" s="310"/>
      <c r="C3178" s="692"/>
      <c r="D3178" s="993"/>
      <c r="E3178" s="993"/>
      <c r="F3178" s="692"/>
      <c r="G3178" s="692"/>
      <c r="H3178" s="1172"/>
      <c r="I3178" s="1509"/>
      <c r="J3178" s="1509"/>
      <c r="K3178" s="1509"/>
      <c r="L3178" s="1509"/>
      <c r="M3178" s="1509"/>
      <c r="N3178" s="1510"/>
    </row>
    <row r="3179" spans="1:14">
      <c r="A3179" s="1173"/>
      <c r="B3179" s="310"/>
      <c r="C3179" s="692"/>
      <c r="D3179" s="993"/>
      <c r="E3179" s="993"/>
      <c r="F3179" s="692"/>
      <c r="G3179" s="692"/>
      <c r="H3179" s="1172"/>
      <c r="I3179" s="1509"/>
      <c r="J3179" s="1509"/>
      <c r="K3179" s="1509"/>
      <c r="L3179" s="1509"/>
      <c r="M3179" s="1509"/>
      <c r="N3179" s="1510"/>
    </row>
    <row r="3180" spans="1:14">
      <c r="A3180" s="1173"/>
      <c r="B3180" s="310"/>
      <c r="C3180" s="692"/>
      <c r="D3180" s="993"/>
      <c r="E3180" s="993"/>
      <c r="F3180" s="692"/>
      <c r="G3180" s="692"/>
      <c r="H3180" s="1172"/>
      <c r="I3180" s="1509"/>
      <c r="J3180" s="1509"/>
      <c r="K3180" s="1509"/>
      <c r="L3180" s="1509"/>
      <c r="M3180" s="1509"/>
      <c r="N3180" s="1510"/>
    </row>
    <row r="3181" spans="1:14">
      <c r="A3181" s="1173"/>
      <c r="B3181" s="310"/>
      <c r="C3181" s="692"/>
      <c r="D3181" s="993"/>
      <c r="E3181" s="993"/>
      <c r="F3181" s="692"/>
      <c r="G3181" s="692"/>
      <c r="H3181" s="1172"/>
      <c r="I3181" s="1509"/>
      <c r="J3181" s="1509"/>
      <c r="K3181" s="1509"/>
      <c r="L3181" s="1509"/>
      <c r="M3181" s="1509"/>
      <c r="N3181" s="1510"/>
    </row>
    <row r="3182" spans="1:14">
      <c r="A3182" s="1173"/>
      <c r="B3182" s="310"/>
      <c r="C3182" s="692"/>
      <c r="D3182" s="993"/>
      <c r="E3182" s="993"/>
      <c r="F3182" s="692"/>
      <c r="G3182" s="692"/>
      <c r="H3182" s="1172"/>
      <c r="I3182" s="1509"/>
      <c r="J3182" s="1509"/>
      <c r="K3182" s="1509"/>
      <c r="L3182" s="1509"/>
      <c r="M3182" s="1509"/>
      <c r="N3182" s="1510"/>
    </row>
    <row r="3183" spans="1:14">
      <c r="A3183" s="1173"/>
      <c r="B3183" s="310"/>
      <c r="C3183" s="692"/>
      <c r="D3183" s="993"/>
      <c r="E3183" s="993"/>
      <c r="F3183" s="692"/>
      <c r="G3183" s="692"/>
      <c r="H3183" s="1172"/>
      <c r="I3183" s="1509"/>
      <c r="J3183" s="1509"/>
      <c r="K3183" s="1509"/>
      <c r="L3183" s="1509"/>
      <c r="M3183" s="1509"/>
      <c r="N3183" s="1510"/>
    </row>
    <row r="3184" spans="1:14">
      <c r="A3184" s="1165"/>
      <c r="B3184" s="294"/>
      <c r="C3184" s="294"/>
      <c r="D3184" s="294"/>
      <c r="E3184" s="295"/>
      <c r="F3184" s="294"/>
      <c r="G3184" s="294"/>
      <c r="H3184" s="296"/>
      <c r="I3184" s="1509"/>
      <c r="J3184" s="1509"/>
      <c r="K3184" s="1509"/>
      <c r="L3184" s="1509"/>
      <c r="M3184" s="1509"/>
      <c r="N3184" s="1510"/>
    </row>
    <row r="3185" spans="1:14">
      <c r="A3185" s="1577" t="s">
        <v>2218</v>
      </c>
      <c r="B3185" s="1542"/>
      <c r="C3185" s="1542"/>
      <c r="D3185" s="1542"/>
      <c r="E3185" s="1542"/>
      <c r="F3185" s="1542"/>
      <c r="G3185" s="1542"/>
      <c r="H3185" s="271">
        <f>SUM(H3145:H3184)</f>
        <v>176.99199999999999</v>
      </c>
      <c r="I3185" s="1509"/>
      <c r="J3185" s="1509"/>
      <c r="K3185" s="1509"/>
      <c r="L3185" s="1509"/>
      <c r="M3185" s="1509"/>
      <c r="N3185" s="1510"/>
    </row>
    <row r="3186" spans="1:14">
      <c r="A3186" s="1578" t="s">
        <v>2219</v>
      </c>
      <c r="B3186" s="1538"/>
      <c r="C3186" s="1538"/>
      <c r="D3186" s="1538"/>
      <c r="E3186" s="1538"/>
      <c r="F3186" s="1538"/>
      <c r="G3186" s="1538"/>
      <c r="H3186" s="320">
        <f>SUM(H3145:H3175)</f>
        <v>154.18199999999999</v>
      </c>
      <c r="I3186" s="1509"/>
      <c r="J3186" s="1509"/>
      <c r="K3186" s="1509"/>
      <c r="L3186" s="1509"/>
      <c r="M3186" s="1509"/>
      <c r="N3186" s="1510"/>
    </row>
    <row r="3187" spans="1:14" ht="15.75" thickBot="1">
      <c r="A3187" s="1579" t="s">
        <v>2220</v>
      </c>
      <c r="B3187" s="1580"/>
      <c r="C3187" s="1580"/>
      <c r="D3187" s="1580"/>
      <c r="E3187" s="1580"/>
      <c r="F3187" s="1580"/>
      <c r="G3187" s="1580"/>
      <c r="H3187" s="633">
        <f>H3185-H3186</f>
        <v>22.810000000000002</v>
      </c>
      <c r="I3187" s="1512"/>
      <c r="J3187" s="1512"/>
      <c r="K3187" s="1512"/>
      <c r="L3187" s="1512"/>
      <c r="M3187" s="1512"/>
      <c r="N3187" s="1513"/>
    </row>
    <row r="3188" spans="1:14" ht="15.75" thickBot="1">
      <c r="A3188" s="1112"/>
      <c r="B3188" s="343"/>
      <c r="C3188" s="343"/>
      <c r="D3188" s="345"/>
      <c r="E3188" s="1342"/>
      <c r="F3188" s="343"/>
      <c r="G3188" s="343"/>
      <c r="H3188" s="902"/>
      <c r="I3188" s="408"/>
      <c r="J3188" s="408"/>
      <c r="K3188" s="408"/>
      <c r="L3188" s="408"/>
      <c r="M3188" s="408"/>
      <c r="N3188" s="408"/>
    </row>
    <row r="3189" spans="1:14" ht="15.75" thickBot="1">
      <c r="A3189" s="1085" t="s">
        <v>2946</v>
      </c>
      <c r="B3189" s="1571" t="s">
        <v>3246</v>
      </c>
      <c r="C3189" s="1572"/>
      <c r="D3189" s="1572"/>
      <c r="E3189" s="1572"/>
      <c r="F3189" s="1572"/>
      <c r="G3189" s="1572"/>
      <c r="H3189" s="1572"/>
      <c r="I3189" s="1572"/>
      <c r="J3189" s="1572"/>
      <c r="K3189" s="1572"/>
      <c r="L3189" s="1572"/>
      <c r="M3189" s="1572"/>
      <c r="N3189" s="1573"/>
    </row>
    <row r="3190" spans="1:14" ht="39" customHeight="1">
      <c r="A3190" s="1085" t="s">
        <v>2764</v>
      </c>
      <c r="B3190" s="1494" t="s">
        <v>383</v>
      </c>
      <c r="C3190" s="1495"/>
      <c r="D3190" s="1495"/>
      <c r="E3190" s="1495"/>
      <c r="F3190" s="1495"/>
      <c r="G3190" s="1495"/>
      <c r="H3190" s="1495"/>
      <c r="I3190" s="1495"/>
      <c r="J3190" s="1496"/>
      <c r="K3190" s="196" t="s">
        <v>2222</v>
      </c>
      <c r="L3190" s="1497">
        <f>'[8]BMS  5ª medição'!G205</f>
        <v>242.54</v>
      </c>
      <c r="M3190" s="1498"/>
      <c r="N3190" s="197">
        <f>L3190-H3204</f>
        <v>4.9999999999954525E-3</v>
      </c>
    </row>
    <row r="3191" spans="1:14">
      <c r="A3191" s="1554"/>
      <c r="B3191" s="1541"/>
      <c r="C3191" s="366"/>
      <c r="D3191" s="367" t="s">
        <v>2183</v>
      </c>
      <c r="E3191" s="1320" t="s">
        <v>2184</v>
      </c>
      <c r="F3191" s="367" t="s">
        <v>2185</v>
      </c>
      <c r="G3191" s="367" t="s">
        <v>2186</v>
      </c>
      <c r="H3191" s="1542" t="s">
        <v>476</v>
      </c>
      <c r="I3191" s="1543"/>
      <c r="J3191" s="1543"/>
      <c r="K3191" s="1543"/>
      <c r="L3191" s="1543"/>
      <c r="M3191" s="1543"/>
      <c r="N3191" s="1566"/>
    </row>
    <row r="3192" spans="1:14">
      <c r="A3192" s="1554"/>
      <c r="B3192" s="1541"/>
      <c r="C3192" s="368" t="s">
        <v>2627</v>
      </c>
      <c r="D3192" s="369" t="s">
        <v>2187</v>
      </c>
      <c r="E3192" s="529" t="s">
        <v>2596</v>
      </c>
      <c r="F3192" s="369" t="s">
        <v>2649</v>
      </c>
      <c r="G3192" s="370" t="s">
        <v>2709</v>
      </c>
      <c r="H3192" s="1542"/>
      <c r="I3192" s="1543"/>
      <c r="J3192" s="1543"/>
      <c r="K3192" s="1543"/>
      <c r="L3192" s="1543"/>
      <c r="M3192" s="1543"/>
      <c r="N3192" s="1566"/>
    </row>
    <row r="3193" spans="1:14">
      <c r="A3193" s="1535" t="s">
        <v>2749</v>
      </c>
      <c r="B3193" s="410"/>
      <c r="C3193" s="287"/>
      <c r="D3193" s="202"/>
      <c r="E3193" s="346"/>
      <c r="F3193" s="346"/>
      <c r="G3193" s="346"/>
      <c r="H3193" s="403"/>
      <c r="I3193" s="1567"/>
      <c r="J3193" s="1543"/>
      <c r="K3193" s="1543"/>
      <c r="L3193" s="1543"/>
      <c r="M3193" s="1543"/>
      <c r="N3193" s="1566"/>
    </row>
    <row r="3194" spans="1:14">
      <c r="A3194" s="1529"/>
      <c r="B3194" s="406"/>
      <c r="C3194" s="292"/>
      <c r="D3194" s="341"/>
      <c r="E3194" s="341"/>
      <c r="F3194" s="341"/>
      <c r="G3194" s="341"/>
      <c r="H3194" s="347"/>
      <c r="I3194" s="1567"/>
      <c r="J3194" s="1543"/>
      <c r="K3194" s="1543"/>
      <c r="L3194" s="1543"/>
      <c r="M3194" s="1543"/>
      <c r="N3194" s="1566"/>
    </row>
    <row r="3195" spans="1:14">
      <c r="A3195" s="1529"/>
      <c r="B3195" s="406" t="s">
        <v>2763</v>
      </c>
      <c r="C3195" s="292"/>
      <c r="D3195" s="292">
        <v>18.149999999999999</v>
      </c>
      <c r="E3195" s="901"/>
      <c r="F3195" s="292">
        <v>1.55</v>
      </c>
      <c r="G3195" s="292"/>
      <c r="H3195" s="347">
        <f>D3195*F3195</f>
        <v>28.1325</v>
      </c>
      <c r="I3195" s="1567"/>
      <c r="J3195" s="1543"/>
      <c r="K3195" s="1543"/>
      <c r="L3195" s="1543"/>
      <c r="M3195" s="1543"/>
      <c r="N3195" s="1566"/>
    </row>
    <row r="3196" spans="1:14">
      <c r="A3196" s="1529"/>
      <c r="B3196" s="406" t="s">
        <v>2762</v>
      </c>
      <c r="C3196" s="292"/>
      <c r="D3196" s="292">
        <v>22.95</v>
      </c>
      <c r="E3196" s="901"/>
      <c r="F3196" s="292">
        <v>1.55</v>
      </c>
      <c r="G3196" s="292"/>
      <c r="H3196" s="347">
        <f>D3196*F3196</f>
        <v>35.572499999999998</v>
      </c>
      <c r="I3196" s="1567"/>
      <c r="J3196" s="1543"/>
      <c r="K3196" s="1543"/>
      <c r="L3196" s="1543"/>
      <c r="M3196" s="1543"/>
      <c r="N3196" s="1566"/>
    </row>
    <row r="3197" spans="1:14">
      <c r="A3197" s="1545"/>
      <c r="B3197" s="406" t="s">
        <v>2761</v>
      </c>
      <c r="C3197" s="292"/>
      <c r="D3197" s="292"/>
      <c r="E3197" s="901"/>
      <c r="F3197" s="292"/>
      <c r="G3197" s="292"/>
      <c r="H3197" s="347">
        <v>10.5</v>
      </c>
      <c r="I3197" s="1567"/>
      <c r="J3197" s="1543"/>
      <c r="K3197" s="1543"/>
      <c r="L3197" s="1543"/>
      <c r="M3197" s="1543"/>
      <c r="N3197" s="1566"/>
    </row>
    <row r="3198" spans="1:14">
      <c r="A3198" s="1535" t="s">
        <v>2843</v>
      </c>
      <c r="B3198" s="636"/>
      <c r="C3198" s="291"/>
      <c r="D3198" s="292"/>
      <c r="E3198" s="901"/>
      <c r="F3198" s="292"/>
      <c r="G3198" s="292"/>
      <c r="H3198" s="423"/>
      <c r="I3198" s="1567"/>
      <c r="J3198" s="1543"/>
      <c r="K3198" s="1543"/>
      <c r="L3198" s="1543"/>
      <c r="M3198" s="1543"/>
      <c r="N3198" s="1566"/>
    </row>
    <row r="3199" spans="1:14" ht="29.45" customHeight="1">
      <c r="A3199" s="1529"/>
      <c r="B3199" s="637" t="s">
        <v>2861</v>
      </c>
      <c r="C3199" s="292"/>
      <c r="D3199" s="292">
        <v>22.74</v>
      </c>
      <c r="E3199" s="901"/>
      <c r="F3199" s="292"/>
      <c r="G3199" s="292"/>
      <c r="H3199" s="638">
        <v>22.74</v>
      </c>
      <c r="I3199" s="1567"/>
      <c r="J3199" s="1543"/>
      <c r="K3199" s="1543"/>
      <c r="L3199" s="1543"/>
      <c r="M3199" s="1543"/>
      <c r="N3199" s="1566"/>
    </row>
    <row r="3200" spans="1:14">
      <c r="A3200" s="1545"/>
      <c r="B3200" s="413"/>
      <c r="C3200" s="294"/>
      <c r="D3200" s="203"/>
      <c r="E3200" s="348"/>
      <c r="F3200" s="348"/>
      <c r="G3200" s="348"/>
      <c r="H3200" s="349"/>
      <c r="I3200" s="1567"/>
      <c r="J3200" s="1543"/>
      <c r="K3200" s="1543"/>
      <c r="L3200" s="1543"/>
      <c r="M3200" s="1543"/>
      <c r="N3200" s="1566"/>
    </row>
    <row r="3201" spans="1:15">
      <c r="A3201" s="1535" t="s">
        <v>2942</v>
      </c>
      <c r="B3201" s="410" t="s">
        <v>2961</v>
      </c>
      <c r="C3201" s="639"/>
      <c r="D3201" s="639"/>
      <c r="E3201" s="346"/>
      <c r="F3201" s="346"/>
      <c r="G3201" s="346"/>
      <c r="H3201" s="403">
        <v>145.59</v>
      </c>
      <c r="I3201" s="1567"/>
      <c r="J3201" s="1543"/>
      <c r="K3201" s="1543"/>
      <c r="L3201" s="1543"/>
      <c r="M3201" s="1543"/>
      <c r="N3201" s="1566"/>
    </row>
    <row r="3202" spans="1:15">
      <c r="A3202" s="1529"/>
      <c r="B3202" s="406"/>
      <c r="C3202" s="292"/>
      <c r="D3202" s="198"/>
      <c r="E3202" s="341"/>
      <c r="F3202" s="341"/>
      <c r="G3202" s="341"/>
      <c r="H3202" s="347"/>
      <c r="I3202" s="1567"/>
      <c r="J3202" s="1543"/>
      <c r="K3202" s="1543"/>
      <c r="L3202" s="1543"/>
      <c r="M3202" s="1543"/>
      <c r="N3202" s="1566"/>
    </row>
    <row r="3203" spans="1:15">
      <c r="A3203" s="1545"/>
      <c r="B3203" s="413"/>
      <c r="C3203" s="294"/>
      <c r="D3203" s="203"/>
      <c r="E3203" s="348"/>
      <c r="F3203" s="348"/>
      <c r="G3203" s="348"/>
      <c r="H3203" s="349"/>
      <c r="I3203" s="1567"/>
      <c r="J3203" s="1543"/>
      <c r="K3203" s="1543"/>
      <c r="L3203" s="1543"/>
      <c r="M3203" s="1543"/>
      <c r="N3203" s="1566"/>
    </row>
    <row r="3204" spans="1:15">
      <c r="A3204" s="1577" t="s">
        <v>2218</v>
      </c>
      <c r="B3204" s="1542"/>
      <c r="C3204" s="1542"/>
      <c r="D3204" s="1542"/>
      <c r="E3204" s="1542"/>
      <c r="F3204" s="1542"/>
      <c r="G3204" s="1542"/>
      <c r="H3204" s="271">
        <f>SUM(H3193:H3203)</f>
        <v>242.535</v>
      </c>
      <c r="I3204" s="1567"/>
      <c r="J3204" s="1543"/>
      <c r="K3204" s="1543"/>
      <c r="L3204" s="1543"/>
      <c r="M3204" s="1543"/>
      <c r="N3204" s="1566"/>
    </row>
    <row r="3205" spans="1:15">
      <c r="A3205" s="1519" t="s">
        <v>2219</v>
      </c>
      <c r="B3205" s="1517"/>
      <c r="C3205" s="1517"/>
      <c r="D3205" s="1551"/>
      <c r="E3205" s="1551"/>
      <c r="F3205" s="1551"/>
      <c r="G3205" s="1552"/>
      <c r="H3205" s="271">
        <f>SUM(H3194:H3200)</f>
        <v>96.944999999999993</v>
      </c>
      <c r="I3205" s="1543"/>
      <c r="J3205" s="1543"/>
      <c r="K3205" s="1543"/>
      <c r="L3205" s="1543"/>
      <c r="M3205" s="1543"/>
      <c r="N3205" s="1566"/>
    </row>
    <row r="3206" spans="1:15" ht="15.75" thickBot="1">
      <c r="A3206" s="1520" t="s">
        <v>2220</v>
      </c>
      <c r="B3206" s="1521"/>
      <c r="C3206" s="1521"/>
      <c r="D3206" s="1521"/>
      <c r="E3206" s="1521"/>
      <c r="F3206" s="1521"/>
      <c r="G3206" s="1522"/>
      <c r="H3206" s="633">
        <f>SUM(H3201:H3203)</f>
        <v>145.59</v>
      </c>
      <c r="I3206" s="1568"/>
      <c r="J3206" s="1568"/>
      <c r="K3206" s="1568"/>
      <c r="L3206" s="1568"/>
      <c r="M3206" s="1568"/>
      <c r="N3206" s="1569"/>
    </row>
    <row r="3207" spans="1:15" s="274" customFormat="1">
      <c r="A3207" s="640"/>
      <c r="B3207" s="640"/>
      <c r="C3207" s="640"/>
      <c r="D3207" s="971"/>
      <c r="E3207" s="1343"/>
      <c r="F3207" s="640"/>
      <c r="G3207" s="640"/>
      <c r="H3207" s="263"/>
      <c r="I3207" s="641"/>
      <c r="J3207" s="641"/>
      <c r="K3207" s="641"/>
      <c r="L3207" s="641"/>
      <c r="M3207" s="641"/>
      <c r="N3207" s="641"/>
    </row>
    <row r="3208" spans="1:15" ht="15" customHeight="1">
      <c r="A3208" s="1093" t="s">
        <v>2909</v>
      </c>
      <c r="B3208" s="1561" t="s">
        <v>986</v>
      </c>
      <c r="C3208" s="1562"/>
      <c r="D3208" s="1562"/>
      <c r="E3208" s="1562"/>
      <c r="F3208" s="1562"/>
      <c r="G3208" s="1562"/>
      <c r="H3208" s="1562"/>
      <c r="I3208" s="1562"/>
      <c r="J3208" s="1563"/>
      <c r="K3208" s="264" t="s">
        <v>2222</v>
      </c>
      <c r="L3208" s="1564">
        <f>'27ª MEDIÇÃO '!F206</f>
        <v>242.54</v>
      </c>
      <c r="M3208" s="1565"/>
      <c r="N3208" s="265">
        <f>L3208-H3220</f>
        <v>4.9999999999670308E-3</v>
      </c>
    </row>
    <row r="3209" spans="1:15">
      <c r="A3209" s="1554"/>
      <c r="B3209" s="1541"/>
      <c r="C3209" s="366"/>
      <c r="D3209" s="367" t="s">
        <v>2183</v>
      </c>
      <c r="E3209" s="1320" t="s">
        <v>2184</v>
      </c>
      <c r="F3209" s="367" t="s">
        <v>2185</v>
      </c>
      <c r="G3209" s="367" t="s">
        <v>2186</v>
      </c>
      <c r="H3209" s="1542" t="s">
        <v>476</v>
      </c>
      <c r="I3209" s="1543"/>
      <c r="J3209" s="1543"/>
      <c r="K3209" s="1543"/>
      <c r="L3209" s="1543"/>
      <c r="M3209" s="1543"/>
      <c r="N3209" s="1566"/>
    </row>
    <row r="3210" spans="1:15">
      <c r="A3210" s="1554"/>
      <c r="B3210" s="1541"/>
      <c r="C3210" s="368" t="s">
        <v>2627</v>
      </c>
      <c r="D3210" s="369" t="s">
        <v>2187</v>
      </c>
      <c r="E3210" s="529" t="s">
        <v>2596</v>
      </c>
      <c r="F3210" s="369" t="s">
        <v>2649</v>
      </c>
      <c r="G3210" s="370" t="s">
        <v>2709</v>
      </c>
      <c r="H3210" s="1542"/>
      <c r="I3210" s="1543"/>
      <c r="J3210" s="1543"/>
      <c r="K3210" s="1543"/>
      <c r="L3210" s="1543"/>
      <c r="M3210" s="1543"/>
      <c r="N3210" s="1566"/>
    </row>
    <row r="3211" spans="1:15">
      <c r="A3211" s="1514" t="s">
        <v>2895</v>
      </c>
      <c r="B3211" s="410"/>
      <c r="C3211" s="287"/>
      <c r="D3211" s="202"/>
      <c r="E3211" s="346"/>
      <c r="F3211" s="346"/>
      <c r="G3211" s="346"/>
      <c r="H3211" s="403"/>
      <c r="I3211" s="1567"/>
      <c r="J3211" s="1543"/>
      <c r="K3211" s="1543"/>
      <c r="L3211" s="1543"/>
      <c r="M3211" s="1543"/>
      <c r="N3211" s="1566"/>
    </row>
    <row r="3212" spans="1:15">
      <c r="A3212" s="1523"/>
      <c r="B3212" s="406"/>
      <c r="C3212" s="292"/>
      <c r="D3212" s="341"/>
      <c r="E3212" s="341"/>
      <c r="F3212" s="341"/>
      <c r="G3212" s="341"/>
      <c r="H3212" s="347"/>
      <c r="I3212" s="1567"/>
      <c r="J3212" s="1543"/>
      <c r="K3212" s="1543"/>
      <c r="L3212" s="1543"/>
      <c r="M3212" s="1543"/>
      <c r="N3212" s="1566"/>
    </row>
    <row r="3213" spans="1:15">
      <c r="A3213" s="1523"/>
      <c r="B3213" s="406" t="s">
        <v>2763</v>
      </c>
      <c r="C3213" s="292"/>
      <c r="D3213" s="292">
        <v>18.149999999999999</v>
      </c>
      <c r="E3213" s="1344"/>
      <c r="F3213" s="642">
        <v>1.55</v>
      </c>
      <c r="G3213" s="292"/>
      <c r="H3213" s="347">
        <f>D3213*F3213</f>
        <v>28.1325</v>
      </c>
      <c r="I3213" s="1567"/>
      <c r="J3213" s="1543"/>
      <c r="K3213" s="1543"/>
      <c r="L3213" s="1543"/>
      <c r="M3213" s="1543"/>
      <c r="N3213" s="1566"/>
    </row>
    <row r="3214" spans="1:15">
      <c r="A3214" s="1523"/>
      <c r="B3214" s="406" t="s">
        <v>2762</v>
      </c>
      <c r="C3214" s="292"/>
      <c r="D3214" s="292">
        <v>22.95</v>
      </c>
      <c r="E3214" s="1344"/>
      <c r="F3214" s="642">
        <v>1.55</v>
      </c>
      <c r="G3214" s="292"/>
      <c r="H3214" s="347">
        <f>D3214*F3214</f>
        <v>35.572499999999998</v>
      </c>
      <c r="I3214" s="1567"/>
      <c r="J3214" s="1543"/>
      <c r="K3214" s="1543"/>
      <c r="L3214" s="1543"/>
      <c r="M3214" s="1543"/>
      <c r="N3214" s="1566"/>
    </row>
    <row r="3215" spans="1:15">
      <c r="A3215" s="1523"/>
      <c r="B3215" s="406" t="s">
        <v>2761</v>
      </c>
      <c r="C3215" s="292"/>
      <c r="D3215" s="292"/>
      <c r="E3215" s="1344"/>
      <c r="F3215" s="642"/>
      <c r="G3215" s="292"/>
      <c r="H3215" s="347">
        <v>10.5</v>
      </c>
      <c r="I3215" s="1567"/>
      <c r="J3215" s="1543"/>
      <c r="K3215" s="1543"/>
      <c r="L3215" s="1543"/>
      <c r="M3215" s="1543"/>
      <c r="N3215" s="1566"/>
    </row>
    <row r="3216" spans="1:15">
      <c r="A3216" s="1523"/>
      <c r="B3216" s="637"/>
      <c r="C3216" s="292"/>
      <c r="D3216" s="292">
        <v>24.43</v>
      </c>
      <c r="E3216" s="1344"/>
      <c r="F3216" s="642"/>
      <c r="G3216" s="292"/>
      <c r="H3216" s="643"/>
      <c r="I3216" s="1567"/>
      <c r="J3216" s="1543"/>
      <c r="K3216" s="1543"/>
      <c r="L3216" s="1543"/>
      <c r="M3216" s="1543"/>
      <c r="N3216" s="1566"/>
      <c r="O3216" t="s">
        <v>2960</v>
      </c>
    </row>
    <row r="3217" spans="1:14">
      <c r="A3217" s="1535" t="s">
        <v>2942</v>
      </c>
      <c r="B3217" s="410" t="s">
        <v>2961</v>
      </c>
      <c r="C3217" s="639"/>
      <c r="D3217" s="639">
        <v>145.59</v>
      </c>
      <c r="E3217" s="644"/>
      <c r="F3217" s="644"/>
      <c r="G3217" s="346"/>
      <c r="H3217" s="403">
        <f>D3217</f>
        <v>145.59</v>
      </c>
      <c r="I3217" s="1567"/>
      <c r="J3217" s="1543"/>
      <c r="K3217" s="1543"/>
      <c r="L3217" s="1543"/>
      <c r="M3217" s="1543"/>
      <c r="N3217" s="1566"/>
    </row>
    <row r="3218" spans="1:14">
      <c r="A3218" s="1529"/>
      <c r="B3218" s="406" t="s">
        <v>2911</v>
      </c>
      <c r="C3218" s="292"/>
      <c r="D3218" s="198">
        <v>22.75</v>
      </c>
      <c r="E3218" s="645"/>
      <c r="F3218" s="645"/>
      <c r="G3218" s="341"/>
      <c r="H3218" s="347">
        <v>22.74</v>
      </c>
      <c r="I3218" s="1567"/>
      <c r="J3218" s="1543"/>
      <c r="K3218" s="1543"/>
      <c r="L3218" s="1543"/>
      <c r="M3218" s="1543"/>
      <c r="N3218" s="1566"/>
    </row>
    <row r="3219" spans="1:14">
      <c r="A3219" s="1545"/>
      <c r="B3219" s="413"/>
      <c r="C3219" s="294"/>
      <c r="D3219" s="203"/>
      <c r="E3219" s="348"/>
      <c r="F3219" s="348"/>
      <c r="G3219" s="348"/>
      <c r="H3219" s="349"/>
      <c r="I3219" s="1567"/>
      <c r="J3219" s="1543"/>
      <c r="K3219" s="1543"/>
      <c r="L3219" s="1543"/>
      <c r="M3219" s="1543"/>
      <c r="N3219" s="1566"/>
    </row>
    <row r="3220" spans="1:14">
      <c r="A3220" s="1577" t="s">
        <v>2218</v>
      </c>
      <c r="B3220" s="1542"/>
      <c r="C3220" s="1542"/>
      <c r="D3220" s="1542"/>
      <c r="E3220" s="1542"/>
      <c r="F3220" s="1542"/>
      <c r="G3220" s="1542"/>
      <c r="H3220" s="271">
        <f>SUM(H3211:H3219)</f>
        <v>242.53500000000003</v>
      </c>
      <c r="I3220" s="1567"/>
      <c r="J3220" s="1543"/>
      <c r="K3220" s="1543"/>
      <c r="L3220" s="1543"/>
      <c r="M3220" s="1543"/>
      <c r="N3220" s="1566"/>
    </row>
    <row r="3221" spans="1:14">
      <c r="A3221" s="1519" t="s">
        <v>2219</v>
      </c>
      <c r="B3221" s="1517"/>
      <c r="C3221" s="1517"/>
      <c r="D3221" s="1551"/>
      <c r="E3221" s="1551"/>
      <c r="F3221" s="1551"/>
      <c r="G3221" s="1552"/>
      <c r="H3221" s="271">
        <f>SUM(H3211:H3216)</f>
        <v>74.204999999999998</v>
      </c>
      <c r="I3221" s="1543"/>
      <c r="J3221" s="1543"/>
      <c r="K3221" s="1543"/>
      <c r="L3221" s="1543"/>
      <c r="M3221" s="1543"/>
      <c r="N3221" s="1566"/>
    </row>
    <row r="3222" spans="1:14" ht="15.75" thickBot="1">
      <c r="A3222" s="1520" t="s">
        <v>2220</v>
      </c>
      <c r="B3222" s="1521"/>
      <c r="C3222" s="1521"/>
      <c r="D3222" s="1521"/>
      <c r="E3222" s="1521"/>
      <c r="F3222" s="1521"/>
      <c r="G3222" s="1522"/>
      <c r="H3222" s="271">
        <f>SUM(H3217:H3219)</f>
        <v>168.33</v>
      </c>
      <c r="I3222" s="1568"/>
      <c r="J3222" s="1568"/>
      <c r="K3222" s="1568"/>
      <c r="L3222" s="1568"/>
      <c r="M3222" s="1568"/>
      <c r="N3222" s="1569"/>
    </row>
    <row r="3223" spans="1:14" ht="15.75" thickBot="1">
      <c r="A3223" s="1104"/>
      <c r="B3223" s="343"/>
      <c r="C3223" s="343"/>
      <c r="D3223" s="345"/>
      <c r="E3223" s="1342"/>
      <c r="F3223" s="343"/>
      <c r="G3223" s="343"/>
      <c r="H3223" s="766"/>
      <c r="I3223" s="408"/>
      <c r="J3223" s="408"/>
      <c r="K3223" s="408"/>
      <c r="L3223" s="408"/>
      <c r="M3223" s="408"/>
      <c r="N3223" s="408"/>
    </row>
    <row r="3224" spans="1:14" ht="15.75" thickBot="1">
      <c r="A3224" s="1085" t="s">
        <v>3241</v>
      </c>
      <c r="B3224" s="1571" t="s">
        <v>3242</v>
      </c>
      <c r="C3224" s="1572"/>
      <c r="D3224" s="1572"/>
      <c r="E3224" s="1572"/>
      <c r="F3224" s="1572"/>
      <c r="G3224" s="1572"/>
      <c r="H3224" s="1572"/>
      <c r="I3224" s="1572"/>
      <c r="J3224" s="1572"/>
      <c r="K3224" s="1572"/>
      <c r="L3224" s="1572"/>
      <c r="M3224" s="1572"/>
      <c r="N3224" s="1573"/>
    </row>
    <row r="3225" spans="1:14" ht="15.75" thickBot="1">
      <c r="A3225" s="1085" t="s">
        <v>3239</v>
      </c>
      <c r="B3225" s="1571" t="s">
        <v>3240</v>
      </c>
      <c r="C3225" s="1572"/>
      <c r="D3225" s="1572"/>
      <c r="E3225" s="1572"/>
      <c r="F3225" s="1572"/>
      <c r="G3225" s="1572"/>
      <c r="H3225" s="1572"/>
      <c r="I3225" s="1572"/>
      <c r="J3225" s="1572"/>
      <c r="K3225" s="1572"/>
      <c r="L3225" s="1572"/>
      <c r="M3225" s="1572"/>
      <c r="N3225" s="1573"/>
    </row>
    <row r="3226" spans="1:14" ht="30.6" customHeight="1">
      <c r="A3226" s="1084" t="s">
        <v>3175</v>
      </c>
      <c r="B3226" s="1533" t="s">
        <v>389</v>
      </c>
      <c r="C3226" s="1533"/>
      <c r="D3226" s="1533"/>
      <c r="E3226" s="1533"/>
      <c r="F3226" s="1533"/>
      <c r="G3226" s="1533"/>
      <c r="H3226" s="1533"/>
      <c r="I3226" s="1533"/>
      <c r="J3226" s="1533"/>
      <c r="K3226" s="266" t="s">
        <v>12</v>
      </c>
      <c r="L3226" s="1534">
        <v>140.83000000000001</v>
      </c>
      <c r="M3226" s="1534"/>
      <c r="N3226" s="197">
        <f>L3226-H3233</f>
        <v>117.45000000000002</v>
      </c>
    </row>
    <row r="3227" spans="1:14">
      <c r="A3227" s="1710" t="s">
        <v>3158</v>
      </c>
      <c r="B3227" s="832" t="s">
        <v>2727</v>
      </c>
      <c r="C3227" s="839" t="s">
        <v>12</v>
      </c>
      <c r="D3227" s="839"/>
      <c r="E3227" s="833"/>
      <c r="F3227" s="833"/>
      <c r="G3227" s="833"/>
      <c r="H3227" s="834"/>
      <c r="I3227" s="1715"/>
      <c r="J3227" s="1681"/>
      <c r="K3227" s="1681"/>
      <c r="L3227" s="1681"/>
      <c r="M3227" s="1681"/>
      <c r="N3227" s="1682"/>
    </row>
    <row r="3228" spans="1:14">
      <c r="A3228" s="1536"/>
      <c r="B3228" s="436" t="s">
        <v>3177</v>
      </c>
      <c r="C3228" s="835">
        <v>5.73</v>
      </c>
      <c r="D3228" s="978"/>
      <c r="E3228" s="836"/>
      <c r="F3228" s="836"/>
      <c r="G3228" s="836"/>
      <c r="H3228" s="347">
        <f>C3228</f>
        <v>5.73</v>
      </c>
      <c r="I3228" s="1685"/>
      <c r="J3228" s="1683"/>
      <c r="K3228" s="1683"/>
      <c r="L3228" s="1683"/>
      <c r="M3228" s="1683"/>
      <c r="N3228" s="1684"/>
    </row>
    <row r="3229" spans="1:14">
      <c r="A3229" s="1536"/>
      <c r="B3229" s="436" t="s">
        <v>3178</v>
      </c>
      <c r="C3229" s="837">
        <v>4.62</v>
      </c>
      <c r="D3229" s="978"/>
      <c r="E3229" s="836"/>
      <c r="F3229" s="836"/>
      <c r="G3229" s="836"/>
      <c r="H3229" s="347">
        <f>C3229</f>
        <v>4.62</v>
      </c>
      <c r="I3229" s="1685"/>
      <c r="J3229" s="1683"/>
      <c r="K3229" s="1683"/>
      <c r="L3229" s="1683"/>
      <c r="M3229" s="1683"/>
      <c r="N3229" s="1684"/>
    </row>
    <row r="3230" spans="1:14">
      <c r="A3230" s="1536"/>
      <c r="B3230" s="436" t="s">
        <v>3104</v>
      </c>
      <c r="C3230" s="752">
        <v>5.53</v>
      </c>
      <c r="D3230" s="978"/>
      <c r="E3230" s="836"/>
      <c r="F3230" s="836"/>
      <c r="G3230" s="836"/>
      <c r="H3230" s="347">
        <f>C3230</f>
        <v>5.53</v>
      </c>
      <c r="I3230" s="1685"/>
      <c r="J3230" s="1683"/>
      <c r="K3230" s="1683"/>
      <c r="L3230" s="1683"/>
      <c r="M3230" s="1683"/>
      <c r="N3230" s="1684"/>
    </row>
    <row r="3231" spans="1:14">
      <c r="A3231" s="1536"/>
      <c r="B3231" s="436" t="s">
        <v>2993</v>
      </c>
      <c r="C3231" s="752">
        <v>3.75</v>
      </c>
      <c r="D3231" s="838"/>
      <c r="E3231" s="290"/>
      <c r="F3231" s="292"/>
      <c r="G3231" s="292"/>
      <c r="H3231" s="347">
        <f>C3231</f>
        <v>3.75</v>
      </c>
      <c r="I3231" s="1685"/>
      <c r="J3231" s="1683"/>
      <c r="K3231" s="1683"/>
      <c r="L3231" s="1683"/>
      <c r="M3231" s="1683"/>
      <c r="N3231" s="1684"/>
    </row>
    <row r="3232" spans="1:14">
      <c r="A3232" s="1536"/>
      <c r="B3232" s="753" t="s">
        <v>2994</v>
      </c>
      <c r="C3232" s="754">
        <v>3.75</v>
      </c>
      <c r="D3232" s="754"/>
      <c r="E3232" s="295"/>
      <c r="F3232" s="294"/>
      <c r="G3232" s="748"/>
      <c r="H3232" s="347">
        <f>C3232</f>
        <v>3.75</v>
      </c>
      <c r="I3232" s="1685"/>
      <c r="J3232" s="1683"/>
      <c r="K3232" s="1683"/>
      <c r="L3232" s="1683"/>
      <c r="M3232" s="1683"/>
      <c r="N3232" s="1684"/>
    </row>
    <row r="3233" spans="1:14">
      <c r="A3233" s="1577" t="s">
        <v>2218</v>
      </c>
      <c r="B3233" s="1542"/>
      <c r="C3233" s="1542"/>
      <c r="D3233" s="1542"/>
      <c r="E3233" s="1542"/>
      <c r="F3233" s="1542"/>
      <c r="G3233" s="1542"/>
      <c r="H3233" s="271">
        <f>SUM(H3228:H3232)</f>
        <v>23.380000000000003</v>
      </c>
      <c r="I3233" s="1685"/>
      <c r="J3233" s="1683"/>
      <c r="K3233" s="1683"/>
      <c r="L3233" s="1683"/>
      <c r="M3233" s="1683"/>
      <c r="N3233" s="1684"/>
    </row>
    <row r="3234" spans="1:14">
      <c r="A3234" s="1578" t="s">
        <v>2219</v>
      </c>
      <c r="B3234" s="1538"/>
      <c r="C3234" s="1538"/>
      <c r="D3234" s="1538"/>
      <c r="E3234" s="1538"/>
      <c r="F3234" s="1538"/>
      <c r="G3234" s="1538"/>
      <c r="H3234" s="320">
        <v>0</v>
      </c>
      <c r="I3234" s="1685"/>
      <c r="J3234" s="1683"/>
      <c r="K3234" s="1683"/>
      <c r="L3234" s="1683"/>
      <c r="M3234" s="1683"/>
      <c r="N3234" s="1684"/>
    </row>
    <row r="3235" spans="1:14" ht="15.75" thickBot="1">
      <c r="A3235" s="1579" t="s">
        <v>2220</v>
      </c>
      <c r="B3235" s="1580"/>
      <c r="C3235" s="1580"/>
      <c r="D3235" s="1580"/>
      <c r="E3235" s="1580"/>
      <c r="F3235" s="1580"/>
      <c r="G3235" s="1580"/>
      <c r="H3235" s="633">
        <f>H3233-H3234</f>
        <v>23.380000000000003</v>
      </c>
      <c r="I3235" s="1686"/>
      <c r="J3235" s="1687"/>
      <c r="K3235" s="1687"/>
      <c r="L3235" s="1687"/>
      <c r="M3235" s="1687"/>
      <c r="N3235" s="1688"/>
    </row>
    <row r="3236" spans="1:14" ht="15.75" thickBot="1">
      <c r="A3236" s="278"/>
      <c r="B3236" s="278"/>
      <c r="C3236" s="278"/>
      <c r="D3236" s="281"/>
      <c r="E3236" s="1319"/>
      <c r="F3236" s="278"/>
      <c r="G3236" s="278"/>
      <c r="H3236" s="766"/>
      <c r="I3236" s="279"/>
      <c r="J3236" s="279"/>
      <c r="K3236" s="279"/>
      <c r="L3236" s="279"/>
      <c r="M3236" s="279"/>
      <c r="N3236" s="279"/>
    </row>
    <row r="3237" spans="1:14" ht="36.6" customHeight="1">
      <c r="A3237" s="1084" t="s">
        <v>3176</v>
      </c>
      <c r="B3237" s="1533" t="s">
        <v>3243</v>
      </c>
      <c r="C3237" s="1533"/>
      <c r="D3237" s="1533"/>
      <c r="E3237" s="1533"/>
      <c r="F3237" s="1533"/>
      <c r="G3237" s="1533"/>
      <c r="H3237" s="1533"/>
      <c r="I3237" s="1533"/>
      <c r="J3237" s="1533"/>
      <c r="K3237" s="266" t="s">
        <v>12</v>
      </c>
      <c r="L3237" s="1534">
        <v>140.83000000000001</v>
      </c>
      <c r="M3237" s="1534"/>
      <c r="N3237" s="197">
        <f>L3237-H3244</f>
        <v>117.45000000000002</v>
      </c>
    </row>
    <row r="3238" spans="1:14">
      <c r="A3238" s="1710" t="s">
        <v>3158</v>
      </c>
      <c r="B3238" s="832" t="s">
        <v>2727</v>
      </c>
      <c r="C3238" s="839" t="s">
        <v>12</v>
      </c>
      <c r="D3238" s="839"/>
      <c r="E3238" s="833"/>
      <c r="F3238" s="833"/>
      <c r="G3238" s="833"/>
      <c r="H3238" s="834"/>
      <c r="I3238" s="1715"/>
      <c r="J3238" s="1681"/>
      <c r="K3238" s="1681"/>
      <c r="L3238" s="1681"/>
      <c r="M3238" s="1681"/>
      <c r="N3238" s="1682"/>
    </row>
    <row r="3239" spans="1:14">
      <c r="A3239" s="1536"/>
      <c r="B3239" s="436" t="s">
        <v>3177</v>
      </c>
      <c r="C3239" s="835">
        <v>5.73</v>
      </c>
      <c r="D3239" s="978"/>
      <c r="E3239" s="836"/>
      <c r="F3239" s="836"/>
      <c r="G3239" s="836"/>
      <c r="H3239" s="347">
        <f>C3239</f>
        <v>5.73</v>
      </c>
      <c r="I3239" s="1685"/>
      <c r="J3239" s="1683"/>
      <c r="K3239" s="1683"/>
      <c r="L3239" s="1683"/>
      <c r="M3239" s="1683"/>
      <c r="N3239" s="1684"/>
    </row>
    <row r="3240" spans="1:14">
      <c r="A3240" s="1536"/>
      <c r="B3240" s="436" t="s">
        <v>3178</v>
      </c>
      <c r="C3240" s="837">
        <v>4.62</v>
      </c>
      <c r="D3240" s="978"/>
      <c r="E3240" s="836"/>
      <c r="F3240" s="836"/>
      <c r="G3240" s="836"/>
      <c r="H3240" s="347">
        <f>C3240</f>
        <v>4.62</v>
      </c>
      <c r="I3240" s="1685"/>
      <c r="J3240" s="1683"/>
      <c r="K3240" s="1683"/>
      <c r="L3240" s="1683"/>
      <c r="M3240" s="1683"/>
      <c r="N3240" s="1684"/>
    </row>
    <row r="3241" spans="1:14">
      <c r="A3241" s="1536"/>
      <c r="B3241" s="436" t="s">
        <v>3104</v>
      </c>
      <c r="C3241" s="752">
        <v>5.53</v>
      </c>
      <c r="D3241" s="978"/>
      <c r="E3241" s="836"/>
      <c r="F3241" s="836"/>
      <c r="G3241" s="836"/>
      <c r="H3241" s="347">
        <f>C3241</f>
        <v>5.53</v>
      </c>
      <c r="I3241" s="1685"/>
      <c r="J3241" s="1683"/>
      <c r="K3241" s="1683"/>
      <c r="L3241" s="1683"/>
      <c r="M3241" s="1683"/>
      <c r="N3241" s="1684"/>
    </row>
    <row r="3242" spans="1:14">
      <c r="A3242" s="1536"/>
      <c r="B3242" s="436" t="s">
        <v>2993</v>
      </c>
      <c r="C3242" s="752">
        <v>3.75</v>
      </c>
      <c r="D3242" s="838"/>
      <c r="E3242" s="290"/>
      <c r="F3242" s="292"/>
      <c r="G3242" s="292"/>
      <c r="H3242" s="347">
        <f>C3242</f>
        <v>3.75</v>
      </c>
      <c r="I3242" s="1685"/>
      <c r="J3242" s="1683"/>
      <c r="K3242" s="1683"/>
      <c r="L3242" s="1683"/>
      <c r="M3242" s="1683"/>
      <c r="N3242" s="1684"/>
    </row>
    <row r="3243" spans="1:14">
      <c r="A3243" s="1536"/>
      <c r="B3243" s="753" t="s">
        <v>2994</v>
      </c>
      <c r="C3243" s="754">
        <v>3.75</v>
      </c>
      <c r="D3243" s="754"/>
      <c r="E3243" s="295"/>
      <c r="F3243" s="294"/>
      <c r="G3243" s="748"/>
      <c r="H3243" s="347">
        <f>C3243</f>
        <v>3.75</v>
      </c>
      <c r="I3243" s="1685"/>
      <c r="J3243" s="1683"/>
      <c r="K3243" s="1683"/>
      <c r="L3243" s="1683"/>
      <c r="M3243" s="1683"/>
      <c r="N3243" s="1684"/>
    </row>
    <row r="3244" spans="1:14">
      <c r="A3244" s="1577" t="s">
        <v>2218</v>
      </c>
      <c r="B3244" s="1542"/>
      <c r="C3244" s="1542"/>
      <c r="D3244" s="1542"/>
      <c r="E3244" s="1542"/>
      <c r="F3244" s="1542"/>
      <c r="G3244" s="1542"/>
      <c r="H3244" s="271">
        <f>SUM(H3238:H3243)</f>
        <v>23.380000000000003</v>
      </c>
      <c r="I3244" s="1685"/>
      <c r="J3244" s="1683"/>
      <c r="K3244" s="1683"/>
      <c r="L3244" s="1683"/>
      <c r="M3244" s="1683"/>
      <c r="N3244" s="1684"/>
    </row>
    <row r="3245" spans="1:14">
      <c r="A3245" s="1578" t="s">
        <v>2219</v>
      </c>
      <c r="B3245" s="1538"/>
      <c r="C3245" s="1538"/>
      <c r="D3245" s="1538"/>
      <c r="E3245" s="1538"/>
      <c r="F3245" s="1538"/>
      <c r="G3245" s="1538"/>
      <c r="H3245" s="320">
        <v>0</v>
      </c>
      <c r="I3245" s="1685"/>
      <c r="J3245" s="1683"/>
      <c r="K3245" s="1683"/>
      <c r="L3245" s="1683"/>
      <c r="M3245" s="1683"/>
      <c r="N3245" s="1684"/>
    </row>
    <row r="3246" spans="1:14" ht="15.75" thickBot="1">
      <c r="A3246" s="1579" t="s">
        <v>2220</v>
      </c>
      <c r="B3246" s="1580"/>
      <c r="C3246" s="1580"/>
      <c r="D3246" s="1580"/>
      <c r="E3246" s="1580"/>
      <c r="F3246" s="1580"/>
      <c r="G3246" s="1580"/>
      <c r="H3246" s="633">
        <f>H3244-H3245</f>
        <v>23.380000000000003</v>
      </c>
      <c r="I3246" s="1686"/>
      <c r="J3246" s="1687"/>
      <c r="K3246" s="1687"/>
      <c r="L3246" s="1687"/>
      <c r="M3246" s="1687"/>
      <c r="N3246" s="1688"/>
    </row>
    <row r="3247" spans="1:14" ht="15.75" thickBot="1">
      <c r="A3247" s="1104"/>
      <c r="B3247" s="278"/>
      <c r="C3247" s="278"/>
      <c r="D3247" s="281"/>
      <c r="E3247" s="1319"/>
      <c r="F3247" s="278"/>
      <c r="G3247" s="278"/>
      <c r="H3247" s="217"/>
      <c r="I3247" s="279"/>
      <c r="J3247" s="279"/>
      <c r="K3247" s="279"/>
      <c r="L3247" s="279"/>
      <c r="M3247" s="279"/>
      <c r="N3247" s="441"/>
    </row>
    <row r="3248" spans="1:14" ht="15.75" thickBot="1">
      <c r="A3248" s="1085" t="s">
        <v>3641</v>
      </c>
      <c r="B3248" s="1571" t="s">
        <v>3642</v>
      </c>
      <c r="C3248" s="1572"/>
      <c r="D3248" s="1572"/>
      <c r="E3248" s="1572"/>
      <c r="F3248" s="1572"/>
      <c r="G3248" s="1572"/>
      <c r="H3248" s="1572"/>
      <c r="I3248" s="1572"/>
      <c r="J3248" s="1572"/>
      <c r="K3248" s="1572"/>
      <c r="L3248" s="1572"/>
      <c r="M3248" s="1572"/>
      <c r="N3248" s="1573"/>
    </row>
    <row r="3249" spans="1:14" ht="30.6" customHeight="1">
      <c r="A3249" s="1084" t="s">
        <v>3643</v>
      </c>
      <c r="B3249" s="1533" t="s">
        <v>1002</v>
      </c>
      <c r="C3249" s="1533"/>
      <c r="D3249" s="1533"/>
      <c r="E3249" s="1533"/>
      <c r="F3249" s="1533"/>
      <c r="G3249" s="1533"/>
      <c r="H3249" s="1533"/>
      <c r="I3249" s="1533"/>
      <c r="J3249" s="1533"/>
      <c r="K3249" s="266" t="s">
        <v>12</v>
      </c>
      <c r="L3249" s="1534">
        <f>'27ª MEDIÇÃO '!F214</f>
        <v>59.71</v>
      </c>
      <c r="M3249" s="1534"/>
      <c r="N3249" s="197">
        <f>L3249-H3270</f>
        <v>0</v>
      </c>
    </row>
    <row r="3250" spans="1:14">
      <c r="A3250" s="1710" t="s">
        <v>3620</v>
      </c>
      <c r="B3250" s="832" t="s">
        <v>2727</v>
      </c>
      <c r="C3250" s="839" t="s">
        <v>12</v>
      </c>
      <c r="D3250" s="839"/>
      <c r="E3250" s="833"/>
      <c r="F3250" s="833"/>
      <c r="G3250" s="833"/>
      <c r="H3250" s="834"/>
      <c r="I3250" s="1715"/>
      <c r="J3250" s="1681"/>
      <c r="K3250" s="1681"/>
      <c r="L3250" s="1681"/>
      <c r="M3250" s="1681"/>
      <c r="N3250" s="1682"/>
    </row>
    <row r="3251" spans="1:14">
      <c r="A3251" s="1536"/>
      <c r="B3251" s="436" t="s">
        <v>3644</v>
      </c>
      <c r="C3251" s="835">
        <v>3.86</v>
      </c>
      <c r="D3251" s="1013"/>
      <c r="E3251" s="1014"/>
      <c r="F3251" s="1014"/>
      <c r="G3251" s="1014"/>
      <c r="H3251" s="347">
        <f t="shared" ref="H3251:H3265" si="78">C3251</f>
        <v>3.86</v>
      </c>
      <c r="I3251" s="1685"/>
      <c r="J3251" s="1683"/>
      <c r="K3251" s="1683"/>
      <c r="L3251" s="1683"/>
      <c r="M3251" s="1683"/>
      <c r="N3251" s="1684"/>
    </row>
    <row r="3252" spans="1:14">
      <c r="A3252" s="1536"/>
      <c r="B3252" s="436" t="s">
        <v>3324</v>
      </c>
      <c r="C3252" s="835">
        <v>4.12</v>
      </c>
      <c r="D3252" s="1013"/>
      <c r="E3252" s="1014"/>
      <c r="F3252" s="1014"/>
      <c r="G3252" s="1014"/>
      <c r="H3252" s="347">
        <f t="shared" si="78"/>
        <v>4.12</v>
      </c>
      <c r="I3252" s="1685"/>
      <c r="J3252" s="1683"/>
      <c r="K3252" s="1683"/>
      <c r="L3252" s="1683"/>
      <c r="M3252" s="1683"/>
      <c r="N3252" s="1684"/>
    </row>
    <row r="3253" spans="1:14">
      <c r="A3253" s="1536"/>
      <c r="B3253" s="436" t="s">
        <v>3645</v>
      </c>
      <c r="C3253" s="835">
        <v>1.08</v>
      </c>
      <c r="D3253" s="1013"/>
      <c r="E3253" s="1014"/>
      <c r="F3253" s="1014"/>
      <c r="G3253" s="1014"/>
      <c r="H3253" s="347">
        <f t="shared" si="78"/>
        <v>1.08</v>
      </c>
      <c r="I3253" s="1685"/>
      <c r="J3253" s="1683"/>
      <c r="K3253" s="1683"/>
      <c r="L3253" s="1683"/>
      <c r="M3253" s="1683"/>
      <c r="N3253" s="1684"/>
    </row>
    <row r="3254" spans="1:14">
      <c r="A3254" s="1536"/>
      <c r="B3254" s="436" t="s">
        <v>3646</v>
      </c>
      <c r="C3254" s="835">
        <v>1.08</v>
      </c>
      <c r="D3254" s="1013"/>
      <c r="E3254" s="1014"/>
      <c r="F3254" s="1014"/>
      <c r="G3254" s="1014"/>
      <c r="H3254" s="347">
        <f t="shared" si="78"/>
        <v>1.08</v>
      </c>
      <c r="I3254" s="1685"/>
      <c r="J3254" s="1683"/>
      <c r="K3254" s="1683"/>
      <c r="L3254" s="1683"/>
      <c r="M3254" s="1683"/>
      <c r="N3254" s="1684"/>
    </row>
    <row r="3255" spans="1:14">
      <c r="A3255" s="1536"/>
      <c r="B3255" s="436" t="s">
        <v>3317</v>
      </c>
      <c r="C3255" s="835">
        <v>3.22</v>
      </c>
      <c r="D3255" s="1013"/>
      <c r="E3255" s="1014"/>
      <c r="F3255" s="1014"/>
      <c r="G3255" s="1014"/>
      <c r="H3255" s="347">
        <f t="shared" si="78"/>
        <v>3.22</v>
      </c>
      <c r="I3255" s="1685"/>
      <c r="J3255" s="1683"/>
      <c r="K3255" s="1683"/>
      <c r="L3255" s="1683"/>
      <c r="M3255" s="1683"/>
      <c r="N3255" s="1684"/>
    </row>
    <row r="3256" spans="1:14">
      <c r="A3256" s="1536"/>
      <c r="B3256" s="436" t="s">
        <v>3647</v>
      </c>
      <c r="C3256" s="835">
        <v>2.5299999999999998</v>
      </c>
      <c r="D3256" s="1013"/>
      <c r="E3256" s="1014"/>
      <c r="F3256" s="1014"/>
      <c r="G3256" s="1014"/>
      <c r="H3256" s="347">
        <f t="shared" si="78"/>
        <v>2.5299999999999998</v>
      </c>
      <c r="I3256" s="1685"/>
      <c r="J3256" s="1683"/>
      <c r="K3256" s="1683"/>
      <c r="L3256" s="1683"/>
      <c r="M3256" s="1683"/>
      <c r="N3256" s="1684"/>
    </row>
    <row r="3257" spans="1:14">
      <c r="A3257" s="1536"/>
      <c r="B3257" s="436" t="s">
        <v>3648</v>
      </c>
      <c r="C3257" s="835">
        <v>6.6</v>
      </c>
      <c r="D3257" s="1013"/>
      <c r="E3257" s="1014"/>
      <c r="F3257" s="1014"/>
      <c r="G3257" s="1014"/>
      <c r="H3257" s="347">
        <f t="shared" si="78"/>
        <v>6.6</v>
      </c>
      <c r="I3257" s="1685"/>
      <c r="J3257" s="1683"/>
      <c r="K3257" s="1683"/>
      <c r="L3257" s="1683"/>
      <c r="M3257" s="1683"/>
      <c r="N3257" s="1684"/>
    </row>
    <row r="3258" spans="1:14">
      <c r="A3258" s="1536"/>
      <c r="B3258" s="436" t="s">
        <v>3649</v>
      </c>
      <c r="C3258" s="835">
        <v>6.85</v>
      </c>
      <c r="D3258" s="1013"/>
      <c r="E3258" s="1014"/>
      <c r="F3258" s="1014"/>
      <c r="G3258" s="1014"/>
      <c r="H3258" s="347">
        <f t="shared" si="78"/>
        <v>6.85</v>
      </c>
      <c r="I3258" s="1685"/>
      <c r="J3258" s="1683"/>
      <c r="K3258" s="1683"/>
      <c r="L3258" s="1683"/>
      <c r="M3258" s="1683"/>
      <c r="N3258" s="1684"/>
    </row>
    <row r="3259" spans="1:14">
      <c r="A3259" s="1536"/>
      <c r="B3259" s="436" t="s">
        <v>2228</v>
      </c>
      <c r="C3259" s="835">
        <v>3.99</v>
      </c>
      <c r="D3259" s="1013"/>
      <c r="E3259" s="1014"/>
      <c r="F3259" s="1014"/>
      <c r="G3259" s="1014"/>
      <c r="H3259" s="347">
        <f t="shared" si="78"/>
        <v>3.99</v>
      </c>
      <c r="I3259" s="1685"/>
      <c r="J3259" s="1683"/>
      <c r="K3259" s="1683"/>
      <c r="L3259" s="1683"/>
      <c r="M3259" s="1683"/>
      <c r="N3259" s="1684"/>
    </row>
    <row r="3260" spans="1:14">
      <c r="A3260" s="1536"/>
      <c r="B3260" s="436" t="s">
        <v>2344</v>
      </c>
      <c r="C3260" s="1017">
        <v>1.76</v>
      </c>
      <c r="D3260" s="1015"/>
      <c r="E3260" s="1016"/>
      <c r="F3260" s="1016"/>
      <c r="G3260" s="1016"/>
      <c r="H3260" s="364">
        <f t="shared" si="78"/>
        <v>1.76</v>
      </c>
      <c r="I3260" s="1685"/>
      <c r="J3260" s="1683"/>
      <c r="K3260" s="1683"/>
      <c r="L3260" s="1683"/>
      <c r="M3260" s="1683"/>
      <c r="N3260" s="1684"/>
    </row>
    <row r="3261" spans="1:14">
      <c r="A3261" s="1536"/>
      <c r="B3261" s="832" t="s">
        <v>2929</v>
      </c>
      <c r="C3261" s="1018"/>
      <c r="D3261" s="839"/>
      <c r="E3261" s="833"/>
      <c r="F3261" s="833"/>
      <c r="G3261" s="833"/>
      <c r="H3261" s="403"/>
      <c r="I3261" s="1685"/>
      <c r="J3261" s="1683"/>
      <c r="K3261" s="1683"/>
      <c r="L3261" s="1683"/>
      <c r="M3261" s="1683"/>
      <c r="N3261" s="1684"/>
    </row>
    <row r="3262" spans="1:14">
      <c r="A3262" s="1536"/>
      <c r="B3262" s="436" t="s">
        <v>3644</v>
      </c>
      <c r="C3262" s="835">
        <v>4.92</v>
      </c>
      <c r="D3262" s="1013"/>
      <c r="E3262" s="1014"/>
      <c r="F3262" s="1014"/>
      <c r="G3262" s="1014"/>
      <c r="H3262" s="347">
        <f t="shared" si="78"/>
        <v>4.92</v>
      </c>
      <c r="I3262" s="1685"/>
      <c r="J3262" s="1683"/>
      <c r="K3262" s="1683"/>
      <c r="L3262" s="1683"/>
      <c r="M3262" s="1683"/>
      <c r="N3262" s="1684"/>
    </row>
    <row r="3263" spans="1:14">
      <c r="A3263" s="1536"/>
      <c r="B3263" s="436" t="s">
        <v>3324</v>
      </c>
      <c r="C3263" s="835">
        <v>5.08</v>
      </c>
      <c r="D3263" s="1013"/>
      <c r="E3263" s="1014"/>
      <c r="F3263" s="1014"/>
      <c r="G3263" s="1014"/>
      <c r="H3263" s="347">
        <f t="shared" si="78"/>
        <v>5.08</v>
      </c>
      <c r="I3263" s="1685"/>
      <c r="J3263" s="1683"/>
      <c r="K3263" s="1683"/>
      <c r="L3263" s="1683"/>
      <c r="M3263" s="1683"/>
      <c r="N3263" s="1684"/>
    </row>
    <row r="3264" spans="1:14">
      <c r="A3264" s="1536"/>
      <c r="B3264" s="436" t="s">
        <v>2461</v>
      </c>
      <c r="C3264" s="835">
        <v>1.83</v>
      </c>
      <c r="D3264" s="1013"/>
      <c r="E3264" s="1014"/>
      <c r="F3264" s="1014"/>
      <c r="G3264" s="1014"/>
      <c r="H3264" s="347">
        <f t="shared" si="78"/>
        <v>1.83</v>
      </c>
      <c r="I3264" s="1685"/>
      <c r="J3264" s="1683"/>
      <c r="K3264" s="1683"/>
      <c r="L3264" s="1683"/>
      <c r="M3264" s="1683"/>
      <c r="N3264" s="1684"/>
    </row>
    <row r="3265" spans="1:14">
      <c r="A3265" s="1536"/>
      <c r="B3265" s="436" t="s">
        <v>3648</v>
      </c>
      <c r="C3265" s="835">
        <v>3.33</v>
      </c>
      <c r="D3265" s="1013"/>
      <c r="E3265" s="1014"/>
      <c r="F3265" s="1014"/>
      <c r="G3265" s="1014"/>
      <c r="H3265" s="347">
        <f t="shared" si="78"/>
        <v>3.33</v>
      </c>
      <c r="I3265" s="1685"/>
      <c r="J3265" s="1683"/>
      <c r="K3265" s="1683"/>
      <c r="L3265" s="1683"/>
      <c r="M3265" s="1683"/>
      <c r="N3265" s="1684"/>
    </row>
    <row r="3266" spans="1:14">
      <c r="A3266" s="1536"/>
      <c r="B3266" s="436" t="s">
        <v>3649</v>
      </c>
      <c r="C3266" s="835">
        <v>5.13</v>
      </c>
      <c r="D3266" s="978"/>
      <c r="E3266" s="836"/>
      <c r="F3266" s="836"/>
      <c r="G3266" s="836"/>
      <c r="H3266" s="347">
        <f>C3266</f>
        <v>5.13</v>
      </c>
      <c r="I3266" s="1685"/>
      <c r="J3266" s="1683"/>
      <c r="K3266" s="1683"/>
      <c r="L3266" s="1683"/>
      <c r="M3266" s="1683"/>
      <c r="N3266" s="1684"/>
    </row>
    <row r="3267" spans="1:14">
      <c r="A3267" s="1536"/>
      <c r="B3267" s="436" t="s">
        <v>2440</v>
      </c>
      <c r="C3267" s="835">
        <v>2.37</v>
      </c>
      <c r="D3267" s="978"/>
      <c r="E3267" s="836"/>
      <c r="F3267" s="836"/>
      <c r="G3267" s="836"/>
      <c r="H3267" s="347">
        <f>C3267</f>
        <v>2.37</v>
      </c>
      <c r="I3267" s="1685"/>
      <c r="J3267" s="1683"/>
      <c r="K3267" s="1683"/>
      <c r="L3267" s="1683"/>
      <c r="M3267" s="1683"/>
      <c r="N3267" s="1684"/>
    </row>
    <row r="3268" spans="1:14">
      <c r="A3268" s="1536"/>
      <c r="B3268" s="436" t="s">
        <v>2344</v>
      </c>
      <c r="C3268" s="835">
        <v>1.96</v>
      </c>
      <c r="D3268" s="978"/>
      <c r="E3268" s="836"/>
      <c r="F3268" s="836"/>
      <c r="G3268" s="836"/>
      <c r="H3268" s="347">
        <f>C3268</f>
        <v>1.96</v>
      </c>
      <c r="I3268" s="1685"/>
      <c r="J3268" s="1683"/>
      <c r="K3268" s="1683"/>
      <c r="L3268" s="1683"/>
      <c r="M3268" s="1683"/>
      <c r="N3268" s="1684"/>
    </row>
    <row r="3269" spans="1:14">
      <c r="A3269" s="1536"/>
      <c r="B3269" s="436"/>
      <c r="C3269" s="754"/>
      <c r="D3269" s="754"/>
      <c r="E3269" s="295"/>
      <c r="F3269" s="294"/>
      <c r="G3269" s="748"/>
      <c r="H3269" s="347"/>
      <c r="I3269" s="1685"/>
      <c r="J3269" s="1683"/>
      <c r="K3269" s="1683"/>
      <c r="L3269" s="1683"/>
      <c r="M3269" s="1683"/>
      <c r="N3269" s="1684"/>
    </row>
    <row r="3270" spans="1:14">
      <c r="A3270" s="1577" t="s">
        <v>2218</v>
      </c>
      <c r="B3270" s="1542"/>
      <c r="C3270" s="1542"/>
      <c r="D3270" s="1542"/>
      <c r="E3270" s="1542"/>
      <c r="F3270" s="1542"/>
      <c r="G3270" s="1542"/>
      <c r="H3270" s="271">
        <f>SUM(H3250:H3269)</f>
        <v>59.71</v>
      </c>
      <c r="I3270" s="1685"/>
      <c r="J3270" s="1683"/>
      <c r="K3270" s="1683"/>
      <c r="L3270" s="1683"/>
      <c r="M3270" s="1683"/>
      <c r="N3270" s="1684"/>
    </row>
    <row r="3271" spans="1:14">
      <c r="A3271" s="1578" t="s">
        <v>2219</v>
      </c>
      <c r="B3271" s="1538"/>
      <c r="C3271" s="1538"/>
      <c r="D3271" s="1538"/>
      <c r="E3271" s="1538"/>
      <c r="F3271" s="1538"/>
      <c r="G3271" s="1538"/>
      <c r="H3271" s="320">
        <v>0</v>
      </c>
      <c r="I3271" s="1685"/>
      <c r="J3271" s="1683"/>
      <c r="K3271" s="1683"/>
      <c r="L3271" s="1683"/>
      <c r="M3271" s="1683"/>
      <c r="N3271" s="1684"/>
    </row>
    <row r="3272" spans="1:14" ht="15.75" thickBot="1">
      <c r="A3272" s="1579" t="s">
        <v>2220</v>
      </c>
      <c r="B3272" s="1580"/>
      <c r="C3272" s="1580"/>
      <c r="D3272" s="1580"/>
      <c r="E3272" s="1580"/>
      <c r="F3272" s="1580"/>
      <c r="G3272" s="1580"/>
      <c r="H3272" s="633">
        <f>H3270-H3271</f>
        <v>59.71</v>
      </c>
      <c r="I3272" s="1686"/>
      <c r="J3272" s="1687"/>
      <c r="K3272" s="1687"/>
      <c r="L3272" s="1687"/>
      <c r="M3272" s="1687"/>
      <c r="N3272" s="1688"/>
    </row>
    <row r="3273" spans="1:14" ht="15.75" thickBot="1">
      <c r="A3273" s="278"/>
      <c r="B3273" s="278"/>
      <c r="C3273" s="278"/>
      <c r="D3273" s="281"/>
      <c r="E3273" s="1319"/>
      <c r="F3273" s="278"/>
      <c r="G3273" s="278"/>
      <c r="H3273" s="766"/>
      <c r="I3273" s="279"/>
      <c r="J3273" s="279"/>
      <c r="K3273" s="279"/>
      <c r="L3273" s="279"/>
      <c r="M3273" s="279"/>
      <c r="N3273" s="279"/>
    </row>
    <row r="3274" spans="1:14" ht="30.6" customHeight="1">
      <c r="A3274" s="1084" t="s">
        <v>3650</v>
      </c>
      <c r="B3274" s="1533" t="s">
        <v>1005</v>
      </c>
      <c r="C3274" s="1533"/>
      <c r="D3274" s="1533"/>
      <c r="E3274" s="1533"/>
      <c r="F3274" s="1533"/>
      <c r="G3274" s="1533"/>
      <c r="H3274" s="1533"/>
      <c r="I3274" s="1533"/>
      <c r="J3274" s="1533"/>
      <c r="K3274" s="266" t="s">
        <v>12</v>
      </c>
      <c r="L3274" s="1534">
        <f>'27ª MEDIÇÃO '!F215</f>
        <v>516.74</v>
      </c>
      <c r="M3274" s="1534"/>
      <c r="N3274" s="197">
        <f>L3274-H3351</f>
        <v>0</v>
      </c>
    </row>
    <row r="3275" spans="1:14" ht="24">
      <c r="A3275" s="1535" t="s">
        <v>3620</v>
      </c>
      <c r="B3275" s="832" t="s">
        <v>2727</v>
      </c>
      <c r="C3275" s="839" t="s">
        <v>12</v>
      </c>
      <c r="D3275" s="839" t="s">
        <v>3640</v>
      </c>
      <c r="E3275" s="833"/>
      <c r="F3275" s="833"/>
      <c r="G3275" s="833"/>
      <c r="H3275" s="834"/>
      <c r="I3275" s="1715"/>
      <c r="J3275" s="1681"/>
      <c r="K3275" s="1681"/>
      <c r="L3275" s="1681"/>
      <c r="M3275" s="1681"/>
      <c r="N3275" s="1682"/>
    </row>
    <row r="3276" spans="1:14">
      <c r="A3276" s="1529"/>
      <c r="B3276" s="436" t="s">
        <v>2952</v>
      </c>
      <c r="C3276" s="835">
        <v>10.66</v>
      </c>
      <c r="D3276" s="835">
        <v>0.5</v>
      </c>
      <c r="E3276" s="1014"/>
      <c r="F3276" s="1014"/>
      <c r="G3276" s="1014"/>
      <c r="H3276" s="347">
        <f t="shared" ref="H3276:H3304" si="79">C3276*D3276</f>
        <v>5.33</v>
      </c>
      <c r="I3276" s="1685"/>
      <c r="J3276" s="1683"/>
      <c r="K3276" s="1683"/>
      <c r="L3276" s="1683"/>
      <c r="M3276" s="1683"/>
      <c r="N3276" s="1684"/>
    </row>
    <row r="3277" spans="1:14">
      <c r="A3277" s="1529"/>
      <c r="B3277" s="436" t="s">
        <v>2438</v>
      </c>
      <c r="C3277" s="835">
        <v>6.72</v>
      </c>
      <c r="D3277" s="835">
        <v>0.5</v>
      </c>
      <c r="E3277" s="1014"/>
      <c r="F3277" s="1014"/>
      <c r="G3277" s="1014"/>
      <c r="H3277" s="347">
        <f t="shared" si="79"/>
        <v>3.36</v>
      </c>
      <c r="I3277" s="1685"/>
      <c r="J3277" s="1683"/>
      <c r="K3277" s="1683"/>
      <c r="L3277" s="1683"/>
      <c r="M3277" s="1683"/>
      <c r="N3277" s="1684"/>
    </row>
    <row r="3278" spans="1:14">
      <c r="A3278" s="1529"/>
      <c r="B3278" s="436" t="s">
        <v>3591</v>
      </c>
      <c r="C3278" s="835">
        <v>7.91</v>
      </c>
      <c r="D3278" s="835">
        <v>0.5</v>
      </c>
      <c r="E3278" s="1014"/>
      <c r="F3278" s="1014"/>
      <c r="G3278" s="1014"/>
      <c r="H3278" s="347">
        <f t="shared" si="79"/>
        <v>3.9550000000000001</v>
      </c>
      <c r="I3278" s="1685"/>
      <c r="J3278" s="1683"/>
      <c r="K3278" s="1683"/>
      <c r="L3278" s="1683"/>
      <c r="M3278" s="1683"/>
      <c r="N3278" s="1684"/>
    </row>
    <row r="3279" spans="1:14">
      <c r="A3279" s="1529"/>
      <c r="B3279" s="436" t="s">
        <v>3592</v>
      </c>
      <c r="C3279" s="835">
        <v>8.43</v>
      </c>
      <c r="D3279" s="835">
        <v>0.5</v>
      </c>
      <c r="E3279" s="1014"/>
      <c r="F3279" s="1014"/>
      <c r="G3279" s="1014"/>
      <c r="H3279" s="347">
        <f t="shared" si="79"/>
        <v>4.2149999999999999</v>
      </c>
      <c r="I3279" s="1685"/>
      <c r="J3279" s="1683"/>
      <c r="K3279" s="1683"/>
      <c r="L3279" s="1683"/>
      <c r="M3279" s="1683"/>
      <c r="N3279" s="1684"/>
    </row>
    <row r="3280" spans="1:14">
      <c r="A3280" s="1529"/>
      <c r="B3280" s="436" t="s">
        <v>3651</v>
      </c>
      <c r="C3280" s="835">
        <v>22.39</v>
      </c>
      <c r="D3280" s="835">
        <v>0.5</v>
      </c>
      <c r="E3280" s="1014"/>
      <c r="F3280" s="1014"/>
      <c r="G3280" s="1014"/>
      <c r="H3280" s="347">
        <f t="shared" si="79"/>
        <v>11.195</v>
      </c>
      <c r="I3280" s="1685"/>
      <c r="J3280" s="1683"/>
      <c r="K3280" s="1683"/>
      <c r="L3280" s="1683"/>
      <c r="M3280" s="1683"/>
      <c r="N3280" s="1684"/>
    </row>
    <row r="3281" spans="1:14">
      <c r="A3281" s="1529"/>
      <c r="B3281" s="436" t="s">
        <v>3386</v>
      </c>
      <c r="C3281" s="835">
        <v>17.170000000000002</v>
      </c>
      <c r="D3281" s="835">
        <v>0.5</v>
      </c>
      <c r="E3281" s="1014"/>
      <c r="F3281" s="1014"/>
      <c r="G3281" s="1014"/>
      <c r="H3281" s="347">
        <f t="shared" si="79"/>
        <v>8.5850000000000009</v>
      </c>
      <c r="I3281" s="1685"/>
      <c r="J3281" s="1683"/>
      <c r="K3281" s="1683"/>
      <c r="L3281" s="1683"/>
      <c r="M3281" s="1683"/>
      <c r="N3281" s="1684"/>
    </row>
    <row r="3282" spans="1:14">
      <c r="A3282" s="1529"/>
      <c r="B3282" s="436" t="s">
        <v>2234</v>
      </c>
      <c r="C3282" s="835">
        <v>10.67</v>
      </c>
      <c r="D3282" s="835">
        <v>0.5</v>
      </c>
      <c r="E3282" s="1014"/>
      <c r="F3282" s="1014"/>
      <c r="G3282" s="1014"/>
      <c r="H3282" s="347">
        <f t="shared" si="79"/>
        <v>5.335</v>
      </c>
      <c r="I3282" s="1685"/>
      <c r="J3282" s="1683"/>
      <c r="K3282" s="1683"/>
      <c r="L3282" s="1683"/>
      <c r="M3282" s="1683"/>
      <c r="N3282" s="1684"/>
    </row>
    <row r="3283" spans="1:14">
      <c r="A3283" s="1529"/>
      <c r="B3283" s="436" t="s">
        <v>2967</v>
      </c>
      <c r="C3283" s="835">
        <v>10.62</v>
      </c>
      <c r="D3283" s="835">
        <v>0.5</v>
      </c>
      <c r="E3283" s="1014"/>
      <c r="F3283" s="1014"/>
      <c r="G3283" s="1014"/>
      <c r="H3283" s="347">
        <f t="shared" si="79"/>
        <v>5.31</v>
      </c>
      <c r="I3283" s="1685"/>
      <c r="J3283" s="1683"/>
      <c r="K3283" s="1683"/>
      <c r="L3283" s="1683"/>
      <c r="M3283" s="1683"/>
      <c r="N3283" s="1684"/>
    </row>
    <row r="3284" spans="1:14">
      <c r="A3284" s="1529"/>
      <c r="B3284" s="436" t="s">
        <v>2968</v>
      </c>
      <c r="C3284" s="835">
        <v>10.62</v>
      </c>
      <c r="D3284" s="835">
        <v>0.5</v>
      </c>
      <c r="E3284" s="1014"/>
      <c r="F3284" s="1014"/>
      <c r="G3284" s="1014"/>
      <c r="H3284" s="347">
        <f t="shared" si="79"/>
        <v>5.31</v>
      </c>
      <c r="I3284" s="1685"/>
      <c r="J3284" s="1683"/>
      <c r="K3284" s="1683"/>
      <c r="L3284" s="1683"/>
      <c r="M3284" s="1683"/>
      <c r="N3284" s="1684"/>
    </row>
    <row r="3285" spans="1:14">
      <c r="A3285" s="1529"/>
      <c r="B3285" s="436" t="s">
        <v>3652</v>
      </c>
      <c r="C3285" s="835">
        <v>11.62</v>
      </c>
      <c r="D3285" s="835">
        <v>0.5</v>
      </c>
      <c r="E3285" s="1014"/>
      <c r="F3285" s="1014"/>
      <c r="G3285" s="1014"/>
      <c r="H3285" s="347">
        <f t="shared" si="79"/>
        <v>5.81</v>
      </c>
      <c r="I3285" s="1685"/>
      <c r="J3285" s="1683"/>
      <c r="K3285" s="1683"/>
      <c r="L3285" s="1683"/>
      <c r="M3285" s="1683"/>
      <c r="N3285" s="1684"/>
    </row>
    <row r="3286" spans="1:14">
      <c r="A3286" s="1529"/>
      <c r="B3286" s="436" t="s">
        <v>2974</v>
      </c>
      <c r="C3286" s="835">
        <v>16.2</v>
      </c>
      <c r="D3286" s="835">
        <v>0.5</v>
      </c>
      <c r="E3286" s="1014"/>
      <c r="F3286" s="1014"/>
      <c r="G3286" s="1014"/>
      <c r="H3286" s="347">
        <f t="shared" si="79"/>
        <v>8.1</v>
      </c>
      <c r="I3286" s="1685"/>
      <c r="J3286" s="1683"/>
      <c r="K3286" s="1683"/>
      <c r="L3286" s="1683"/>
      <c r="M3286" s="1683"/>
      <c r="N3286" s="1684"/>
    </row>
    <row r="3287" spans="1:14">
      <c r="A3287" s="1529"/>
      <c r="B3287" s="832" t="s">
        <v>2929</v>
      </c>
      <c r="C3287" s="1018"/>
      <c r="D3287" s="839"/>
      <c r="E3287" s="833"/>
      <c r="F3287" s="833"/>
      <c r="G3287" s="833"/>
      <c r="H3287" s="403"/>
      <c r="I3287" s="1685"/>
      <c r="J3287" s="1683"/>
      <c r="K3287" s="1683"/>
      <c r="L3287" s="1683"/>
      <c r="M3287" s="1683"/>
      <c r="N3287" s="1684"/>
    </row>
    <row r="3288" spans="1:14">
      <c r="A3288" s="1529"/>
      <c r="B3288" s="436" t="s">
        <v>2978</v>
      </c>
      <c r="C3288" s="835">
        <v>17.309999999999999</v>
      </c>
      <c r="D3288" s="835">
        <v>0.5</v>
      </c>
      <c r="E3288" s="1014"/>
      <c r="F3288" s="1014"/>
      <c r="G3288" s="1014"/>
      <c r="H3288" s="347">
        <f t="shared" si="79"/>
        <v>8.6549999999999994</v>
      </c>
      <c r="I3288" s="1685"/>
      <c r="J3288" s="1683"/>
      <c r="K3288" s="1683"/>
      <c r="L3288" s="1683"/>
      <c r="M3288" s="1683"/>
      <c r="N3288" s="1684"/>
    </row>
    <row r="3289" spans="1:14">
      <c r="A3289" s="1529"/>
      <c r="B3289" s="436" t="s">
        <v>2979</v>
      </c>
      <c r="C3289" s="835">
        <v>22.62</v>
      </c>
      <c r="D3289" s="835">
        <v>0.5</v>
      </c>
      <c r="E3289" s="1014"/>
      <c r="F3289" s="1014"/>
      <c r="G3289" s="1014"/>
      <c r="H3289" s="347">
        <f t="shared" si="79"/>
        <v>11.31</v>
      </c>
      <c r="I3289" s="1685"/>
      <c r="J3289" s="1683"/>
      <c r="K3289" s="1683"/>
      <c r="L3289" s="1683"/>
      <c r="M3289" s="1683"/>
      <c r="N3289" s="1684"/>
    </row>
    <row r="3290" spans="1:14">
      <c r="A3290" s="1529"/>
      <c r="B3290" s="436" t="s">
        <v>2231</v>
      </c>
      <c r="C3290" s="835">
        <v>7.27</v>
      </c>
      <c r="D3290" s="835">
        <v>0.5</v>
      </c>
      <c r="E3290" s="1014"/>
      <c r="F3290" s="1014"/>
      <c r="G3290" s="1014"/>
      <c r="H3290" s="347">
        <f t="shared" si="79"/>
        <v>3.6349999999999998</v>
      </c>
      <c r="I3290" s="1685"/>
      <c r="J3290" s="1683"/>
      <c r="K3290" s="1683"/>
      <c r="L3290" s="1683"/>
      <c r="M3290" s="1683"/>
      <c r="N3290" s="1684"/>
    </row>
    <row r="3291" spans="1:14">
      <c r="A3291" s="1529"/>
      <c r="B3291" s="436" t="s">
        <v>2980</v>
      </c>
      <c r="C3291" s="835">
        <v>9.6</v>
      </c>
      <c r="D3291" s="835">
        <v>0.5</v>
      </c>
      <c r="E3291" s="1014"/>
      <c r="F3291" s="1014"/>
      <c r="G3291" s="1014"/>
      <c r="H3291" s="347">
        <f t="shared" si="79"/>
        <v>4.8</v>
      </c>
      <c r="I3291" s="1685"/>
      <c r="J3291" s="1683"/>
      <c r="K3291" s="1683"/>
      <c r="L3291" s="1683"/>
      <c r="M3291" s="1683"/>
      <c r="N3291" s="1684"/>
    </row>
    <row r="3292" spans="1:14">
      <c r="A3292" s="1529"/>
      <c r="B3292" s="436" t="s">
        <v>2981</v>
      </c>
      <c r="C3292" s="835">
        <v>9.6</v>
      </c>
      <c r="D3292" s="835">
        <v>0.5</v>
      </c>
      <c r="E3292" s="1014"/>
      <c r="F3292" s="1014"/>
      <c r="G3292" s="1014"/>
      <c r="H3292" s="347">
        <f t="shared" si="79"/>
        <v>4.8</v>
      </c>
      <c r="I3292" s="1685"/>
      <c r="J3292" s="1683"/>
      <c r="K3292" s="1683"/>
      <c r="L3292" s="1683"/>
      <c r="M3292" s="1683"/>
      <c r="N3292" s="1684"/>
    </row>
    <row r="3293" spans="1:14">
      <c r="A3293" s="1529"/>
      <c r="B3293" s="436" t="s">
        <v>2968</v>
      </c>
      <c r="C3293" s="835">
        <v>9.6</v>
      </c>
      <c r="D3293" s="835">
        <v>0.5</v>
      </c>
      <c r="E3293" s="1014"/>
      <c r="F3293" s="1014"/>
      <c r="G3293" s="1014"/>
      <c r="H3293" s="347">
        <f t="shared" si="79"/>
        <v>4.8</v>
      </c>
      <c r="I3293" s="1685"/>
      <c r="J3293" s="1683"/>
      <c r="K3293" s="1683"/>
      <c r="L3293" s="1683"/>
      <c r="M3293" s="1683"/>
      <c r="N3293" s="1684"/>
    </row>
    <row r="3294" spans="1:14">
      <c r="A3294" s="1529"/>
      <c r="B3294" s="436" t="s">
        <v>2967</v>
      </c>
      <c r="C3294" s="835">
        <v>9.6</v>
      </c>
      <c r="D3294" s="835">
        <v>0.5</v>
      </c>
      <c r="E3294" s="1014"/>
      <c r="F3294" s="1014"/>
      <c r="G3294" s="1014"/>
      <c r="H3294" s="347">
        <f t="shared" si="79"/>
        <v>4.8</v>
      </c>
      <c r="I3294" s="1685"/>
      <c r="J3294" s="1683"/>
      <c r="K3294" s="1683"/>
      <c r="L3294" s="1683"/>
      <c r="M3294" s="1683"/>
      <c r="N3294" s="1684"/>
    </row>
    <row r="3295" spans="1:14">
      <c r="A3295" s="1529"/>
      <c r="B3295" s="436" t="s">
        <v>2234</v>
      </c>
      <c r="C3295" s="835">
        <v>12.54</v>
      </c>
      <c r="D3295" s="835">
        <v>0.5</v>
      </c>
      <c r="E3295" s="1014"/>
      <c r="F3295" s="1014"/>
      <c r="G3295" s="1014"/>
      <c r="H3295" s="347">
        <f t="shared" si="79"/>
        <v>6.27</v>
      </c>
      <c r="I3295" s="1685"/>
      <c r="J3295" s="1683"/>
      <c r="K3295" s="1683"/>
      <c r="L3295" s="1683"/>
      <c r="M3295" s="1683"/>
      <c r="N3295" s="1684"/>
    </row>
    <row r="3296" spans="1:14">
      <c r="A3296" s="1529"/>
      <c r="B3296" s="436" t="s">
        <v>2342</v>
      </c>
      <c r="C3296" s="835">
        <v>12.59</v>
      </c>
      <c r="D3296" s="835">
        <v>0.5</v>
      </c>
      <c r="E3296" s="1014"/>
      <c r="F3296" s="1014"/>
      <c r="G3296" s="1014"/>
      <c r="H3296" s="347">
        <f t="shared" si="79"/>
        <v>6.2949999999999999</v>
      </c>
      <c r="I3296" s="1685"/>
      <c r="J3296" s="1683"/>
      <c r="K3296" s="1683"/>
      <c r="L3296" s="1683"/>
      <c r="M3296" s="1683"/>
      <c r="N3296" s="1684"/>
    </row>
    <row r="3297" spans="1:14">
      <c r="A3297" s="1529"/>
      <c r="B3297" s="436" t="s">
        <v>2982</v>
      </c>
      <c r="C3297" s="835">
        <v>12.06</v>
      </c>
      <c r="D3297" s="835">
        <v>0.5</v>
      </c>
      <c r="E3297" s="1014"/>
      <c r="F3297" s="1014"/>
      <c r="G3297" s="1014"/>
      <c r="H3297" s="347">
        <f t="shared" si="79"/>
        <v>6.03</v>
      </c>
      <c r="I3297" s="1685"/>
      <c r="J3297" s="1683"/>
      <c r="K3297" s="1683"/>
      <c r="L3297" s="1683"/>
      <c r="M3297" s="1683"/>
      <c r="N3297" s="1684"/>
    </row>
    <row r="3298" spans="1:14">
      <c r="A3298" s="1529"/>
      <c r="B3298" s="436" t="s">
        <v>2983</v>
      </c>
      <c r="C3298" s="835">
        <v>33.07</v>
      </c>
      <c r="D3298" s="835">
        <v>0.5</v>
      </c>
      <c r="E3298" s="1014"/>
      <c r="F3298" s="1014"/>
      <c r="G3298" s="1014"/>
      <c r="H3298" s="347">
        <f t="shared" si="79"/>
        <v>16.535</v>
      </c>
      <c r="I3298" s="1685"/>
      <c r="J3298" s="1683"/>
      <c r="K3298" s="1683"/>
      <c r="L3298" s="1683"/>
      <c r="M3298" s="1683"/>
      <c r="N3298" s="1684"/>
    </row>
    <row r="3299" spans="1:14">
      <c r="A3299" s="1529"/>
      <c r="B3299" s="436" t="s">
        <v>2984</v>
      </c>
      <c r="C3299" s="835">
        <v>6.16</v>
      </c>
      <c r="D3299" s="835">
        <v>0.5</v>
      </c>
      <c r="E3299" s="1014"/>
      <c r="F3299" s="1014"/>
      <c r="G3299" s="1014"/>
      <c r="H3299" s="347">
        <f t="shared" si="79"/>
        <v>3.08</v>
      </c>
      <c r="I3299" s="1685"/>
      <c r="J3299" s="1683"/>
      <c r="K3299" s="1683"/>
      <c r="L3299" s="1683"/>
      <c r="M3299" s="1683"/>
      <c r="N3299" s="1684"/>
    </row>
    <row r="3300" spans="1:14">
      <c r="A3300" s="1529"/>
      <c r="B3300" s="436" t="s">
        <v>2985</v>
      </c>
      <c r="C3300" s="835">
        <v>17</v>
      </c>
      <c r="D3300" s="835">
        <v>0.5</v>
      </c>
      <c r="E3300" s="1014"/>
      <c r="F3300" s="1014"/>
      <c r="G3300" s="1014"/>
      <c r="H3300" s="347">
        <f t="shared" si="79"/>
        <v>8.5</v>
      </c>
      <c r="I3300" s="1685"/>
      <c r="J3300" s="1683"/>
      <c r="K3300" s="1683"/>
      <c r="L3300" s="1683"/>
      <c r="M3300" s="1683"/>
      <c r="N3300" s="1684"/>
    </row>
    <row r="3301" spans="1:14">
      <c r="A3301" s="1529"/>
      <c r="B3301" s="436" t="s">
        <v>2986</v>
      </c>
      <c r="C3301" s="835">
        <v>10.199999999999999</v>
      </c>
      <c r="D3301" s="835">
        <v>0.5</v>
      </c>
      <c r="E3301" s="1014"/>
      <c r="F3301" s="1014"/>
      <c r="G3301" s="1014"/>
      <c r="H3301" s="347">
        <f t="shared" si="79"/>
        <v>5.0999999999999996</v>
      </c>
      <c r="I3301" s="1685"/>
      <c r="J3301" s="1683"/>
      <c r="K3301" s="1683"/>
      <c r="L3301" s="1683"/>
      <c r="M3301" s="1683"/>
      <c r="N3301" s="1684"/>
    </row>
    <row r="3302" spans="1:14">
      <c r="A3302" s="1529"/>
      <c r="B3302" s="436" t="s">
        <v>2987</v>
      </c>
      <c r="C3302" s="835">
        <v>9.6</v>
      </c>
      <c r="D3302" s="835">
        <v>0.5</v>
      </c>
      <c r="E3302" s="1014"/>
      <c r="F3302" s="1014"/>
      <c r="G3302" s="1014"/>
      <c r="H3302" s="347">
        <f t="shared" si="79"/>
        <v>4.8</v>
      </c>
      <c r="I3302" s="1685"/>
      <c r="J3302" s="1683"/>
      <c r="K3302" s="1683"/>
      <c r="L3302" s="1683"/>
      <c r="M3302" s="1683"/>
      <c r="N3302" s="1684"/>
    </row>
    <row r="3303" spans="1:14">
      <c r="A3303" s="1529"/>
      <c r="B3303" s="436" t="s">
        <v>2988</v>
      </c>
      <c r="C3303" s="835">
        <v>9.6</v>
      </c>
      <c r="D3303" s="835">
        <v>0.5</v>
      </c>
      <c r="E3303" s="1014"/>
      <c r="F3303" s="1014"/>
      <c r="G3303" s="1014"/>
      <c r="H3303" s="347">
        <f t="shared" si="79"/>
        <v>4.8</v>
      </c>
      <c r="I3303" s="1685"/>
      <c r="J3303" s="1683"/>
      <c r="K3303" s="1683"/>
      <c r="L3303" s="1683"/>
      <c r="M3303" s="1683"/>
      <c r="N3303" s="1684"/>
    </row>
    <row r="3304" spans="1:14">
      <c r="A3304" s="1529"/>
      <c r="B3304" s="436" t="s">
        <v>2989</v>
      </c>
      <c r="C3304" s="835">
        <v>9.6</v>
      </c>
      <c r="D3304" s="835">
        <v>0.5</v>
      </c>
      <c r="E3304" s="1014"/>
      <c r="F3304" s="1014"/>
      <c r="G3304" s="1014"/>
      <c r="H3304" s="347">
        <f t="shared" si="79"/>
        <v>4.8</v>
      </c>
      <c r="I3304" s="1685"/>
      <c r="J3304" s="1683"/>
      <c r="K3304" s="1683"/>
      <c r="L3304" s="1683"/>
      <c r="M3304" s="1683"/>
      <c r="N3304" s="1684"/>
    </row>
    <row r="3305" spans="1:14" ht="24">
      <c r="A3305" s="1529" t="s">
        <v>3745</v>
      </c>
      <c r="B3305" s="832" t="s">
        <v>2727</v>
      </c>
      <c r="C3305" s="839" t="s">
        <v>12</v>
      </c>
      <c r="D3305" s="839" t="s">
        <v>3640</v>
      </c>
      <c r="E3305" s="833"/>
      <c r="F3305" s="833"/>
      <c r="G3305" s="833"/>
      <c r="H3305" s="834"/>
      <c r="I3305" s="1685"/>
      <c r="J3305" s="1683"/>
      <c r="K3305" s="1683"/>
      <c r="L3305" s="1683"/>
      <c r="M3305" s="1683"/>
      <c r="N3305" s="1684"/>
    </row>
    <row r="3306" spans="1:14">
      <c r="A3306" s="1529"/>
      <c r="B3306" s="436" t="s">
        <v>2952</v>
      </c>
      <c r="C3306" s="835">
        <v>10.66</v>
      </c>
      <c r="D3306" s="835">
        <v>0.5</v>
      </c>
      <c r="E3306" s="1014"/>
      <c r="F3306" s="1014"/>
      <c r="G3306" s="1014"/>
      <c r="H3306" s="347">
        <f t="shared" ref="H3306:H3328" si="80">C3306*D3306</f>
        <v>5.33</v>
      </c>
      <c r="I3306" s="1685"/>
      <c r="J3306" s="1683"/>
      <c r="K3306" s="1683"/>
      <c r="L3306" s="1683"/>
      <c r="M3306" s="1683"/>
      <c r="N3306" s="1684"/>
    </row>
    <row r="3307" spans="1:14">
      <c r="A3307" s="1529"/>
      <c r="B3307" s="436" t="s">
        <v>2438</v>
      </c>
      <c r="C3307" s="835">
        <v>6.72</v>
      </c>
      <c r="D3307" s="835">
        <v>0.5</v>
      </c>
      <c r="E3307" s="1014"/>
      <c r="F3307" s="1014"/>
      <c r="G3307" s="1014"/>
      <c r="H3307" s="347">
        <f t="shared" si="80"/>
        <v>3.36</v>
      </c>
      <c r="I3307" s="1685"/>
      <c r="J3307" s="1683"/>
      <c r="K3307" s="1683"/>
      <c r="L3307" s="1683"/>
      <c r="M3307" s="1683"/>
      <c r="N3307" s="1684"/>
    </row>
    <row r="3308" spans="1:14">
      <c r="A3308" s="1529"/>
      <c r="B3308" s="436" t="s">
        <v>3591</v>
      </c>
      <c r="C3308" s="835">
        <v>7.91</v>
      </c>
      <c r="D3308" s="835">
        <v>0.5</v>
      </c>
      <c r="E3308" s="1014"/>
      <c r="F3308" s="1014"/>
      <c r="G3308" s="1014"/>
      <c r="H3308" s="347">
        <f t="shared" si="80"/>
        <v>3.9550000000000001</v>
      </c>
      <c r="I3308" s="1685"/>
      <c r="J3308" s="1683"/>
      <c r="K3308" s="1683"/>
      <c r="L3308" s="1683"/>
      <c r="M3308" s="1683"/>
      <c r="N3308" s="1684"/>
    </row>
    <row r="3309" spans="1:14">
      <c r="A3309" s="1529"/>
      <c r="B3309" s="436" t="s">
        <v>3592</v>
      </c>
      <c r="C3309" s="835">
        <v>8.43</v>
      </c>
      <c r="D3309" s="835">
        <v>0.5</v>
      </c>
      <c r="E3309" s="1014"/>
      <c r="F3309" s="1014"/>
      <c r="G3309" s="1014"/>
      <c r="H3309" s="347">
        <f t="shared" si="80"/>
        <v>4.2149999999999999</v>
      </c>
      <c r="I3309" s="1685"/>
      <c r="J3309" s="1683"/>
      <c r="K3309" s="1683"/>
      <c r="L3309" s="1683"/>
      <c r="M3309" s="1683"/>
      <c r="N3309" s="1684"/>
    </row>
    <row r="3310" spans="1:14">
      <c r="A3310" s="1529"/>
      <c r="B3310" s="436" t="s">
        <v>3651</v>
      </c>
      <c r="C3310" s="835">
        <v>22.39</v>
      </c>
      <c r="D3310" s="835">
        <v>0.5</v>
      </c>
      <c r="E3310" s="1014"/>
      <c r="F3310" s="1014"/>
      <c r="G3310" s="1014"/>
      <c r="H3310" s="347">
        <f t="shared" si="80"/>
        <v>11.195</v>
      </c>
      <c r="I3310" s="1685"/>
      <c r="J3310" s="1683"/>
      <c r="K3310" s="1683"/>
      <c r="L3310" s="1683"/>
      <c r="M3310" s="1683"/>
      <c r="N3310" s="1684"/>
    </row>
    <row r="3311" spans="1:14">
      <c r="A3311" s="1529"/>
      <c r="B3311" s="436" t="s">
        <v>3386</v>
      </c>
      <c r="C3311" s="835">
        <v>17.170000000000002</v>
      </c>
      <c r="D3311" s="835">
        <v>0.5</v>
      </c>
      <c r="E3311" s="1014"/>
      <c r="F3311" s="1014"/>
      <c r="G3311" s="1014"/>
      <c r="H3311" s="347">
        <f t="shared" si="80"/>
        <v>8.5850000000000009</v>
      </c>
      <c r="I3311" s="1685"/>
      <c r="J3311" s="1683"/>
      <c r="K3311" s="1683"/>
      <c r="L3311" s="1683"/>
      <c r="M3311" s="1683"/>
      <c r="N3311" s="1684"/>
    </row>
    <row r="3312" spans="1:14">
      <c r="A3312" s="1529"/>
      <c r="B3312" s="436" t="s">
        <v>2234</v>
      </c>
      <c r="C3312" s="835">
        <v>10.67</v>
      </c>
      <c r="D3312" s="835">
        <v>0.5</v>
      </c>
      <c r="E3312" s="1014"/>
      <c r="F3312" s="1014"/>
      <c r="G3312" s="1014"/>
      <c r="H3312" s="347">
        <f t="shared" si="80"/>
        <v>5.335</v>
      </c>
      <c r="I3312" s="1685"/>
      <c r="J3312" s="1683"/>
      <c r="K3312" s="1683"/>
      <c r="L3312" s="1683"/>
      <c r="M3312" s="1683"/>
      <c r="N3312" s="1684"/>
    </row>
    <row r="3313" spans="1:14">
      <c r="A3313" s="1529"/>
      <c r="B3313" s="436" t="s">
        <v>2967</v>
      </c>
      <c r="C3313" s="835">
        <v>10.62</v>
      </c>
      <c r="D3313" s="835">
        <v>0.5</v>
      </c>
      <c r="E3313" s="1014"/>
      <c r="F3313" s="1014"/>
      <c r="G3313" s="1014"/>
      <c r="H3313" s="347">
        <f t="shared" si="80"/>
        <v>5.31</v>
      </c>
      <c r="I3313" s="1685"/>
      <c r="J3313" s="1683"/>
      <c r="K3313" s="1683"/>
      <c r="L3313" s="1683"/>
      <c r="M3313" s="1683"/>
      <c r="N3313" s="1684"/>
    </row>
    <row r="3314" spans="1:14">
      <c r="A3314" s="1529"/>
      <c r="B3314" s="436" t="s">
        <v>2968</v>
      </c>
      <c r="C3314" s="835">
        <v>10.62</v>
      </c>
      <c r="D3314" s="835">
        <v>0.5</v>
      </c>
      <c r="E3314" s="1014"/>
      <c r="F3314" s="1014"/>
      <c r="G3314" s="1014"/>
      <c r="H3314" s="347">
        <f t="shared" si="80"/>
        <v>5.31</v>
      </c>
      <c r="I3314" s="1685"/>
      <c r="J3314" s="1683"/>
      <c r="K3314" s="1683"/>
      <c r="L3314" s="1683"/>
      <c r="M3314" s="1683"/>
      <c r="N3314" s="1684"/>
    </row>
    <row r="3315" spans="1:14">
      <c r="A3315" s="1529"/>
      <c r="B3315" s="436" t="s">
        <v>3652</v>
      </c>
      <c r="C3315" s="835">
        <v>11.62</v>
      </c>
      <c r="D3315" s="835">
        <v>0.5</v>
      </c>
      <c r="E3315" s="1014"/>
      <c r="F3315" s="1014"/>
      <c r="G3315" s="1014"/>
      <c r="H3315" s="347">
        <f t="shared" si="80"/>
        <v>5.81</v>
      </c>
      <c r="I3315" s="1685"/>
      <c r="J3315" s="1683"/>
      <c r="K3315" s="1683"/>
      <c r="L3315" s="1683"/>
      <c r="M3315" s="1683"/>
      <c r="N3315" s="1684"/>
    </row>
    <row r="3316" spans="1:14">
      <c r="A3316" s="1529"/>
      <c r="B3316" s="436" t="s">
        <v>2974</v>
      </c>
      <c r="C3316" s="835">
        <v>16.2</v>
      </c>
      <c r="D3316" s="835">
        <v>0.5</v>
      </c>
      <c r="E3316" s="1014"/>
      <c r="F3316" s="1014"/>
      <c r="G3316" s="1014"/>
      <c r="H3316" s="347">
        <f t="shared" si="80"/>
        <v>8.1</v>
      </c>
      <c r="I3316" s="1685"/>
      <c r="J3316" s="1683"/>
      <c r="K3316" s="1683"/>
      <c r="L3316" s="1683"/>
      <c r="M3316" s="1683"/>
      <c r="N3316" s="1684"/>
    </row>
    <row r="3317" spans="1:14">
      <c r="A3317" s="1529"/>
      <c r="B3317" s="436" t="s">
        <v>3798</v>
      </c>
      <c r="C3317" s="1017">
        <v>11.99</v>
      </c>
      <c r="D3317" s="1017">
        <v>1</v>
      </c>
      <c r="E3317" s="1016"/>
      <c r="F3317" s="1016"/>
      <c r="G3317" s="1016"/>
      <c r="H3317" s="347">
        <f t="shared" si="80"/>
        <v>11.99</v>
      </c>
      <c r="I3317" s="1685"/>
      <c r="J3317" s="1683"/>
      <c r="K3317" s="1683"/>
      <c r="L3317" s="1683"/>
      <c r="M3317" s="1683"/>
      <c r="N3317" s="1684"/>
    </row>
    <row r="3318" spans="1:14">
      <c r="A3318" s="1529"/>
      <c r="B3318" s="436" t="s">
        <v>3573</v>
      </c>
      <c r="C3318" s="1017">
        <v>2.97</v>
      </c>
      <c r="D3318" s="1017">
        <v>1</v>
      </c>
      <c r="E3318" s="1016"/>
      <c r="F3318" s="1016"/>
      <c r="G3318" s="1016"/>
      <c r="H3318" s="347">
        <f t="shared" si="80"/>
        <v>2.97</v>
      </c>
      <c r="I3318" s="1685"/>
      <c r="J3318" s="1683"/>
      <c r="K3318" s="1683"/>
      <c r="L3318" s="1683"/>
      <c r="M3318" s="1683"/>
      <c r="N3318" s="1684"/>
    </row>
    <row r="3319" spans="1:14">
      <c r="A3319" s="1529"/>
      <c r="B3319" s="436" t="s">
        <v>3799</v>
      </c>
      <c r="C3319" s="1017">
        <v>7.95</v>
      </c>
      <c r="D3319" s="1017">
        <v>1</v>
      </c>
      <c r="E3319" s="1016"/>
      <c r="F3319" s="1016"/>
      <c r="G3319" s="1016"/>
      <c r="H3319" s="347">
        <f t="shared" si="80"/>
        <v>7.95</v>
      </c>
      <c r="I3319" s="1685"/>
      <c r="J3319" s="1683"/>
      <c r="K3319" s="1683"/>
      <c r="L3319" s="1683"/>
      <c r="M3319" s="1683"/>
      <c r="N3319" s="1684"/>
    </row>
    <row r="3320" spans="1:14">
      <c r="A3320" s="1529"/>
      <c r="B3320" s="436" t="s">
        <v>3800</v>
      </c>
      <c r="C3320" s="1017">
        <v>10.6</v>
      </c>
      <c r="D3320" s="1017">
        <v>1</v>
      </c>
      <c r="E3320" s="1016"/>
      <c r="F3320" s="1016"/>
      <c r="G3320" s="1016"/>
      <c r="H3320" s="347">
        <f t="shared" si="80"/>
        <v>10.6</v>
      </c>
      <c r="I3320" s="1685"/>
      <c r="J3320" s="1683"/>
      <c r="K3320" s="1683"/>
      <c r="L3320" s="1683"/>
      <c r="M3320" s="1683"/>
      <c r="N3320" s="1684"/>
    </row>
    <row r="3321" spans="1:14">
      <c r="A3321" s="1529"/>
      <c r="B3321" s="436" t="s">
        <v>3801</v>
      </c>
      <c r="C3321" s="1017">
        <v>10.51</v>
      </c>
      <c r="D3321" s="1017">
        <v>1</v>
      </c>
      <c r="E3321" s="1016"/>
      <c r="F3321" s="1016"/>
      <c r="G3321" s="1016"/>
      <c r="H3321" s="347">
        <f t="shared" si="80"/>
        <v>10.51</v>
      </c>
      <c r="I3321" s="1685"/>
      <c r="J3321" s="1683"/>
      <c r="K3321" s="1683"/>
      <c r="L3321" s="1683"/>
      <c r="M3321" s="1683"/>
      <c r="N3321" s="1684"/>
    </row>
    <row r="3322" spans="1:14">
      <c r="A3322" s="1529"/>
      <c r="B3322" s="436" t="s">
        <v>3802</v>
      </c>
      <c r="C3322" s="1017">
        <v>5.4</v>
      </c>
      <c r="D3322" s="1017">
        <v>1</v>
      </c>
      <c r="E3322" s="1016"/>
      <c r="F3322" s="1016"/>
      <c r="G3322" s="1016"/>
      <c r="H3322" s="347">
        <f t="shared" si="80"/>
        <v>5.4</v>
      </c>
      <c r="I3322" s="1685"/>
      <c r="J3322" s="1683"/>
      <c r="K3322" s="1683"/>
      <c r="L3322" s="1683"/>
      <c r="M3322" s="1683"/>
      <c r="N3322" s="1684"/>
    </row>
    <row r="3323" spans="1:14">
      <c r="A3323" s="1529"/>
      <c r="B3323" s="436" t="s">
        <v>2976</v>
      </c>
      <c r="C3323" s="1017">
        <v>3.43</v>
      </c>
      <c r="D3323" s="1017">
        <v>1</v>
      </c>
      <c r="E3323" s="1016"/>
      <c r="F3323" s="1016"/>
      <c r="G3323" s="1016"/>
      <c r="H3323" s="347">
        <f t="shared" si="80"/>
        <v>3.43</v>
      </c>
      <c r="I3323" s="1685"/>
      <c r="J3323" s="1683"/>
      <c r="K3323" s="1683"/>
      <c r="L3323" s="1683"/>
      <c r="M3323" s="1683"/>
      <c r="N3323" s="1684"/>
    </row>
    <row r="3324" spans="1:14">
      <c r="A3324" s="1529"/>
      <c r="B3324" s="436" t="s">
        <v>2973</v>
      </c>
      <c r="C3324" s="1017">
        <v>4.26</v>
      </c>
      <c r="D3324" s="1017">
        <v>1</v>
      </c>
      <c r="E3324" s="1016"/>
      <c r="F3324" s="1016"/>
      <c r="G3324" s="1016"/>
      <c r="H3324" s="347">
        <f t="shared" si="80"/>
        <v>4.26</v>
      </c>
      <c r="I3324" s="1685"/>
      <c r="J3324" s="1683"/>
      <c r="K3324" s="1683"/>
      <c r="L3324" s="1683"/>
      <c r="M3324" s="1683"/>
      <c r="N3324" s="1684"/>
    </row>
    <row r="3325" spans="1:14">
      <c r="A3325" s="1529"/>
      <c r="B3325" s="436" t="s">
        <v>2231</v>
      </c>
      <c r="C3325" s="1017">
        <v>10.31</v>
      </c>
      <c r="D3325" s="1017">
        <v>1</v>
      </c>
      <c r="E3325" s="1016"/>
      <c r="F3325" s="1016"/>
      <c r="G3325" s="1016"/>
      <c r="H3325" s="347">
        <f t="shared" si="80"/>
        <v>10.31</v>
      </c>
      <c r="I3325" s="1685"/>
      <c r="J3325" s="1683"/>
      <c r="K3325" s="1683"/>
      <c r="L3325" s="1683"/>
      <c r="M3325" s="1683"/>
      <c r="N3325" s="1684"/>
    </row>
    <row r="3326" spans="1:14">
      <c r="A3326" s="1529"/>
      <c r="B3326" s="436" t="s">
        <v>3803</v>
      </c>
      <c r="C3326" s="1017">
        <v>16.16</v>
      </c>
      <c r="D3326" s="1017">
        <v>1</v>
      </c>
      <c r="E3326" s="1016"/>
      <c r="F3326" s="1016"/>
      <c r="G3326" s="1016"/>
      <c r="H3326" s="347">
        <f t="shared" si="80"/>
        <v>16.16</v>
      </c>
      <c r="I3326" s="1685"/>
      <c r="J3326" s="1683"/>
      <c r="K3326" s="1683"/>
      <c r="L3326" s="1683"/>
      <c r="M3326" s="1683"/>
      <c r="N3326" s="1684"/>
    </row>
    <row r="3327" spans="1:14">
      <c r="A3327" s="1529"/>
      <c r="B3327" s="436" t="s">
        <v>3804</v>
      </c>
      <c r="C3327" s="1017">
        <v>11.98</v>
      </c>
      <c r="D3327" s="1017">
        <v>1</v>
      </c>
      <c r="E3327" s="1016"/>
      <c r="F3327" s="1016"/>
      <c r="G3327" s="1016"/>
      <c r="H3327" s="347">
        <f t="shared" si="80"/>
        <v>11.98</v>
      </c>
      <c r="I3327" s="1685"/>
      <c r="J3327" s="1683"/>
      <c r="K3327" s="1683"/>
      <c r="L3327" s="1683"/>
      <c r="M3327" s="1683"/>
      <c r="N3327" s="1684"/>
    </row>
    <row r="3328" spans="1:14">
      <c r="A3328" s="1529"/>
      <c r="B3328" s="436" t="s">
        <v>3805</v>
      </c>
      <c r="C3328" s="1017">
        <v>2.2999999999999998</v>
      </c>
      <c r="D3328" s="1017">
        <v>1</v>
      </c>
      <c r="E3328" s="1016"/>
      <c r="F3328" s="1016"/>
      <c r="G3328" s="1016"/>
      <c r="H3328" s="347">
        <f t="shared" si="80"/>
        <v>2.2999999999999998</v>
      </c>
      <c r="I3328" s="1685"/>
      <c r="J3328" s="1683"/>
      <c r="K3328" s="1683"/>
      <c r="L3328" s="1683"/>
      <c r="M3328" s="1683"/>
      <c r="N3328" s="1684"/>
    </row>
    <row r="3329" spans="1:14">
      <c r="A3329" s="1529"/>
      <c r="B3329" s="832" t="s">
        <v>2929</v>
      </c>
      <c r="C3329" s="1018"/>
      <c r="D3329" s="839"/>
      <c r="E3329" s="833"/>
      <c r="F3329" s="833"/>
      <c r="G3329" s="833"/>
      <c r="H3329" s="403"/>
      <c r="I3329" s="1685"/>
      <c r="J3329" s="1683"/>
      <c r="K3329" s="1683"/>
      <c r="L3329" s="1683"/>
      <c r="M3329" s="1683"/>
      <c r="N3329" s="1684"/>
    </row>
    <row r="3330" spans="1:14">
      <c r="A3330" s="1529"/>
      <c r="B3330" s="436" t="s">
        <v>2978</v>
      </c>
      <c r="C3330" s="835">
        <v>17.309999999999999</v>
      </c>
      <c r="D3330" s="835">
        <v>0.5</v>
      </c>
      <c r="E3330" s="1014"/>
      <c r="F3330" s="1014"/>
      <c r="G3330" s="1014"/>
      <c r="H3330" s="347">
        <f t="shared" ref="H3330:H3350" si="81">C3330*D3330</f>
        <v>8.6549999999999994</v>
      </c>
      <c r="I3330" s="1685"/>
      <c r="J3330" s="1683"/>
      <c r="K3330" s="1683"/>
      <c r="L3330" s="1683"/>
      <c r="M3330" s="1683"/>
      <c r="N3330" s="1684"/>
    </row>
    <row r="3331" spans="1:14">
      <c r="A3331" s="1529"/>
      <c r="B3331" s="436" t="s">
        <v>2979</v>
      </c>
      <c r="C3331" s="835">
        <v>22.62</v>
      </c>
      <c r="D3331" s="835">
        <v>0.5</v>
      </c>
      <c r="E3331" s="1014"/>
      <c r="F3331" s="1014"/>
      <c r="G3331" s="1014"/>
      <c r="H3331" s="347">
        <f t="shared" si="81"/>
        <v>11.31</v>
      </c>
      <c r="I3331" s="1685"/>
      <c r="J3331" s="1683"/>
      <c r="K3331" s="1683"/>
      <c r="L3331" s="1683"/>
      <c r="M3331" s="1683"/>
      <c r="N3331" s="1684"/>
    </row>
    <row r="3332" spans="1:14">
      <c r="A3332" s="1529"/>
      <c r="B3332" s="436" t="s">
        <v>2231</v>
      </c>
      <c r="C3332" s="835">
        <v>7.27</v>
      </c>
      <c r="D3332" s="835">
        <v>0.5</v>
      </c>
      <c r="E3332" s="1014"/>
      <c r="F3332" s="1014"/>
      <c r="G3332" s="1014"/>
      <c r="H3332" s="347">
        <f t="shared" si="81"/>
        <v>3.6349999999999998</v>
      </c>
      <c r="I3332" s="1685"/>
      <c r="J3332" s="1683"/>
      <c r="K3332" s="1683"/>
      <c r="L3332" s="1683"/>
      <c r="M3332" s="1683"/>
      <c r="N3332" s="1684"/>
    </row>
    <row r="3333" spans="1:14">
      <c r="A3333" s="1529"/>
      <c r="B3333" s="436" t="s">
        <v>2980</v>
      </c>
      <c r="C3333" s="835">
        <v>9.6</v>
      </c>
      <c r="D3333" s="835">
        <v>0.5</v>
      </c>
      <c r="E3333" s="1014"/>
      <c r="F3333" s="1014"/>
      <c r="G3333" s="1014"/>
      <c r="H3333" s="347">
        <f t="shared" si="81"/>
        <v>4.8</v>
      </c>
      <c r="I3333" s="1685"/>
      <c r="J3333" s="1683"/>
      <c r="K3333" s="1683"/>
      <c r="L3333" s="1683"/>
      <c r="M3333" s="1683"/>
      <c r="N3333" s="1684"/>
    </row>
    <row r="3334" spans="1:14">
      <c r="A3334" s="1529"/>
      <c r="B3334" s="436" t="s">
        <v>2981</v>
      </c>
      <c r="C3334" s="835">
        <v>9.6</v>
      </c>
      <c r="D3334" s="835">
        <v>0.5</v>
      </c>
      <c r="E3334" s="1014"/>
      <c r="F3334" s="1014"/>
      <c r="G3334" s="1014"/>
      <c r="H3334" s="347">
        <f t="shared" si="81"/>
        <v>4.8</v>
      </c>
      <c r="I3334" s="1685"/>
      <c r="J3334" s="1683"/>
      <c r="K3334" s="1683"/>
      <c r="L3334" s="1683"/>
      <c r="M3334" s="1683"/>
      <c r="N3334" s="1684"/>
    </row>
    <row r="3335" spans="1:14">
      <c r="A3335" s="1529"/>
      <c r="B3335" s="436" t="s">
        <v>2968</v>
      </c>
      <c r="C3335" s="835">
        <v>9.6</v>
      </c>
      <c r="D3335" s="835">
        <v>0.5</v>
      </c>
      <c r="E3335" s="1014"/>
      <c r="F3335" s="1014"/>
      <c r="G3335" s="1014"/>
      <c r="H3335" s="347">
        <f t="shared" si="81"/>
        <v>4.8</v>
      </c>
      <c r="I3335" s="1685"/>
      <c r="J3335" s="1683"/>
      <c r="K3335" s="1683"/>
      <c r="L3335" s="1683"/>
      <c r="M3335" s="1683"/>
      <c r="N3335" s="1684"/>
    </row>
    <row r="3336" spans="1:14">
      <c r="A3336" s="1529"/>
      <c r="B3336" s="436" t="s">
        <v>2967</v>
      </c>
      <c r="C3336" s="835">
        <v>9.6</v>
      </c>
      <c r="D3336" s="835">
        <v>0.5</v>
      </c>
      <c r="E3336" s="1014"/>
      <c r="F3336" s="1014"/>
      <c r="G3336" s="1014"/>
      <c r="H3336" s="347">
        <f t="shared" si="81"/>
        <v>4.8</v>
      </c>
      <c r="I3336" s="1685"/>
      <c r="J3336" s="1683"/>
      <c r="K3336" s="1683"/>
      <c r="L3336" s="1683"/>
      <c r="M3336" s="1683"/>
      <c r="N3336" s="1684"/>
    </row>
    <row r="3337" spans="1:14">
      <c r="A3337" s="1529"/>
      <c r="B3337" s="436" t="s">
        <v>2234</v>
      </c>
      <c r="C3337" s="835">
        <v>12.54</v>
      </c>
      <c r="D3337" s="835">
        <v>0.5</v>
      </c>
      <c r="E3337" s="1014"/>
      <c r="F3337" s="1014"/>
      <c r="G3337" s="1014"/>
      <c r="H3337" s="347">
        <f t="shared" si="81"/>
        <v>6.27</v>
      </c>
      <c r="I3337" s="1685"/>
      <c r="J3337" s="1683"/>
      <c r="K3337" s="1683"/>
      <c r="L3337" s="1683"/>
      <c r="M3337" s="1683"/>
      <c r="N3337" s="1684"/>
    </row>
    <row r="3338" spans="1:14">
      <c r="A3338" s="1529"/>
      <c r="B3338" s="436" t="s">
        <v>2342</v>
      </c>
      <c r="C3338" s="835">
        <v>12.59</v>
      </c>
      <c r="D3338" s="835">
        <v>0.5</v>
      </c>
      <c r="E3338" s="1014"/>
      <c r="F3338" s="1014"/>
      <c r="G3338" s="1014"/>
      <c r="H3338" s="347">
        <f t="shared" si="81"/>
        <v>6.2949999999999999</v>
      </c>
      <c r="I3338" s="1685"/>
      <c r="J3338" s="1683"/>
      <c r="K3338" s="1683"/>
      <c r="L3338" s="1683"/>
      <c r="M3338" s="1683"/>
      <c r="N3338" s="1684"/>
    </row>
    <row r="3339" spans="1:14">
      <c r="A3339" s="1529"/>
      <c r="B3339" s="436" t="s">
        <v>2982</v>
      </c>
      <c r="C3339" s="835">
        <v>12.06</v>
      </c>
      <c r="D3339" s="835">
        <v>0.5</v>
      </c>
      <c r="E3339" s="1014"/>
      <c r="F3339" s="1014"/>
      <c r="G3339" s="1014"/>
      <c r="H3339" s="347">
        <f t="shared" si="81"/>
        <v>6.03</v>
      </c>
      <c r="I3339" s="1685"/>
      <c r="J3339" s="1683"/>
      <c r="K3339" s="1683"/>
      <c r="L3339" s="1683"/>
      <c r="M3339" s="1683"/>
      <c r="N3339" s="1684"/>
    </row>
    <row r="3340" spans="1:14">
      <c r="A3340" s="1529"/>
      <c r="B3340" s="436" t="s">
        <v>2983</v>
      </c>
      <c r="C3340" s="835">
        <v>33.07</v>
      </c>
      <c r="D3340" s="835">
        <v>0.5</v>
      </c>
      <c r="E3340" s="1014"/>
      <c r="F3340" s="1014"/>
      <c r="G3340" s="1014"/>
      <c r="H3340" s="347">
        <f t="shared" si="81"/>
        <v>16.535</v>
      </c>
      <c r="I3340" s="1685"/>
      <c r="J3340" s="1683"/>
      <c r="K3340" s="1683"/>
      <c r="L3340" s="1683"/>
      <c r="M3340" s="1683"/>
      <c r="N3340" s="1684"/>
    </row>
    <row r="3341" spans="1:14">
      <c r="A3341" s="1529"/>
      <c r="B3341" s="436" t="s">
        <v>2984</v>
      </c>
      <c r="C3341" s="835">
        <v>6.16</v>
      </c>
      <c r="D3341" s="835">
        <v>0.5</v>
      </c>
      <c r="E3341" s="1014"/>
      <c r="F3341" s="1014"/>
      <c r="G3341" s="1014"/>
      <c r="H3341" s="347">
        <f t="shared" si="81"/>
        <v>3.08</v>
      </c>
      <c r="I3341" s="1685"/>
      <c r="J3341" s="1683"/>
      <c r="K3341" s="1683"/>
      <c r="L3341" s="1683"/>
      <c r="M3341" s="1683"/>
      <c r="N3341" s="1684"/>
    </row>
    <row r="3342" spans="1:14">
      <c r="A3342" s="1529"/>
      <c r="B3342" s="436" t="s">
        <v>2985</v>
      </c>
      <c r="C3342" s="835">
        <v>17</v>
      </c>
      <c r="D3342" s="835">
        <v>0.5</v>
      </c>
      <c r="E3342" s="1014"/>
      <c r="F3342" s="1014"/>
      <c r="G3342" s="1014"/>
      <c r="H3342" s="347">
        <f t="shared" si="81"/>
        <v>8.5</v>
      </c>
      <c r="I3342" s="1685"/>
      <c r="J3342" s="1683"/>
      <c r="K3342" s="1683"/>
      <c r="L3342" s="1683"/>
      <c r="M3342" s="1683"/>
      <c r="N3342" s="1684"/>
    </row>
    <row r="3343" spans="1:14">
      <c r="A3343" s="1529"/>
      <c r="B3343" s="436" t="s">
        <v>2986</v>
      </c>
      <c r="C3343" s="835">
        <v>10.199999999999999</v>
      </c>
      <c r="D3343" s="835">
        <v>0.5</v>
      </c>
      <c r="E3343" s="1014"/>
      <c r="F3343" s="1014"/>
      <c r="G3343" s="1014"/>
      <c r="H3343" s="347">
        <f t="shared" si="81"/>
        <v>5.0999999999999996</v>
      </c>
      <c r="I3343" s="1685"/>
      <c r="J3343" s="1683"/>
      <c r="K3343" s="1683"/>
      <c r="L3343" s="1683"/>
      <c r="M3343" s="1683"/>
      <c r="N3343" s="1684"/>
    </row>
    <row r="3344" spans="1:14">
      <c r="A3344" s="1529"/>
      <c r="B3344" s="436" t="s">
        <v>2987</v>
      </c>
      <c r="C3344" s="835">
        <v>9.6</v>
      </c>
      <c r="D3344" s="835">
        <v>0.5</v>
      </c>
      <c r="E3344" s="1014"/>
      <c r="F3344" s="1014"/>
      <c r="G3344" s="1014"/>
      <c r="H3344" s="347">
        <f t="shared" si="81"/>
        <v>4.8</v>
      </c>
      <c r="I3344" s="1685"/>
      <c r="J3344" s="1683"/>
      <c r="K3344" s="1683"/>
      <c r="L3344" s="1683"/>
      <c r="M3344" s="1683"/>
      <c r="N3344" s="1684"/>
    </row>
    <row r="3345" spans="1:14">
      <c r="A3345" s="1529"/>
      <c r="B3345" s="436" t="s">
        <v>2988</v>
      </c>
      <c r="C3345" s="835">
        <v>9.6</v>
      </c>
      <c r="D3345" s="835">
        <v>0.5</v>
      </c>
      <c r="E3345" s="1014"/>
      <c r="F3345" s="1014"/>
      <c r="G3345" s="1014"/>
      <c r="H3345" s="347">
        <f t="shared" si="81"/>
        <v>4.8</v>
      </c>
      <c r="I3345" s="1685"/>
      <c r="J3345" s="1683"/>
      <c r="K3345" s="1683"/>
      <c r="L3345" s="1683"/>
      <c r="M3345" s="1683"/>
      <c r="N3345" s="1684"/>
    </row>
    <row r="3346" spans="1:14">
      <c r="A3346" s="1529"/>
      <c r="B3346" s="436" t="s">
        <v>2989</v>
      </c>
      <c r="C3346" s="835">
        <v>9.6</v>
      </c>
      <c r="D3346" s="835">
        <v>0.5</v>
      </c>
      <c r="E3346" s="1014"/>
      <c r="F3346" s="1014"/>
      <c r="G3346" s="1014"/>
      <c r="H3346" s="347">
        <f t="shared" si="81"/>
        <v>4.8</v>
      </c>
      <c r="I3346" s="1685"/>
      <c r="J3346" s="1683"/>
      <c r="K3346" s="1683"/>
      <c r="L3346" s="1683"/>
      <c r="M3346" s="1683"/>
      <c r="N3346" s="1684"/>
    </row>
    <row r="3347" spans="1:14">
      <c r="A3347" s="1529" t="s">
        <v>3937</v>
      </c>
      <c r="B3347" s="436" t="s">
        <v>2342</v>
      </c>
      <c r="C3347" s="1017">
        <v>4.18</v>
      </c>
      <c r="D3347" s="1017">
        <v>1</v>
      </c>
      <c r="E3347" s="1016"/>
      <c r="F3347" s="1016"/>
      <c r="G3347" s="1016"/>
      <c r="H3347" s="347">
        <f t="shared" si="81"/>
        <v>4.18</v>
      </c>
      <c r="I3347" s="1685"/>
      <c r="J3347" s="1683"/>
      <c r="K3347" s="1683"/>
      <c r="L3347" s="1683"/>
      <c r="M3347" s="1683"/>
      <c r="N3347" s="1684"/>
    </row>
    <row r="3348" spans="1:14">
      <c r="A3348" s="1529"/>
      <c r="B3348" s="436" t="s">
        <v>3095</v>
      </c>
      <c r="C3348" s="1017">
        <v>17.18</v>
      </c>
      <c r="D3348" s="1017">
        <v>1</v>
      </c>
      <c r="E3348" s="1016"/>
      <c r="F3348" s="1016"/>
      <c r="G3348" s="1016"/>
      <c r="H3348" s="347">
        <f t="shared" si="81"/>
        <v>17.18</v>
      </c>
      <c r="I3348" s="1685"/>
      <c r="J3348" s="1683"/>
      <c r="K3348" s="1683"/>
      <c r="L3348" s="1683"/>
      <c r="M3348" s="1683"/>
      <c r="N3348" s="1684"/>
    </row>
    <row r="3349" spans="1:14">
      <c r="A3349" s="1529"/>
      <c r="B3349" s="436" t="s">
        <v>3786</v>
      </c>
      <c r="C3349" s="1017">
        <v>8.4600000000000009</v>
      </c>
      <c r="D3349" s="1017">
        <v>1</v>
      </c>
      <c r="E3349" s="1016"/>
      <c r="F3349" s="1016"/>
      <c r="G3349" s="1016"/>
      <c r="H3349" s="347">
        <f t="shared" si="81"/>
        <v>8.4600000000000009</v>
      </c>
      <c r="I3349" s="1685"/>
      <c r="J3349" s="1683"/>
      <c r="K3349" s="1683"/>
      <c r="L3349" s="1683"/>
      <c r="M3349" s="1683"/>
      <c r="N3349" s="1684"/>
    </row>
    <row r="3350" spans="1:14">
      <c r="A3350" s="1097" t="s">
        <v>3981</v>
      </c>
      <c r="B3350" s="436" t="s">
        <v>2231</v>
      </c>
      <c r="C3350" s="754">
        <v>38.03</v>
      </c>
      <c r="D3350" s="754">
        <v>1</v>
      </c>
      <c r="E3350" s="295"/>
      <c r="F3350" s="294"/>
      <c r="G3350" s="748"/>
      <c r="H3350" s="347">
        <f t="shared" si="81"/>
        <v>38.03</v>
      </c>
      <c r="I3350" s="1685"/>
      <c r="J3350" s="1683"/>
      <c r="K3350" s="1683"/>
      <c r="L3350" s="1683"/>
      <c r="M3350" s="1683"/>
      <c r="N3350" s="1684"/>
    </row>
    <row r="3351" spans="1:14">
      <c r="A3351" s="1577" t="s">
        <v>2218</v>
      </c>
      <c r="B3351" s="1542"/>
      <c r="C3351" s="1542"/>
      <c r="D3351" s="1542"/>
      <c r="E3351" s="1542"/>
      <c r="F3351" s="1542"/>
      <c r="G3351" s="1542"/>
      <c r="H3351" s="271">
        <f>SUM(H3275:H3350)</f>
        <v>516.74000000000024</v>
      </c>
      <c r="I3351" s="1685"/>
      <c r="J3351" s="1683"/>
      <c r="K3351" s="1683"/>
      <c r="L3351" s="1683"/>
      <c r="M3351" s="1683"/>
      <c r="N3351" s="1684"/>
    </row>
    <row r="3352" spans="1:14">
      <c r="A3352" s="1578" t="s">
        <v>2219</v>
      </c>
      <c r="B3352" s="1538"/>
      <c r="C3352" s="1538"/>
      <c r="D3352" s="1538"/>
      <c r="E3352" s="1538"/>
      <c r="F3352" s="1538"/>
      <c r="G3352" s="1538"/>
      <c r="H3352" s="320">
        <f>SUM(H3276:H3349)</f>
        <v>478.71000000000021</v>
      </c>
      <c r="I3352" s="1685"/>
      <c r="J3352" s="1683"/>
      <c r="K3352" s="1683"/>
      <c r="L3352" s="1683"/>
      <c r="M3352" s="1683"/>
      <c r="N3352" s="1684"/>
    </row>
    <row r="3353" spans="1:14" ht="15.75" thickBot="1">
      <c r="A3353" s="1579" t="s">
        <v>2220</v>
      </c>
      <c r="B3353" s="1580"/>
      <c r="C3353" s="1580"/>
      <c r="D3353" s="1580"/>
      <c r="E3353" s="1580"/>
      <c r="F3353" s="1580"/>
      <c r="G3353" s="1580"/>
      <c r="H3353" s="633">
        <f>H3351-H3352</f>
        <v>38.03000000000003</v>
      </c>
      <c r="I3353" s="1686"/>
      <c r="J3353" s="1687"/>
      <c r="K3353" s="1687"/>
      <c r="L3353" s="1687"/>
      <c r="M3353" s="1687"/>
      <c r="N3353" s="1688"/>
    </row>
    <row r="3354" spans="1:14" ht="15.75" thickBot="1">
      <c r="A3354" s="278"/>
      <c r="B3354" s="278"/>
      <c r="C3354" s="278"/>
      <c r="D3354" s="281"/>
      <c r="E3354" s="1319"/>
      <c r="F3354" s="278"/>
      <c r="G3354" s="278"/>
      <c r="H3354" s="766"/>
      <c r="I3354" s="279"/>
      <c r="J3354" s="279"/>
      <c r="K3354" s="279"/>
      <c r="L3354" s="279"/>
      <c r="M3354" s="279"/>
      <c r="N3354" s="279"/>
    </row>
    <row r="3355" spans="1:14" ht="30.6" customHeight="1">
      <c r="A3355" s="1084" t="s">
        <v>3653</v>
      </c>
      <c r="B3355" s="1533" t="s">
        <v>1008</v>
      </c>
      <c r="C3355" s="1533"/>
      <c r="D3355" s="1533"/>
      <c r="E3355" s="1533"/>
      <c r="F3355" s="1533"/>
      <c r="G3355" s="1533"/>
      <c r="H3355" s="1533"/>
      <c r="I3355" s="1533"/>
      <c r="J3355" s="1533"/>
      <c r="K3355" s="266" t="s">
        <v>44</v>
      </c>
      <c r="L3355" s="1534">
        <f>'27ª MEDIÇÃO '!F216</f>
        <v>714.65</v>
      </c>
      <c r="M3355" s="1534"/>
      <c r="N3355" s="197">
        <f>L3355-H3408</f>
        <v>0</v>
      </c>
    </row>
    <row r="3356" spans="1:14">
      <c r="A3356" s="1535" t="s">
        <v>3620</v>
      </c>
      <c r="B3356" s="832" t="s">
        <v>2727</v>
      </c>
      <c r="C3356" s="839" t="s">
        <v>12</v>
      </c>
      <c r="D3356" s="839"/>
      <c r="E3356" s="833"/>
      <c r="F3356" s="833"/>
      <c r="G3356" s="833"/>
      <c r="H3356" s="834"/>
      <c r="I3356" s="1715"/>
      <c r="J3356" s="1681"/>
      <c r="K3356" s="1681"/>
      <c r="L3356" s="1681"/>
      <c r="M3356" s="1681"/>
      <c r="N3356" s="1682"/>
    </row>
    <row r="3357" spans="1:14">
      <c r="A3357" s="1529"/>
      <c r="B3357" s="436" t="s">
        <v>2952</v>
      </c>
      <c r="C3357" s="835">
        <v>13.37</v>
      </c>
      <c r="D3357" s="835"/>
      <c r="E3357" s="1014"/>
      <c r="F3357" s="1014"/>
      <c r="G3357" s="1014"/>
      <c r="H3357" s="347">
        <f>C3357</f>
        <v>13.37</v>
      </c>
      <c r="I3357" s="1685"/>
      <c r="J3357" s="1683"/>
      <c r="K3357" s="1683"/>
      <c r="L3357" s="1683"/>
      <c r="M3357" s="1683"/>
      <c r="N3357" s="1684"/>
    </row>
    <row r="3358" spans="1:14">
      <c r="A3358" s="1529"/>
      <c r="B3358" s="436" t="s">
        <v>2344</v>
      </c>
      <c r="C3358" s="835">
        <v>5.4</v>
      </c>
      <c r="D3358" s="835"/>
      <c r="E3358" s="1014"/>
      <c r="F3358" s="1014"/>
      <c r="G3358" s="1014"/>
      <c r="H3358" s="347">
        <f t="shared" ref="H3358:H3406" si="82">C3358</f>
        <v>5.4</v>
      </c>
      <c r="I3358" s="1685"/>
      <c r="J3358" s="1683"/>
      <c r="K3358" s="1683"/>
      <c r="L3358" s="1683"/>
      <c r="M3358" s="1683"/>
      <c r="N3358" s="1684"/>
    </row>
    <row r="3359" spans="1:14">
      <c r="A3359" s="1529"/>
      <c r="B3359" s="436" t="s">
        <v>3591</v>
      </c>
      <c r="C3359" s="835">
        <v>11.85</v>
      </c>
      <c r="D3359" s="835"/>
      <c r="E3359" s="1014"/>
      <c r="F3359" s="1014"/>
      <c r="G3359" s="1014"/>
      <c r="H3359" s="347">
        <f t="shared" si="82"/>
        <v>11.85</v>
      </c>
      <c r="I3359" s="1685"/>
      <c r="J3359" s="1683"/>
      <c r="K3359" s="1683"/>
      <c r="L3359" s="1683"/>
      <c r="M3359" s="1683"/>
      <c r="N3359" s="1684"/>
    </row>
    <row r="3360" spans="1:14">
      <c r="A3360" s="1529"/>
      <c r="B3360" s="436" t="s">
        <v>3592</v>
      </c>
      <c r="C3360" s="835">
        <v>12.95</v>
      </c>
      <c r="D3360" s="835"/>
      <c r="E3360" s="1014"/>
      <c r="F3360" s="1014"/>
      <c r="G3360" s="1014"/>
      <c r="H3360" s="347">
        <f t="shared" si="82"/>
        <v>12.95</v>
      </c>
      <c r="I3360" s="1685"/>
      <c r="J3360" s="1683"/>
      <c r="K3360" s="1683"/>
      <c r="L3360" s="1683"/>
      <c r="M3360" s="1683"/>
      <c r="N3360" s="1684"/>
    </row>
    <row r="3361" spans="1:14">
      <c r="A3361" s="1529"/>
      <c r="B3361" s="436" t="s">
        <v>3651</v>
      </c>
      <c r="C3361" s="835">
        <v>33.83</v>
      </c>
      <c r="D3361" s="835"/>
      <c r="E3361" s="1014"/>
      <c r="F3361" s="1014"/>
      <c r="G3361" s="1014"/>
      <c r="H3361" s="347">
        <f t="shared" si="82"/>
        <v>33.83</v>
      </c>
      <c r="I3361" s="1685"/>
      <c r="J3361" s="1683"/>
      <c r="K3361" s="1683"/>
      <c r="L3361" s="1683"/>
      <c r="M3361" s="1683"/>
      <c r="N3361" s="1684"/>
    </row>
    <row r="3362" spans="1:14">
      <c r="A3362" s="1529"/>
      <c r="B3362" s="436" t="s">
        <v>3386</v>
      </c>
      <c r="C3362" s="835">
        <v>21.93</v>
      </c>
      <c r="D3362" s="835"/>
      <c r="E3362" s="1014"/>
      <c r="F3362" s="1014"/>
      <c r="G3362" s="1014"/>
      <c r="H3362" s="347">
        <f t="shared" si="82"/>
        <v>21.93</v>
      </c>
      <c r="I3362" s="1685"/>
      <c r="J3362" s="1683"/>
      <c r="K3362" s="1683"/>
      <c r="L3362" s="1683"/>
      <c r="M3362" s="1683"/>
      <c r="N3362" s="1684"/>
    </row>
    <row r="3363" spans="1:14">
      <c r="A3363" s="1529"/>
      <c r="B3363" s="436" t="s">
        <v>2234</v>
      </c>
      <c r="C3363" s="835">
        <v>14.59</v>
      </c>
      <c r="D3363" s="835"/>
      <c r="E3363" s="1014"/>
      <c r="F3363" s="1014"/>
      <c r="G3363" s="1014"/>
      <c r="H3363" s="347">
        <f t="shared" si="82"/>
        <v>14.59</v>
      </c>
      <c r="I3363" s="1685"/>
      <c r="J3363" s="1683"/>
      <c r="K3363" s="1683"/>
      <c r="L3363" s="1683"/>
      <c r="M3363" s="1683"/>
      <c r="N3363" s="1684"/>
    </row>
    <row r="3364" spans="1:14">
      <c r="A3364" s="1529"/>
      <c r="B3364" s="436" t="s">
        <v>2967</v>
      </c>
      <c r="C3364" s="835">
        <v>13.5</v>
      </c>
      <c r="D3364" s="835"/>
      <c r="E3364" s="1014"/>
      <c r="F3364" s="1014"/>
      <c r="G3364" s="1014"/>
      <c r="H3364" s="347">
        <f t="shared" si="82"/>
        <v>13.5</v>
      </c>
      <c r="I3364" s="1685"/>
      <c r="J3364" s="1683"/>
      <c r="K3364" s="1683"/>
      <c r="L3364" s="1683"/>
      <c r="M3364" s="1683"/>
      <c r="N3364" s="1684"/>
    </row>
    <row r="3365" spans="1:14">
      <c r="A3365" s="1529"/>
      <c r="B3365" s="436" t="s">
        <v>2968</v>
      </c>
      <c r="C3365" s="835">
        <v>13.5</v>
      </c>
      <c r="D3365" s="835"/>
      <c r="E3365" s="1014"/>
      <c r="F3365" s="1014"/>
      <c r="G3365" s="1014"/>
      <c r="H3365" s="347">
        <f t="shared" si="82"/>
        <v>13.5</v>
      </c>
      <c r="I3365" s="1685"/>
      <c r="J3365" s="1683"/>
      <c r="K3365" s="1683"/>
      <c r="L3365" s="1683"/>
      <c r="M3365" s="1683"/>
      <c r="N3365" s="1684"/>
    </row>
    <row r="3366" spans="1:14">
      <c r="A3366" s="1529"/>
      <c r="B3366" s="436" t="s">
        <v>3652</v>
      </c>
      <c r="C3366" s="835">
        <v>14.16</v>
      </c>
      <c r="D3366" s="835"/>
      <c r="E3366" s="1014"/>
      <c r="F3366" s="1014"/>
      <c r="G3366" s="1014"/>
      <c r="H3366" s="347">
        <f t="shared" si="82"/>
        <v>14.16</v>
      </c>
      <c r="I3366" s="1685"/>
      <c r="J3366" s="1683"/>
      <c r="K3366" s="1683"/>
      <c r="L3366" s="1683"/>
      <c r="M3366" s="1683"/>
      <c r="N3366" s="1684"/>
    </row>
    <row r="3367" spans="1:14">
      <c r="A3367" s="1529"/>
      <c r="B3367" s="436" t="s">
        <v>2974</v>
      </c>
      <c r="C3367" s="835">
        <v>17.55</v>
      </c>
      <c r="D3367" s="835"/>
      <c r="E3367" s="1014"/>
      <c r="F3367" s="1014"/>
      <c r="G3367" s="1014"/>
      <c r="H3367" s="364">
        <f t="shared" si="82"/>
        <v>17.55</v>
      </c>
      <c r="I3367" s="1685"/>
      <c r="J3367" s="1683"/>
      <c r="K3367" s="1683"/>
      <c r="L3367" s="1683"/>
      <c r="M3367" s="1683"/>
      <c r="N3367" s="1684"/>
    </row>
    <row r="3368" spans="1:14">
      <c r="A3368" s="1529"/>
      <c r="B3368" s="832" t="s">
        <v>2929</v>
      </c>
      <c r="C3368" s="1018"/>
      <c r="D3368" s="839"/>
      <c r="E3368" s="833"/>
      <c r="F3368" s="833"/>
      <c r="G3368" s="833"/>
      <c r="H3368" s="403"/>
      <c r="I3368" s="1685"/>
      <c r="J3368" s="1683"/>
      <c r="K3368" s="1683"/>
      <c r="L3368" s="1683"/>
      <c r="M3368" s="1683"/>
      <c r="N3368" s="1684"/>
    </row>
    <row r="3369" spans="1:14">
      <c r="A3369" s="1529"/>
      <c r="B3369" s="436" t="s">
        <v>2978</v>
      </c>
      <c r="C3369" s="835">
        <v>19.22</v>
      </c>
      <c r="D3369" s="835"/>
      <c r="E3369" s="1014"/>
      <c r="F3369" s="1014"/>
      <c r="G3369" s="1014"/>
      <c r="H3369" s="347">
        <f t="shared" si="82"/>
        <v>19.22</v>
      </c>
      <c r="I3369" s="1685"/>
      <c r="J3369" s="1683"/>
      <c r="K3369" s="1683"/>
      <c r="L3369" s="1683"/>
      <c r="M3369" s="1683"/>
      <c r="N3369" s="1684"/>
    </row>
    <row r="3370" spans="1:14">
      <c r="A3370" s="1529"/>
      <c r="B3370" s="436" t="s">
        <v>2979</v>
      </c>
      <c r="C3370" s="835">
        <v>34.340000000000003</v>
      </c>
      <c r="D3370" s="835"/>
      <c r="E3370" s="1014"/>
      <c r="F3370" s="1014"/>
      <c r="G3370" s="1014"/>
      <c r="H3370" s="347">
        <f t="shared" si="82"/>
        <v>34.340000000000003</v>
      </c>
      <c r="I3370" s="1685"/>
      <c r="J3370" s="1683"/>
      <c r="K3370" s="1683"/>
      <c r="L3370" s="1683"/>
      <c r="M3370" s="1683"/>
      <c r="N3370" s="1684"/>
    </row>
    <row r="3371" spans="1:14">
      <c r="A3371" s="1529"/>
      <c r="B3371" s="436" t="s">
        <v>2231</v>
      </c>
      <c r="C3371" s="835">
        <v>12.64</v>
      </c>
      <c r="D3371" s="835"/>
      <c r="E3371" s="1014"/>
      <c r="F3371" s="1014"/>
      <c r="G3371" s="1014"/>
      <c r="H3371" s="347">
        <f t="shared" si="82"/>
        <v>12.64</v>
      </c>
      <c r="I3371" s="1685"/>
      <c r="J3371" s="1683"/>
      <c r="K3371" s="1683"/>
      <c r="L3371" s="1683"/>
      <c r="M3371" s="1683"/>
      <c r="N3371" s="1684"/>
    </row>
    <row r="3372" spans="1:14">
      <c r="A3372" s="1529"/>
      <c r="B3372" s="436" t="s">
        <v>2980</v>
      </c>
      <c r="C3372" s="835">
        <v>12.8</v>
      </c>
      <c r="D3372" s="835"/>
      <c r="E3372" s="1014"/>
      <c r="F3372" s="1014"/>
      <c r="G3372" s="1014"/>
      <c r="H3372" s="347">
        <f t="shared" si="82"/>
        <v>12.8</v>
      </c>
      <c r="I3372" s="1685"/>
      <c r="J3372" s="1683"/>
      <c r="K3372" s="1683"/>
      <c r="L3372" s="1683"/>
      <c r="M3372" s="1683"/>
      <c r="N3372" s="1684"/>
    </row>
    <row r="3373" spans="1:14">
      <c r="A3373" s="1529"/>
      <c r="B3373" s="436" t="s">
        <v>2981</v>
      </c>
      <c r="C3373" s="835">
        <v>13.4</v>
      </c>
      <c r="D3373" s="835"/>
      <c r="E3373" s="1014"/>
      <c r="F3373" s="1014"/>
      <c r="G3373" s="1014"/>
      <c r="H3373" s="347">
        <f t="shared" si="82"/>
        <v>13.4</v>
      </c>
      <c r="I3373" s="1685"/>
      <c r="J3373" s="1683"/>
      <c r="K3373" s="1683"/>
      <c r="L3373" s="1683"/>
      <c r="M3373" s="1683"/>
      <c r="N3373" s="1684"/>
    </row>
    <row r="3374" spans="1:14">
      <c r="A3374" s="1529"/>
      <c r="B3374" s="436" t="s">
        <v>2968</v>
      </c>
      <c r="C3374" s="835">
        <v>13.4</v>
      </c>
      <c r="D3374" s="835"/>
      <c r="E3374" s="1014"/>
      <c r="F3374" s="1014"/>
      <c r="G3374" s="1014"/>
      <c r="H3374" s="347">
        <f t="shared" si="82"/>
        <v>13.4</v>
      </c>
      <c r="I3374" s="1685"/>
      <c r="J3374" s="1683"/>
      <c r="K3374" s="1683"/>
      <c r="L3374" s="1683"/>
      <c r="M3374" s="1683"/>
      <c r="N3374" s="1684"/>
    </row>
    <row r="3375" spans="1:14">
      <c r="A3375" s="1529"/>
      <c r="B3375" s="436" t="s">
        <v>2967</v>
      </c>
      <c r="C3375" s="835">
        <v>13.4</v>
      </c>
      <c r="D3375" s="835"/>
      <c r="E3375" s="1014"/>
      <c r="F3375" s="1014"/>
      <c r="G3375" s="1014"/>
      <c r="H3375" s="347">
        <f t="shared" si="82"/>
        <v>13.4</v>
      </c>
      <c r="I3375" s="1685"/>
      <c r="J3375" s="1683"/>
      <c r="K3375" s="1683"/>
      <c r="L3375" s="1683"/>
      <c r="M3375" s="1683"/>
      <c r="N3375" s="1684"/>
    </row>
    <row r="3376" spans="1:14">
      <c r="A3376" s="1529"/>
      <c r="B3376" s="436" t="s">
        <v>2234</v>
      </c>
      <c r="C3376" s="835">
        <v>14.91</v>
      </c>
      <c r="D3376" s="835"/>
      <c r="E3376" s="1014"/>
      <c r="F3376" s="1014"/>
      <c r="G3376" s="1014"/>
      <c r="H3376" s="347">
        <f t="shared" si="82"/>
        <v>14.91</v>
      </c>
      <c r="I3376" s="1685"/>
      <c r="J3376" s="1683"/>
      <c r="K3376" s="1683"/>
      <c r="L3376" s="1683"/>
      <c r="M3376" s="1683"/>
      <c r="N3376" s="1684"/>
    </row>
    <row r="3377" spans="1:14">
      <c r="A3377" s="1529"/>
      <c r="B3377" s="436" t="s">
        <v>2342</v>
      </c>
      <c r="C3377" s="835">
        <v>15.96</v>
      </c>
      <c r="D3377" s="835"/>
      <c r="E3377" s="1014"/>
      <c r="F3377" s="1014"/>
      <c r="G3377" s="1014"/>
      <c r="H3377" s="347">
        <f t="shared" si="82"/>
        <v>15.96</v>
      </c>
      <c r="I3377" s="1685"/>
      <c r="J3377" s="1683"/>
      <c r="K3377" s="1683"/>
      <c r="L3377" s="1683"/>
      <c r="M3377" s="1683"/>
      <c r="N3377" s="1684"/>
    </row>
    <row r="3378" spans="1:14">
      <c r="A3378" s="1529"/>
      <c r="B3378" s="436" t="s">
        <v>2982</v>
      </c>
      <c r="C3378" s="835">
        <v>15.55</v>
      </c>
      <c r="D3378" s="835"/>
      <c r="E3378" s="1014"/>
      <c r="F3378" s="1014"/>
      <c r="G3378" s="1014"/>
      <c r="H3378" s="347">
        <f t="shared" si="82"/>
        <v>15.55</v>
      </c>
      <c r="I3378" s="1685"/>
      <c r="J3378" s="1683"/>
      <c r="K3378" s="1683"/>
      <c r="L3378" s="1683"/>
      <c r="M3378" s="1683"/>
      <c r="N3378" s="1684"/>
    </row>
    <row r="3379" spans="1:14">
      <c r="A3379" s="1529"/>
      <c r="B3379" s="436" t="s">
        <v>2983</v>
      </c>
      <c r="C3379" s="835">
        <v>49.9</v>
      </c>
      <c r="D3379" s="835"/>
      <c r="E3379" s="1014"/>
      <c r="F3379" s="1014"/>
      <c r="G3379" s="1014"/>
      <c r="H3379" s="347">
        <f t="shared" si="82"/>
        <v>49.9</v>
      </c>
      <c r="I3379" s="1685"/>
      <c r="J3379" s="1683"/>
      <c r="K3379" s="1683"/>
      <c r="L3379" s="1683"/>
      <c r="M3379" s="1683"/>
      <c r="N3379" s="1684"/>
    </row>
    <row r="3380" spans="1:14">
      <c r="A3380" s="1529"/>
      <c r="B3380" s="436" t="s">
        <v>2984</v>
      </c>
      <c r="C3380" s="835">
        <v>10.28</v>
      </c>
      <c r="D3380" s="835"/>
      <c r="E3380" s="1014"/>
      <c r="F3380" s="1014"/>
      <c r="G3380" s="1014"/>
      <c r="H3380" s="347">
        <f t="shared" si="82"/>
        <v>10.28</v>
      </c>
      <c r="I3380" s="1685"/>
      <c r="J3380" s="1683"/>
      <c r="K3380" s="1683"/>
      <c r="L3380" s="1683"/>
      <c r="M3380" s="1683"/>
      <c r="N3380" s="1684"/>
    </row>
    <row r="3381" spans="1:14">
      <c r="A3381" s="1529"/>
      <c r="B3381" s="436" t="s">
        <v>2985</v>
      </c>
      <c r="C3381" s="835">
        <v>15.31</v>
      </c>
      <c r="D3381" s="835"/>
      <c r="E3381" s="1014"/>
      <c r="F3381" s="1014"/>
      <c r="G3381" s="1014"/>
      <c r="H3381" s="347">
        <f t="shared" si="82"/>
        <v>15.31</v>
      </c>
      <c r="I3381" s="1685"/>
      <c r="J3381" s="1683"/>
      <c r="K3381" s="1683"/>
      <c r="L3381" s="1683"/>
      <c r="M3381" s="1683"/>
      <c r="N3381" s="1684"/>
    </row>
    <row r="3382" spans="1:14">
      <c r="A3382" s="1529"/>
      <c r="B3382" s="436" t="s">
        <v>2986</v>
      </c>
      <c r="C3382" s="835">
        <v>13.6</v>
      </c>
      <c r="D3382" s="835"/>
      <c r="E3382" s="1014"/>
      <c r="F3382" s="1014"/>
      <c r="G3382" s="1014"/>
      <c r="H3382" s="347">
        <f t="shared" si="82"/>
        <v>13.6</v>
      </c>
      <c r="I3382" s="1685"/>
      <c r="J3382" s="1683"/>
      <c r="K3382" s="1683"/>
      <c r="L3382" s="1683"/>
      <c r="M3382" s="1683"/>
      <c r="N3382" s="1684"/>
    </row>
    <row r="3383" spans="1:14">
      <c r="A3383" s="1529"/>
      <c r="B3383" s="436" t="s">
        <v>2987</v>
      </c>
      <c r="C3383" s="835">
        <v>13.4</v>
      </c>
      <c r="D3383" s="835"/>
      <c r="E3383" s="1014"/>
      <c r="F3383" s="1014"/>
      <c r="G3383" s="1014"/>
      <c r="H3383" s="347">
        <f t="shared" si="82"/>
        <v>13.4</v>
      </c>
      <c r="I3383" s="1685"/>
      <c r="J3383" s="1683"/>
      <c r="K3383" s="1683"/>
      <c r="L3383" s="1683"/>
      <c r="M3383" s="1683"/>
      <c r="N3383" s="1684"/>
    </row>
    <row r="3384" spans="1:14">
      <c r="A3384" s="1529"/>
      <c r="B3384" s="436" t="s">
        <v>2988</v>
      </c>
      <c r="C3384" s="835">
        <v>13.4</v>
      </c>
      <c r="D3384" s="835"/>
      <c r="E3384" s="1014"/>
      <c r="F3384" s="1014"/>
      <c r="G3384" s="1014"/>
      <c r="H3384" s="347">
        <f t="shared" si="82"/>
        <v>13.4</v>
      </c>
      <c r="I3384" s="1685"/>
      <c r="J3384" s="1683"/>
      <c r="K3384" s="1683"/>
      <c r="L3384" s="1683"/>
      <c r="M3384" s="1683"/>
      <c r="N3384" s="1684"/>
    </row>
    <row r="3385" spans="1:14">
      <c r="A3385" s="1529"/>
      <c r="B3385" s="436" t="s">
        <v>2989</v>
      </c>
      <c r="C3385" s="835">
        <v>12.76</v>
      </c>
      <c r="D3385" s="835"/>
      <c r="E3385" s="1014"/>
      <c r="F3385" s="1014"/>
      <c r="G3385" s="1014"/>
      <c r="H3385" s="347">
        <f t="shared" si="82"/>
        <v>12.76</v>
      </c>
      <c r="I3385" s="1685"/>
      <c r="J3385" s="1683"/>
      <c r="K3385" s="1683"/>
      <c r="L3385" s="1683"/>
      <c r="M3385" s="1683"/>
      <c r="N3385" s="1684"/>
    </row>
    <row r="3386" spans="1:14">
      <c r="A3386" s="1529" t="s">
        <v>3745</v>
      </c>
      <c r="B3386" s="832" t="s">
        <v>2727</v>
      </c>
      <c r="C3386" s="1017"/>
      <c r="D3386" s="1017"/>
      <c r="E3386" s="1016"/>
      <c r="F3386" s="1016"/>
      <c r="G3386" s="1016"/>
      <c r="H3386" s="347">
        <f t="shared" si="82"/>
        <v>0</v>
      </c>
      <c r="I3386" s="1685"/>
      <c r="J3386" s="1683"/>
      <c r="K3386" s="1683"/>
      <c r="L3386" s="1683"/>
      <c r="M3386" s="1683"/>
      <c r="N3386" s="1684"/>
    </row>
    <row r="3387" spans="1:14">
      <c r="A3387" s="1529"/>
      <c r="B3387" s="436" t="s">
        <v>3806</v>
      </c>
      <c r="C3387" s="1017">
        <v>30.03</v>
      </c>
      <c r="D3387" s="1017"/>
      <c r="E3387" s="1016"/>
      <c r="F3387" s="1016"/>
      <c r="G3387" s="1016"/>
      <c r="H3387" s="347">
        <f t="shared" si="82"/>
        <v>30.03</v>
      </c>
      <c r="I3387" s="1685"/>
      <c r="J3387" s="1683"/>
      <c r="K3387" s="1683"/>
      <c r="L3387" s="1683"/>
      <c r="M3387" s="1683"/>
      <c r="N3387" s="1684"/>
    </row>
    <row r="3388" spans="1:14">
      <c r="A3388" s="1529"/>
      <c r="B3388" s="436" t="s">
        <v>3807</v>
      </c>
      <c r="C3388" s="1017">
        <v>6.9</v>
      </c>
      <c r="D3388" s="1017"/>
      <c r="E3388" s="1016"/>
      <c r="F3388" s="1016"/>
      <c r="G3388" s="1016"/>
      <c r="H3388" s="347">
        <f t="shared" si="82"/>
        <v>6.9</v>
      </c>
      <c r="I3388" s="1685"/>
      <c r="J3388" s="1683"/>
      <c r="K3388" s="1683"/>
      <c r="L3388" s="1683"/>
      <c r="M3388" s="1683"/>
      <c r="N3388" s="1684"/>
    </row>
    <row r="3389" spans="1:14">
      <c r="A3389" s="1529"/>
      <c r="B3389" s="436" t="s">
        <v>2964</v>
      </c>
      <c r="C3389" s="1017">
        <v>16.27</v>
      </c>
      <c r="D3389" s="1017"/>
      <c r="E3389" s="1016"/>
      <c r="F3389" s="1016"/>
      <c r="G3389" s="1016"/>
      <c r="H3389" s="347">
        <f t="shared" si="82"/>
        <v>16.27</v>
      </c>
      <c r="I3389" s="1685"/>
      <c r="J3389" s="1683"/>
      <c r="K3389" s="1683"/>
      <c r="L3389" s="1683"/>
      <c r="M3389" s="1683"/>
      <c r="N3389" s="1684"/>
    </row>
    <row r="3390" spans="1:14">
      <c r="A3390" s="1529"/>
      <c r="B3390" s="436" t="s">
        <v>3808</v>
      </c>
      <c r="C3390" s="1017">
        <v>23</v>
      </c>
      <c r="D3390" s="1017"/>
      <c r="E3390" s="1016"/>
      <c r="F3390" s="1016"/>
      <c r="G3390" s="1016"/>
      <c r="H3390" s="347">
        <f t="shared" si="82"/>
        <v>23</v>
      </c>
      <c r="I3390" s="1685"/>
      <c r="J3390" s="1683"/>
      <c r="K3390" s="1683"/>
      <c r="L3390" s="1683"/>
      <c r="M3390" s="1683"/>
      <c r="N3390" s="1684"/>
    </row>
    <row r="3391" spans="1:14">
      <c r="A3391" s="1529"/>
      <c r="B3391" s="436" t="s">
        <v>2844</v>
      </c>
      <c r="C3391" s="1017">
        <v>10.73</v>
      </c>
      <c r="D3391" s="1017"/>
      <c r="E3391" s="1016"/>
      <c r="F3391" s="1016"/>
      <c r="G3391" s="1016"/>
      <c r="H3391" s="347">
        <f t="shared" si="82"/>
        <v>10.73</v>
      </c>
      <c r="I3391" s="1685"/>
      <c r="J3391" s="1683"/>
      <c r="K3391" s="1683"/>
      <c r="L3391" s="1683"/>
      <c r="M3391" s="1683"/>
      <c r="N3391" s="1684"/>
    </row>
    <row r="3392" spans="1:14">
      <c r="A3392" s="1529"/>
      <c r="B3392" s="436" t="s">
        <v>2970</v>
      </c>
      <c r="C3392" s="1017">
        <v>18.73</v>
      </c>
      <c r="D3392" s="1017"/>
      <c r="E3392" s="1016"/>
      <c r="F3392" s="1016"/>
      <c r="G3392" s="1016"/>
      <c r="H3392" s="347">
        <f t="shared" si="82"/>
        <v>18.73</v>
      </c>
      <c r="I3392" s="1685"/>
      <c r="J3392" s="1683"/>
      <c r="K3392" s="1683"/>
      <c r="L3392" s="1683"/>
      <c r="M3392" s="1683"/>
      <c r="N3392" s="1684"/>
    </row>
    <row r="3393" spans="1:14">
      <c r="A3393" s="1529"/>
      <c r="B3393" s="436" t="s">
        <v>3801</v>
      </c>
      <c r="C3393" s="1017">
        <v>18.77</v>
      </c>
      <c r="D3393" s="1017"/>
      <c r="E3393" s="1016"/>
      <c r="F3393" s="1016"/>
      <c r="G3393" s="1016"/>
      <c r="H3393" s="347">
        <f t="shared" si="82"/>
        <v>18.77</v>
      </c>
      <c r="I3393" s="1685"/>
      <c r="J3393" s="1683"/>
      <c r="K3393" s="1683"/>
      <c r="L3393" s="1683"/>
      <c r="M3393" s="1683"/>
      <c r="N3393" s="1684"/>
    </row>
    <row r="3394" spans="1:14">
      <c r="A3394" s="1529"/>
      <c r="B3394" s="436" t="s">
        <v>2972</v>
      </c>
      <c r="C3394" s="1017">
        <v>11.28</v>
      </c>
      <c r="D3394" s="1017"/>
      <c r="E3394" s="1016"/>
      <c r="F3394" s="1016"/>
      <c r="G3394" s="1016"/>
      <c r="H3394" s="347">
        <f t="shared" si="82"/>
        <v>11.28</v>
      </c>
      <c r="I3394" s="1685"/>
      <c r="J3394" s="1683"/>
      <c r="K3394" s="1683"/>
      <c r="L3394" s="1683"/>
      <c r="M3394" s="1683"/>
      <c r="N3394" s="1684"/>
    </row>
    <row r="3395" spans="1:14">
      <c r="A3395" s="1529"/>
      <c r="B3395" s="436" t="s">
        <v>2223</v>
      </c>
      <c r="C3395" s="1017">
        <v>13.22</v>
      </c>
      <c r="D3395" s="1017"/>
      <c r="E3395" s="1016"/>
      <c r="F3395" s="1016"/>
      <c r="G3395" s="1016"/>
      <c r="H3395" s="347">
        <f t="shared" si="82"/>
        <v>13.22</v>
      </c>
      <c r="I3395" s="1685"/>
      <c r="J3395" s="1683"/>
      <c r="K3395" s="1683"/>
      <c r="L3395" s="1683"/>
      <c r="M3395" s="1683"/>
      <c r="N3395" s="1684"/>
    </row>
    <row r="3396" spans="1:14">
      <c r="A3396" s="1529"/>
      <c r="B3396" s="436" t="s">
        <v>2973</v>
      </c>
      <c r="C3396" s="1017">
        <v>7.3</v>
      </c>
      <c r="D3396" s="1017"/>
      <c r="E3396" s="1016"/>
      <c r="F3396" s="1016"/>
      <c r="G3396" s="1016"/>
      <c r="H3396" s="347">
        <f t="shared" si="82"/>
        <v>7.3</v>
      </c>
      <c r="I3396" s="1685"/>
      <c r="J3396" s="1683"/>
      <c r="K3396" s="1683"/>
      <c r="L3396" s="1683"/>
      <c r="M3396" s="1683"/>
      <c r="N3396" s="1684"/>
    </row>
    <row r="3397" spans="1:14">
      <c r="A3397" s="1529"/>
      <c r="B3397" s="436" t="s">
        <v>3809</v>
      </c>
      <c r="C3397" s="1017">
        <v>13.16</v>
      </c>
      <c r="D3397" s="1017"/>
      <c r="E3397" s="1016"/>
      <c r="F3397" s="1016"/>
      <c r="G3397" s="1016"/>
      <c r="H3397" s="347">
        <f t="shared" si="82"/>
        <v>13.16</v>
      </c>
      <c r="I3397" s="1685"/>
      <c r="J3397" s="1683"/>
      <c r="K3397" s="1683"/>
      <c r="L3397" s="1683"/>
      <c r="M3397" s="1683"/>
      <c r="N3397" s="1684"/>
    </row>
    <row r="3398" spans="1:14">
      <c r="A3398" s="1529"/>
      <c r="B3398" s="436" t="s">
        <v>3625</v>
      </c>
      <c r="C3398" s="1017">
        <v>17.55</v>
      </c>
      <c r="D3398" s="1017"/>
      <c r="E3398" s="1016"/>
      <c r="F3398" s="1016"/>
      <c r="G3398" s="1016"/>
      <c r="H3398" s="347">
        <f t="shared" si="82"/>
        <v>17.55</v>
      </c>
      <c r="I3398" s="1685"/>
      <c r="J3398" s="1683"/>
      <c r="K3398" s="1683"/>
      <c r="L3398" s="1683"/>
      <c r="M3398" s="1683"/>
      <c r="N3398" s="1684"/>
    </row>
    <row r="3399" spans="1:14">
      <c r="A3399" s="1529"/>
      <c r="B3399" s="436" t="s">
        <v>2231</v>
      </c>
      <c r="C3399" s="1017">
        <v>13.55</v>
      </c>
      <c r="D3399" s="1017"/>
      <c r="E3399" s="1016"/>
      <c r="F3399" s="1016"/>
      <c r="G3399" s="1016"/>
      <c r="H3399" s="347">
        <f t="shared" si="82"/>
        <v>13.55</v>
      </c>
      <c r="I3399" s="1685"/>
      <c r="J3399" s="1683"/>
      <c r="K3399" s="1683"/>
      <c r="L3399" s="1683"/>
      <c r="M3399" s="1683"/>
      <c r="N3399" s="1684"/>
    </row>
    <row r="3400" spans="1:14">
      <c r="A3400" s="1529"/>
      <c r="B3400" s="436" t="s">
        <v>2973</v>
      </c>
      <c r="C3400" s="1017">
        <v>8.67</v>
      </c>
      <c r="D3400" s="1017"/>
      <c r="E3400" s="1016"/>
      <c r="F3400" s="1016"/>
      <c r="G3400" s="1016"/>
      <c r="H3400" s="347">
        <f t="shared" si="82"/>
        <v>8.67</v>
      </c>
      <c r="I3400" s="1685"/>
      <c r="J3400" s="1683"/>
      <c r="K3400" s="1683"/>
      <c r="L3400" s="1683"/>
      <c r="M3400" s="1683"/>
      <c r="N3400" s="1684"/>
    </row>
    <row r="3401" spans="1:14">
      <c r="A3401" s="1529"/>
      <c r="B3401" s="436" t="s">
        <v>2976</v>
      </c>
      <c r="C3401" s="1017">
        <v>7.49</v>
      </c>
      <c r="D3401" s="1017"/>
      <c r="E3401" s="1016"/>
      <c r="F3401" s="1016"/>
      <c r="G3401" s="1016"/>
      <c r="H3401" s="347">
        <f t="shared" si="82"/>
        <v>7.49</v>
      </c>
      <c r="I3401" s="1685"/>
      <c r="J3401" s="1683"/>
      <c r="K3401" s="1683"/>
      <c r="L3401" s="1683"/>
      <c r="M3401" s="1683"/>
      <c r="N3401" s="1684"/>
    </row>
    <row r="3402" spans="1:14">
      <c r="A3402" s="1136" t="s">
        <v>3937</v>
      </c>
      <c r="B3402" s="436" t="s">
        <v>3951</v>
      </c>
      <c r="C3402" s="1017">
        <v>31.1</v>
      </c>
      <c r="D3402" s="1017"/>
      <c r="E3402" s="1016"/>
      <c r="F3402" s="1016"/>
      <c r="G3402" s="1016"/>
      <c r="H3402" s="347">
        <f t="shared" si="82"/>
        <v>31.1</v>
      </c>
      <c r="I3402" s="1685"/>
      <c r="J3402" s="1683"/>
      <c r="K3402" s="1683"/>
      <c r="L3402" s="1683"/>
      <c r="M3402" s="1683"/>
      <c r="N3402" s="1684"/>
    </row>
    <row r="3403" spans="1:14">
      <c r="A3403" s="1136"/>
      <c r="B3403" s="436"/>
      <c r="C3403" s="1017"/>
      <c r="D3403" s="1017"/>
      <c r="E3403" s="1016"/>
      <c r="F3403" s="1016"/>
      <c r="G3403" s="1016"/>
      <c r="H3403" s="347">
        <f t="shared" si="82"/>
        <v>0</v>
      </c>
      <c r="I3403" s="1685"/>
      <c r="J3403" s="1683"/>
      <c r="K3403" s="1683"/>
      <c r="L3403" s="1683"/>
      <c r="M3403" s="1683"/>
      <c r="N3403" s="1684"/>
    </row>
    <row r="3404" spans="1:14">
      <c r="A3404" s="1136"/>
      <c r="B3404" s="436"/>
      <c r="C3404" s="1017"/>
      <c r="D3404" s="1017"/>
      <c r="E3404" s="1016"/>
      <c r="F3404" s="1016"/>
      <c r="G3404" s="1016"/>
      <c r="H3404" s="347">
        <f t="shared" si="82"/>
        <v>0</v>
      </c>
      <c r="I3404" s="1685"/>
      <c r="J3404" s="1683"/>
      <c r="K3404" s="1683"/>
      <c r="L3404" s="1683"/>
      <c r="M3404" s="1683"/>
      <c r="N3404" s="1684"/>
    </row>
    <row r="3405" spans="1:14">
      <c r="A3405" s="1136"/>
      <c r="B3405" s="436"/>
      <c r="C3405" s="1017"/>
      <c r="D3405" s="1017"/>
      <c r="E3405" s="1016"/>
      <c r="F3405" s="1016"/>
      <c r="G3405" s="1016"/>
      <c r="H3405" s="347">
        <f t="shared" si="82"/>
        <v>0</v>
      </c>
      <c r="I3405" s="1685"/>
      <c r="J3405" s="1683"/>
      <c r="K3405" s="1683"/>
      <c r="L3405" s="1683"/>
      <c r="M3405" s="1683"/>
      <c r="N3405" s="1684"/>
    </row>
    <row r="3406" spans="1:14">
      <c r="A3406" s="1136"/>
      <c r="B3406" s="436"/>
      <c r="C3406" s="1017"/>
      <c r="D3406" s="1017"/>
      <c r="E3406" s="1016"/>
      <c r="F3406" s="1016"/>
      <c r="G3406" s="1016"/>
      <c r="H3406" s="347">
        <f t="shared" si="82"/>
        <v>0</v>
      </c>
      <c r="I3406" s="1685"/>
      <c r="J3406" s="1683"/>
      <c r="K3406" s="1683"/>
      <c r="L3406" s="1683"/>
      <c r="M3406" s="1683"/>
      <c r="N3406" s="1684"/>
    </row>
    <row r="3407" spans="1:14">
      <c r="A3407" s="1137"/>
      <c r="B3407" s="436"/>
      <c r="C3407" s="754"/>
      <c r="D3407" s="754"/>
      <c r="E3407" s="295"/>
      <c r="F3407" s="294"/>
      <c r="G3407" s="748"/>
      <c r="H3407" s="347"/>
      <c r="I3407" s="1685"/>
      <c r="J3407" s="1683"/>
      <c r="K3407" s="1683"/>
      <c r="L3407" s="1683"/>
      <c r="M3407" s="1683"/>
      <c r="N3407" s="1684"/>
    </row>
    <row r="3408" spans="1:14">
      <c r="A3408" s="1577" t="s">
        <v>2218</v>
      </c>
      <c r="B3408" s="1542"/>
      <c r="C3408" s="1542"/>
      <c r="D3408" s="1542"/>
      <c r="E3408" s="1542"/>
      <c r="F3408" s="1542"/>
      <c r="G3408" s="1542"/>
      <c r="H3408" s="271">
        <f>SUM(H3356:H3407)</f>
        <v>714.64999999999964</v>
      </c>
      <c r="I3408" s="1685"/>
      <c r="J3408" s="1683"/>
      <c r="K3408" s="1683"/>
      <c r="L3408" s="1683"/>
      <c r="M3408" s="1683"/>
      <c r="N3408" s="1684"/>
    </row>
    <row r="3409" spans="1:14">
      <c r="A3409" s="1578" t="s">
        <v>2219</v>
      </c>
      <c r="B3409" s="1538"/>
      <c r="C3409" s="1538"/>
      <c r="D3409" s="1538"/>
      <c r="E3409" s="1538"/>
      <c r="F3409" s="1538"/>
      <c r="G3409" s="1538"/>
      <c r="H3409" s="320">
        <f>SUM(H3357:H3401)</f>
        <v>683.54999999999961</v>
      </c>
      <c r="I3409" s="1685"/>
      <c r="J3409" s="1683"/>
      <c r="K3409" s="1683"/>
      <c r="L3409" s="1683"/>
      <c r="M3409" s="1683"/>
      <c r="N3409" s="1684"/>
    </row>
    <row r="3410" spans="1:14" ht="15.75" thickBot="1">
      <c r="A3410" s="1579" t="s">
        <v>2220</v>
      </c>
      <c r="B3410" s="1580"/>
      <c r="C3410" s="1580"/>
      <c r="D3410" s="1580"/>
      <c r="E3410" s="1580"/>
      <c r="F3410" s="1580"/>
      <c r="G3410" s="1580"/>
      <c r="H3410" s="633">
        <f>H3408-H3409</f>
        <v>31.100000000000023</v>
      </c>
      <c r="I3410" s="1686"/>
      <c r="J3410" s="1687"/>
      <c r="K3410" s="1687"/>
      <c r="L3410" s="1687"/>
      <c r="M3410" s="1687"/>
      <c r="N3410" s="1688"/>
    </row>
    <row r="3411" spans="1:14">
      <c r="A3411" s="278"/>
      <c r="B3411" s="278"/>
      <c r="C3411" s="278"/>
      <c r="D3411" s="281"/>
      <c r="E3411" s="1319"/>
      <c r="F3411" s="278"/>
      <c r="G3411" s="278"/>
      <c r="H3411" s="766"/>
      <c r="I3411" s="279"/>
      <c r="J3411" s="279"/>
      <c r="K3411" s="279"/>
      <c r="L3411" s="279"/>
      <c r="M3411" s="279"/>
      <c r="N3411" s="279"/>
    </row>
    <row r="3412" spans="1:14" ht="21.6" hidden="1" customHeight="1">
      <c r="A3412" s="235" t="s">
        <v>1011</v>
      </c>
      <c r="B3412" s="1581" t="s">
        <v>995</v>
      </c>
      <c r="C3412" s="1582"/>
      <c r="D3412" s="1582"/>
      <c r="E3412" s="1582"/>
      <c r="F3412" s="1582"/>
      <c r="G3412" s="1582"/>
      <c r="H3412" s="1582"/>
      <c r="I3412" s="1582"/>
      <c r="J3412" s="1582"/>
      <c r="K3412" s="1582"/>
      <c r="L3412" s="1582"/>
      <c r="M3412" s="1582"/>
      <c r="N3412" s="1711"/>
    </row>
    <row r="3413" spans="1:14" ht="24.6" hidden="1" customHeight="1">
      <c r="A3413" s="1093" t="s">
        <v>2715</v>
      </c>
      <c r="B3413" s="1561" t="s">
        <v>1014</v>
      </c>
      <c r="C3413" s="1562"/>
      <c r="D3413" s="1562"/>
      <c r="E3413" s="1562"/>
      <c r="F3413" s="1562"/>
      <c r="G3413" s="1562"/>
      <c r="H3413" s="1562"/>
      <c r="I3413" s="1562"/>
      <c r="J3413" s="1563"/>
      <c r="K3413" s="264" t="s">
        <v>2222</v>
      </c>
      <c r="L3413" s="1564">
        <v>492.5</v>
      </c>
      <c r="M3413" s="1565"/>
      <c r="N3413" s="265">
        <f>L3413-H3485</f>
        <v>1.8999999999778083E-3</v>
      </c>
    </row>
    <row r="3414" spans="1:14" hidden="1">
      <c r="A3414" s="1554"/>
      <c r="B3414" s="1541"/>
      <c r="C3414" s="366"/>
      <c r="D3414" s="367" t="s">
        <v>2183</v>
      </c>
      <c r="E3414" s="1320" t="s">
        <v>2184</v>
      </c>
      <c r="F3414" s="367" t="s">
        <v>2185</v>
      </c>
      <c r="G3414" s="367" t="s">
        <v>2186</v>
      </c>
      <c r="H3414" s="1542" t="s">
        <v>476</v>
      </c>
      <c r="I3414" s="1543"/>
      <c r="J3414" s="1543"/>
      <c r="K3414" s="1543"/>
      <c r="L3414" s="1543"/>
      <c r="M3414" s="1543"/>
      <c r="N3414" s="1566"/>
    </row>
    <row r="3415" spans="1:14" hidden="1">
      <c r="A3415" s="1554"/>
      <c r="B3415" s="1541"/>
      <c r="C3415" s="368" t="s">
        <v>2627</v>
      </c>
      <c r="D3415" s="369" t="s">
        <v>2187</v>
      </c>
      <c r="E3415" s="529" t="s">
        <v>2596</v>
      </c>
      <c r="F3415" s="369" t="s">
        <v>2649</v>
      </c>
      <c r="G3415" s="370" t="s">
        <v>2709</v>
      </c>
      <c r="H3415" s="1542"/>
      <c r="I3415" s="1543"/>
      <c r="J3415" s="1543"/>
      <c r="K3415" s="1543"/>
      <c r="L3415" s="1543"/>
      <c r="M3415" s="1543"/>
      <c r="N3415" s="1566"/>
    </row>
    <row r="3416" spans="1:14" s="646" customFormat="1" ht="12" hidden="1">
      <c r="A3416" s="1514" t="s">
        <v>2662</v>
      </c>
      <c r="B3416" s="410"/>
      <c r="C3416" s="287"/>
      <c r="D3416" s="202"/>
      <c r="E3416" s="346"/>
      <c r="F3416" s="346"/>
      <c r="G3416" s="346"/>
      <c r="H3416" s="403"/>
      <c r="I3416" s="1567"/>
      <c r="J3416" s="1543"/>
      <c r="K3416" s="1543"/>
      <c r="L3416" s="1543"/>
      <c r="M3416" s="1543"/>
      <c r="N3416" s="1566"/>
    </row>
    <row r="3417" spans="1:14" s="646" customFormat="1" ht="12" hidden="1">
      <c r="A3417" s="1523"/>
      <c r="B3417" s="406"/>
      <c r="C3417" s="292"/>
      <c r="D3417" s="341"/>
      <c r="E3417" s="341"/>
      <c r="F3417" s="341"/>
      <c r="G3417" s="341"/>
      <c r="H3417" s="347"/>
      <c r="I3417" s="1567"/>
      <c r="J3417" s="1543"/>
      <c r="K3417" s="1543"/>
      <c r="L3417" s="1543"/>
      <c r="M3417" s="1543"/>
      <c r="N3417" s="1566"/>
    </row>
    <row r="3418" spans="1:14" s="646" customFormat="1" ht="12" hidden="1">
      <c r="A3418" s="1523"/>
      <c r="B3418" s="406" t="s">
        <v>2657</v>
      </c>
      <c r="C3418" s="292"/>
      <c r="D3418" s="341">
        <f>4.4+1.9+2.54</f>
        <v>8.84</v>
      </c>
      <c r="E3418" s="341"/>
      <c r="F3418" s="341">
        <v>3.1</v>
      </c>
      <c r="G3418" s="341">
        <v>2</v>
      </c>
      <c r="H3418" s="347">
        <f>D3418*F3418*G3418</f>
        <v>54.808</v>
      </c>
      <c r="I3418" s="1567"/>
      <c r="J3418" s="1543"/>
      <c r="K3418" s="1543"/>
      <c r="L3418" s="1543"/>
      <c r="M3418" s="1543"/>
      <c r="N3418" s="1566"/>
    </row>
    <row r="3419" spans="1:14" s="646" customFormat="1" ht="12" hidden="1">
      <c r="A3419" s="1515"/>
      <c r="B3419" s="413" t="s">
        <v>2658</v>
      </c>
      <c r="C3419" s="294"/>
      <c r="D3419" s="348">
        <f>3.5+4.8+3.05+1.2+1.5+0.9+0.15+2.5</f>
        <v>17.600000000000001</v>
      </c>
      <c r="E3419" s="348"/>
      <c r="F3419" s="348">
        <v>3.1</v>
      </c>
      <c r="G3419" s="348">
        <v>2</v>
      </c>
      <c r="H3419" s="349">
        <f>D3419*F3419*G3419</f>
        <v>109.12000000000002</v>
      </c>
      <c r="I3419" s="1567"/>
      <c r="J3419" s="1543"/>
      <c r="K3419" s="1543"/>
      <c r="L3419" s="1543"/>
      <c r="M3419" s="1543"/>
      <c r="N3419" s="1566"/>
    </row>
    <row r="3420" spans="1:14" s="646" customFormat="1" ht="12" hidden="1">
      <c r="A3420" s="1514" t="s">
        <v>2843</v>
      </c>
      <c r="B3420" s="404"/>
      <c r="C3420" s="297"/>
      <c r="D3420" s="350"/>
      <c r="E3420" s="350"/>
      <c r="F3420" s="350"/>
      <c r="G3420" s="350"/>
      <c r="H3420" s="371"/>
      <c r="I3420" s="1567"/>
      <c r="J3420" s="1543"/>
      <c r="K3420" s="1543"/>
      <c r="L3420" s="1543"/>
      <c r="M3420" s="1543"/>
      <c r="N3420" s="1566"/>
    </row>
    <row r="3421" spans="1:14" s="646" customFormat="1" ht="12" hidden="1">
      <c r="A3421" s="1523"/>
      <c r="B3421" s="647" t="s">
        <v>2862</v>
      </c>
      <c r="C3421" s="648"/>
      <c r="D3421" s="649">
        <f>1.5+2.22</f>
        <v>3.72</v>
      </c>
      <c r="E3421" s="649"/>
      <c r="F3421" s="649">
        <v>3.1</v>
      </c>
      <c r="G3421" s="649">
        <v>2</v>
      </c>
      <c r="H3421" s="650">
        <f>D3421*F3421*G3421</f>
        <v>23.064000000000004</v>
      </c>
      <c r="I3421" s="1567"/>
      <c r="J3421" s="1543"/>
      <c r="K3421" s="1543"/>
      <c r="L3421" s="1543"/>
      <c r="M3421" s="1543"/>
      <c r="N3421" s="1566"/>
    </row>
    <row r="3422" spans="1:14" s="646" customFormat="1" ht="12" hidden="1">
      <c r="A3422" s="1523"/>
      <c r="B3422" s="406" t="s">
        <v>2863</v>
      </c>
      <c r="C3422" s="292"/>
      <c r="D3422" s="341">
        <f>3.47+3.69+3.24+3.47+1.97+1.92</f>
        <v>17.760000000000002</v>
      </c>
      <c r="E3422" s="341"/>
      <c r="F3422" s="341">
        <v>3.1</v>
      </c>
      <c r="G3422" s="341">
        <v>1</v>
      </c>
      <c r="H3422" s="347">
        <f>D3422*F3422*G3422</f>
        <v>55.056000000000004</v>
      </c>
      <c r="I3422" s="1567"/>
      <c r="J3422" s="1543"/>
      <c r="K3422" s="1543"/>
      <c r="L3422" s="1543"/>
      <c r="M3422" s="1543"/>
      <c r="N3422" s="1566"/>
    </row>
    <row r="3423" spans="1:14" s="646" customFormat="1" ht="12" hidden="1">
      <c r="A3423" s="1523"/>
      <c r="B3423" s="406" t="s">
        <v>2864</v>
      </c>
      <c r="C3423" s="292"/>
      <c r="D3423" s="341">
        <v>2.58</v>
      </c>
      <c r="E3423" s="341"/>
      <c r="F3423" s="341">
        <v>1.1000000000000001</v>
      </c>
      <c r="G3423" s="341">
        <v>2</v>
      </c>
      <c r="H3423" s="347">
        <f>D3423*F3423*G3423</f>
        <v>5.676000000000001</v>
      </c>
      <c r="I3423" s="1567"/>
      <c r="J3423" s="1543"/>
      <c r="K3423" s="1543"/>
      <c r="L3423" s="1543"/>
      <c r="M3423" s="1543"/>
      <c r="N3423" s="1566"/>
    </row>
    <row r="3424" spans="1:14" s="646" customFormat="1" ht="12" hidden="1">
      <c r="A3424" s="1523"/>
      <c r="B3424" s="406" t="s">
        <v>2865</v>
      </c>
      <c r="C3424" s="292"/>
      <c r="D3424" s="341">
        <f>1.4+1.75</f>
        <v>3.15</v>
      </c>
      <c r="E3424" s="341"/>
      <c r="F3424" s="341">
        <v>1.5</v>
      </c>
      <c r="G3424" s="341">
        <v>2</v>
      </c>
      <c r="H3424" s="347">
        <f>D3424*F3424*G3424</f>
        <v>9.4499999999999993</v>
      </c>
      <c r="I3424" s="1567"/>
      <c r="J3424" s="1543"/>
      <c r="K3424" s="1543"/>
      <c r="L3424" s="1543"/>
      <c r="M3424" s="1543"/>
      <c r="N3424" s="1566"/>
    </row>
    <row r="3425" spans="1:14" s="646" customFormat="1" ht="12" hidden="1">
      <c r="A3425" s="1515"/>
      <c r="B3425" s="651" t="s">
        <v>2866</v>
      </c>
      <c r="C3425" s="652"/>
      <c r="D3425" s="653">
        <f>2.61+1.2</f>
        <v>3.8099999999999996</v>
      </c>
      <c r="E3425" s="653"/>
      <c r="F3425" s="653">
        <v>3.1</v>
      </c>
      <c r="G3425" s="653">
        <v>2</v>
      </c>
      <c r="H3425" s="654">
        <f>D3425*F3425*G3425</f>
        <v>23.622</v>
      </c>
      <c r="I3425" s="1567"/>
      <c r="J3425" s="1543"/>
      <c r="K3425" s="1543"/>
      <c r="L3425" s="1543"/>
      <c r="M3425" s="1543"/>
      <c r="N3425" s="1566"/>
    </row>
    <row r="3426" spans="1:14" s="646" customFormat="1" ht="12" hidden="1">
      <c r="A3426" s="1630" t="s">
        <v>2997</v>
      </c>
      <c r="B3426" s="655" t="s">
        <v>2727</v>
      </c>
      <c r="C3426" s="656"/>
      <c r="D3426" s="657"/>
      <c r="E3426" s="1345"/>
      <c r="F3426" s="658"/>
      <c r="G3426" s="346"/>
      <c r="H3426" s="403"/>
      <c r="I3426" s="1567"/>
      <c r="J3426" s="1543"/>
      <c r="K3426" s="1543"/>
      <c r="L3426" s="1543"/>
      <c r="M3426" s="1543"/>
      <c r="N3426" s="1566"/>
    </row>
    <row r="3427" spans="1:14" s="646" customFormat="1" ht="12" hidden="1">
      <c r="A3427" s="1631"/>
      <c r="B3427" s="659" t="s">
        <v>2448</v>
      </c>
      <c r="C3427" s="660"/>
      <c r="D3427" s="661">
        <v>4.4000000000000004</v>
      </c>
      <c r="E3427" s="1346">
        <v>3.13</v>
      </c>
      <c r="F3427" s="662">
        <f>(D3427*E3427)-(D3428)</f>
        <v>12.512</v>
      </c>
      <c r="G3427" s="341"/>
      <c r="H3427" s="347">
        <f>F3427</f>
        <v>12.512</v>
      </c>
      <c r="I3427" s="1567"/>
      <c r="J3427" s="1543"/>
      <c r="K3427" s="1543"/>
      <c r="L3427" s="1543"/>
      <c r="M3427" s="1543"/>
      <c r="N3427" s="1566"/>
    </row>
    <row r="3428" spans="1:14" s="646" customFormat="1" ht="12" hidden="1">
      <c r="A3428" s="1631"/>
      <c r="B3428" s="663" t="s">
        <v>3053</v>
      </c>
      <c r="C3428" s="664" t="s">
        <v>3100</v>
      </c>
      <c r="D3428" s="665">
        <f>(0.6*2.1)</f>
        <v>1.26</v>
      </c>
      <c r="E3428" s="1347"/>
      <c r="F3428" s="662"/>
      <c r="G3428" s="341"/>
      <c r="H3428" s="347"/>
      <c r="I3428" s="1567"/>
      <c r="J3428" s="1543"/>
      <c r="K3428" s="1543"/>
      <c r="L3428" s="1543"/>
      <c r="M3428" s="1543"/>
      <c r="N3428" s="1566"/>
    </row>
    <row r="3429" spans="1:14" s="646" customFormat="1" ht="12" hidden="1">
      <c r="A3429" s="1631"/>
      <c r="B3429" s="659" t="s">
        <v>2449</v>
      </c>
      <c r="C3429" s="660"/>
      <c r="D3429" s="661">
        <v>4.0599999999999996</v>
      </c>
      <c r="E3429" s="1346">
        <v>3.13</v>
      </c>
      <c r="F3429" s="662">
        <f>(D3429*E3429)-(D3430)</f>
        <v>11.447799999999999</v>
      </c>
      <c r="G3429" s="341"/>
      <c r="H3429" s="347">
        <f>F3429</f>
        <v>11.447799999999999</v>
      </c>
      <c r="I3429" s="1567"/>
      <c r="J3429" s="1543"/>
      <c r="K3429" s="1543"/>
      <c r="L3429" s="1543"/>
      <c r="M3429" s="1543"/>
      <c r="N3429" s="1566"/>
    </row>
    <row r="3430" spans="1:14" s="646" customFormat="1" ht="12" hidden="1">
      <c r="A3430" s="1631"/>
      <c r="B3430" s="663" t="s">
        <v>3053</v>
      </c>
      <c r="C3430" s="664" t="s">
        <v>3100</v>
      </c>
      <c r="D3430" s="665">
        <f>(0.6*2.1)</f>
        <v>1.26</v>
      </c>
      <c r="E3430" s="1347"/>
      <c r="F3430" s="662"/>
      <c r="G3430" s="341"/>
      <c r="H3430" s="347"/>
      <c r="I3430" s="1567"/>
      <c r="J3430" s="1543"/>
      <c r="K3430" s="1543"/>
      <c r="L3430" s="1543"/>
      <c r="M3430" s="1543"/>
      <c r="N3430" s="1566"/>
    </row>
    <row r="3431" spans="1:14" s="646" customFormat="1" ht="12" hidden="1">
      <c r="A3431" s="1631"/>
      <c r="B3431" s="666" t="s">
        <v>2450</v>
      </c>
      <c r="C3431" s="660"/>
      <c r="D3431" s="661">
        <v>13.73</v>
      </c>
      <c r="E3431" s="1346">
        <v>3.13</v>
      </c>
      <c r="F3431" s="662">
        <f>(D3431*E3431)-(E3432)</f>
        <v>38.774899999999995</v>
      </c>
      <c r="G3431" s="341"/>
      <c r="H3431" s="347">
        <f>F3431</f>
        <v>38.774899999999995</v>
      </c>
      <c r="I3431" s="1567"/>
      <c r="J3431" s="1543"/>
      <c r="K3431" s="1543"/>
      <c r="L3431" s="1543"/>
      <c r="M3431" s="1543"/>
      <c r="N3431" s="1566"/>
    </row>
    <row r="3432" spans="1:14" s="646" customFormat="1" ht="12" hidden="1">
      <c r="A3432" s="1631"/>
      <c r="B3432" s="663" t="s">
        <v>3053</v>
      </c>
      <c r="C3432" s="664" t="s">
        <v>3100</v>
      </c>
      <c r="D3432" s="665">
        <f>(0.6*2.1)</f>
        <v>1.26</v>
      </c>
      <c r="E3432" s="1347">
        <f>SUM(D3432:D3434)</f>
        <v>4.2</v>
      </c>
      <c r="F3432" s="662"/>
      <c r="G3432" s="341"/>
      <c r="H3432" s="347"/>
      <c r="I3432" s="1567"/>
      <c r="J3432" s="1543"/>
      <c r="K3432" s="1543"/>
      <c r="L3432" s="1543"/>
      <c r="M3432" s="1543"/>
      <c r="N3432" s="1566"/>
    </row>
    <row r="3433" spans="1:14" s="646" customFormat="1" ht="12" hidden="1">
      <c r="A3433" s="1631"/>
      <c r="B3433" s="663"/>
      <c r="C3433" s="664" t="s">
        <v>3100</v>
      </c>
      <c r="D3433" s="665">
        <f>(0.6*2.1)</f>
        <v>1.26</v>
      </c>
      <c r="E3433" s="1347"/>
      <c r="F3433" s="662"/>
      <c r="G3433" s="341"/>
      <c r="H3433" s="347"/>
      <c r="I3433" s="1567"/>
      <c r="J3433" s="1543"/>
      <c r="K3433" s="1543"/>
      <c r="L3433" s="1543"/>
      <c r="M3433" s="1543"/>
      <c r="N3433" s="1566"/>
    </row>
    <row r="3434" spans="1:14" s="646" customFormat="1" ht="12" hidden="1">
      <c r="A3434" s="1631"/>
      <c r="B3434" s="663"/>
      <c r="C3434" s="664" t="s">
        <v>3101</v>
      </c>
      <c r="D3434" s="665">
        <f>(0.8*2.1)</f>
        <v>1.6800000000000002</v>
      </c>
      <c r="E3434" s="1347"/>
      <c r="F3434" s="662"/>
      <c r="G3434" s="341"/>
      <c r="H3434" s="347"/>
      <c r="I3434" s="1567"/>
      <c r="J3434" s="1543"/>
      <c r="K3434" s="1543"/>
      <c r="L3434" s="1543"/>
      <c r="M3434" s="1543"/>
      <c r="N3434" s="1566"/>
    </row>
    <row r="3435" spans="1:14" s="646" customFormat="1" ht="12" hidden="1">
      <c r="A3435" s="1631"/>
      <c r="B3435" s="659" t="s">
        <v>2453</v>
      </c>
      <c r="C3435" s="667"/>
      <c r="D3435" s="661">
        <v>10.76</v>
      </c>
      <c r="E3435" s="1346">
        <v>3.13</v>
      </c>
      <c r="F3435" s="662">
        <f>(D3435*E3435)-(D3436)</f>
        <v>31.998799999999996</v>
      </c>
      <c r="G3435" s="341"/>
      <c r="H3435" s="347">
        <f>F3435</f>
        <v>31.998799999999996</v>
      </c>
      <c r="I3435" s="1567"/>
      <c r="J3435" s="1543"/>
      <c r="K3435" s="1543"/>
      <c r="L3435" s="1543"/>
      <c r="M3435" s="1543"/>
      <c r="N3435" s="1566"/>
    </row>
    <row r="3436" spans="1:14" s="646" customFormat="1" ht="12" hidden="1">
      <c r="A3436" s="1631"/>
      <c r="B3436" s="663" t="s">
        <v>3053</v>
      </c>
      <c r="C3436" s="664" t="s">
        <v>3101</v>
      </c>
      <c r="D3436" s="665">
        <f>(0.8*2.1)</f>
        <v>1.6800000000000002</v>
      </c>
      <c r="E3436" s="1347"/>
      <c r="F3436" s="662"/>
      <c r="G3436" s="341"/>
      <c r="H3436" s="347"/>
      <c r="I3436" s="1567"/>
      <c r="J3436" s="1543"/>
      <c r="K3436" s="1543"/>
      <c r="L3436" s="1543"/>
      <c r="M3436" s="1543"/>
      <c r="N3436" s="1566"/>
    </row>
    <row r="3437" spans="1:14" s="646" customFormat="1" ht="12" hidden="1">
      <c r="A3437" s="1631"/>
      <c r="B3437" s="659" t="s">
        <v>2454</v>
      </c>
      <c r="C3437" s="667"/>
      <c r="D3437" s="661">
        <v>11.01</v>
      </c>
      <c r="E3437" s="1346">
        <v>3.13</v>
      </c>
      <c r="F3437" s="662">
        <f>(D3437*E3437)-(D3438)</f>
        <v>32.781300000000002</v>
      </c>
      <c r="G3437" s="341"/>
      <c r="H3437" s="347">
        <f>F3437</f>
        <v>32.781300000000002</v>
      </c>
      <c r="I3437" s="1567"/>
      <c r="J3437" s="1543"/>
      <c r="K3437" s="1543"/>
      <c r="L3437" s="1543"/>
      <c r="M3437" s="1543"/>
      <c r="N3437" s="1566"/>
    </row>
    <row r="3438" spans="1:14" s="646" customFormat="1" ht="12" hidden="1">
      <c r="A3438" s="1631"/>
      <c r="B3438" s="663" t="s">
        <v>3053</v>
      </c>
      <c r="C3438" s="664" t="s">
        <v>3101</v>
      </c>
      <c r="D3438" s="665">
        <f>(0.8*2.1)</f>
        <v>1.6800000000000002</v>
      </c>
      <c r="E3438" s="1347"/>
      <c r="F3438" s="662"/>
      <c r="G3438" s="341"/>
      <c r="H3438" s="347"/>
      <c r="I3438" s="1567"/>
      <c r="J3438" s="1543"/>
      <c r="K3438" s="1543"/>
      <c r="L3438" s="1543"/>
      <c r="M3438" s="1543"/>
      <c r="N3438" s="1566"/>
    </row>
    <row r="3439" spans="1:14" s="646" customFormat="1" ht="12" hidden="1">
      <c r="A3439" s="1631"/>
      <c r="B3439" s="659" t="s">
        <v>2455</v>
      </c>
      <c r="C3439" s="667"/>
      <c r="D3439" s="661">
        <v>8.2200000000000006</v>
      </c>
      <c r="E3439" s="1346">
        <v>3.13</v>
      </c>
      <c r="F3439" s="662">
        <f>(D3439*E3439)-(D3440)</f>
        <v>24.0486</v>
      </c>
      <c r="G3439" s="341"/>
      <c r="H3439" s="347">
        <f>F3439</f>
        <v>24.0486</v>
      </c>
      <c r="I3439" s="1567"/>
      <c r="J3439" s="1543"/>
      <c r="K3439" s="1543"/>
      <c r="L3439" s="1543"/>
      <c r="M3439" s="1543"/>
      <c r="N3439" s="1566"/>
    </row>
    <row r="3440" spans="1:14" s="646" customFormat="1" ht="12" hidden="1">
      <c r="A3440" s="1631"/>
      <c r="B3440" s="663" t="s">
        <v>3053</v>
      </c>
      <c r="C3440" s="664" t="s">
        <v>3101</v>
      </c>
      <c r="D3440" s="665">
        <f>(0.8*2.1)</f>
        <v>1.6800000000000002</v>
      </c>
      <c r="E3440" s="1347"/>
      <c r="F3440" s="662"/>
      <c r="G3440" s="341"/>
      <c r="H3440" s="347"/>
      <c r="I3440" s="1567"/>
      <c r="J3440" s="1543"/>
      <c r="K3440" s="1543"/>
      <c r="L3440" s="1543"/>
      <c r="M3440" s="1543"/>
      <c r="N3440" s="1566"/>
    </row>
    <row r="3441" spans="1:14" s="646" customFormat="1" ht="12" hidden="1">
      <c r="A3441" s="1631"/>
      <c r="B3441" s="659" t="s">
        <v>2342</v>
      </c>
      <c r="C3441" s="667"/>
      <c r="D3441" s="661">
        <v>7.56</v>
      </c>
      <c r="E3441" s="1346">
        <v>3.13</v>
      </c>
      <c r="F3441" s="662">
        <f>(D3441*E3441)-(D3442)</f>
        <v>22.382799999999996</v>
      </c>
      <c r="G3441" s="341"/>
      <c r="H3441" s="347">
        <f>F3441</f>
        <v>22.382799999999996</v>
      </c>
      <c r="I3441" s="1567"/>
      <c r="J3441" s="1543"/>
      <c r="K3441" s="1543"/>
      <c r="L3441" s="1543"/>
      <c r="M3441" s="1543"/>
      <c r="N3441" s="1566"/>
    </row>
    <row r="3442" spans="1:14" s="646" customFormat="1" ht="12" hidden="1">
      <c r="A3442" s="1631"/>
      <c r="B3442" s="663" t="s">
        <v>3053</v>
      </c>
      <c r="C3442" s="664" t="s">
        <v>3042</v>
      </c>
      <c r="D3442" s="665">
        <f>(1.6*0.8)</f>
        <v>1.2800000000000002</v>
      </c>
      <c r="E3442" s="1347"/>
      <c r="F3442" s="662"/>
      <c r="G3442" s="341"/>
      <c r="H3442" s="347"/>
      <c r="I3442" s="1567"/>
      <c r="J3442" s="1543"/>
      <c r="K3442" s="1543"/>
      <c r="L3442" s="1543"/>
      <c r="M3442" s="1543"/>
      <c r="N3442" s="1566"/>
    </row>
    <row r="3443" spans="1:14" s="646" customFormat="1" ht="12" hidden="1">
      <c r="A3443" s="1631"/>
      <c r="B3443" s="659" t="s">
        <v>2344</v>
      </c>
      <c r="C3443" s="667"/>
      <c r="D3443" s="661">
        <v>5.4</v>
      </c>
      <c r="E3443" s="1346">
        <v>3.13</v>
      </c>
      <c r="F3443" s="662">
        <f>(D3443*E3443)-(E3444)</f>
        <v>15.002000000000001</v>
      </c>
      <c r="G3443" s="341"/>
      <c r="H3443" s="347">
        <f>F3443</f>
        <v>15.002000000000001</v>
      </c>
      <c r="I3443" s="1567"/>
      <c r="J3443" s="1543"/>
      <c r="K3443" s="1543"/>
      <c r="L3443" s="1543"/>
      <c r="M3443" s="1543"/>
      <c r="N3443" s="1566"/>
    </row>
    <row r="3444" spans="1:14" s="646" customFormat="1" ht="12" hidden="1">
      <c r="A3444" s="1631"/>
      <c r="B3444" s="663" t="s">
        <v>3053</v>
      </c>
      <c r="C3444" s="664" t="s">
        <v>3100</v>
      </c>
      <c r="D3444" s="665">
        <f>(0.6*2.1)</f>
        <v>1.26</v>
      </c>
      <c r="E3444" s="1347">
        <f>SUM(D3444:D3445)</f>
        <v>1.9000000000000001</v>
      </c>
      <c r="F3444" s="662"/>
      <c r="G3444" s="341"/>
      <c r="H3444" s="347"/>
      <c r="I3444" s="1567"/>
      <c r="J3444" s="1543"/>
      <c r="K3444" s="1543"/>
      <c r="L3444" s="1543"/>
      <c r="M3444" s="1543"/>
      <c r="N3444" s="1566"/>
    </row>
    <row r="3445" spans="1:14" s="646" customFormat="1" ht="12" hidden="1">
      <c r="A3445" s="1631"/>
      <c r="B3445" s="663"/>
      <c r="C3445" s="664" t="s">
        <v>2854</v>
      </c>
      <c r="D3445" s="665">
        <f>(0.8*0.8)</f>
        <v>0.64000000000000012</v>
      </c>
      <c r="E3445" s="1347"/>
      <c r="F3445" s="662"/>
      <c r="G3445" s="341"/>
      <c r="H3445" s="347"/>
      <c r="I3445" s="1567"/>
      <c r="J3445" s="1543"/>
      <c r="K3445" s="1543"/>
      <c r="L3445" s="1543"/>
      <c r="M3445" s="1543"/>
      <c r="N3445" s="1566"/>
    </row>
    <row r="3446" spans="1:14" s="646" customFormat="1" ht="12" hidden="1">
      <c r="A3446" s="1631"/>
      <c r="B3446" s="659" t="s">
        <v>2456</v>
      </c>
      <c r="C3446" s="667"/>
      <c r="D3446" s="661">
        <v>7.7</v>
      </c>
      <c r="E3446" s="1346">
        <v>3.13</v>
      </c>
      <c r="F3446" s="662">
        <f>(D3446*E3446)-(E3447)</f>
        <v>21.570999999999998</v>
      </c>
      <c r="G3446" s="341"/>
      <c r="H3446" s="347">
        <f>F3446</f>
        <v>21.570999999999998</v>
      </c>
      <c r="I3446" s="1567"/>
      <c r="J3446" s="1543"/>
      <c r="K3446" s="1543"/>
      <c r="L3446" s="1543"/>
      <c r="M3446" s="1543"/>
      <c r="N3446" s="1566"/>
    </row>
    <row r="3447" spans="1:14" s="646" customFormat="1" ht="12" hidden="1">
      <c r="A3447" s="1631"/>
      <c r="B3447" s="663" t="s">
        <v>3053</v>
      </c>
      <c r="C3447" s="664" t="s">
        <v>3102</v>
      </c>
      <c r="D3447" s="665">
        <f>(0.9*2.1)</f>
        <v>1.8900000000000001</v>
      </c>
      <c r="E3447" s="1347">
        <f>SUM(D3447:D3448)</f>
        <v>2.5300000000000002</v>
      </c>
      <c r="F3447" s="662"/>
      <c r="G3447" s="341"/>
      <c r="H3447" s="347"/>
      <c r="I3447" s="1567"/>
      <c r="J3447" s="1543"/>
      <c r="K3447" s="1543"/>
      <c r="L3447" s="1543"/>
      <c r="M3447" s="1543"/>
      <c r="N3447" s="1566"/>
    </row>
    <row r="3448" spans="1:14" s="646" customFormat="1" ht="12" hidden="1">
      <c r="A3448" s="1631"/>
      <c r="B3448" s="663"/>
      <c r="C3448" s="664" t="s">
        <v>2854</v>
      </c>
      <c r="D3448" s="665">
        <f>(0.8*0.8)</f>
        <v>0.64000000000000012</v>
      </c>
      <c r="E3448" s="1347"/>
      <c r="F3448" s="662"/>
      <c r="G3448" s="341"/>
      <c r="H3448" s="347"/>
      <c r="I3448" s="1567"/>
      <c r="J3448" s="1543"/>
      <c r="K3448" s="1543"/>
      <c r="L3448" s="1543"/>
      <c r="M3448" s="1543"/>
      <c r="N3448" s="1566"/>
    </row>
    <row r="3449" spans="1:14" s="646" customFormat="1" ht="12" hidden="1">
      <c r="A3449" s="1631"/>
      <c r="B3449" s="659" t="s">
        <v>2457</v>
      </c>
      <c r="C3449" s="667"/>
      <c r="D3449" s="661">
        <v>7.65</v>
      </c>
      <c r="E3449" s="1346">
        <v>3.13</v>
      </c>
      <c r="F3449" s="662">
        <f>(D3449*E3449)-(E3450)</f>
        <v>21.4145</v>
      </c>
      <c r="G3449" s="341"/>
      <c r="H3449" s="347">
        <f>F3449</f>
        <v>21.4145</v>
      </c>
      <c r="I3449" s="1567"/>
      <c r="J3449" s="1543"/>
      <c r="K3449" s="1543"/>
      <c r="L3449" s="1543"/>
      <c r="M3449" s="1543"/>
      <c r="N3449" s="1566"/>
    </row>
    <row r="3450" spans="1:14" s="646" customFormat="1" ht="12" hidden="1">
      <c r="A3450" s="1631"/>
      <c r="B3450" s="663" t="s">
        <v>3053</v>
      </c>
      <c r="C3450" s="664" t="s">
        <v>3102</v>
      </c>
      <c r="D3450" s="665">
        <f>(0.9*2.1)</f>
        <v>1.8900000000000001</v>
      </c>
      <c r="E3450" s="1347">
        <f>SUM(D3450:D3451)</f>
        <v>2.5300000000000002</v>
      </c>
      <c r="F3450" s="662"/>
      <c r="G3450" s="341"/>
      <c r="H3450" s="347"/>
      <c r="I3450" s="1567"/>
      <c r="J3450" s="1543"/>
      <c r="K3450" s="1543"/>
      <c r="L3450" s="1543"/>
      <c r="M3450" s="1543"/>
      <c r="N3450" s="1566"/>
    </row>
    <row r="3451" spans="1:14" s="646" customFormat="1" ht="12" hidden="1">
      <c r="A3451" s="1631"/>
      <c r="B3451" s="663"/>
      <c r="C3451" s="664" t="s">
        <v>2854</v>
      </c>
      <c r="D3451" s="665">
        <f>(0.8*0.8)</f>
        <v>0.64000000000000012</v>
      </c>
      <c r="E3451" s="1347"/>
      <c r="F3451" s="662"/>
      <c r="G3451" s="341"/>
      <c r="H3451" s="347"/>
      <c r="I3451" s="1567"/>
      <c r="J3451" s="1543"/>
      <c r="K3451" s="1543"/>
      <c r="L3451" s="1543"/>
      <c r="M3451" s="1543"/>
      <c r="N3451" s="1566"/>
    </row>
    <row r="3452" spans="1:14" s="646" customFormat="1" ht="12" hidden="1">
      <c r="A3452" s="1631"/>
      <c r="B3452" s="666" t="s">
        <v>2450</v>
      </c>
      <c r="C3452" s="664"/>
      <c r="D3452" s="661">
        <v>13.73</v>
      </c>
      <c r="E3452" s="1346">
        <v>1</v>
      </c>
      <c r="F3452" s="662">
        <f>(D3452*E3452)-(D3453)</f>
        <v>11.73</v>
      </c>
      <c r="G3452" s="341"/>
      <c r="H3452" s="347">
        <f>F3452</f>
        <v>11.73</v>
      </c>
      <c r="I3452" s="1567"/>
      <c r="J3452" s="1543"/>
      <c r="K3452" s="1543"/>
      <c r="L3452" s="1543"/>
      <c r="M3452" s="1543"/>
      <c r="N3452" s="1566"/>
    </row>
    <row r="3453" spans="1:14" s="646" customFormat="1" ht="12" hidden="1">
      <c r="A3453" s="1631"/>
      <c r="B3453" s="663" t="s">
        <v>3053</v>
      </c>
      <c r="C3453" s="664"/>
      <c r="D3453" s="665">
        <f>0.8+0.6+0.6</f>
        <v>2</v>
      </c>
      <c r="E3453" s="1347"/>
      <c r="F3453" s="662"/>
      <c r="G3453" s="341"/>
      <c r="H3453" s="347"/>
      <c r="I3453" s="1567"/>
      <c r="J3453" s="1543"/>
      <c r="K3453" s="1543"/>
      <c r="L3453" s="1543"/>
      <c r="M3453" s="1543"/>
      <c r="N3453" s="1566"/>
    </row>
    <row r="3454" spans="1:14" s="646" customFormat="1" ht="12" hidden="1">
      <c r="A3454" s="1631"/>
      <c r="B3454" s="659" t="s">
        <v>2523</v>
      </c>
      <c r="C3454" s="664"/>
      <c r="D3454" s="661">
        <v>9.0500000000000007</v>
      </c>
      <c r="E3454" s="1346">
        <v>1</v>
      </c>
      <c r="F3454" s="662">
        <f>(D3454*E3454)-(D3455)</f>
        <v>8.25</v>
      </c>
      <c r="G3454" s="341"/>
      <c r="H3454" s="347">
        <f>F3454</f>
        <v>8.25</v>
      </c>
      <c r="I3454" s="1567"/>
      <c r="J3454" s="1543"/>
      <c r="K3454" s="1543"/>
      <c r="L3454" s="1543"/>
      <c r="M3454" s="1543"/>
      <c r="N3454" s="1566"/>
    </row>
    <row r="3455" spans="1:14" s="646" customFormat="1" ht="12" hidden="1">
      <c r="A3455" s="1631"/>
      <c r="B3455" s="663" t="s">
        <v>3053</v>
      </c>
      <c r="C3455" s="664"/>
      <c r="D3455" s="665">
        <f>0.8</f>
        <v>0.8</v>
      </c>
      <c r="E3455" s="1347"/>
      <c r="F3455" s="662"/>
      <c r="G3455" s="341"/>
      <c r="H3455" s="347"/>
      <c r="I3455" s="1567"/>
      <c r="J3455" s="1543"/>
      <c r="K3455" s="1543"/>
      <c r="L3455" s="1543"/>
      <c r="M3455" s="1543"/>
      <c r="N3455" s="1566"/>
    </row>
    <row r="3456" spans="1:14" s="646" customFormat="1" ht="12" hidden="1">
      <c r="A3456" s="1631"/>
      <c r="B3456" s="668" t="s">
        <v>2929</v>
      </c>
      <c r="C3456" s="660"/>
      <c r="D3456" s="661"/>
      <c r="E3456" s="1346"/>
      <c r="F3456" s="662"/>
      <c r="G3456" s="341"/>
      <c r="H3456" s="347"/>
      <c r="I3456" s="1567"/>
      <c r="J3456" s="1543"/>
      <c r="K3456" s="1543"/>
      <c r="L3456" s="1543"/>
      <c r="M3456" s="1543"/>
      <c r="N3456" s="1566"/>
    </row>
    <row r="3457" spans="1:14" s="646" customFormat="1" ht="12" hidden="1">
      <c r="A3457" s="1631"/>
      <c r="B3457" s="659" t="s">
        <v>2458</v>
      </c>
      <c r="C3457" s="660"/>
      <c r="D3457" s="661">
        <v>9.2799999999999994</v>
      </c>
      <c r="E3457" s="1346">
        <v>2.83</v>
      </c>
      <c r="F3457" s="662">
        <f>(D3457*E3457)-(E3458)</f>
        <v>23.732399999999998</v>
      </c>
      <c r="G3457" s="341"/>
      <c r="H3457" s="347">
        <f>F3457</f>
        <v>23.732399999999998</v>
      </c>
      <c r="I3457" s="1567"/>
      <c r="J3457" s="1543"/>
      <c r="K3457" s="1543"/>
      <c r="L3457" s="1543"/>
      <c r="M3457" s="1543"/>
      <c r="N3457" s="1566"/>
    </row>
    <row r="3458" spans="1:14" s="646" customFormat="1" ht="12" hidden="1">
      <c r="A3458" s="1631"/>
      <c r="B3458" s="663" t="s">
        <v>3053</v>
      </c>
      <c r="C3458" s="664" t="s">
        <v>3102</v>
      </c>
      <c r="D3458" s="665">
        <f>(0.9*2.1)</f>
        <v>1.8900000000000001</v>
      </c>
      <c r="E3458" s="1347">
        <f>SUM(D3458:D3459)</f>
        <v>2.5300000000000002</v>
      </c>
      <c r="F3458" s="662"/>
      <c r="G3458" s="341"/>
      <c r="H3458" s="347"/>
      <c r="I3458" s="1567"/>
      <c r="J3458" s="1543"/>
      <c r="K3458" s="1543"/>
      <c r="L3458" s="1543"/>
      <c r="M3458" s="1543"/>
      <c r="N3458" s="1566"/>
    </row>
    <row r="3459" spans="1:14" s="646" customFormat="1" ht="12" hidden="1">
      <c r="A3459" s="1631"/>
      <c r="B3459" s="663"/>
      <c r="C3459" s="664" t="s">
        <v>2854</v>
      </c>
      <c r="D3459" s="665">
        <f>(0.8*0.8)</f>
        <v>0.64000000000000012</v>
      </c>
      <c r="E3459" s="1347"/>
      <c r="F3459" s="662"/>
      <c r="G3459" s="341"/>
      <c r="H3459" s="347"/>
      <c r="I3459" s="1567"/>
      <c r="J3459" s="1543"/>
      <c r="K3459" s="1543"/>
      <c r="L3459" s="1543"/>
      <c r="M3459" s="1543"/>
      <c r="N3459" s="1566"/>
    </row>
    <row r="3460" spans="1:14" s="646" customFormat="1" ht="12" hidden="1">
      <c r="A3460" s="1631"/>
      <c r="B3460" s="659" t="s">
        <v>2459</v>
      </c>
      <c r="C3460" s="660"/>
      <c r="D3460" s="661">
        <v>8.93</v>
      </c>
      <c r="E3460" s="1346">
        <v>2.83</v>
      </c>
      <c r="F3460" s="662">
        <f>(D3460*E3460)-(E3461)</f>
        <v>22.741899999999998</v>
      </c>
      <c r="G3460" s="341"/>
      <c r="H3460" s="347">
        <f>F3460</f>
        <v>22.741899999999998</v>
      </c>
      <c r="I3460" s="1567"/>
      <c r="J3460" s="1543"/>
      <c r="K3460" s="1543"/>
      <c r="L3460" s="1543"/>
      <c r="M3460" s="1543"/>
      <c r="N3460" s="1566"/>
    </row>
    <row r="3461" spans="1:14" s="646" customFormat="1" ht="12" hidden="1">
      <c r="A3461" s="1631"/>
      <c r="B3461" s="663" t="s">
        <v>3053</v>
      </c>
      <c r="C3461" s="664" t="s">
        <v>3102</v>
      </c>
      <c r="D3461" s="665">
        <f>(0.9*2.1)</f>
        <v>1.8900000000000001</v>
      </c>
      <c r="E3461" s="1347">
        <f>SUM(D3461:D3462)</f>
        <v>2.5300000000000002</v>
      </c>
      <c r="F3461" s="662"/>
      <c r="G3461" s="341"/>
      <c r="H3461" s="347"/>
      <c r="I3461" s="1567"/>
      <c r="J3461" s="1543"/>
      <c r="K3461" s="1543"/>
      <c r="L3461" s="1543"/>
      <c r="M3461" s="1543"/>
      <c r="N3461" s="1566"/>
    </row>
    <row r="3462" spans="1:14" s="646" customFormat="1" ht="12" hidden="1">
      <c r="A3462" s="1631"/>
      <c r="B3462" s="663"/>
      <c r="C3462" s="664" t="s">
        <v>2854</v>
      </c>
      <c r="D3462" s="665">
        <f>(0.8*0.8)</f>
        <v>0.64000000000000012</v>
      </c>
      <c r="E3462" s="1347"/>
      <c r="F3462" s="662"/>
      <c r="G3462" s="341"/>
      <c r="H3462" s="347"/>
      <c r="I3462" s="1567"/>
      <c r="J3462" s="1543"/>
      <c r="K3462" s="1543"/>
      <c r="L3462" s="1543"/>
      <c r="M3462" s="1543"/>
      <c r="N3462" s="1566"/>
    </row>
    <row r="3463" spans="1:14" s="646" customFormat="1" ht="12" hidden="1">
      <c r="A3463" s="1631"/>
      <c r="B3463" s="659" t="s">
        <v>2344</v>
      </c>
      <c r="C3463" s="667"/>
      <c r="D3463" s="661">
        <v>5.8</v>
      </c>
      <c r="E3463" s="1346">
        <v>2.83</v>
      </c>
      <c r="F3463" s="662">
        <f>(D3463*E3463)-(E3464)</f>
        <v>14.514000000000001</v>
      </c>
      <c r="G3463" s="341"/>
      <c r="H3463" s="347">
        <f>F3463</f>
        <v>14.514000000000001</v>
      </c>
      <c r="I3463" s="1567"/>
      <c r="J3463" s="1543"/>
      <c r="K3463" s="1543"/>
      <c r="L3463" s="1543"/>
      <c r="M3463" s="1543"/>
      <c r="N3463" s="1566"/>
    </row>
    <row r="3464" spans="1:14" s="646" customFormat="1" ht="12" hidden="1">
      <c r="A3464" s="1631"/>
      <c r="B3464" s="663" t="s">
        <v>3053</v>
      </c>
      <c r="C3464" s="664" t="s">
        <v>3100</v>
      </c>
      <c r="D3464" s="665">
        <f>(0.6*2.1)</f>
        <v>1.26</v>
      </c>
      <c r="E3464" s="1347">
        <f>SUM(D3464:D3465)</f>
        <v>1.9000000000000001</v>
      </c>
      <c r="F3464" s="662"/>
      <c r="G3464" s="341"/>
      <c r="H3464" s="347"/>
      <c r="I3464" s="1567"/>
      <c r="J3464" s="1543"/>
      <c r="K3464" s="1543"/>
      <c r="L3464" s="1543"/>
      <c r="M3464" s="1543"/>
      <c r="N3464" s="1566"/>
    </row>
    <row r="3465" spans="1:14" s="646" customFormat="1" ht="12" hidden="1">
      <c r="A3465" s="1631"/>
      <c r="B3465" s="663"/>
      <c r="C3465" s="664" t="s">
        <v>2854</v>
      </c>
      <c r="D3465" s="665">
        <f>(0.8*0.8)</f>
        <v>0.64000000000000012</v>
      </c>
      <c r="E3465" s="1347"/>
      <c r="F3465" s="662"/>
      <c r="G3465" s="341"/>
      <c r="H3465" s="347"/>
      <c r="I3465" s="1567"/>
      <c r="J3465" s="1543"/>
      <c r="K3465" s="1543"/>
      <c r="L3465" s="1543"/>
      <c r="M3465" s="1543"/>
      <c r="N3465" s="1566"/>
    </row>
    <row r="3466" spans="1:14" s="646" customFormat="1" ht="12" hidden="1">
      <c r="A3466" s="1631"/>
      <c r="B3466" s="659" t="s">
        <v>2342</v>
      </c>
      <c r="C3466" s="667"/>
      <c r="D3466" s="661">
        <v>15.96</v>
      </c>
      <c r="E3466" s="1346">
        <v>2.83</v>
      </c>
      <c r="F3466" s="662">
        <f>(D3466*E3466)-(E3467)</f>
        <v>40.186800000000005</v>
      </c>
      <c r="G3466" s="341"/>
      <c r="H3466" s="347">
        <f>F3466</f>
        <v>40.186800000000005</v>
      </c>
      <c r="I3466" s="1567"/>
      <c r="J3466" s="1543"/>
      <c r="K3466" s="1543"/>
      <c r="L3466" s="1543"/>
      <c r="M3466" s="1543"/>
      <c r="N3466" s="1566"/>
    </row>
    <row r="3467" spans="1:14" s="646" customFormat="1" ht="12" hidden="1">
      <c r="A3467" s="1631"/>
      <c r="B3467" s="663" t="s">
        <v>3053</v>
      </c>
      <c r="C3467" s="664" t="s">
        <v>3100</v>
      </c>
      <c r="D3467" s="665">
        <f>(0.6*2.1)</f>
        <v>1.26</v>
      </c>
      <c r="E3467" s="1347">
        <f>SUM(D3467:D3469)</f>
        <v>4.9800000000000004</v>
      </c>
      <c r="F3467" s="662"/>
      <c r="G3467" s="341"/>
      <c r="H3467" s="347"/>
      <c r="I3467" s="1567"/>
      <c r="J3467" s="1543"/>
      <c r="K3467" s="1543"/>
      <c r="L3467" s="1543"/>
      <c r="M3467" s="1543"/>
      <c r="N3467" s="1566"/>
    </row>
    <row r="3468" spans="1:14" s="646" customFormat="1" ht="12" hidden="1">
      <c r="A3468" s="1631"/>
      <c r="B3468" s="663"/>
      <c r="C3468" s="664" t="s">
        <v>3101</v>
      </c>
      <c r="D3468" s="665">
        <f>(0.8*2.1)</f>
        <v>1.6800000000000002</v>
      </c>
      <c r="E3468" s="1347"/>
      <c r="F3468" s="662"/>
      <c r="G3468" s="341"/>
      <c r="H3468" s="347"/>
      <c r="I3468" s="1567"/>
      <c r="J3468" s="1543"/>
      <c r="K3468" s="1543"/>
      <c r="L3468" s="1543"/>
      <c r="M3468" s="1543"/>
      <c r="N3468" s="1566"/>
    </row>
    <row r="3469" spans="1:14" s="646" customFormat="1" ht="12" hidden="1">
      <c r="A3469" s="1631"/>
      <c r="B3469" s="663"/>
      <c r="C3469" s="664" t="s">
        <v>2854</v>
      </c>
      <c r="D3469" s="665">
        <f>(0.6)+0.8+(0.8*0.8)</f>
        <v>2.04</v>
      </c>
      <c r="E3469" s="1347"/>
      <c r="F3469" s="662"/>
      <c r="G3469" s="341"/>
      <c r="H3469" s="347"/>
      <c r="I3469" s="1567"/>
      <c r="J3469" s="1543"/>
      <c r="K3469" s="1543"/>
      <c r="L3469" s="1543"/>
      <c r="M3469" s="1543"/>
      <c r="N3469" s="1566"/>
    </row>
    <row r="3470" spans="1:14" s="646" customFormat="1" ht="12" hidden="1">
      <c r="A3470" s="1631"/>
      <c r="B3470" s="659" t="s">
        <v>2977</v>
      </c>
      <c r="C3470" s="667"/>
      <c r="D3470" s="661">
        <v>6.27</v>
      </c>
      <c r="E3470" s="1346">
        <v>2.83</v>
      </c>
      <c r="F3470" s="662">
        <f>(D3470*E3470)-(E3471)</f>
        <v>16.0441</v>
      </c>
      <c r="G3470" s="341"/>
      <c r="H3470" s="347">
        <f>F3470</f>
        <v>16.0441</v>
      </c>
      <c r="I3470" s="1567"/>
      <c r="J3470" s="1543"/>
      <c r="K3470" s="1543"/>
      <c r="L3470" s="1543"/>
      <c r="M3470" s="1543"/>
      <c r="N3470" s="1566"/>
    </row>
    <row r="3471" spans="1:14" s="646" customFormat="1" ht="12" hidden="1">
      <c r="A3471" s="1631"/>
      <c r="B3471" s="663" t="s">
        <v>3053</v>
      </c>
      <c r="C3471" s="664" t="s">
        <v>3100</v>
      </c>
      <c r="D3471" s="665">
        <f>(0.6*2.1)</f>
        <v>1.26</v>
      </c>
      <c r="E3471" s="1347">
        <f>SUM(D3471:D3472)</f>
        <v>1.7000000000000002</v>
      </c>
      <c r="F3471" s="662"/>
      <c r="G3471" s="341"/>
      <c r="H3471" s="347"/>
      <c r="I3471" s="1567"/>
      <c r="J3471" s="1543"/>
      <c r="K3471" s="1543"/>
      <c r="L3471" s="1543"/>
      <c r="M3471" s="1543"/>
      <c r="N3471" s="1566"/>
    </row>
    <row r="3472" spans="1:14" s="646" customFormat="1" ht="12" hidden="1">
      <c r="A3472" s="1631"/>
      <c r="B3472" s="663"/>
      <c r="C3472" s="664" t="s">
        <v>2258</v>
      </c>
      <c r="D3472" s="665">
        <f>(0.55*0.8)</f>
        <v>0.44000000000000006</v>
      </c>
      <c r="E3472" s="1347"/>
      <c r="F3472" s="662"/>
      <c r="G3472" s="341"/>
      <c r="H3472" s="347"/>
      <c r="I3472" s="1567"/>
      <c r="J3472" s="1543"/>
      <c r="K3472" s="1543"/>
      <c r="L3472" s="1543"/>
      <c r="M3472" s="1543"/>
      <c r="N3472" s="1566"/>
    </row>
    <row r="3473" spans="1:14" s="646" customFormat="1" ht="12" hidden="1">
      <c r="A3473" s="1631"/>
      <c r="B3473" s="659" t="s">
        <v>2338</v>
      </c>
      <c r="C3473" s="667"/>
      <c r="D3473" s="661">
        <v>7.74</v>
      </c>
      <c r="E3473" s="1346">
        <v>2.83</v>
      </c>
      <c r="F3473" s="662">
        <f>(D3473*E3473)-(E3474)</f>
        <v>19.374199999999998</v>
      </c>
      <c r="G3473" s="341"/>
      <c r="H3473" s="347">
        <f>F3473</f>
        <v>19.374199999999998</v>
      </c>
      <c r="I3473" s="1567"/>
      <c r="J3473" s="1543"/>
      <c r="K3473" s="1543"/>
      <c r="L3473" s="1543"/>
      <c r="M3473" s="1543"/>
      <c r="N3473" s="1566"/>
    </row>
    <row r="3474" spans="1:14" s="646" customFormat="1" ht="12" hidden="1">
      <c r="A3474" s="1631"/>
      <c r="B3474" s="663" t="s">
        <v>3053</v>
      </c>
      <c r="C3474" s="664" t="s">
        <v>3102</v>
      </c>
      <c r="D3474" s="665">
        <f>(0.9*2.1)</f>
        <v>1.8900000000000001</v>
      </c>
      <c r="E3474" s="1347">
        <f>SUM(D3474:D3475)</f>
        <v>2.5300000000000002</v>
      </c>
      <c r="F3474" s="662"/>
      <c r="G3474" s="341"/>
      <c r="H3474" s="347"/>
      <c r="I3474" s="1567"/>
      <c r="J3474" s="1543"/>
      <c r="K3474" s="1543"/>
      <c r="L3474" s="1543"/>
      <c r="M3474" s="1543"/>
      <c r="N3474" s="1566"/>
    </row>
    <row r="3475" spans="1:14" s="646" customFormat="1" ht="12" hidden="1">
      <c r="A3475" s="1631"/>
      <c r="B3475" s="663"/>
      <c r="C3475" s="664" t="s">
        <v>2854</v>
      </c>
      <c r="D3475" s="665">
        <f>(0.8*0.8)</f>
        <v>0.64000000000000012</v>
      </c>
      <c r="E3475" s="1347"/>
      <c r="F3475" s="662"/>
      <c r="G3475" s="341"/>
      <c r="H3475" s="347"/>
      <c r="I3475" s="1567"/>
      <c r="J3475" s="1543"/>
      <c r="K3475" s="1543"/>
      <c r="L3475" s="1543"/>
      <c r="M3475" s="1543"/>
      <c r="N3475" s="1566"/>
    </row>
    <row r="3476" spans="1:14" s="646" customFormat="1" ht="12" hidden="1">
      <c r="A3476" s="1631"/>
      <c r="B3476" s="659" t="s">
        <v>2339</v>
      </c>
      <c r="C3476" s="667"/>
      <c r="D3476" s="661">
        <v>10.01</v>
      </c>
      <c r="E3476" s="1346">
        <v>2.83</v>
      </c>
      <c r="F3476" s="662">
        <f>(D3476*E3476)-(E3477)</f>
        <v>25.798299999999998</v>
      </c>
      <c r="G3476" s="341"/>
      <c r="H3476" s="347">
        <f>F3476</f>
        <v>25.798299999999998</v>
      </c>
      <c r="I3476" s="1567"/>
      <c r="J3476" s="1543"/>
      <c r="K3476" s="1543"/>
      <c r="L3476" s="1543"/>
      <c r="M3476" s="1543"/>
      <c r="N3476" s="1566"/>
    </row>
    <row r="3477" spans="1:14" s="646" customFormat="1" ht="12" hidden="1">
      <c r="A3477" s="1631"/>
      <c r="B3477" s="663" t="s">
        <v>3053</v>
      </c>
      <c r="C3477" s="664" t="s">
        <v>3102</v>
      </c>
      <c r="D3477" s="665">
        <f>(0.9*2.1)</f>
        <v>1.8900000000000001</v>
      </c>
      <c r="E3477" s="1347">
        <f>SUM(D3477:D3478)</f>
        <v>2.5300000000000002</v>
      </c>
      <c r="F3477" s="662"/>
      <c r="G3477" s="341"/>
      <c r="H3477" s="347"/>
      <c r="I3477" s="1567"/>
      <c r="J3477" s="1543"/>
      <c r="K3477" s="1543"/>
      <c r="L3477" s="1543"/>
      <c r="M3477" s="1543"/>
      <c r="N3477" s="1566"/>
    </row>
    <row r="3478" spans="1:14" s="646" customFormat="1" ht="12" hidden="1">
      <c r="A3478" s="1631"/>
      <c r="B3478" s="663"/>
      <c r="C3478" s="664" t="s">
        <v>2854</v>
      </c>
      <c r="D3478" s="665">
        <f>(0.8*0.8)</f>
        <v>0.64000000000000012</v>
      </c>
      <c r="E3478" s="1347"/>
      <c r="F3478" s="662"/>
      <c r="G3478" s="341"/>
      <c r="H3478" s="347"/>
      <c r="I3478" s="1567"/>
      <c r="J3478" s="1543"/>
      <c r="K3478" s="1543"/>
      <c r="L3478" s="1543"/>
      <c r="M3478" s="1543"/>
      <c r="N3478" s="1566"/>
    </row>
    <row r="3479" spans="1:14" s="646" customFormat="1" ht="12" hidden="1">
      <c r="A3479" s="1631"/>
      <c r="B3479" s="659" t="s">
        <v>2461</v>
      </c>
      <c r="C3479" s="667"/>
      <c r="D3479" s="661">
        <v>5.49</v>
      </c>
      <c r="E3479" s="1346">
        <v>2.83</v>
      </c>
      <c r="F3479" s="662">
        <f>(D3479*E3479)-(D3480)</f>
        <v>14.276700000000002</v>
      </c>
      <c r="G3479" s="341"/>
      <c r="H3479" s="347">
        <f>F3479</f>
        <v>14.276700000000002</v>
      </c>
      <c r="I3479" s="1567"/>
      <c r="J3479" s="1543"/>
      <c r="K3479" s="1543"/>
      <c r="L3479" s="1543"/>
      <c r="M3479" s="1543"/>
      <c r="N3479" s="1566"/>
    </row>
    <row r="3480" spans="1:14" s="646" customFormat="1" ht="12" hidden="1">
      <c r="A3480" s="1631"/>
      <c r="B3480" s="663" t="s">
        <v>3053</v>
      </c>
      <c r="C3480" s="664" t="s">
        <v>3100</v>
      </c>
      <c r="D3480" s="665">
        <f>(0.6*2.1)</f>
        <v>1.26</v>
      </c>
      <c r="E3480" s="1347"/>
      <c r="F3480" s="662"/>
      <c r="G3480" s="341"/>
      <c r="H3480" s="347"/>
      <c r="I3480" s="1567"/>
      <c r="J3480" s="1543"/>
      <c r="K3480" s="1543"/>
      <c r="L3480" s="1543"/>
      <c r="M3480" s="1543"/>
      <c r="N3480" s="1566"/>
    </row>
    <row r="3481" spans="1:14" s="646" customFormat="1" ht="12" hidden="1">
      <c r="A3481" s="1632"/>
      <c r="B3481" s="669" t="s">
        <v>3103</v>
      </c>
      <c r="C3481" s="670"/>
      <c r="D3481" s="979"/>
      <c r="E3481" s="1348"/>
      <c r="F3481" s="670"/>
      <c r="G3481" s="670"/>
      <c r="H3481" s="671">
        <f>-SUM(H3418:H3419,H3422,H3423,H3424)</f>
        <v>-234.11</v>
      </c>
      <c r="I3481" s="1567"/>
      <c r="J3481" s="1543"/>
      <c r="K3481" s="1543"/>
      <c r="L3481" s="1543"/>
      <c r="M3481" s="1543"/>
      <c r="N3481" s="1566"/>
    </row>
    <row r="3482" spans="1:14" s="646" customFormat="1" ht="12" hidden="1">
      <c r="A3482" s="1630" t="s">
        <v>3158</v>
      </c>
      <c r="B3482" s="846"/>
      <c r="C3482" s="840"/>
      <c r="D3482" s="980"/>
      <c r="E3482" s="1349"/>
      <c r="F3482" s="840"/>
      <c r="G3482" s="840"/>
      <c r="H3482" s="841"/>
      <c r="I3482" s="1567"/>
      <c r="J3482" s="1543"/>
      <c r="K3482" s="1543"/>
      <c r="L3482" s="1543"/>
      <c r="M3482" s="1543"/>
      <c r="N3482" s="1566"/>
    </row>
    <row r="3483" spans="1:14" s="646" customFormat="1" ht="12" hidden="1">
      <c r="A3483" s="1631"/>
      <c r="B3483" s="847" t="s">
        <v>3167</v>
      </c>
      <c r="C3483" s="842"/>
      <c r="D3483" s="981"/>
      <c r="E3483" s="1350"/>
      <c r="F3483" s="842"/>
      <c r="G3483" s="842"/>
      <c r="H3483" s="843">
        <v>17.23</v>
      </c>
      <c r="I3483" s="1567"/>
      <c r="J3483" s="1543"/>
      <c r="K3483" s="1543"/>
      <c r="L3483" s="1543"/>
      <c r="M3483" s="1543"/>
      <c r="N3483" s="1566"/>
    </row>
    <row r="3484" spans="1:14" s="646" customFormat="1" ht="12" hidden="1">
      <c r="A3484" s="1632"/>
      <c r="B3484" s="848"/>
      <c r="C3484" s="844"/>
      <c r="D3484" s="982"/>
      <c r="E3484" s="1351"/>
      <c r="F3484" s="844"/>
      <c r="G3484" s="844"/>
      <c r="H3484" s="845"/>
      <c r="I3484" s="1567"/>
      <c r="J3484" s="1543"/>
      <c r="K3484" s="1543"/>
      <c r="L3484" s="1543"/>
      <c r="M3484" s="1543"/>
      <c r="N3484" s="1566"/>
    </row>
    <row r="3485" spans="1:14" hidden="1">
      <c r="A3485" s="1577" t="s">
        <v>2218</v>
      </c>
      <c r="B3485" s="1504"/>
      <c r="C3485" s="1504"/>
      <c r="D3485" s="1504"/>
      <c r="E3485" s="1504"/>
      <c r="F3485" s="1504"/>
      <c r="G3485" s="1504"/>
      <c r="H3485" s="461">
        <f>SUM(H3416:H3484)</f>
        <v>492.49810000000002</v>
      </c>
      <c r="I3485" s="1567"/>
      <c r="J3485" s="1543"/>
      <c r="K3485" s="1543"/>
      <c r="L3485" s="1543"/>
      <c r="M3485" s="1543"/>
      <c r="N3485" s="1566"/>
    </row>
    <row r="3486" spans="1:14" hidden="1">
      <c r="A3486" s="1519" t="s">
        <v>2219</v>
      </c>
      <c r="B3486" s="1517"/>
      <c r="C3486" s="1517"/>
      <c r="D3486" s="1551"/>
      <c r="E3486" s="1551"/>
      <c r="F3486" s="1551"/>
      <c r="G3486" s="1552"/>
      <c r="H3486" s="272">
        <f>SUM(H3416:H3481)</f>
        <v>475.2681</v>
      </c>
      <c r="I3486" s="1543"/>
      <c r="J3486" s="1543"/>
      <c r="K3486" s="1543"/>
      <c r="L3486" s="1543"/>
      <c r="M3486" s="1543"/>
      <c r="N3486" s="1566"/>
    </row>
    <row r="3487" spans="1:14" ht="15.75" hidden="1" thickBot="1">
      <c r="A3487" s="1520" t="s">
        <v>2220</v>
      </c>
      <c r="B3487" s="1521"/>
      <c r="C3487" s="1521"/>
      <c r="D3487" s="1521"/>
      <c r="E3487" s="1521"/>
      <c r="F3487" s="1521"/>
      <c r="G3487" s="1522"/>
      <c r="H3487" s="216">
        <f>H3485-H3486</f>
        <v>17.230000000000018</v>
      </c>
      <c r="I3487" s="1568"/>
      <c r="J3487" s="1568"/>
      <c r="K3487" s="1568"/>
      <c r="L3487" s="1568"/>
      <c r="M3487" s="1568"/>
      <c r="N3487" s="1569"/>
    </row>
    <row r="3488" spans="1:14" ht="15" hidden="1" customHeight="1" thickBot="1">
      <c r="A3488" s="1635"/>
      <c r="B3488" s="1636"/>
      <c r="C3488" s="1636"/>
      <c r="D3488" s="1636"/>
      <c r="E3488" s="1636"/>
      <c r="F3488" s="1636"/>
      <c r="G3488" s="1636"/>
      <c r="H3488" s="1636"/>
      <c r="I3488" s="1636"/>
      <c r="J3488" s="1636"/>
      <c r="K3488" s="1636"/>
      <c r="L3488" s="1636"/>
      <c r="M3488" s="1636"/>
      <c r="N3488" s="1637"/>
    </row>
    <row r="3489" spans="1:14" ht="29.25" hidden="1" customHeight="1">
      <c r="A3489" s="1085" t="s">
        <v>2716</v>
      </c>
      <c r="B3489" s="1494" t="s">
        <v>395</v>
      </c>
      <c r="C3489" s="1495"/>
      <c r="D3489" s="1495"/>
      <c r="E3489" s="1495"/>
      <c r="F3489" s="1495"/>
      <c r="G3489" s="1495"/>
      <c r="H3489" s="1495"/>
      <c r="I3489" s="1495"/>
      <c r="J3489" s="1496"/>
      <c r="K3489" s="196" t="s">
        <v>2222</v>
      </c>
      <c r="L3489" s="1497">
        <v>1886.71</v>
      </c>
      <c r="M3489" s="1498"/>
      <c r="N3489" s="197">
        <f>L3489-H3581</f>
        <v>48.576499999999669</v>
      </c>
    </row>
    <row r="3490" spans="1:14" hidden="1">
      <c r="A3490" s="1554"/>
      <c r="B3490" s="1541"/>
      <c r="C3490" s="366"/>
      <c r="D3490" s="367" t="s">
        <v>2183</v>
      </c>
      <c r="E3490" s="1320" t="s">
        <v>2184</v>
      </c>
      <c r="F3490" s="367" t="s">
        <v>2185</v>
      </c>
      <c r="G3490" s="367" t="s">
        <v>2186</v>
      </c>
      <c r="H3490" s="1542" t="s">
        <v>476</v>
      </c>
      <c r="I3490" s="1506"/>
      <c r="J3490" s="1506"/>
      <c r="K3490" s="1506"/>
      <c r="L3490" s="1506"/>
      <c r="M3490" s="1506"/>
      <c r="N3490" s="1507"/>
    </row>
    <row r="3491" spans="1:14" hidden="1">
      <c r="A3491" s="1554"/>
      <c r="B3491" s="1541"/>
      <c r="C3491" s="368" t="s">
        <v>2627</v>
      </c>
      <c r="D3491" s="369" t="s">
        <v>2187</v>
      </c>
      <c r="E3491" s="529" t="s">
        <v>2596</v>
      </c>
      <c r="F3491" s="369" t="s">
        <v>2649</v>
      </c>
      <c r="G3491" s="370" t="s">
        <v>2709</v>
      </c>
      <c r="H3491" s="1542"/>
      <c r="I3491" s="1509"/>
      <c r="J3491" s="1509"/>
      <c r="K3491" s="1509"/>
      <c r="L3491" s="1509"/>
      <c r="M3491" s="1509"/>
      <c r="N3491" s="1510"/>
    </row>
    <row r="3492" spans="1:14" hidden="1">
      <c r="A3492" s="1574" t="s">
        <v>2662</v>
      </c>
      <c r="B3492" s="288"/>
      <c r="C3492" s="287"/>
      <c r="D3492" s="346"/>
      <c r="E3492" s="346"/>
      <c r="F3492" s="346"/>
      <c r="G3492" s="346"/>
      <c r="H3492" s="403"/>
      <c r="I3492" s="1509"/>
      <c r="J3492" s="1509"/>
      <c r="K3492" s="1509"/>
      <c r="L3492" s="1509"/>
      <c r="M3492" s="1509"/>
      <c r="N3492" s="1510"/>
    </row>
    <row r="3493" spans="1:14" hidden="1">
      <c r="A3493" s="1707"/>
      <c r="B3493" s="290" t="s">
        <v>2653</v>
      </c>
      <c r="C3493" s="292"/>
      <c r="D3493" s="341">
        <v>3.73</v>
      </c>
      <c r="E3493" s="341"/>
      <c r="F3493" s="341">
        <v>2.5</v>
      </c>
      <c r="G3493" s="341">
        <v>2</v>
      </c>
      <c r="H3493" s="347">
        <f t="shared" ref="H3493:H3500" si="83">D3493*F3493*G3493</f>
        <v>18.649999999999999</v>
      </c>
      <c r="I3493" s="1509"/>
      <c r="J3493" s="1509"/>
      <c r="K3493" s="1509"/>
      <c r="L3493" s="1509"/>
      <c r="M3493" s="1509"/>
      <c r="N3493" s="1510"/>
    </row>
    <row r="3494" spans="1:14" hidden="1">
      <c r="A3494" s="1707"/>
      <c r="B3494" s="290"/>
      <c r="C3494" s="292"/>
      <c r="D3494" s="341">
        <v>12.66</v>
      </c>
      <c r="E3494" s="341"/>
      <c r="F3494" s="341">
        <v>4.34</v>
      </c>
      <c r="G3494" s="341">
        <v>2</v>
      </c>
      <c r="H3494" s="347">
        <f t="shared" si="83"/>
        <v>109.8888</v>
      </c>
      <c r="I3494" s="1509"/>
      <c r="J3494" s="1509"/>
      <c r="K3494" s="1509"/>
      <c r="L3494" s="1509"/>
      <c r="M3494" s="1509"/>
      <c r="N3494" s="1510"/>
    </row>
    <row r="3495" spans="1:14" hidden="1">
      <c r="A3495" s="1707"/>
      <c r="B3495" s="290" t="s">
        <v>2654</v>
      </c>
      <c r="C3495" s="292"/>
      <c r="D3495" s="341">
        <v>13.28</v>
      </c>
      <c r="E3495" s="341"/>
      <c r="F3495" s="341">
        <v>2.5</v>
      </c>
      <c r="G3495" s="341">
        <v>2</v>
      </c>
      <c r="H3495" s="347">
        <f t="shared" si="83"/>
        <v>66.399999999999991</v>
      </c>
      <c r="I3495" s="1509"/>
      <c r="J3495" s="1509"/>
      <c r="K3495" s="1509"/>
      <c r="L3495" s="1509"/>
      <c r="M3495" s="1509"/>
      <c r="N3495" s="1510"/>
    </row>
    <row r="3496" spans="1:14" hidden="1">
      <c r="A3496" s="1707"/>
      <c r="B3496" s="290" t="s">
        <v>2655</v>
      </c>
      <c r="C3496" s="292"/>
      <c r="D3496" s="341">
        <v>2.99</v>
      </c>
      <c r="E3496" s="341"/>
      <c r="F3496" s="341">
        <v>1.1000000000000001</v>
      </c>
      <c r="G3496" s="341">
        <v>2</v>
      </c>
      <c r="H3496" s="347">
        <f t="shared" si="83"/>
        <v>6.5780000000000012</v>
      </c>
      <c r="I3496" s="1509"/>
      <c r="J3496" s="1509"/>
      <c r="K3496" s="1509"/>
      <c r="L3496" s="1509"/>
      <c r="M3496" s="1509"/>
      <c r="N3496" s="1510"/>
    </row>
    <row r="3497" spans="1:14" hidden="1">
      <c r="A3497" s="1707"/>
      <c r="B3497" s="290" t="s">
        <v>2656</v>
      </c>
      <c r="C3497" s="292"/>
      <c r="D3497" s="341">
        <v>4.58</v>
      </c>
      <c r="E3497" s="341"/>
      <c r="F3497" s="341">
        <v>1.1000000000000001</v>
      </c>
      <c r="G3497" s="341">
        <v>2</v>
      </c>
      <c r="H3497" s="347">
        <f t="shared" si="83"/>
        <v>10.076000000000001</v>
      </c>
      <c r="I3497" s="1509"/>
      <c r="J3497" s="1509"/>
      <c r="K3497" s="1509"/>
      <c r="L3497" s="1509"/>
      <c r="M3497" s="1509"/>
      <c r="N3497" s="1510"/>
    </row>
    <row r="3498" spans="1:14" hidden="1">
      <c r="A3498" s="1707"/>
      <c r="B3498" s="290" t="s">
        <v>2657</v>
      </c>
      <c r="C3498" s="292"/>
      <c r="D3498" s="341">
        <f>4.4+1.9+2.54</f>
        <v>8.84</v>
      </c>
      <c r="E3498" s="341"/>
      <c r="F3498" s="341">
        <v>3</v>
      </c>
      <c r="G3498" s="341">
        <v>2</v>
      </c>
      <c r="H3498" s="347">
        <f t="shared" si="83"/>
        <v>53.04</v>
      </c>
      <c r="I3498" s="1509"/>
      <c r="J3498" s="1509"/>
      <c r="K3498" s="1509"/>
      <c r="L3498" s="1509"/>
      <c r="M3498" s="1509"/>
      <c r="N3498" s="1510"/>
    </row>
    <row r="3499" spans="1:14" hidden="1">
      <c r="A3499" s="1707"/>
      <c r="B3499" s="290" t="s">
        <v>2995</v>
      </c>
      <c r="C3499" s="292"/>
      <c r="D3499" s="341">
        <f>3.5+4.8+3.05+1.2+1.5+0.9+0.15+2.5</f>
        <v>17.600000000000001</v>
      </c>
      <c r="E3499" s="341"/>
      <c r="F3499" s="341">
        <v>3</v>
      </c>
      <c r="G3499" s="341">
        <v>2</v>
      </c>
      <c r="H3499" s="347">
        <f t="shared" si="83"/>
        <v>105.60000000000001</v>
      </c>
      <c r="I3499" s="1509"/>
      <c r="J3499" s="1509"/>
      <c r="K3499" s="1509"/>
      <c r="L3499" s="1509"/>
      <c r="M3499" s="1509"/>
      <c r="N3499" s="1510"/>
    </row>
    <row r="3500" spans="1:14" ht="24" hidden="1">
      <c r="A3500" s="1576"/>
      <c r="B3500" s="295" t="s">
        <v>2704</v>
      </c>
      <c r="C3500" s="294"/>
      <c r="D3500" s="348">
        <v>20.399999999999999</v>
      </c>
      <c r="E3500" s="348"/>
      <c r="F3500" s="348">
        <v>3.1</v>
      </c>
      <c r="G3500" s="348">
        <v>2</v>
      </c>
      <c r="H3500" s="349">
        <f t="shared" si="83"/>
        <v>126.47999999999999</v>
      </c>
      <c r="I3500" s="1509"/>
      <c r="J3500" s="1509"/>
      <c r="K3500" s="1509"/>
      <c r="L3500" s="1509"/>
      <c r="M3500" s="1509"/>
      <c r="N3500" s="1510"/>
    </row>
    <row r="3501" spans="1:14" hidden="1">
      <c r="A3501" s="1574" t="s">
        <v>2843</v>
      </c>
      <c r="B3501" s="288"/>
      <c r="C3501" s="287"/>
      <c r="D3501" s="346"/>
      <c r="E3501" s="346"/>
      <c r="F3501" s="346"/>
      <c r="G3501" s="346"/>
      <c r="H3501" s="403"/>
      <c r="I3501" s="1509"/>
      <c r="J3501" s="1509"/>
      <c r="K3501" s="1509"/>
      <c r="L3501" s="1509"/>
      <c r="M3501" s="1509"/>
      <c r="N3501" s="1510"/>
    </row>
    <row r="3502" spans="1:14" hidden="1">
      <c r="A3502" s="1707"/>
      <c r="B3502" s="290" t="s">
        <v>2862</v>
      </c>
      <c r="C3502" s="292"/>
      <c r="D3502" s="341">
        <f>((1.5+2.22)*2)+1.5</f>
        <v>8.9400000000000013</v>
      </c>
      <c r="E3502" s="341"/>
      <c r="F3502" s="341">
        <v>3.1</v>
      </c>
      <c r="G3502" s="341">
        <v>1</v>
      </c>
      <c r="H3502" s="347">
        <f t="shared" ref="H3502:H3510" si="84">D3502*F3502*G3502</f>
        <v>27.714000000000006</v>
      </c>
      <c r="I3502" s="1509"/>
      <c r="J3502" s="1509"/>
      <c r="K3502" s="1509"/>
      <c r="L3502" s="1509"/>
      <c r="M3502" s="1509"/>
      <c r="N3502" s="1510"/>
    </row>
    <row r="3503" spans="1:14" hidden="1">
      <c r="A3503" s="1707"/>
      <c r="B3503" s="290" t="s">
        <v>2863</v>
      </c>
      <c r="C3503" s="292"/>
      <c r="D3503" s="341">
        <f>3.47+3.69+3.24+3.47+1.97+1.92+6.7</f>
        <v>24.46</v>
      </c>
      <c r="E3503" s="341"/>
      <c r="F3503" s="341">
        <v>3.1</v>
      </c>
      <c r="G3503" s="341">
        <v>1</v>
      </c>
      <c r="H3503" s="347">
        <f t="shared" si="84"/>
        <v>75.826000000000008</v>
      </c>
      <c r="I3503" s="1509"/>
      <c r="J3503" s="1509"/>
      <c r="K3503" s="1509"/>
      <c r="L3503" s="1509"/>
      <c r="M3503" s="1509"/>
      <c r="N3503" s="1510"/>
    </row>
    <row r="3504" spans="1:14" hidden="1">
      <c r="A3504" s="1707"/>
      <c r="B3504" s="290" t="s">
        <v>2864</v>
      </c>
      <c r="C3504" s="292"/>
      <c r="D3504" s="341">
        <v>2.58</v>
      </c>
      <c r="E3504" s="341"/>
      <c r="F3504" s="341">
        <v>1.1000000000000001</v>
      </c>
      <c r="G3504" s="341">
        <v>2</v>
      </c>
      <c r="H3504" s="347">
        <f t="shared" si="84"/>
        <v>5.676000000000001</v>
      </c>
      <c r="I3504" s="1509"/>
      <c r="J3504" s="1509"/>
      <c r="K3504" s="1509"/>
      <c r="L3504" s="1509"/>
      <c r="M3504" s="1509"/>
      <c r="N3504" s="1510"/>
    </row>
    <row r="3505" spans="1:14" hidden="1">
      <c r="A3505" s="1707"/>
      <c r="B3505" s="290" t="s">
        <v>2865</v>
      </c>
      <c r="C3505" s="292"/>
      <c r="D3505" s="341">
        <f>((1.4+1.75)*2)+1.4+1.4+1.75</f>
        <v>10.85</v>
      </c>
      <c r="E3505" s="341"/>
      <c r="F3505" s="341">
        <v>3.1</v>
      </c>
      <c r="G3505" s="341">
        <v>1</v>
      </c>
      <c r="H3505" s="347">
        <f t="shared" si="84"/>
        <v>33.634999999999998</v>
      </c>
      <c r="I3505" s="1509"/>
      <c r="J3505" s="1509"/>
      <c r="K3505" s="1509"/>
      <c r="L3505" s="1509"/>
      <c r="M3505" s="1509"/>
      <c r="N3505" s="1510"/>
    </row>
    <row r="3506" spans="1:14" hidden="1">
      <c r="A3506" s="1707"/>
      <c r="B3506" s="290" t="s">
        <v>2866</v>
      </c>
      <c r="C3506" s="292"/>
      <c r="D3506" s="341">
        <f>2.61+1.2</f>
        <v>3.8099999999999996</v>
      </c>
      <c r="E3506" s="341"/>
      <c r="F3506" s="341">
        <v>3.1</v>
      </c>
      <c r="G3506" s="341">
        <v>2</v>
      </c>
      <c r="H3506" s="347">
        <f t="shared" si="84"/>
        <v>23.622</v>
      </c>
      <c r="I3506" s="1509"/>
      <c r="J3506" s="1509"/>
      <c r="K3506" s="1509"/>
      <c r="L3506" s="1509"/>
      <c r="M3506" s="1509"/>
      <c r="N3506" s="1510"/>
    </row>
    <row r="3507" spans="1:14" hidden="1">
      <c r="A3507" s="1707"/>
      <c r="B3507" s="290" t="s">
        <v>2867</v>
      </c>
      <c r="C3507" s="292"/>
      <c r="D3507" s="341">
        <f>10.73+2.58</f>
        <v>13.31</v>
      </c>
      <c r="E3507" s="341"/>
      <c r="F3507" s="341">
        <v>2.9</v>
      </c>
      <c r="G3507" s="341">
        <v>1</v>
      </c>
      <c r="H3507" s="347">
        <f t="shared" si="84"/>
        <v>38.599000000000004</v>
      </c>
      <c r="I3507" s="1509"/>
      <c r="J3507" s="1509"/>
      <c r="K3507" s="1509"/>
      <c r="L3507" s="1509"/>
      <c r="M3507" s="1509"/>
      <c r="N3507" s="1510"/>
    </row>
    <row r="3508" spans="1:14" hidden="1">
      <c r="A3508" s="1576"/>
      <c r="B3508" s="295" t="s">
        <v>2868</v>
      </c>
      <c r="C3508" s="294"/>
      <c r="D3508" s="348">
        <v>15.47</v>
      </c>
      <c r="E3508" s="348"/>
      <c r="F3508" s="348">
        <v>2.5</v>
      </c>
      <c r="G3508" s="348">
        <v>2</v>
      </c>
      <c r="H3508" s="349">
        <f t="shared" si="84"/>
        <v>77.350000000000009</v>
      </c>
      <c r="I3508" s="1509"/>
      <c r="J3508" s="1509"/>
      <c r="K3508" s="1509"/>
      <c r="L3508" s="1509"/>
      <c r="M3508" s="1509"/>
      <c r="N3508" s="1510"/>
    </row>
    <row r="3509" spans="1:14" hidden="1">
      <c r="A3509" s="1574" t="s">
        <v>2895</v>
      </c>
      <c r="B3509" s="288" t="s">
        <v>2908</v>
      </c>
      <c r="C3509" s="287"/>
      <c r="D3509" s="202">
        <f>1.54+(2.49*3)</f>
        <v>9.0100000000000016</v>
      </c>
      <c r="E3509" s="346"/>
      <c r="F3509" s="346">
        <v>3.13</v>
      </c>
      <c r="G3509" s="346">
        <v>1</v>
      </c>
      <c r="H3509" s="403">
        <f t="shared" si="84"/>
        <v>28.201300000000003</v>
      </c>
      <c r="I3509" s="1509"/>
      <c r="J3509" s="1509"/>
      <c r="K3509" s="1509"/>
      <c r="L3509" s="1509"/>
      <c r="M3509" s="1509"/>
      <c r="N3509" s="1510"/>
    </row>
    <row r="3510" spans="1:14" hidden="1">
      <c r="A3510" s="1576"/>
      <c r="B3510" s="295" t="s">
        <v>2910</v>
      </c>
      <c r="C3510" s="294"/>
      <c r="D3510" s="348">
        <f>20-4.25</f>
        <v>15.75</v>
      </c>
      <c r="E3510" s="348"/>
      <c r="F3510" s="348">
        <v>3.1</v>
      </c>
      <c r="G3510" s="348">
        <v>1</v>
      </c>
      <c r="H3510" s="349">
        <f t="shared" si="84"/>
        <v>48.825000000000003</v>
      </c>
      <c r="I3510" s="1509"/>
      <c r="J3510" s="1509"/>
      <c r="K3510" s="1509"/>
      <c r="L3510" s="1509"/>
      <c r="M3510" s="1509"/>
      <c r="N3510" s="1510"/>
    </row>
    <row r="3511" spans="1:14" hidden="1">
      <c r="A3511" s="1574" t="s">
        <v>2942</v>
      </c>
      <c r="B3511" s="288" t="s">
        <v>2954</v>
      </c>
      <c r="C3511" s="287"/>
      <c r="D3511" s="346">
        <v>9.1999999999999993</v>
      </c>
      <c r="E3511" s="346"/>
      <c r="F3511" s="346">
        <v>1.1000000000000001</v>
      </c>
      <c r="G3511" s="346"/>
      <c r="H3511" s="403">
        <f>D3511*F3511</f>
        <v>10.119999999999999</v>
      </c>
      <c r="I3511" s="1509"/>
      <c r="J3511" s="1509"/>
      <c r="K3511" s="1509"/>
      <c r="L3511" s="1509"/>
      <c r="M3511" s="1509"/>
      <c r="N3511" s="1510"/>
    </row>
    <row r="3512" spans="1:14" hidden="1">
      <c r="A3512" s="1707"/>
      <c r="B3512" s="290" t="s">
        <v>2954</v>
      </c>
      <c r="C3512" s="292"/>
      <c r="D3512" s="341">
        <v>17.36</v>
      </c>
      <c r="E3512" s="341"/>
      <c r="F3512" s="341">
        <v>1.1000000000000001</v>
      </c>
      <c r="G3512" s="341"/>
      <c r="H3512" s="347">
        <f>D3512*F3512</f>
        <v>19.096</v>
      </c>
      <c r="I3512" s="1509"/>
      <c r="J3512" s="1509"/>
      <c r="K3512" s="1509"/>
      <c r="L3512" s="1509"/>
      <c r="M3512" s="1509"/>
      <c r="N3512" s="1510"/>
    </row>
    <row r="3513" spans="1:14" hidden="1">
      <c r="A3513" s="1707"/>
      <c r="B3513" s="290" t="s">
        <v>2954</v>
      </c>
      <c r="C3513" s="292"/>
      <c r="D3513" s="341">
        <v>8.5500000000000007</v>
      </c>
      <c r="E3513" s="341"/>
      <c r="F3513" s="341">
        <v>1.1000000000000001</v>
      </c>
      <c r="G3513" s="341"/>
      <c r="H3513" s="347" t="s">
        <v>3114</v>
      </c>
      <c r="I3513" s="1509"/>
      <c r="J3513" s="1509"/>
      <c r="K3513" s="1509"/>
      <c r="L3513" s="1509"/>
      <c r="M3513" s="1509"/>
      <c r="N3513" s="1510"/>
    </row>
    <row r="3514" spans="1:14" hidden="1">
      <c r="A3514" s="1707"/>
      <c r="B3514" s="290" t="s">
        <v>2954</v>
      </c>
      <c r="C3514" s="292"/>
      <c r="D3514" s="341">
        <v>18.510000000000002</v>
      </c>
      <c r="E3514" s="341"/>
      <c r="F3514" s="341">
        <v>1.1000000000000001</v>
      </c>
      <c r="G3514" s="341"/>
      <c r="H3514" s="347">
        <f>D3514*F3514</f>
        <v>20.361000000000004</v>
      </c>
      <c r="I3514" s="1509"/>
      <c r="J3514" s="1509"/>
      <c r="K3514" s="1509"/>
      <c r="L3514" s="1509"/>
      <c r="M3514" s="1509"/>
      <c r="N3514" s="1510"/>
    </row>
    <row r="3515" spans="1:14" hidden="1">
      <c r="A3515" s="1707"/>
      <c r="B3515" s="290" t="s">
        <v>2990</v>
      </c>
      <c r="C3515" s="292"/>
      <c r="D3515" s="341"/>
      <c r="E3515" s="341"/>
      <c r="F3515" s="341"/>
      <c r="G3515" s="341"/>
      <c r="H3515" s="347">
        <v>24.77</v>
      </c>
      <c r="I3515" s="1509"/>
      <c r="J3515" s="1509"/>
      <c r="K3515" s="1509"/>
      <c r="L3515" s="1509"/>
      <c r="M3515" s="1509"/>
      <c r="N3515" s="1510"/>
    </row>
    <row r="3516" spans="1:14" hidden="1">
      <c r="A3516" s="1707"/>
      <c r="B3516" s="290" t="s">
        <v>2847</v>
      </c>
      <c r="C3516" s="292"/>
      <c r="D3516" s="341"/>
      <c r="E3516" s="341"/>
      <c r="F3516" s="341"/>
      <c r="G3516" s="341"/>
      <c r="H3516" s="347">
        <v>17.18</v>
      </c>
      <c r="I3516" s="1509"/>
      <c r="J3516" s="1509"/>
      <c r="K3516" s="1509"/>
      <c r="L3516" s="1509"/>
      <c r="M3516" s="1509"/>
      <c r="N3516" s="1510"/>
    </row>
    <row r="3517" spans="1:14" hidden="1">
      <c r="A3517" s="1707"/>
      <c r="B3517" s="290" t="s">
        <v>2991</v>
      </c>
      <c r="C3517" s="292"/>
      <c r="D3517" s="341"/>
      <c r="E3517" s="341"/>
      <c r="F3517" s="341"/>
      <c r="G3517" s="341"/>
      <c r="H3517" s="347">
        <v>71.459999999999994</v>
      </c>
      <c r="I3517" s="1509"/>
      <c r="J3517" s="1509"/>
      <c r="K3517" s="1509"/>
      <c r="L3517" s="1509"/>
      <c r="M3517" s="1509"/>
      <c r="N3517" s="1510"/>
    </row>
    <row r="3518" spans="1:14" hidden="1">
      <c r="A3518" s="1707"/>
      <c r="B3518" s="620" t="s">
        <v>2952</v>
      </c>
      <c r="C3518" s="292"/>
      <c r="D3518" s="341"/>
      <c r="E3518" s="341"/>
      <c r="F3518" s="341"/>
      <c r="G3518" s="341"/>
      <c r="H3518" s="347">
        <v>13.37</v>
      </c>
      <c r="I3518" s="1509"/>
      <c r="J3518" s="1509"/>
      <c r="K3518" s="1509"/>
      <c r="L3518" s="1509"/>
      <c r="M3518" s="1509"/>
      <c r="N3518" s="1510"/>
    </row>
    <row r="3519" spans="1:14" hidden="1">
      <c r="A3519" s="1707"/>
      <c r="B3519" s="290" t="s">
        <v>2992</v>
      </c>
      <c r="C3519" s="292"/>
      <c r="D3519" s="341"/>
      <c r="E3519" s="341"/>
      <c r="F3519" s="341"/>
      <c r="G3519" s="341"/>
      <c r="H3519" s="347">
        <v>26.04</v>
      </c>
      <c r="I3519" s="1509"/>
      <c r="J3519" s="1509"/>
      <c r="K3519" s="1509"/>
      <c r="L3519" s="1509"/>
      <c r="M3519" s="1509"/>
      <c r="N3519" s="1510"/>
    </row>
    <row r="3520" spans="1:14" hidden="1">
      <c r="A3520" s="1707"/>
      <c r="B3520" s="290" t="s">
        <v>2993</v>
      </c>
      <c r="C3520" s="292"/>
      <c r="D3520" s="341"/>
      <c r="E3520" s="341"/>
      <c r="F3520" s="341"/>
      <c r="G3520" s="341"/>
      <c r="H3520" s="347">
        <f>23.14</f>
        <v>23.14</v>
      </c>
      <c r="I3520" s="1509"/>
      <c r="J3520" s="1509"/>
      <c r="K3520" s="1509"/>
      <c r="L3520" s="1509"/>
      <c r="M3520" s="1509"/>
      <c r="N3520" s="1510"/>
    </row>
    <row r="3521" spans="1:14" hidden="1">
      <c r="A3521" s="1707"/>
      <c r="B3521" s="290" t="s">
        <v>2994</v>
      </c>
      <c r="C3521" s="292"/>
      <c r="D3521" s="341"/>
      <c r="E3521" s="341"/>
      <c r="F3521" s="341"/>
      <c r="G3521" s="341"/>
      <c r="H3521" s="347">
        <f>23.14</f>
        <v>23.14</v>
      </c>
      <c r="I3521" s="1509"/>
      <c r="J3521" s="1509"/>
      <c r="K3521" s="1509"/>
      <c r="L3521" s="1509"/>
      <c r="M3521" s="1509"/>
      <c r="N3521" s="1510"/>
    </row>
    <row r="3522" spans="1:14" hidden="1">
      <c r="A3522" s="1707"/>
      <c r="B3522" s="290" t="s">
        <v>2953</v>
      </c>
      <c r="C3522" s="292"/>
      <c r="D3522" s="341"/>
      <c r="E3522" s="341"/>
      <c r="F3522" s="341"/>
      <c r="G3522" s="341"/>
      <c r="H3522" s="347">
        <v>34.369999999999997</v>
      </c>
      <c r="I3522" s="1509"/>
      <c r="J3522" s="1509"/>
      <c r="K3522" s="1509"/>
      <c r="L3522" s="1509"/>
      <c r="M3522" s="1509"/>
      <c r="N3522" s="1510"/>
    </row>
    <row r="3523" spans="1:14" hidden="1">
      <c r="A3523" s="1707"/>
      <c r="B3523" s="290" t="s">
        <v>2776</v>
      </c>
      <c r="C3523" s="292"/>
      <c r="D3523" s="341"/>
      <c r="E3523" s="341"/>
      <c r="F3523" s="341"/>
      <c r="G3523" s="341"/>
      <c r="H3523" s="347">
        <v>37.56</v>
      </c>
      <c r="I3523" s="1509"/>
      <c r="J3523" s="1509"/>
      <c r="K3523" s="1509"/>
      <c r="L3523" s="1509"/>
      <c r="M3523" s="1509"/>
      <c r="N3523" s="1510"/>
    </row>
    <row r="3524" spans="1:14" hidden="1">
      <c r="A3524" s="1707"/>
      <c r="B3524" s="290" t="s">
        <v>2438</v>
      </c>
      <c r="C3524" s="292"/>
      <c r="D3524" s="341"/>
      <c r="E3524" s="341"/>
      <c r="F3524" s="341"/>
      <c r="G3524" s="341"/>
      <c r="H3524" s="347">
        <v>37.9</v>
      </c>
      <c r="I3524" s="1509"/>
      <c r="J3524" s="1509"/>
      <c r="K3524" s="1509"/>
      <c r="L3524" s="1509"/>
      <c r="M3524" s="1509"/>
      <c r="N3524" s="1510"/>
    </row>
    <row r="3525" spans="1:14" hidden="1">
      <c r="A3525" s="1576"/>
      <c r="B3525" s="672" t="s">
        <v>2964</v>
      </c>
      <c r="C3525" s="294"/>
      <c r="D3525" s="348"/>
      <c r="E3525" s="348"/>
      <c r="F3525" s="348"/>
      <c r="G3525" s="348"/>
      <c r="H3525" s="349">
        <v>32.92</v>
      </c>
      <c r="I3525" s="1509"/>
      <c r="J3525" s="1509"/>
      <c r="K3525" s="1509"/>
      <c r="L3525" s="1509"/>
      <c r="M3525" s="1509"/>
      <c r="N3525" s="1510"/>
    </row>
    <row r="3526" spans="1:14" hidden="1">
      <c r="A3526" s="1574" t="s">
        <v>2997</v>
      </c>
      <c r="B3526" s="673" t="s">
        <v>2727</v>
      </c>
      <c r="C3526" s="346"/>
      <c r="D3526" s="346"/>
      <c r="E3526" s="346"/>
      <c r="F3526" s="288"/>
      <c r="G3526" s="287"/>
      <c r="H3526" s="403"/>
      <c r="I3526" s="1509"/>
      <c r="J3526" s="1509"/>
      <c r="K3526" s="1509"/>
      <c r="L3526" s="1509"/>
      <c r="M3526" s="1509"/>
      <c r="N3526" s="1510"/>
    </row>
    <row r="3527" spans="1:14" hidden="1">
      <c r="A3527" s="1707"/>
      <c r="B3527" s="620" t="s">
        <v>2964</v>
      </c>
      <c r="C3527" s="674"/>
      <c r="D3527" s="292">
        <v>4.91</v>
      </c>
      <c r="E3527" s="1339"/>
      <c r="F3527" s="292">
        <v>0.76</v>
      </c>
      <c r="G3527" s="292"/>
      <c r="H3527" s="675">
        <f>D3527*F3527</f>
        <v>3.7316000000000003</v>
      </c>
      <c r="I3527" s="1509"/>
      <c r="J3527" s="1509"/>
      <c r="K3527" s="1509"/>
      <c r="L3527" s="1509"/>
      <c r="M3527" s="1509"/>
      <c r="N3527" s="1510"/>
    </row>
    <row r="3528" spans="1:14" hidden="1">
      <c r="A3528" s="1707"/>
      <c r="B3528" s="290" t="s">
        <v>3104</v>
      </c>
      <c r="C3528" s="674"/>
      <c r="D3528" s="292">
        <v>10.47</v>
      </c>
      <c r="E3528" s="1339"/>
      <c r="F3528" s="292">
        <v>2.9</v>
      </c>
      <c r="G3528" s="292"/>
      <c r="H3528" s="675">
        <f>D3528*F3528</f>
        <v>30.363</v>
      </c>
      <c r="I3528" s="1509"/>
      <c r="J3528" s="1509"/>
      <c r="K3528" s="1509"/>
      <c r="L3528" s="1509"/>
      <c r="M3528" s="1509"/>
      <c r="N3528" s="1510"/>
    </row>
    <row r="3529" spans="1:14" hidden="1">
      <c r="A3529" s="1707"/>
      <c r="B3529" s="623" t="s">
        <v>3105</v>
      </c>
      <c r="C3529" s="341"/>
      <c r="D3529" s="341"/>
      <c r="E3529" s="341"/>
      <c r="F3529" s="290"/>
      <c r="G3529" s="292"/>
      <c r="H3529" s="347"/>
      <c r="I3529" s="1509"/>
      <c r="J3529" s="1509"/>
      <c r="K3529" s="1509"/>
      <c r="L3529" s="1509"/>
      <c r="M3529" s="1509"/>
      <c r="N3529" s="1510"/>
    </row>
    <row r="3530" spans="1:14" hidden="1">
      <c r="A3530" s="1707"/>
      <c r="B3530" s="621" t="s">
        <v>3106</v>
      </c>
      <c r="C3530" s="341"/>
      <c r="D3530" s="341"/>
      <c r="E3530" s="341"/>
      <c r="F3530" s="290"/>
      <c r="G3530" s="292"/>
      <c r="H3530" s="347"/>
      <c r="I3530" s="1509"/>
      <c r="J3530" s="1509"/>
      <c r="K3530" s="1509"/>
      <c r="L3530" s="1509"/>
      <c r="M3530" s="1509"/>
      <c r="N3530" s="1510"/>
    </row>
    <row r="3531" spans="1:14" hidden="1">
      <c r="A3531" s="1707"/>
      <c r="B3531" s="620" t="s">
        <v>3107</v>
      </c>
      <c r="C3531" s="619"/>
      <c r="D3531" s="292">
        <v>8.9499999999999993</v>
      </c>
      <c r="E3531" s="1339"/>
      <c r="F3531" s="676">
        <f>(8.76-7.72)</f>
        <v>1.04</v>
      </c>
      <c r="G3531" s="676">
        <v>1.2</v>
      </c>
      <c r="H3531" s="675">
        <f t="shared" ref="H3531:H3537" si="85">D3531*F3531*G3531</f>
        <v>11.169599999999999</v>
      </c>
      <c r="I3531" s="1509"/>
      <c r="J3531" s="1509"/>
      <c r="K3531" s="1509"/>
      <c r="L3531" s="1509"/>
      <c r="M3531" s="1509"/>
      <c r="N3531" s="1510"/>
    </row>
    <row r="3532" spans="1:14" hidden="1">
      <c r="A3532" s="1707"/>
      <c r="B3532" s="620" t="s">
        <v>3108</v>
      </c>
      <c r="C3532" s="619"/>
      <c r="D3532" s="292">
        <v>8.9499999999999993</v>
      </c>
      <c r="E3532" s="1339"/>
      <c r="F3532" s="676">
        <f>7.72-5.32</f>
        <v>2.3999999999999995</v>
      </c>
      <c r="G3532" s="676">
        <v>2</v>
      </c>
      <c r="H3532" s="675">
        <f t="shared" si="85"/>
        <v>42.959999999999987</v>
      </c>
      <c r="I3532" s="1509"/>
      <c r="J3532" s="1509"/>
      <c r="K3532" s="1509"/>
      <c r="L3532" s="1509"/>
      <c r="M3532" s="1509"/>
      <c r="N3532" s="1510"/>
    </row>
    <row r="3533" spans="1:14" hidden="1">
      <c r="A3533" s="1707"/>
      <c r="B3533" s="620" t="s">
        <v>3109</v>
      </c>
      <c r="C3533" s="619"/>
      <c r="D3533" s="292">
        <v>11.41</v>
      </c>
      <c r="E3533" s="1339"/>
      <c r="F3533" s="676">
        <v>0.5</v>
      </c>
      <c r="G3533" s="676">
        <v>2</v>
      </c>
      <c r="H3533" s="675">
        <f t="shared" si="85"/>
        <v>11.41</v>
      </c>
      <c r="I3533" s="1509"/>
      <c r="J3533" s="1509"/>
      <c r="K3533" s="1509"/>
      <c r="L3533" s="1509"/>
      <c r="M3533" s="1509"/>
      <c r="N3533" s="1510"/>
    </row>
    <row r="3534" spans="1:14" ht="24" hidden="1">
      <c r="A3534" s="1707"/>
      <c r="B3534" s="677" t="s">
        <v>2877</v>
      </c>
      <c r="C3534" s="619"/>
      <c r="D3534" s="292">
        <f>10.39+9.58</f>
        <v>19.97</v>
      </c>
      <c r="E3534" s="1339"/>
      <c r="F3534" s="676">
        <v>1.1000000000000001</v>
      </c>
      <c r="G3534" s="676">
        <v>2</v>
      </c>
      <c r="H3534" s="675">
        <f t="shared" si="85"/>
        <v>43.933999999999997</v>
      </c>
      <c r="I3534" s="1509"/>
      <c r="J3534" s="1509"/>
      <c r="K3534" s="1509"/>
      <c r="L3534" s="1509"/>
      <c r="M3534" s="1509"/>
      <c r="N3534" s="1510"/>
    </row>
    <row r="3535" spans="1:14" ht="24" hidden="1">
      <c r="A3535" s="1707"/>
      <c r="B3535" s="620" t="s">
        <v>3110</v>
      </c>
      <c r="C3535" s="619"/>
      <c r="D3535" s="292">
        <v>1.8</v>
      </c>
      <c r="E3535" s="1339"/>
      <c r="F3535" s="676">
        <v>1.4</v>
      </c>
      <c r="G3535" s="676">
        <v>2</v>
      </c>
      <c r="H3535" s="675">
        <f t="shared" si="85"/>
        <v>5.04</v>
      </c>
      <c r="I3535" s="1509"/>
      <c r="J3535" s="1509"/>
      <c r="K3535" s="1509"/>
      <c r="L3535" s="1509"/>
      <c r="M3535" s="1509"/>
      <c r="N3535" s="1510"/>
    </row>
    <row r="3536" spans="1:14" hidden="1">
      <c r="A3536" s="1707"/>
      <c r="B3536" s="292"/>
      <c r="C3536" s="619"/>
      <c r="D3536" s="292">
        <v>1.8</v>
      </c>
      <c r="E3536" s="1339"/>
      <c r="F3536" s="676">
        <v>1.4</v>
      </c>
      <c r="G3536" s="676">
        <v>2</v>
      </c>
      <c r="H3536" s="675">
        <f t="shared" si="85"/>
        <v>5.04</v>
      </c>
      <c r="I3536" s="1509"/>
      <c r="J3536" s="1509"/>
      <c r="K3536" s="1509"/>
      <c r="L3536" s="1509"/>
      <c r="M3536" s="1509"/>
      <c r="N3536" s="1510"/>
    </row>
    <row r="3537" spans="1:14" hidden="1">
      <c r="A3537" s="1707"/>
      <c r="B3537" s="620" t="s">
        <v>3111</v>
      </c>
      <c r="C3537" s="619"/>
      <c r="D3537" s="292">
        <v>1.1000000000000001</v>
      </c>
      <c r="E3537" s="1339"/>
      <c r="F3537" s="676">
        <f>(1.2+1.4)/2</f>
        <v>1.2999999999999998</v>
      </c>
      <c r="G3537" s="676">
        <v>2</v>
      </c>
      <c r="H3537" s="675">
        <f t="shared" si="85"/>
        <v>2.86</v>
      </c>
      <c r="I3537" s="1509"/>
      <c r="J3537" s="1509"/>
      <c r="K3537" s="1509"/>
      <c r="L3537" s="1509"/>
      <c r="M3537" s="1509"/>
      <c r="N3537" s="1510"/>
    </row>
    <row r="3538" spans="1:14" hidden="1">
      <c r="A3538" s="1707"/>
      <c r="B3538" s="617" t="s">
        <v>3079</v>
      </c>
      <c r="C3538" s="619"/>
      <c r="D3538" s="341"/>
      <c r="E3538" s="341"/>
      <c r="F3538" s="290"/>
      <c r="G3538" s="292"/>
      <c r="H3538" s="347"/>
      <c r="I3538" s="1509"/>
      <c r="J3538" s="1509"/>
      <c r="K3538" s="1509"/>
      <c r="L3538" s="1509"/>
      <c r="M3538" s="1509"/>
      <c r="N3538" s="1510"/>
    </row>
    <row r="3539" spans="1:14" ht="24" hidden="1">
      <c r="A3539" s="1707"/>
      <c r="B3539" s="290" t="s">
        <v>2650</v>
      </c>
      <c r="C3539" s="619"/>
      <c r="D3539" s="292">
        <v>2.1</v>
      </c>
      <c r="E3539" s="901"/>
      <c r="F3539" s="292">
        <v>0.8</v>
      </c>
      <c r="G3539" s="292">
        <v>4</v>
      </c>
      <c r="H3539" s="675">
        <f>D3539*F3539*G3539</f>
        <v>6.7200000000000006</v>
      </c>
      <c r="I3539" s="1509"/>
      <c r="J3539" s="1509"/>
      <c r="K3539" s="1509"/>
      <c r="L3539" s="1509"/>
      <c r="M3539" s="1509"/>
      <c r="N3539" s="1510"/>
    </row>
    <row r="3540" spans="1:14" hidden="1">
      <c r="A3540" s="1707"/>
      <c r="B3540" s="620" t="s">
        <v>3112</v>
      </c>
      <c r="C3540" s="619"/>
      <c r="D3540" s="616">
        <f>3+0.89+0.59</f>
        <v>4.4800000000000004</v>
      </c>
      <c r="E3540" s="341"/>
      <c r="F3540" s="616">
        <f>1.85</f>
        <v>1.85</v>
      </c>
      <c r="G3540" s="616">
        <v>2</v>
      </c>
      <c r="H3540" s="675">
        <f>D3540*F3540*G3540</f>
        <v>16.576000000000004</v>
      </c>
      <c r="I3540" s="1509"/>
      <c r="J3540" s="1509"/>
      <c r="K3540" s="1509"/>
      <c r="L3540" s="1509"/>
      <c r="M3540" s="1509"/>
      <c r="N3540" s="1510"/>
    </row>
    <row r="3541" spans="1:14" hidden="1">
      <c r="A3541" s="1576"/>
      <c r="B3541" s="672" t="s">
        <v>3113</v>
      </c>
      <c r="C3541" s="678"/>
      <c r="D3541" s="626">
        <v>4.03</v>
      </c>
      <c r="E3541" s="348"/>
      <c r="F3541" s="626">
        <v>2.2000000000000002</v>
      </c>
      <c r="G3541" s="626">
        <v>2</v>
      </c>
      <c r="H3541" s="679">
        <f>D3541*F3541*G3541</f>
        <v>17.732000000000003</v>
      </c>
      <c r="I3541" s="1509"/>
      <c r="J3541" s="1509"/>
      <c r="K3541" s="1509"/>
      <c r="L3541" s="1509"/>
      <c r="M3541" s="1509"/>
      <c r="N3541" s="1510"/>
    </row>
    <row r="3542" spans="1:14" hidden="1">
      <c r="A3542" s="1574" t="s">
        <v>3158</v>
      </c>
      <c r="B3542" s="849" t="s">
        <v>3179</v>
      </c>
      <c r="C3542" s="287"/>
      <c r="D3542" s="287">
        <v>17.170000000000002</v>
      </c>
      <c r="E3542" s="346"/>
      <c r="F3542" s="287">
        <v>2.9</v>
      </c>
      <c r="G3542" s="287">
        <v>1</v>
      </c>
      <c r="H3542" s="403">
        <f t="shared" ref="H3542:H3550" si="86">D3542*F3542</f>
        <v>49.793000000000006</v>
      </c>
      <c r="I3542" s="1509"/>
      <c r="J3542" s="1509"/>
      <c r="K3542" s="1509"/>
      <c r="L3542" s="1509"/>
      <c r="M3542" s="1509"/>
      <c r="N3542" s="1510"/>
    </row>
    <row r="3543" spans="1:14" hidden="1">
      <c r="A3543" s="1707"/>
      <c r="B3543" s="620" t="s">
        <v>3180</v>
      </c>
      <c r="C3543" s="292"/>
      <c r="D3543" s="292">
        <v>5.83</v>
      </c>
      <c r="E3543" s="341"/>
      <c r="F3543" s="292">
        <v>2.7</v>
      </c>
      <c r="G3543" s="292">
        <v>1</v>
      </c>
      <c r="H3543" s="347">
        <f t="shared" si="86"/>
        <v>15.741000000000001</v>
      </c>
      <c r="I3543" s="1509"/>
      <c r="J3543" s="1509"/>
      <c r="K3543" s="1509"/>
      <c r="L3543" s="1509"/>
      <c r="M3543" s="1509"/>
      <c r="N3543" s="1510"/>
    </row>
    <row r="3544" spans="1:14" hidden="1">
      <c r="A3544" s="1707"/>
      <c r="B3544" s="620" t="s">
        <v>3181</v>
      </c>
      <c r="C3544" s="292"/>
      <c r="D3544" s="292">
        <v>5.83</v>
      </c>
      <c r="E3544" s="341"/>
      <c r="F3544" s="292">
        <v>2.7</v>
      </c>
      <c r="G3544" s="292">
        <v>1</v>
      </c>
      <c r="H3544" s="347">
        <f t="shared" si="86"/>
        <v>15.741000000000001</v>
      </c>
      <c r="I3544" s="1509"/>
      <c r="J3544" s="1509"/>
      <c r="K3544" s="1509"/>
      <c r="L3544" s="1509"/>
      <c r="M3544" s="1509"/>
      <c r="N3544" s="1510"/>
    </row>
    <row r="3545" spans="1:14" hidden="1">
      <c r="A3545" s="1707"/>
      <c r="B3545" s="620" t="s">
        <v>3182</v>
      </c>
      <c r="C3545" s="292"/>
      <c r="D3545" s="292">
        <v>5.83</v>
      </c>
      <c r="E3545" s="341"/>
      <c r="F3545" s="292">
        <v>2.7</v>
      </c>
      <c r="G3545" s="292">
        <v>1</v>
      </c>
      <c r="H3545" s="347">
        <f t="shared" si="86"/>
        <v>15.741000000000001</v>
      </c>
      <c r="I3545" s="1509"/>
      <c r="J3545" s="1509"/>
      <c r="K3545" s="1509"/>
      <c r="L3545" s="1509"/>
      <c r="M3545" s="1509"/>
      <c r="N3545" s="1510"/>
    </row>
    <row r="3546" spans="1:14" hidden="1">
      <c r="A3546" s="1707"/>
      <c r="B3546" s="620" t="s">
        <v>3183</v>
      </c>
      <c r="C3546" s="292"/>
      <c r="D3546" s="292">
        <v>5.83</v>
      </c>
      <c r="E3546" s="341"/>
      <c r="F3546" s="292">
        <v>2.7</v>
      </c>
      <c r="G3546" s="292">
        <v>1</v>
      </c>
      <c r="H3546" s="347">
        <f t="shared" si="86"/>
        <v>15.741000000000001</v>
      </c>
      <c r="I3546" s="1509"/>
      <c r="J3546" s="1509"/>
      <c r="K3546" s="1509"/>
      <c r="L3546" s="1509"/>
      <c r="M3546" s="1509"/>
      <c r="N3546" s="1510"/>
    </row>
    <row r="3547" spans="1:14" hidden="1">
      <c r="A3547" s="1707"/>
      <c r="B3547" s="620" t="s">
        <v>3184</v>
      </c>
      <c r="C3547" s="292"/>
      <c r="D3547" s="292">
        <v>3.08</v>
      </c>
      <c r="E3547" s="341"/>
      <c r="F3547" s="292">
        <v>5.6</v>
      </c>
      <c r="G3547" s="292">
        <v>1</v>
      </c>
      <c r="H3547" s="347">
        <f t="shared" si="86"/>
        <v>17.247999999999998</v>
      </c>
      <c r="I3547" s="1509"/>
      <c r="J3547" s="1509"/>
      <c r="K3547" s="1509"/>
      <c r="L3547" s="1509"/>
      <c r="M3547" s="1509"/>
      <c r="N3547" s="1510"/>
    </row>
    <row r="3548" spans="1:14" hidden="1">
      <c r="A3548" s="1707"/>
      <c r="B3548" s="620" t="s">
        <v>3185</v>
      </c>
      <c r="C3548" s="292"/>
      <c r="D3548" s="292">
        <v>3.36</v>
      </c>
      <c r="E3548" s="341"/>
      <c r="F3548" s="292">
        <v>2.7</v>
      </c>
      <c r="G3548" s="292">
        <v>1</v>
      </c>
      <c r="H3548" s="347">
        <f t="shared" si="86"/>
        <v>9.072000000000001</v>
      </c>
      <c r="I3548" s="1509"/>
      <c r="J3548" s="1509"/>
      <c r="K3548" s="1509"/>
      <c r="L3548" s="1509"/>
      <c r="M3548" s="1509"/>
      <c r="N3548" s="1510"/>
    </row>
    <row r="3549" spans="1:14" hidden="1">
      <c r="A3549" s="1576"/>
      <c r="B3549" s="672" t="s">
        <v>3186</v>
      </c>
      <c r="C3549" s="294"/>
      <c r="D3549" s="294">
        <v>3.76</v>
      </c>
      <c r="E3549" s="348"/>
      <c r="F3549" s="294">
        <v>2.7</v>
      </c>
      <c r="G3549" s="294">
        <v>1</v>
      </c>
      <c r="H3549" s="349">
        <f t="shared" si="86"/>
        <v>10.151999999999999</v>
      </c>
      <c r="I3549" s="1509"/>
      <c r="J3549" s="1509"/>
      <c r="K3549" s="1509"/>
      <c r="L3549" s="1509"/>
      <c r="M3549" s="1509"/>
      <c r="N3549" s="1510"/>
    </row>
    <row r="3550" spans="1:14" hidden="1">
      <c r="A3550" s="1574" t="s">
        <v>3217</v>
      </c>
      <c r="B3550" s="849" t="s">
        <v>3247</v>
      </c>
      <c r="C3550" s="287"/>
      <c r="D3550" s="287">
        <v>6.3</v>
      </c>
      <c r="E3550" s="346"/>
      <c r="F3550" s="287">
        <v>2.33</v>
      </c>
      <c r="G3550" s="287">
        <v>1</v>
      </c>
      <c r="H3550" s="403">
        <f t="shared" si="86"/>
        <v>14.679</v>
      </c>
      <c r="I3550" s="1509"/>
      <c r="J3550" s="1509"/>
      <c r="K3550" s="1509"/>
      <c r="L3550" s="1509"/>
      <c r="M3550" s="1509"/>
      <c r="N3550" s="1510"/>
    </row>
    <row r="3551" spans="1:14" hidden="1">
      <c r="A3551" s="1707"/>
      <c r="B3551" s="620" t="s">
        <v>3248</v>
      </c>
      <c r="C3551" s="292"/>
      <c r="D3551" s="292">
        <v>0.8</v>
      </c>
      <c r="E3551" s="341">
        <v>0.2</v>
      </c>
      <c r="F3551" s="292">
        <v>0.4</v>
      </c>
      <c r="G3551" s="292">
        <v>66</v>
      </c>
      <c r="H3551" s="347">
        <f>((D3551*F3551)+(D3551*F3551)+(D3551*E3551)+(E3551*F3551)+(E3551*F3551))*G3551</f>
        <v>63.360000000000014</v>
      </c>
      <c r="I3551" s="1509"/>
      <c r="J3551" s="1509"/>
      <c r="K3551" s="1509"/>
      <c r="L3551" s="1509"/>
      <c r="M3551" s="1509"/>
      <c r="N3551" s="1510"/>
    </row>
    <row r="3552" spans="1:14" hidden="1">
      <c r="A3552" s="1707"/>
      <c r="B3552" s="620" t="s">
        <v>3249</v>
      </c>
      <c r="C3552" s="292"/>
      <c r="D3552" s="292">
        <v>2.6</v>
      </c>
      <c r="E3552" s="341">
        <v>0.2</v>
      </c>
      <c r="F3552" s="292">
        <v>1.1000000000000001</v>
      </c>
      <c r="G3552" s="292">
        <v>2</v>
      </c>
      <c r="H3552" s="347">
        <f>(D3552*F3552*G3552)+(E3552*F3552)</f>
        <v>5.94</v>
      </c>
      <c r="I3552" s="1509"/>
      <c r="J3552" s="1509"/>
      <c r="K3552" s="1509"/>
      <c r="L3552" s="1509"/>
      <c r="M3552" s="1509"/>
      <c r="N3552" s="1510"/>
    </row>
    <row r="3553" spans="1:14" hidden="1">
      <c r="A3553" s="1707"/>
      <c r="B3553" s="620" t="s">
        <v>3184</v>
      </c>
      <c r="C3553" s="292"/>
      <c r="D3553" s="292">
        <v>0.27</v>
      </c>
      <c r="E3553" s="341">
        <v>0.2</v>
      </c>
      <c r="F3553" s="292">
        <v>3.1</v>
      </c>
      <c r="G3553" s="292">
        <v>1</v>
      </c>
      <c r="H3553" s="347">
        <f>(D3553*F3553*2)+(E3553*F3553)</f>
        <v>2.2940000000000005</v>
      </c>
      <c r="I3553" s="1509"/>
      <c r="J3553" s="1509"/>
      <c r="K3553" s="1509"/>
      <c r="L3553" s="1509"/>
      <c r="M3553" s="1509"/>
      <c r="N3553" s="1510"/>
    </row>
    <row r="3554" spans="1:14" ht="24" hidden="1">
      <c r="A3554" s="1707"/>
      <c r="B3554" s="620" t="s">
        <v>3250</v>
      </c>
      <c r="C3554" s="292"/>
      <c r="D3554" s="292">
        <v>1.7</v>
      </c>
      <c r="E3554" s="341">
        <v>0.2</v>
      </c>
      <c r="F3554" s="292">
        <v>0.25</v>
      </c>
      <c r="G3554" s="292">
        <v>1</v>
      </c>
      <c r="H3554" s="347">
        <f>(D3554*F3554*2)+(D3554*E3554)+(E3554*F3554)</f>
        <v>1.24</v>
      </c>
      <c r="I3554" s="1509"/>
      <c r="J3554" s="1509"/>
      <c r="K3554" s="1509"/>
      <c r="L3554" s="1509"/>
      <c r="M3554" s="1509"/>
      <c r="N3554" s="1510"/>
    </row>
    <row r="3555" spans="1:14" hidden="1">
      <c r="A3555" s="1707"/>
      <c r="B3555" s="620" t="s">
        <v>3251</v>
      </c>
      <c r="C3555" s="292"/>
      <c r="D3555" s="292">
        <v>4.17</v>
      </c>
      <c r="E3555" s="341"/>
      <c r="F3555" s="292">
        <v>0.35</v>
      </c>
      <c r="G3555" s="292">
        <v>1</v>
      </c>
      <c r="H3555" s="347">
        <f>D3555*F3555</f>
        <v>1.4594999999999998</v>
      </c>
      <c r="I3555" s="1509"/>
      <c r="J3555" s="1509"/>
      <c r="K3555" s="1509"/>
      <c r="L3555" s="1509"/>
      <c r="M3555" s="1509"/>
      <c r="N3555" s="1510"/>
    </row>
    <row r="3556" spans="1:14" hidden="1">
      <c r="A3556" s="1707"/>
      <c r="B3556" s="620" t="s">
        <v>3252</v>
      </c>
      <c r="C3556" s="292"/>
      <c r="D3556" s="292">
        <v>3.39</v>
      </c>
      <c r="E3556" s="341"/>
      <c r="F3556" s="292">
        <v>2.5</v>
      </c>
      <c r="G3556" s="292">
        <v>1</v>
      </c>
      <c r="H3556" s="347">
        <f>D3556*F3556</f>
        <v>8.4749999999999996</v>
      </c>
      <c r="I3556" s="1509"/>
      <c r="J3556" s="1509"/>
      <c r="K3556" s="1509"/>
      <c r="L3556" s="1509"/>
      <c r="M3556" s="1509"/>
      <c r="N3556" s="1510"/>
    </row>
    <row r="3557" spans="1:14" hidden="1">
      <c r="A3557" s="1576"/>
      <c r="B3557" s="672"/>
      <c r="C3557" s="294"/>
      <c r="D3557" s="294"/>
      <c r="E3557" s="348"/>
      <c r="F3557" s="294"/>
      <c r="G3557" s="294">
        <v>1</v>
      </c>
      <c r="H3557" s="349">
        <f>D3557*F3557</f>
        <v>0</v>
      </c>
      <c r="I3557" s="1509"/>
      <c r="J3557" s="1509"/>
      <c r="K3557" s="1509"/>
      <c r="L3557" s="1509"/>
      <c r="M3557" s="1509"/>
      <c r="N3557" s="1510"/>
    </row>
    <row r="3558" spans="1:14" hidden="1">
      <c r="A3558" s="1574" t="s">
        <v>3294</v>
      </c>
      <c r="B3558" s="849"/>
      <c r="C3558" s="368" t="s">
        <v>2627</v>
      </c>
      <c r="D3558" s="369" t="s">
        <v>2187</v>
      </c>
      <c r="E3558" s="529" t="s">
        <v>2596</v>
      </c>
      <c r="F3558" s="369" t="s">
        <v>2649</v>
      </c>
      <c r="G3558" s="370" t="s">
        <v>2709</v>
      </c>
      <c r="H3558" s="403"/>
      <c r="I3558" s="1509"/>
      <c r="J3558" s="1509"/>
      <c r="K3558" s="1509"/>
      <c r="L3558" s="1509"/>
      <c r="M3558" s="1509"/>
      <c r="N3558" s="1510"/>
    </row>
    <row r="3559" spans="1:14" hidden="1">
      <c r="A3559" s="1707"/>
      <c r="B3559" s="620" t="s">
        <v>3326</v>
      </c>
      <c r="C3559" s="292"/>
      <c r="D3559" s="292">
        <v>1.42</v>
      </c>
      <c r="E3559" s="341">
        <v>0.15</v>
      </c>
      <c r="F3559" s="292">
        <v>2.8</v>
      </c>
      <c r="G3559" s="292">
        <v>2</v>
      </c>
      <c r="H3559" s="347">
        <f>((D3559*F3559)+(D3559*E3559)+(E3559*F3559))*G3559</f>
        <v>9.2179999999999982</v>
      </c>
      <c r="I3559" s="1509"/>
      <c r="J3559" s="1509"/>
      <c r="K3559" s="1509"/>
      <c r="L3559" s="1509"/>
      <c r="M3559" s="1509"/>
      <c r="N3559" s="1510"/>
    </row>
    <row r="3560" spans="1:14" hidden="1">
      <c r="A3560" s="1707"/>
      <c r="B3560" s="908" t="s">
        <v>3023</v>
      </c>
      <c r="C3560" s="909" t="s">
        <v>3327</v>
      </c>
      <c r="D3560" s="909">
        <v>0.9</v>
      </c>
      <c r="E3560" s="910"/>
      <c r="F3560" s="909">
        <v>2.1</v>
      </c>
      <c r="G3560" s="909">
        <v>2</v>
      </c>
      <c r="H3560" s="911">
        <f>-(D3560*F3560*G3560)</f>
        <v>-3.7800000000000002</v>
      </c>
      <c r="I3560" s="1509"/>
      <c r="J3560" s="1509"/>
      <c r="K3560" s="1509"/>
      <c r="L3560" s="1509"/>
      <c r="M3560" s="1509"/>
      <c r="N3560" s="1510"/>
    </row>
    <row r="3561" spans="1:14" hidden="1">
      <c r="A3561" s="1707"/>
      <c r="B3561" s="620" t="s">
        <v>3332</v>
      </c>
      <c r="C3561" s="292"/>
      <c r="D3561" s="292">
        <v>0.8</v>
      </c>
      <c r="E3561" s="341">
        <v>0.15</v>
      </c>
      <c r="F3561" s="292">
        <v>1.3</v>
      </c>
      <c r="G3561" s="292">
        <v>2</v>
      </c>
      <c r="H3561" s="347">
        <f>((D3561*F3561)+(D3561*E3561)+(E3561*F3561))*G3561</f>
        <v>2.7100000000000004</v>
      </c>
      <c r="I3561" s="1509"/>
      <c r="J3561" s="1509"/>
      <c r="K3561" s="1509"/>
      <c r="L3561" s="1509"/>
      <c r="M3561" s="1509"/>
      <c r="N3561" s="1510"/>
    </row>
    <row r="3562" spans="1:14" hidden="1">
      <c r="A3562" s="1707"/>
      <c r="B3562" s="620" t="s">
        <v>3328</v>
      </c>
      <c r="C3562" s="292"/>
      <c r="D3562" s="292">
        <v>2.09</v>
      </c>
      <c r="E3562" s="341">
        <v>0.45</v>
      </c>
      <c r="F3562" s="292">
        <v>0.45</v>
      </c>
      <c r="G3562" s="292">
        <v>1</v>
      </c>
      <c r="H3562" s="347">
        <f>(D3562*F3562)+(E3562*F3562)+(E3562*F3562)</f>
        <v>1.3454999999999999</v>
      </c>
      <c r="I3562" s="1509"/>
      <c r="J3562" s="1509"/>
      <c r="K3562" s="1509"/>
      <c r="L3562" s="1509"/>
      <c r="M3562" s="1509"/>
      <c r="N3562" s="1510"/>
    </row>
    <row r="3563" spans="1:14" hidden="1">
      <c r="A3563" s="1707"/>
      <c r="B3563" s="620" t="s">
        <v>3329</v>
      </c>
      <c r="C3563" s="292"/>
      <c r="D3563" s="292">
        <v>2.66</v>
      </c>
      <c r="E3563" s="341">
        <v>0.45</v>
      </c>
      <c r="F3563" s="292">
        <v>0.45</v>
      </c>
      <c r="G3563" s="292">
        <v>1</v>
      </c>
      <c r="H3563" s="347">
        <f>(D3563*F3563)+(E3563*F3563)+(E3563*F3563)</f>
        <v>1.6020000000000003</v>
      </c>
      <c r="I3563" s="1509"/>
      <c r="J3563" s="1509"/>
      <c r="K3563" s="1509"/>
      <c r="L3563" s="1509"/>
      <c r="M3563" s="1509"/>
      <c r="N3563" s="1510"/>
    </row>
    <row r="3564" spans="1:14" hidden="1">
      <c r="A3564" s="1707"/>
      <c r="B3564" s="620" t="s">
        <v>3330</v>
      </c>
      <c r="C3564" s="292"/>
      <c r="D3564" s="292">
        <v>1.55</v>
      </c>
      <c r="E3564" s="341">
        <v>0.45</v>
      </c>
      <c r="F3564" s="292">
        <v>0.45</v>
      </c>
      <c r="G3564" s="292">
        <v>1</v>
      </c>
      <c r="H3564" s="347">
        <f>(D3564*F3564)+(E3564*F3564)+(E3564*F3564)</f>
        <v>1.1025</v>
      </c>
      <c r="I3564" s="1509"/>
      <c r="J3564" s="1509"/>
      <c r="K3564" s="1509"/>
      <c r="L3564" s="1509"/>
      <c r="M3564" s="1509"/>
      <c r="N3564" s="1510"/>
    </row>
    <row r="3565" spans="1:14" hidden="1">
      <c r="A3565" s="1707"/>
      <c r="B3565" s="620" t="s">
        <v>3331</v>
      </c>
      <c r="C3565" s="292"/>
      <c r="D3565" s="292">
        <v>1.55</v>
      </c>
      <c r="E3565" s="341">
        <v>0.45</v>
      </c>
      <c r="F3565" s="292">
        <v>0.45</v>
      </c>
      <c r="G3565" s="292">
        <v>1</v>
      </c>
      <c r="H3565" s="347">
        <f>(D3565*F3565)+(E3565*F3565)+(E3565*F3565)</f>
        <v>1.1025</v>
      </c>
      <c r="I3565" s="1509"/>
      <c r="J3565" s="1509"/>
      <c r="K3565" s="1509"/>
      <c r="L3565" s="1509"/>
      <c r="M3565" s="1509"/>
      <c r="N3565" s="1510"/>
    </row>
    <row r="3566" spans="1:14" hidden="1">
      <c r="A3566" s="1575"/>
      <c r="B3566" s="912" t="s">
        <v>3333</v>
      </c>
      <c r="C3566" s="312"/>
      <c r="D3566" s="312">
        <v>7</v>
      </c>
      <c r="E3566" s="351">
        <v>0.2</v>
      </c>
      <c r="F3566" s="312">
        <v>0.6</v>
      </c>
      <c r="G3566" s="312">
        <v>2</v>
      </c>
      <c r="H3566" s="347">
        <f>((D3566*F3566)+(D3566*E3566)+(E3566*F3566))*G3566</f>
        <v>11.440000000000001</v>
      </c>
      <c r="I3566" s="1509"/>
      <c r="J3566" s="1509"/>
      <c r="K3566" s="1509"/>
      <c r="L3566" s="1509"/>
      <c r="M3566" s="1509"/>
      <c r="N3566" s="1510"/>
    </row>
    <row r="3567" spans="1:14" hidden="1">
      <c r="A3567" s="1576"/>
      <c r="B3567" s="672"/>
      <c r="C3567" s="294"/>
      <c r="D3567" s="294"/>
      <c r="E3567" s="348"/>
      <c r="F3567" s="294"/>
      <c r="G3567" s="294"/>
      <c r="H3567" s="349"/>
      <c r="I3567" s="1509"/>
      <c r="J3567" s="1509"/>
      <c r="K3567" s="1509"/>
      <c r="L3567" s="1509"/>
      <c r="M3567" s="1509"/>
      <c r="N3567" s="1510"/>
    </row>
    <row r="3568" spans="1:14" hidden="1">
      <c r="A3568" s="1574" t="s">
        <v>3364</v>
      </c>
      <c r="B3568" s="849"/>
      <c r="C3568" s="368" t="s">
        <v>2627</v>
      </c>
      <c r="D3568" s="369" t="s">
        <v>2187</v>
      </c>
      <c r="E3568" s="529" t="s">
        <v>2596</v>
      </c>
      <c r="F3568" s="369" t="s">
        <v>2649</v>
      </c>
      <c r="G3568" s="370" t="s">
        <v>2709</v>
      </c>
      <c r="H3568" s="403"/>
      <c r="I3568" s="1509"/>
      <c r="J3568" s="1509"/>
      <c r="K3568" s="1509"/>
      <c r="L3568" s="1509"/>
      <c r="M3568" s="1509"/>
      <c r="N3568" s="1510"/>
    </row>
    <row r="3569" spans="1:14" hidden="1">
      <c r="A3569" s="1707"/>
      <c r="B3569" s="620" t="s">
        <v>3387</v>
      </c>
      <c r="C3569" s="292"/>
      <c r="D3569" s="292">
        <f>4.7+8.77</f>
        <v>13.469999999999999</v>
      </c>
      <c r="E3569" s="341">
        <v>0.15</v>
      </c>
      <c r="F3569" s="292">
        <v>0.6</v>
      </c>
      <c r="G3569" s="292">
        <v>2</v>
      </c>
      <c r="H3569" s="347">
        <f>((D3569*F3569)+(D3569*E3569)+(E3569*F3569))*G3569</f>
        <v>20.384999999999998</v>
      </c>
      <c r="I3569" s="1509"/>
      <c r="J3569" s="1509"/>
      <c r="K3569" s="1509"/>
      <c r="L3569" s="1509"/>
      <c r="M3569" s="1509"/>
      <c r="N3569" s="1510"/>
    </row>
    <row r="3570" spans="1:14" hidden="1">
      <c r="A3570" s="1575"/>
      <c r="B3570" s="912" t="s">
        <v>3388</v>
      </c>
      <c r="C3570" s="312"/>
      <c r="D3570" s="312">
        <v>10.73</v>
      </c>
      <c r="E3570" s="351"/>
      <c r="F3570" s="312">
        <v>2.9</v>
      </c>
      <c r="G3570" s="312">
        <v>1</v>
      </c>
      <c r="H3570" s="347">
        <f>((D3570*F3570)+(D3570*E3570)+(E3570*F3570))*G3570</f>
        <v>31.117000000000001</v>
      </c>
      <c r="I3570" s="1509"/>
      <c r="J3570" s="1509"/>
      <c r="K3570" s="1509"/>
      <c r="L3570" s="1509"/>
      <c r="M3570" s="1509"/>
      <c r="N3570" s="1510"/>
    </row>
    <row r="3571" spans="1:14" hidden="1">
      <c r="A3571" s="1576"/>
      <c r="B3571" s="672"/>
      <c r="C3571" s="294"/>
      <c r="D3571" s="294"/>
      <c r="E3571" s="348"/>
      <c r="F3571" s="294"/>
      <c r="G3571" s="294"/>
      <c r="H3571" s="349"/>
      <c r="I3571" s="1509"/>
      <c r="J3571" s="1509"/>
      <c r="K3571" s="1509"/>
      <c r="L3571" s="1509"/>
      <c r="M3571" s="1509"/>
      <c r="N3571" s="1510"/>
    </row>
    <row r="3572" spans="1:14" hidden="1">
      <c r="A3572" s="1574" t="s">
        <v>3465</v>
      </c>
      <c r="B3572" s="849"/>
      <c r="C3572" s="368" t="s">
        <v>2627</v>
      </c>
      <c r="D3572" s="369" t="s">
        <v>2187</v>
      </c>
      <c r="E3572" s="529" t="s">
        <v>2596</v>
      </c>
      <c r="F3572" s="369" t="s">
        <v>2649</v>
      </c>
      <c r="G3572" s="370" t="s">
        <v>2709</v>
      </c>
      <c r="H3572" s="403"/>
      <c r="I3572" s="1509"/>
      <c r="J3572" s="1509"/>
      <c r="K3572" s="1509"/>
      <c r="L3572" s="1509"/>
      <c r="M3572" s="1509"/>
      <c r="N3572" s="1510"/>
    </row>
    <row r="3573" spans="1:14" hidden="1">
      <c r="A3573" s="1707"/>
      <c r="B3573" s="620" t="s">
        <v>3472</v>
      </c>
      <c r="C3573" s="292"/>
      <c r="D3573" s="292">
        <v>6.14</v>
      </c>
      <c r="E3573" s="341"/>
      <c r="F3573" s="292">
        <v>6.33</v>
      </c>
      <c r="G3573" s="292">
        <v>1</v>
      </c>
      <c r="H3573" s="347">
        <f>D3573*F3573*G3573</f>
        <v>38.866199999999999</v>
      </c>
      <c r="I3573" s="1509"/>
      <c r="J3573" s="1509"/>
      <c r="K3573" s="1509"/>
      <c r="L3573" s="1509"/>
      <c r="M3573" s="1509"/>
      <c r="N3573" s="1510"/>
    </row>
    <row r="3574" spans="1:14" hidden="1">
      <c r="A3574" s="1576"/>
      <c r="B3574" s="672"/>
      <c r="C3574" s="294"/>
      <c r="D3574" s="294"/>
      <c r="E3574" s="348"/>
      <c r="F3574" s="294"/>
      <c r="G3574" s="294"/>
      <c r="H3574" s="349"/>
      <c r="I3574" s="1509"/>
      <c r="J3574" s="1509"/>
      <c r="K3574" s="1509"/>
      <c r="L3574" s="1509"/>
      <c r="M3574" s="1509"/>
      <c r="N3574" s="1510"/>
    </row>
    <row r="3575" spans="1:14" hidden="1">
      <c r="A3575" s="1574" t="s">
        <v>3521</v>
      </c>
      <c r="B3575" s="849"/>
      <c r="C3575" s="368" t="s">
        <v>2627</v>
      </c>
      <c r="D3575" s="369" t="s">
        <v>2187</v>
      </c>
      <c r="E3575" s="529" t="s">
        <v>2596</v>
      </c>
      <c r="F3575" s="369" t="s">
        <v>2649</v>
      </c>
      <c r="G3575" s="370" t="s">
        <v>2709</v>
      </c>
      <c r="H3575" s="403"/>
      <c r="I3575" s="1509"/>
      <c r="J3575" s="1509"/>
      <c r="K3575" s="1509"/>
      <c r="L3575" s="1509"/>
      <c r="M3575" s="1509"/>
      <c r="N3575" s="1510"/>
    </row>
    <row r="3576" spans="1:14" hidden="1">
      <c r="A3576" s="1707"/>
      <c r="B3576" s="620" t="s">
        <v>3523</v>
      </c>
      <c r="C3576" s="292"/>
      <c r="D3576" s="292">
        <v>3.75</v>
      </c>
      <c r="E3576" s="341"/>
      <c r="F3576" s="292">
        <v>2.4</v>
      </c>
      <c r="G3576" s="292">
        <v>1</v>
      </c>
      <c r="H3576" s="347">
        <f>D3576*F3576*G3576</f>
        <v>9</v>
      </c>
      <c r="I3576" s="1509"/>
      <c r="J3576" s="1509"/>
      <c r="K3576" s="1509"/>
      <c r="L3576" s="1509"/>
      <c r="M3576" s="1509"/>
      <c r="N3576" s="1510"/>
    </row>
    <row r="3577" spans="1:14" hidden="1">
      <c r="A3577" s="1576"/>
      <c r="B3577" s="672"/>
      <c r="C3577" s="294"/>
      <c r="D3577" s="294"/>
      <c r="E3577" s="348"/>
      <c r="F3577" s="294"/>
      <c r="G3577" s="294"/>
      <c r="H3577" s="349"/>
      <c r="I3577" s="1509"/>
      <c r="J3577" s="1509"/>
      <c r="K3577" s="1509"/>
      <c r="L3577" s="1509"/>
      <c r="M3577" s="1509"/>
      <c r="N3577" s="1510"/>
    </row>
    <row r="3578" spans="1:14" hidden="1">
      <c r="A3578" s="1574" t="s">
        <v>3569</v>
      </c>
      <c r="B3578" s="849"/>
      <c r="C3578" s="368" t="s">
        <v>2627</v>
      </c>
      <c r="D3578" s="369" t="s">
        <v>2187</v>
      </c>
      <c r="E3578" s="529" t="s">
        <v>2596</v>
      </c>
      <c r="F3578" s="369" t="s">
        <v>2649</v>
      </c>
      <c r="G3578" s="370" t="s">
        <v>2709</v>
      </c>
      <c r="H3578" s="403"/>
      <c r="I3578" s="1509"/>
      <c r="J3578" s="1509"/>
      <c r="K3578" s="1509"/>
      <c r="L3578" s="1509"/>
      <c r="M3578" s="1509"/>
      <c r="N3578" s="1510"/>
    </row>
    <row r="3579" spans="1:14" hidden="1">
      <c r="A3579" s="1707"/>
      <c r="B3579" s="620" t="s">
        <v>3588</v>
      </c>
      <c r="C3579" s="292"/>
      <c r="D3579" s="292">
        <v>4.63</v>
      </c>
      <c r="E3579" s="341">
        <v>0.15</v>
      </c>
      <c r="F3579" s="292">
        <v>2.4</v>
      </c>
      <c r="G3579" s="292">
        <v>2</v>
      </c>
      <c r="H3579" s="347">
        <f>D3579*F3579*G3579</f>
        <v>22.224</v>
      </c>
      <c r="I3579" s="1509"/>
      <c r="J3579" s="1509"/>
      <c r="K3579" s="1509"/>
      <c r="L3579" s="1509"/>
      <c r="M3579" s="1509"/>
      <c r="N3579" s="1510"/>
    </row>
    <row r="3580" spans="1:14" hidden="1">
      <c r="A3580" s="1576"/>
      <c r="B3580" s="672"/>
      <c r="C3580" s="294"/>
      <c r="D3580" s="294"/>
      <c r="E3580" s="348"/>
      <c r="F3580" s="294"/>
      <c r="G3580" s="294"/>
      <c r="H3580" s="349"/>
      <c r="I3580" s="1509"/>
      <c r="J3580" s="1509"/>
      <c r="K3580" s="1509"/>
      <c r="L3580" s="1509"/>
      <c r="M3580" s="1509"/>
      <c r="N3580" s="1510"/>
    </row>
    <row r="3581" spans="1:14" ht="18.600000000000001" hidden="1" customHeight="1">
      <c r="A3581" s="1542" t="s">
        <v>2218</v>
      </c>
      <c r="B3581" s="1542"/>
      <c r="C3581" s="1542"/>
      <c r="D3581" s="1542"/>
      <c r="E3581" s="1542"/>
      <c r="F3581" s="1542"/>
      <c r="G3581" s="1542"/>
      <c r="H3581" s="271">
        <f>SUM(H3492:H3580)</f>
        <v>1838.1335000000004</v>
      </c>
      <c r="I3581" s="1509"/>
      <c r="J3581" s="1509"/>
      <c r="K3581" s="1509"/>
      <c r="L3581" s="1509"/>
      <c r="M3581" s="1509"/>
      <c r="N3581" s="1510"/>
    </row>
    <row r="3582" spans="1:14" ht="18.600000000000001" hidden="1" customHeight="1">
      <c r="A3582" s="1519" t="s">
        <v>2219</v>
      </c>
      <c r="B3582" s="1517"/>
      <c r="C3582" s="1517"/>
      <c r="D3582" s="1551"/>
      <c r="E3582" s="1551"/>
      <c r="F3582" s="1551"/>
      <c r="G3582" s="1552"/>
      <c r="H3582" s="271">
        <f>SUM(H3492:H3577)</f>
        <v>1815.9095000000004</v>
      </c>
      <c r="I3582" s="1509"/>
      <c r="J3582" s="1509"/>
      <c r="K3582" s="1509"/>
      <c r="L3582" s="1509"/>
      <c r="M3582" s="1509"/>
      <c r="N3582" s="1510"/>
    </row>
    <row r="3583" spans="1:14" ht="18.600000000000001" hidden="1" customHeight="1" thickBot="1">
      <c r="A3583" s="1520" t="s">
        <v>2220</v>
      </c>
      <c r="B3583" s="1521"/>
      <c r="C3583" s="1521"/>
      <c r="D3583" s="1521"/>
      <c r="E3583" s="1521"/>
      <c r="F3583" s="1521"/>
      <c r="G3583" s="1522"/>
      <c r="H3583" s="216">
        <f>H3581-H3582</f>
        <v>22.223999999999933</v>
      </c>
      <c r="I3583" s="1512"/>
      <c r="J3583" s="1512"/>
      <c r="K3583" s="1512"/>
      <c r="L3583" s="1512"/>
      <c r="M3583" s="1512"/>
      <c r="N3583" s="1513"/>
    </row>
    <row r="3584" spans="1:14" ht="13.15" hidden="1" customHeight="1" thickBot="1">
      <c r="A3584" s="1635"/>
      <c r="B3584" s="1636"/>
      <c r="C3584" s="1636"/>
      <c r="D3584" s="1636"/>
      <c r="E3584" s="1636"/>
      <c r="F3584" s="1636"/>
      <c r="G3584" s="1636"/>
      <c r="H3584" s="1636"/>
      <c r="I3584" s="1636"/>
      <c r="J3584" s="1636"/>
      <c r="K3584" s="1636"/>
      <c r="L3584" s="1636"/>
      <c r="M3584" s="1636"/>
      <c r="N3584" s="1637"/>
    </row>
    <row r="3585" spans="1:14" ht="26.45" hidden="1" customHeight="1">
      <c r="A3585" s="1085" t="s">
        <v>2717</v>
      </c>
      <c r="B3585" s="1494" t="s">
        <v>401</v>
      </c>
      <c r="C3585" s="1495"/>
      <c r="D3585" s="1495"/>
      <c r="E3585" s="1495"/>
      <c r="F3585" s="1495"/>
      <c r="G3585" s="1495"/>
      <c r="H3585" s="1495"/>
      <c r="I3585" s="1495"/>
      <c r="J3585" s="1496"/>
      <c r="K3585" s="196" t="s">
        <v>2222</v>
      </c>
      <c r="L3585" s="1497">
        <v>1394.21</v>
      </c>
      <c r="M3585" s="1498"/>
      <c r="N3585" s="197">
        <f>L3585-H3672</f>
        <v>-8.4999999996853148E-3</v>
      </c>
    </row>
    <row r="3586" spans="1:14" hidden="1">
      <c r="A3586" s="1554"/>
      <c r="B3586" s="1541"/>
      <c r="C3586" s="366"/>
      <c r="D3586" s="367" t="s">
        <v>2183</v>
      </c>
      <c r="E3586" s="1320" t="s">
        <v>2184</v>
      </c>
      <c r="F3586" s="367" t="s">
        <v>2185</v>
      </c>
      <c r="G3586" s="367" t="s">
        <v>2186</v>
      </c>
      <c r="H3586" s="1542" t="s">
        <v>476</v>
      </c>
      <c r="I3586" s="1543"/>
      <c r="J3586" s="1543"/>
      <c r="K3586" s="1543"/>
      <c r="L3586" s="1543"/>
      <c r="M3586" s="1543"/>
      <c r="N3586" s="1566"/>
    </row>
    <row r="3587" spans="1:14" hidden="1">
      <c r="A3587" s="1554"/>
      <c r="B3587" s="1541"/>
      <c r="C3587" s="368" t="s">
        <v>2627</v>
      </c>
      <c r="D3587" s="369" t="s">
        <v>2187</v>
      </c>
      <c r="E3587" s="529" t="s">
        <v>2596</v>
      </c>
      <c r="F3587" s="369" t="s">
        <v>2649</v>
      </c>
      <c r="G3587" s="370" t="s">
        <v>2709</v>
      </c>
      <c r="H3587" s="1542"/>
      <c r="I3587" s="1543"/>
      <c r="J3587" s="1543"/>
      <c r="K3587" s="1543"/>
      <c r="L3587" s="1543"/>
      <c r="M3587" s="1543"/>
      <c r="N3587" s="1566"/>
    </row>
    <row r="3588" spans="1:14" hidden="1">
      <c r="A3588" s="1574" t="s">
        <v>2662</v>
      </c>
      <c r="B3588" s="288"/>
      <c r="C3588" s="287"/>
      <c r="D3588" s="346"/>
      <c r="E3588" s="346"/>
      <c r="F3588" s="346"/>
      <c r="G3588" s="346"/>
      <c r="H3588" s="403"/>
      <c r="I3588" s="1567"/>
      <c r="J3588" s="1543"/>
      <c r="K3588" s="1543"/>
      <c r="L3588" s="1543"/>
      <c r="M3588" s="1543"/>
      <c r="N3588" s="1566"/>
    </row>
    <row r="3589" spans="1:14" hidden="1">
      <c r="A3589" s="1707"/>
      <c r="B3589" s="290" t="s">
        <v>2876</v>
      </c>
      <c r="C3589" s="292"/>
      <c r="D3589" s="341">
        <v>11.41</v>
      </c>
      <c r="E3589" s="341"/>
      <c r="F3589" s="341">
        <v>0.5</v>
      </c>
      <c r="G3589" s="341">
        <v>1</v>
      </c>
      <c r="H3589" s="347">
        <f>D3589*F3589*G3589</f>
        <v>5.7050000000000001</v>
      </c>
      <c r="I3589" s="1567"/>
      <c r="J3589" s="1543"/>
      <c r="K3589" s="1543"/>
      <c r="L3589" s="1543"/>
      <c r="M3589" s="1543"/>
      <c r="N3589" s="1566"/>
    </row>
    <row r="3590" spans="1:14" ht="24" hidden="1">
      <c r="A3590" s="1707"/>
      <c r="B3590" s="290" t="s">
        <v>2877</v>
      </c>
      <c r="C3590" s="292"/>
      <c r="D3590" s="341">
        <v>19.97</v>
      </c>
      <c r="E3590" s="341"/>
      <c r="F3590" s="341">
        <v>1.1000000000000001</v>
      </c>
      <c r="G3590" s="341">
        <v>1</v>
      </c>
      <c r="H3590" s="347">
        <f>D3590*F3590*G3590</f>
        <v>21.966999999999999</v>
      </c>
      <c r="I3590" s="1567"/>
      <c r="J3590" s="1543"/>
      <c r="K3590" s="1543"/>
      <c r="L3590" s="1543"/>
      <c r="M3590" s="1543"/>
      <c r="N3590" s="1566"/>
    </row>
    <row r="3591" spans="1:14" hidden="1">
      <c r="A3591" s="1576"/>
      <c r="B3591" s="295" t="s">
        <v>2658</v>
      </c>
      <c r="C3591" s="294"/>
      <c r="D3591" s="348"/>
      <c r="E3591" s="348"/>
      <c r="F3591" s="348"/>
      <c r="G3591" s="348"/>
      <c r="H3591" s="349">
        <v>14.91</v>
      </c>
      <c r="I3591" s="1567"/>
      <c r="J3591" s="1543"/>
      <c r="K3591" s="1543"/>
      <c r="L3591" s="1543"/>
      <c r="M3591" s="1543"/>
      <c r="N3591" s="1566"/>
    </row>
    <row r="3592" spans="1:14" hidden="1">
      <c r="A3592" s="1574" t="s">
        <v>2843</v>
      </c>
      <c r="B3592" s="288" t="s">
        <v>2869</v>
      </c>
      <c r="C3592" s="287"/>
      <c r="D3592" s="346">
        <v>1.5</v>
      </c>
      <c r="E3592" s="346"/>
      <c r="F3592" s="346">
        <v>3.1</v>
      </c>
      <c r="G3592" s="346">
        <v>1</v>
      </c>
      <c r="H3592" s="403">
        <f t="shared" ref="H3592:H3609" si="87">D3592*F3592*G3592</f>
        <v>4.6500000000000004</v>
      </c>
      <c r="I3592" s="1567"/>
      <c r="J3592" s="1543"/>
      <c r="K3592" s="1543"/>
      <c r="L3592" s="1543"/>
      <c r="M3592" s="1543"/>
      <c r="N3592" s="1566"/>
    </row>
    <row r="3593" spans="1:14" hidden="1">
      <c r="A3593" s="1707"/>
      <c r="B3593" s="290" t="s">
        <v>2870</v>
      </c>
      <c r="C3593" s="292"/>
      <c r="D3593" s="341">
        <v>6.7</v>
      </c>
      <c r="E3593" s="341"/>
      <c r="F3593" s="341">
        <v>3.1</v>
      </c>
      <c r="G3593" s="341">
        <v>1</v>
      </c>
      <c r="H3593" s="347">
        <f t="shared" si="87"/>
        <v>20.77</v>
      </c>
      <c r="I3593" s="1567"/>
      <c r="J3593" s="1543"/>
      <c r="K3593" s="1543"/>
      <c r="L3593" s="1543"/>
      <c r="M3593" s="1543"/>
      <c r="N3593" s="1566"/>
    </row>
    <row r="3594" spans="1:14" hidden="1">
      <c r="A3594" s="1707"/>
      <c r="B3594" s="1713" t="s">
        <v>2871</v>
      </c>
      <c r="C3594" s="292"/>
      <c r="D3594" s="341">
        <f>1.4+1.4+1.75</f>
        <v>4.55</v>
      </c>
      <c r="E3594" s="341"/>
      <c r="F3594" s="341">
        <v>3.1</v>
      </c>
      <c r="G3594" s="341">
        <v>1</v>
      </c>
      <c r="H3594" s="347">
        <f t="shared" si="87"/>
        <v>14.105</v>
      </c>
      <c r="I3594" s="1567"/>
      <c r="J3594" s="1543"/>
      <c r="K3594" s="1543"/>
      <c r="L3594" s="1543"/>
      <c r="M3594" s="1543"/>
      <c r="N3594" s="1566"/>
    </row>
    <row r="3595" spans="1:14" hidden="1">
      <c r="A3595" s="1707"/>
      <c r="B3595" s="1713"/>
      <c r="C3595" s="292"/>
      <c r="D3595" s="341">
        <f>((1.4+1.75)*2)</f>
        <v>6.3</v>
      </c>
      <c r="E3595" s="341"/>
      <c r="F3595" s="341">
        <v>1.6</v>
      </c>
      <c r="G3595" s="341">
        <v>1</v>
      </c>
      <c r="H3595" s="347">
        <f t="shared" si="87"/>
        <v>10.08</v>
      </c>
      <c r="I3595" s="1567"/>
      <c r="J3595" s="1543"/>
      <c r="K3595" s="1543"/>
      <c r="L3595" s="1543"/>
      <c r="M3595" s="1543"/>
      <c r="N3595" s="1566"/>
    </row>
    <row r="3596" spans="1:14" hidden="1">
      <c r="A3596" s="1707"/>
      <c r="B3596" s="290" t="s">
        <v>2872</v>
      </c>
      <c r="C3596" s="292"/>
      <c r="D3596" s="341">
        <f>2.75+1.52</f>
        <v>4.2699999999999996</v>
      </c>
      <c r="E3596" s="341"/>
      <c r="F3596" s="341">
        <v>3.1</v>
      </c>
      <c r="G3596" s="341">
        <v>1</v>
      </c>
      <c r="H3596" s="347">
        <f t="shared" si="87"/>
        <v>13.236999999999998</v>
      </c>
      <c r="I3596" s="1567"/>
      <c r="J3596" s="1543"/>
      <c r="K3596" s="1543"/>
      <c r="L3596" s="1543"/>
      <c r="M3596" s="1543"/>
      <c r="N3596" s="1566"/>
    </row>
    <row r="3597" spans="1:14" hidden="1">
      <c r="A3597" s="1707"/>
      <c r="B3597" s="290" t="s">
        <v>2867</v>
      </c>
      <c r="C3597" s="292"/>
      <c r="D3597" s="341">
        <f>10.73+2.58+0.87</f>
        <v>14.18</v>
      </c>
      <c r="E3597" s="341"/>
      <c r="F3597" s="341">
        <v>2.9</v>
      </c>
      <c r="G3597" s="341">
        <v>1</v>
      </c>
      <c r="H3597" s="347">
        <f t="shared" si="87"/>
        <v>41.122</v>
      </c>
      <c r="I3597" s="1567"/>
      <c r="J3597" s="1543"/>
      <c r="K3597" s="1543"/>
      <c r="L3597" s="1543"/>
      <c r="M3597" s="1543"/>
      <c r="N3597" s="1566"/>
    </row>
    <row r="3598" spans="1:14" hidden="1">
      <c r="A3598" s="1707"/>
      <c r="B3598" s="290" t="s">
        <v>2868</v>
      </c>
      <c r="C3598" s="292"/>
      <c r="D3598" s="341">
        <v>15.47</v>
      </c>
      <c r="E3598" s="341"/>
      <c r="F3598" s="341">
        <v>2.5</v>
      </c>
      <c r="G3598" s="341">
        <v>2</v>
      </c>
      <c r="H3598" s="347">
        <f t="shared" si="87"/>
        <v>77.350000000000009</v>
      </c>
      <c r="I3598" s="1567"/>
      <c r="J3598" s="1543"/>
      <c r="K3598" s="1543"/>
      <c r="L3598" s="1543"/>
      <c r="M3598" s="1543"/>
      <c r="N3598" s="1566"/>
    </row>
    <row r="3599" spans="1:14" ht="24" hidden="1">
      <c r="A3599" s="1707"/>
      <c r="B3599" s="290" t="s">
        <v>2873</v>
      </c>
      <c r="C3599" s="292"/>
      <c r="D3599" s="341">
        <v>2.1</v>
      </c>
      <c r="E3599" s="341"/>
      <c r="F3599" s="341">
        <v>0.8</v>
      </c>
      <c r="G3599" s="341">
        <v>4</v>
      </c>
      <c r="H3599" s="347">
        <f t="shared" si="87"/>
        <v>6.7200000000000006</v>
      </c>
      <c r="I3599" s="1567"/>
      <c r="J3599" s="1543"/>
      <c r="K3599" s="1543"/>
      <c r="L3599" s="1543"/>
      <c r="M3599" s="1543"/>
      <c r="N3599" s="1566"/>
    </row>
    <row r="3600" spans="1:14" hidden="1">
      <c r="A3600" s="1707"/>
      <c r="B3600" s="290" t="s">
        <v>2874</v>
      </c>
      <c r="C3600" s="292"/>
      <c r="D3600" s="341">
        <v>20.399999999999999</v>
      </c>
      <c r="E3600" s="341"/>
      <c r="F3600" s="341">
        <v>3.1</v>
      </c>
      <c r="G3600" s="341">
        <v>1</v>
      </c>
      <c r="H3600" s="347">
        <f t="shared" si="87"/>
        <v>63.239999999999995</v>
      </c>
      <c r="I3600" s="1567"/>
      <c r="J3600" s="1543"/>
      <c r="K3600" s="1543"/>
      <c r="L3600" s="1543"/>
      <c r="M3600" s="1543"/>
      <c r="N3600" s="1566"/>
    </row>
    <row r="3601" spans="1:14" hidden="1">
      <c r="A3601" s="1707"/>
      <c r="B3601" s="290" t="s">
        <v>2875</v>
      </c>
      <c r="C3601" s="292"/>
      <c r="D3601" s="341">
        <v>38.909999999999997</v>
      </c>
      <c r="E3601" s="341"/>
      <c r="F3601" s="341">
        <v>1.4</v>
      </c>
      <c r="G3601" s="341">
        <v>1</v>
      </c>
      <c r="H3601" s="347">
        <f t="shared" si="87"/>
        <v>54.47399999999999</v>
      </c>
      <c r="I3601" s="1567"/>
      <c r="J3601" s="1543"/>
      <c r="K3601" s="1543"/>
      <c r="L3601" s="1543"/>
      <c r="M3601" s="1543"/>
      <c r="N3601" s="1566"/>
    </row>
    <row r="3602" spans="1:14" hidden="1">
      <c r="A3602" s="1707"/>
      <c r="B3602" s="290" t="s">
        <v>2878</v>
      </c>
      <c r="C3602" s="292"/>
      <c r="D3602" s="341">
        <v>15.5</v>
      </c>
      <c r="E3602" s="341"/>
      <c r="F3602" s="341">
        <v>1.85</v>
      </c>
      <c r="G3602" s="341">
        <v>1</v>
      </c>
      <c r="H3602" s="347">
        <f t="shared" si="87"/>
        <v>28.675000000000001</v>
      </c>
      <c r="I3602" s="1567"/>
      <c r="J3602" s="1543"/>
      <c r="K3602" s="1543"/>
      <c r="L3602" s="1543"/>
      <c r="M3602" s="1543"/>
      <c r="N3602" s="1566"/>
    </row>
    <row r="3603" spans="1:14" hidden="1">
      <c r="A3603" s="1707"/>
      <c r="B3603" s="290" t="s">
        <v>2235</v>
      </c>
      <c r="C3603" s="292"/>
      <c r="D3603" s="292">
        <v>3.24</v>
      </c>
      <c r="E3603" s="901"/>
      <c r="F3603" s="292">
        <v>3.13</v>
      </c>
      <c r="G3603" s="341">
        <v>1</v>
      </c>
      <c r="H3603" s="347">
        <f t="shared" si="87"/>
        <v>10.1412</v>
      </c>
      <c r="I3603" s="1567"/>
      <c r="J3603" s="1543"/>
      <c r="K3603" s="1543"/>
      <c r="L3603" s="1543"/>
      <c r="M3603" s="1543"/>
      <c r="N3603" s="1566"/>
    </row>
    <row r="3604" spans="1:14" hidden="1">
      <c r="A3604" s="1707"/>
      <c r="B3604" s="1713" t="s">
        <v>2846</v>
      </c>
      <c r="C3604" s="292"/>
      <c r="D3604" s="292">
        <v>2.1</v>
      </c>
      <c r="E3604" s="901"/>
      <c r="F3604" s="292">
        <v>0.8</v>
      </c>
      <c r="G3604" s="341">
        <v>1</v>
      </c>
      <c r="H3604" s="347">
        <f t="shared" si="87"/>
        <v>1.6800000000000002</v>
      </c>
      <c r="I3604" s="1567"/>
      <c r="J3604" s="1543"/>
      <c r="K3604" s="1543"/>
      <c r="L3604" s="1543"/>
      <c r="M3604" s="1543"/>
      <c r="N3604" s="1566"/>
    </row>
    <row r="3605" spans="1:14" hidden="1">
      <c r="A3605" s="1707"/>
      <c r="B3605" s="1713"/>
      <c r="C3605" s="292"/>
      <c r="D3605" s="292">
        <v>1</v>
      </c>
      <c r="E3605" s="901"/>
      <c r="F3605" s="292">
        <v>0.8</v>
      </c>
      <c r="G3605" s="341">
        <v>1</v>
      </c>
      <c r="H3605" s="347">
        <f t="shared" si="87"/>
        <v>0.8</v>
      </c>
      <c r="I3605" s="1567"/>
      <c r="J3605" s="1543"/>
      <c r="K3605" s="1543"/>
      <c r="L3605" s="1543"/>
      <c r="M3605" s="1543"/>
      <c r="N3605" s="1566"/>
    </row>
    <row r="3606" spans="1:14" hidden="1">
      <c r="A3606" s="1707"/>
      <c r="B3606" s="1713"/>
      <c r="C3606" s="292"/>
      <c r="D3606" s="292">
        <v>2.1</v>
      </c>
      <c r="E3606" s="901"/>
      <c r="F3606" s="292">
        <v>0.7</v>
      </c>
      <c r="G3606" s="341">
        <v>1</v>
      </c>
      <c r="H3606" s="347">
        <f t="shared" si="87"/>
        <v>1.47</v>
      </c>
      <c r="I3606" s="1567"/>
      <c r="J3606" s="1543"/>
      <c r="K3606" s="1543"/>
      <c r="L3606" s="1543"/>
      <c r="M3606" s="1543"/>
      <c r="N3606" s="1566"/>
    </row>
    <row r="3607" spans="1:14" hidden="1">
      <c r="A3607" s="1576"/>
      <c r="B3607" s="1714"/>
      <c r="C3607" s="294"/>
      <c r="D3607" s="294">
        <v>0.7</v>
      </c>
      <c r="E3607" s="1214"/>
      <c r="F3607" s="294">
        <v>0.6</v>
      </c>
      <c r="G3607" s="348">
        <v>1</v>
      </c>
      <c r="H3607" s="349">
        <f t="shared" si="87"/>
        <v>0.42</v>
      </c>
      <c r="I3607" s="1567"/>
      <c r="J3607" s="1543"/>
      <c r="K3607" s="1543"/>
      <c r="L3607" s="1543"/>
      <c r="M3607" s="1543"/>
      <c r="N3607" s="1566"/>
    </row>
    <row r="3608" spans="1:14" hidden="1">
      <c r="A3608" s="1574" t="s">
        <v>2895</v>
      </c>
      <c r="B3608" s="288" t="s">
        <v>2910</v>
      </c>
      <c r="C3608" s="287"/>
      <c r="D3608" s="346">
        <f>20-4.25</f>
        <v>15.75</v>
      </c>
      <c r="E3608" s="346"/>
      <c r="F3608" s="346">
        <v>3.1</v>
      </c>
      <c r="G3608" s="346">
        <v>1</v>
      </c>
      <c r="H3608" s="403">
        <f t="shared" si="87"/>
        <v>48.825000000000003</v>
      </c>
      <c r="I3608" s="1567"/>
      <c r="J3608" s="1543"/>
      <c r="K3608" s="1543"/>
      <c r="L3608" s="1543"/>
      <c r="M3608" s="1543"/>
      <c r="N3608" s="1566"/>
    </row>
    <row r="3609" spans="1:14" hidden="1">
      <c r="A3609" s="1576"/>
      <c r="B3609" s="295" t="s">
        <v>2912</v>
      </c>
      <c r="C3609" s="294"/>
      <c r="D3609" s="348">
        <v>38.909999999999997</v>
      </c>
      <c r="E3609" s="348"/>
      <c r="F3609" s="348">
        <v>1.4</v>
      </c>
      <c r="G3609" s="348">
        <v>1</v>
      </c>
      <c r="H3609" s="349">
        <f t="shared" si="87"/>
        <v>54.47399999999999</v>
      </c>
      <c r="I3609" s="1567"/>
      <c r="J3609" s="1543"/>
      <c r="K3609" s="1543"/>
      <c r="L3609" s="1543"/>
      <c r="M3609" s="1543"/>
      <c r="N3609" s="1566"/>
    </row>
    <row r="3610" spans="1:14" ht="30" hidden="1">
      <c r="A3610" s="1574" t="s">
        <v>2942</v>
      </c>
      <c r="B3610" s="680" t="s">
        <v>2991</v>
      </c>
      <c r="C3610" s="287"/>
      <c r="D3610" s="346"/>
      <c r="E3610" s="346"/>
      <c r="F3610" s="346"/>
      <c r="G3610" s="346"/>
      <c r="H3610" s="403">
        <v>71.459999999999994</v>
      </c>
      <c r="I3610" s="1567"/>
      <c r="J3610" s="1543"/>
      <c r="K3610" s="1543"/>
      <c r="L3610" s="1543"/>
      <c r="M3610" s="1543"/>
      <c r="N3610" s="1566"/>
    </row>
    <row r="3611" spans="1:14" hidden="1">
      <c r="A3611" s="1707"/>
      <c r="B3611" s="611" t="s">
        <v>2952</v>
      </c>
      <c r="C3611" s="292"/>
      <c r="D3611" s="341"/>
      <c r="E3611" s="341"/>
      <c r="F3611" s="341"/>
      <c r="G3611" s="341"/>
      <c r="H3611" s="347">
        <v>13.37</v>
      </c>
      <c r="I3611" s="1567"/>
      <c r="J3611" s="1543"/>
      <c r="K3611" s="1543"/>
      <c r="L3611" s="1543"/>
      <c r="M3611" s="1543"/>
      <c r="N3611" s="1566"/>
    </row>
    <row r="3612" spans="1:14" hidden="1">
      <c r="A3612" s="1707"/>
      <c r="B3612" s="681" t="s">
        <v>2992</v>
      </c>
      <c r="C3612" s="292"/>
      <c r="D3612" s="341"/>
      <c r="E3612" s="341"/>
      <c r="F3612" s="341"/>
      <c r="G3612" s="341"/>
      <c r="H3612" s="347">
        <v>26.04</v>
      </c>
      <c r="I3612" s="1567"/>
      <c r="J3612" s="1543"/>
      <c r="K3612" s="1543"/>
      <c r="L3612" s="1543"/>
      <c r="M3612" s="1543"/>
      <c r="N3612" s="1566"/>
    </row>
    <row r="3613" spans="1:14" hidden="1">
      <c r="A3613" s="1707"/>
      <c r="B3613" s="681" t="s">
        <v>2993</v>
      </c>
      <c r="C3613" s="292"/>
      <c r="D3613" s="341"/>
      <c r="E3613" s="341"/>
      <c r="F3613" s="341"/>
      <c r="G3613" s="341"/>
      <c r="H3613" s="347">
        <v>23.14</v>
      </c>
      <c r="I3613" s="1567"/>
      <c r="J3613" s="1543"/>
      <c r="K3613" s="1543"/>
      <c r="L3613" s="1543"/>
      <c r="M3613" s="1543"/>
      <c r="N3613" s="1566"/>
    </row>
    <row r="3614" spans="1:14" hidden="1">
      <c r="A3614" s="1707"/>
      <c r="B3614" s="681" t="s">
        <v>2994</v>
      </c>
      <c r="C3614" s="292"/>
      <c r="D3614" s="341"/>
      <c r="E3614" s="341"/>
      <c r="F3614" s="341"/>
      <c r="G3614" s="341"/>
      <c r="H3614" s="347">
        <v>23.14</v>
      </c>
      <c r="I3614" s="1567"/>
      <c r="J3614" s="1543"/>
      <c r="K3614" s="1543"/>
      <c r="L3614" s="1543"/>
      <c r="M3614" s="1543"/>
      <c r="N3614" s="1566"/>
    </row>
    <row r="3615" spans="1:14" hidden="1">
      <c r="A3615" s="1707"/>
      <c r="B3615" s="681" t="s">
        <v>2953</v>
      </c>
      <c r="C3615" s="292"/>
      <c r="D3615" s="341"/>
      <c r="E3615" s="341"/>
      <c r="F3615" s="341"/>
      <c r="G3615" s="341"/>
      <c r="H3615" s="347">
        <v>34.369999999999997</v>
      </c>
      <c r="I3615" s="1567"/>
      <c r="J3615" s="1543"/>
      <c r="K3615" s="1543"/>
      <c r="L3615" s="1543"/>
      <c r="M3615" s="1543"/>
      <c r="N3615" s="1566"/>
    </row>
    <row r="3616" spans="1:14" hidden="1">
      <c r="A3616" s="1707"/>
      <c r="B3616" s="681" t="s">
        <v>2776</v>
      </c>
      <c r="C3616" s="292"/>
      <c r="D3616" s="341"/>
      <c r="E3616" s="341"/>
      <c r="F3616" s="341"/>
      <c r="G3616" s="341"/>
      <c r="H3616" s="347">
        <v>37.56</v>
      </c>
      <c r="I3616" s="1567"/>
      <c r="J3616" s="1543"/>
      <c r="K3616" s="1543"/>
      <c r="L3616" s="1543"/>
      <c r="M3616" s="1543"/>
      <c r="N3616" s="1566"/>
    </row>
    <row r="3617" spans="1:14" hidden="1">
      <c r="A3617" s="1707"/>
      <c r="B3617" s="681" t="s">
        <v>2438</v>
      </c>
      <c r="C3617" s="292"/>
      <c r="D3617" s="341"/>
      <c r="E3617" s="341"/>
      <c r="F3617" s="341"/>
      <c r="G3617" s="341"/>
      <c r="H3617" s="347">
        <v>37.9</v>
      </c>
      <c r="I3617" s="1567"/>
      <c r="J3617" s="1543"/>
      <c r="K3617" s="1543"/>
      <c r="L3617" s="1543"/>
      <c r="M3617" s="1543"/>
      <c r="N3617" s="1566"/>
    </row>
    <row r="3618" spans="1:14" hidden="1">
      <c r="A3618" s="1707"/>
      <c r="B3618" s="611" t="s">
        <v>2964</v>
      </c>
      <c r="C3618" s="292"/>
      <c r="D3618" s="341"/>
      <c r="E3618" s="341"/>
      <c r="F3618" s="341"/>
      <c r="G3618" s="341"/>
      <c r="H3618" s="347">
        <v>32.92</v>
      </c>
      <c r="I3618" s="1567"/>
      <c r="J3618" s="1543"/>
      <c r="K3618" s="1543"/>
      <c r="L3618" s="1543"/>
      <c r="M3618" s="1543"/>
      <c r="N3618" s="1566"/>
    </row>
    <row r="3619" spans="1:14" hidden="1">
      <c r="A3619" s="1707"/>
      <c r="B3619" s="290" t="s">
        <v>2954</v>
      </c>
      <c r="C3619" s="292"/>
      <c r="D3619" s="341">
        <v>9.1999999999999993</v>
      </c>
      <c r="E3619" s="341"/>
      <c r="F3619" s="341">
        <v>1.1000000000000001</v>
      </c>
      <c r="G3619" s="341"/>
      <c r="H3619" s="347">
        <f>D3619*F3619</f>
        <v>10.119999999999999</v>
      </c>
      <c r="I3619" s="1567"/>
      <c r="J3619" s="1543"/>
      <c r="K3619" s="1543"/>
      <c r="L3619" s="1543"/>
      <c r="M3619" s="1543"/>
      <c r="N3619" s="1566"/>
    </row>
    <row r="3620" spans="1:14" hidden="1">
      <c r="A3620" s="1707"/>
      <c r="B3620" s="290" t="s">
        <v>2954</v>
      </c>
      <c r="C3620" s="292"/>
      <c r="D3620" s="341">
        <v>17.36</v>
      </c>
      <c r="E3620" s="341"/>
      <c r="F3620" s="341">
        <v>1.1000000000000001</v>
      </c>
      <c r="G3620" s="341"/>
      <c r="H3620" s="347">
        <f>D3620*F3620</f>
        <v>19.096</v>
      </c>
      <c r="I3620" s="1567"/>
      <c r="J3620" s="1543"/>
      <c r="K3620" s="1543"/>
      <c r="L3620" s="1543"/>
      <c r="M3620" s="1543"/>
      <c r="N3620" s="1566"/>
    </row>
    <row r="3621" spans="1:14" hidden="1">
      <c r="A3621" s="1707"/>
      <c r="B3621" s="290" t="s">
        <v>2954</v>
      </c>
      <c r="C3621" s="292"/>
      <c r="D3621" s="341">
        <v>8.5500000000000007</v>
      </c>
      <c r="E3621" s="341"/>
      <c r="F3621" s="341">
        <v>1.1000000000000001</v>
      </c>
      <c r="G3621" s="341"/>
      <c r="H3621" s="347">
        <f>D3621*F3621</f>
        <v>9.4050000000000011</v>
      </c>
      <c r="I3621" s="1567"/>
      <c r="J3621" s="1543"/>
      <c r="K3621" s="1543"/>
      <c r="L3621" s="1543"/>
      <c r="M3621" s="1543"/>
      <c r="N3621" s="1566"/>
    </row>
    <row r="3622" spans="1:14" hidden="1">
      <c r="A3622" s="1576"/>
      <c r="B3622" s="295" t="s">
        <v>2954</v>
      </c>
      <c r="C3622" s="294"/>
      <c r="D3622" s="348">
        <v>18.510000000000002</v>
      </c>
      <c r="E3622" s="348"/>
      <c r="F3622" s="348">
        <v>1.1000000000000001</v>
      </c>
      <c r="G3622" s="348"/>
      <c r="H3622" s="349">
        <f>D3622*F3622</f>
        <v>20.361000000000004</v>
      </c>
      <c r="I3622" s="1567"/>
      <c r="J3622" s="1543"/>
      <c r="K3622" s="1543"/>
      <c r="L3622" s="1543"/>
      <c r="M3622" s="1543"/>
      <c r="N3622" s="1566"/>
    </row>
    <row r="3623" spans="1:14" hidden="1">
      <c r="A3623" s="1574" t="s">
        <v>2997</v>
      </c>
      <c r="B3623" s="673" t="s">
        <v>2727</v>
      </c>
      <c r="C3623" s="346"/>
      <c r="D3623" s="346"/>
      <c r="E3623" s="346"/>
      <c r="F3623" s="288"/>
      <c r="G3623" s="287"/>
      <c r="H3623" s="403"/>
      <c r="I3623" s="1567"/>
      <c r="J3623" s="1543"/>
      <c r="K3623" s="1543"/>
      <c r="L3623" s="1543"/>
      <c r="M3623" s="1543"/>
      <c r="N3623" s="1566"/>
    </row>
    <row r="3624" spans="1:14" hidden="1">
      <c r="A3624" s="1707"/>
      <c r="B3624" s="620" t="s">
        <v>2964</v>
      </c>
      <c r="C3624" s="674"/>
      <c r="D3624" s="292">
        <v>4.91</v>
      </c>
      <c r="E3624" s="1339"/>
      <c r="F3624" s="292">
        <v>0.76</v>
      </c>
      <c r="G3624" s="292"/>
      <c r="H3624" s="675">
        <f>D3624*F3624</f>
        <v>3.7316000000000003</v>
      </c>
      <c r="I3624" s="1567"/>
      <c r="J3624" s="1543"/>
      <c r="K3624" s="1543"/>
      <c r="L3624" s="1543"/>
      <c r="M3624" s="1543"/>
      <c r="N3624" s="1566"/>
    </row>
    <row r="3625" spans="1:14" hidden="1">
      <c r="A3625" s="1707"/>
      <c r="B3625" s="290" t="s">
        <v>3104</v>
      </c>
      <c r="C3625" s="674"/>
      <c r="D3625" s="292">
        <v>10.47</v>
      </c>
      <c r="E3625" s="1339"/>
      <c r="F3625" s="292">
        <v>2.9</v>
      </c>
      <c r="G3625" s="292"/>
      <c r="H3625" s="675">
        <f>D3625*F3625</f>
        <v>30.363</v>
      </c>
      <c r="I3625" s="1567"/>
      <c r="J3625" s="1543"/>
      <c r="K3625" s="1543"/>
      <c r="L3625" s="1543"/>
      <c r="M3625" s="1543"/>
      <c r="N3625" s="1566"/>
    </row>
    <row r="3626" spans="1:14" hidden="1">
      <c r="A3626" s="1707"/>
      <c r="B3626" s="623" t="s">
        <v>3105</v>
      </c>
      <c r="C3626" s="341"/>
      <c r="D3626" s="341"/>
      <c r="E3626" s="341"/>
      <c r="F3626" s="290"/>
      <c r="G3626" s="292"/>
      <c r="H3626" s="347"/>
      <c r="I3626" s="1567"/>
      <c r="J3626" s="1543"/>
      <c r="K3626" s="1543"/>
      <c r="L3626" s="1543"/>
      <c r="M3626" s="1543"/>
      <c r="N3626" s="1566"/>
    </row>
    <row r="3627" spans="1:14" hidden="1">
      <c r="A3627" s="1707"/>
      <c r="B3627" s="621" t="s">
        <v>3106</v>
      </c>
      <c r="C3627" s="341"/>
      <c r="D3627" s="341"/>
      <c r="E3627" s="341"/>
      <c r="F3627" s="290"/>
      <c r="G3627" s="292"/>
      <c r="H3627" s="347"/>
      <c r="I3627" s="1567"/>
      <c r="J3627" s="1543"/>
      <c r="K3627" s="1543"/>
      <c r="L3627" s="1543"/>
      <c r="M3627" s="1543"/>
      <c r="N3627" s="1566"/>
    </row>
    <row r="3628" spans="1:14" hidden="1">
      <c r="A3628" s="1707"/>
      <c r="B3628" s="620" t="s">
        <v>3107</v>
      </c>
      <c r="C3628" s="619"/>
      <c r="D3628" s="292">
        <v>8.9499999999999993</v>
      </c>
      <c r="E3628" s="1339"/>
      <c r="F3628" s="676">
        <f>(8.76-7.72)</f>
        <v>1.04</v>
      </c>
      <c r="G3628" s="676">
        <v>1.2</v>
      </c>
      <c r="H3628" s="675">
        <f t="shared" ref="H3628:H3634" si="88">D3628*F3628*G3628</f>
        <v>11.169599999999999</v>
      </c>
      <c r="I3628" s="1567"/>
      <c r="J3628" s="1543"/>
      <c r="K3628" s="1543"/>
      <c r="L3628" s="1543"/>
      <c r="M3628" s="1543"/>
      <c r="N3628" s="1566"/>
    </row>
    <row r="3629" spans="1:14" hidden="1">
      <c r="A3629" s="1707"/>
      <c r="B3629" s="620" t="s">
        <v>3108</v>
      </c>
      <c r="C3629" s="619"/>
      <c r="D3629" s="292">
        <v>8.9499999999999993</v>
      </c>
      <c r="E3629" s="1339"/>
      <c r="F3629" s="676">
        <f>7.72-5.32</f>
        <v>2.3999999999999995</v>
      </c>
      <c r="G3629" s="676">
        <v>2</v>
      </c>
      <c r="H3629" s="675">
        <f t="shared" si="88"/>
        <v>42.959999999999987</v>
      </c>
      <c r="I3629" s="1567"/>
      <c r="J3629" s="1543"/>
      <c r="K3629" s="1543"/>
      <c r="L3629" s="1543"/>
      <c r="M3629" s="1543"/>
      <c r="N3629" s="1566"/>
    </row>
    <row r="3630" spans="1:14" hidden="1">
      <c r="A3630" s="1707"/>
      <c r="B3630" s="620" t="s">
        <v>3109</v>
      </c>
      <c r="C3630" s="619"/>
      <c r="D3630" s="292">
        <v>11.41</v>
      </c>
      <c r="E3630" s="1339"/>
      <c r="F3630" s="676">
        <v>0.5</v>
      </c>
      <c r="G3630" s="676">
        <v>2</v>
      </c>
      <c r="H3630" s="675">
        <f t="shared" si="88"/>
        <v>11.41</v>
      </c>
      <c r="I3630" s="1567"/>
      <c r="J3630" s="1543"/>
      <c r="K3630" s="1543"/>
      <c r="L3630" s="1543"/>
      <c r="M3630" s="1543"/>
      <c r="N3630" s="1566"/>
    </row>
    <row r="3631" spans="1:14" ht="24" hidden="1">
      <c r="A3631" s="1707"/>
      <c r="B3631" s="677" t="s">
        <v>2877</v>
      </c>
      <c r="C3631" s="619"/>
      <c r="D3631" s="292">
        <f>10.39+9.58</f>
        <v>19.97</v>
      </c>
      <c r="E3631" s="1339"/>
      <c r="F3631" s="676">
        <v>1.1000000000000001</v>
      </c>
      <c r="G3631" s="676">
        <v>2</v>
      </c>
      <c r="H3631" s="675">
        <f t="shared" si="88"/>
        <v>43.933999999999997</v>
      </c>
      <c r="I3631" s="1567"/>
      <c r="J3631" s="1543"/>
      <c r="K3631" s="1543"/>
      <c r="L3631" s="1543"/>
      <c r="M3631" s="1543"/>
      <c r="N3631" s="1566"/>
    </row>
    <row r="3632" spans="1:14" ht="24" hidden="1">
      <c r="A3632" s="1707"/>
      <c r="B3632" s="620" t="s">
        <v>3110</v>
      </c>
      <c r="C3632" s="619"/>
      <c r="D3632" s="292">
        <v>1.8</v>
      </c>
      <c r="E3632" s="1339"/>
      <c r="F3632" s="676">
        <v>1.4</v>
      </c>
      <c r="G3632" s="676">
        <v>2</v>
      </c>
      <c r="H3632" s="675">
        <f t="shared" si="88"/>
        <v>5.04</v>
      </c>
      <c r="I3632" s="1567"/>
      <c r="J3632" s="1543"/>
      <c r="K3632" s="1543"/>
      <c r="L3632" s="1543"/>
      <c r="M3632" s="1543"/>
      <c r="N3632" s="1566"/>
    </row>
    <row r="3633" spans="1:14" hidden="1">
      <c r="A3633" s="1707"/>
      <c r="B3633" s="292"/>
      <c r="C3633" s="619"/>
      <c r="D3633" s="292">
        <v>1.8</v>
      </c>
      <c r="E3633" s="1339"/>
      <c r="F3633" s="676">
        <v>1.4</v>
      </c>
      <c r="G3633" s="676">
        <v>2</v>
      </c>
      <c r="H3633" s="675">
        <f t="shared" si="88"/>
        <v>5.04</v>
      </c>
      <c r="I3633" s="1567"/>
      <c r="J3633" s="1543"/>
      <c r="K3633" s="1543"/>
      <c r="L3633" s="1543"/>
      <c r="M3633" s="1543"/>
      <c r="N3633" s="1566"/>
    </row>
    <row r="3634" spans="1:14" hidden="1">
      <c r="A3634" s="1707"/>
      <c r="B3634" s="620" t="s">
        <v>3111</v>
      </c>
      <c r="C3634" s="619"/>
      <c r="D3634" s="292">
        <v>1.1000000000000001</v>
      </c>
      <c r="E3634" s="1339"/>
      <c r="F3634" s="676">
        <f>(1.2+1.4)/2</f>
        <v>1.2999999999999998</v>
      </c>
      <c r="G3634" s="676">
        <v>2</v>
      </c>
      <c r="H3634" s="675">
        <f t="shared" si="88"/>
        <v>2.86</v>
      </c>
      <c r="I3634" s="1567"/>
      <c r="J3634" s="1543"/>
      <c r="K3634" s="1543"/>
      <c r="L3634" s="1543"/>
      <c r="M3634" s="1543"/>
      <c r="N3634" s="1566"/>
    </row>
    <row r="3635" spans="1:14" hidden="1">
      <c r="A3635" s="1707"/>
      <c r="B3635" s="617" t="s">
        <v>3079</v>
      </c>
      <c r="C3635" s="619"/>
      <c r="D3635" s="341"/>
      <c r="E3635" s="341"/>
      <c r="F3635" s="290"/>
      <c r="G3635" s="292"/>
      <c r="H3635" s="347"/>
      <c r="I3635" s="1567"/>
      <c r="J3635" s="1543"/>
      <c r="K3635" s="1543"/>
      <c r="L3635" s="1543"/>
      <c r="M3635" s="1543"/>
      <c r="N3635" s="1566"/>
    </row>
    <row r="3636" spans="1:14" ht="24" hidden="1">
      <c r="A3636" s="1707"/>
      <c r="B3636" s="290" t="s">
        <v>2650</v>
      </c>
      <c r="C3636" s="619"/>
      <c r="D3636" s="292">
        <v>2.1</v>
      </c>
      <c r="E3636" s="901"/>
      <c r="F3636" s="292">
        <v>0.8</v>
      </c>
      <c r="G3636" s="292">
        <v>4</v>
      </c>
      <c r="H3636" s="675">
        <f>D3636*F3636*G3636</f>
        <v>6.7200000000000006</v>
      </c>
      <c r="I3636" s="1567"/>
      <c r="J3636" s="1543"/>
      <c r="K3636" s="1543"/>
      <c r="L3636" s="1543"/>
      <c r="M3636" s="1543"/>
      <c r="N3636" s="1566"/>
    </row>
    <row r="3637" spans="1:14" hidden="1">
      <c r="A3637" s="1707"/>
      <c r="B3637" s="620" t="s">
        <v>3112</v>
      </c>
      <c r="C3637" s="619"/>
      <c r="D3637" s="616">
        <f>3+0.89+0.59</f>
        <v>4.4800000000000004</v>
      </c>
      <c r="E3637" s="341"/>
      <c r="F3637" s="616">
        <f>1.85</f>
        <v>1.85</v>
      </c>
      <c r="G3637" s="616">
        <v>2</v>
      </c>
      <c r="H3637" s="675">
        <f>D3637*F3637*G3637</f>
        <v>16.576000000000004</v>
      </c>
      <c r="I3637" s="1567"/>
      <c r="J3637" s="1543"/>
      <c r="K3637" s="1543"/>
      <c r="L3637" s="1543"/>
      <c r="M3637" s="1543"/>
      <c r="N3637" s="1566"/>
    </row>
    <row r="3638" spans="1:14" hidden="1">
      <c r="A3638" s="1576"/>
      <c r="B3638" s="672" t="s">
        <v>3113</v>
      </c>
      <c r="C3638" s="678"/>
      <c r="D3638" s="626">
        <v>4.03</v>
      </c>
      <c r="E3638" s="348"/>
      <c r="F3638" s="626">
        <v>2.2000000000000002</v>
      </c>
      <c r="G3638" s="626">
        <v>2</v>
      </c>
      <c r="H3638" s="679">
        <f>D3638*F3638*G3638</f>
        <v>17.732000000000003</v>
      </c>
      <c r="I3638" s="1567"/>
      <c r="J3638" s="1543"/>
      <c r="K3638" s="1543"/>
      <c r="L3638" s="1543"/>
      <c r="M3638" s="1543"/>
      <c r="N3638" s="1566"/>
    </row>
    <row r="3639" spans="1:14" hidden="1">
      <c r="A3639" s="1574" t="s">
        <v>3158</v>
      </c>
      <c r="B3639" s="849" t="s">
        <v>3179</v>
      </c>
      <c r="C3639" s="287"/>
      <c r="D3639" s="287">
        <v>17.170000000000002</v>
      </c>
      <c r="E3639" s="346"/>
      <c r="F3639" s="287">
        <v>2.9</v>
      </c>
      <c r="G3639" s="287">
        <v>1</v>
      </c>
      <c r="H3639" s="403">
        <f t="shared" ref="H3639:H3647" si="89">D3639*F3639</f>
        <v>49.793000000000006</v>
      </c>
      <c r="I3639" s="1567"/>
      <c r="J3639" s="1543"/>
      <c r="K3639" s="1543"/>
      <c r="L3639" s="1543"/>
      <c r="M3639" s="1543"/>
      <c r="N3639" s="1566"/>
    </row>
    <row r="3640" spans="1:14" hidden="1">
      <c r="A3640" s="1707"/>
      <c r="B3640" s="620" t="s">
        <v>3180</v>
      </c>
      <c r="C3640" s="292"/>
      <c r="D3640" s="292">
        <v>5.83</v>
      </c>
      <c r="E3640" s="341"/>
      <c r="F3640" s="292">
        <v>2.7</v>
      </c>
      <c r="G3640" s="292">
        <v>1</v>
      </c>
      <c r="H3640" s="347">
        <f t="shared" si="89"/>
        <v>15.741000000000001</v>
      </c>
      <c r="I3640" s="1567"/>
      <c r="J3640" s="1543"/>
      <c r="K3640" s="1543"/>
      <c r="L3640" s="1543"/>
      <c r="M3640" s="1543"/>
      <c r="N3640" s="1566"/>
    </row>
    <row r="3641" spans="1:14" hidden="1">
      <c r="A3641" s="1707"/>
      <c r="B3641" s="620" t="s">
        <v>3181</v>
      </c>
      <c r="C3641" s="292"/>
      <c r="D3641" s="292">
        <v>5.83</v>
      </c>
      <c r="E3641" s="341"/>
      <c r="F3641" s="292">
        <v>2.7</v>
      </c>
      <c r="G3641" s="292">
        <v>1</v>
      </c>
      <c r="H3641" s="347">
        <f t="shared" si="89"/>
        <v>15.741000000000001</v>
      </c>
      <c r="I3641" s="1567"/>
      <c r="J3641" s="1543"/>
      <c r="K3641" s="1543"/>
      <c r="L3641" s="1543"/>
      <c r="M3641" s="1543"/>
      <c r="N3641" s="1566"/>
    </row>
    <row r="3642" spans="1:14" hidden="1">
      <c r="A3642" s="1707"/>
      <c r="B3642" s="620" t="s">
        <v>3182</v>
      </c>
      <c r="C3642" s="292"/>
      <c r="D3642" s="292">
        <v>5.83</v>
      </c>
      <c r="E3642" s="341"/>
      <c r="F3642" s="292">
        <v>2.7</v>
      </c>
      <c r="G3642" s="292">
        <v>1</v>
      </c>
      <c r="H3642" s="347">
        <f t="shared" si="89"/>
        <v>15.741000000000001</v>
      </c>
      <c r="I3642" s="1567"/>
      <c r="J3642" s="1543"/>
      <c r="K3642" s="1543"/>
      <c r="L3642" s="1543"/>
      <c r="M3642" s="1543"/>
      <c r="N3642" s="1566"/>
    </row>
    <row r="3643" spans="1:14" hidden="1">
      <c r="A3643" s="1707"/>
      <c r="B3643" s="620" t="s">
        <v>3183</v>
      </c>
      <c r="C3643" s="292"/>
      <c r="D3643" s="292">
        <v>5.83</v>
      </c>
      <c r="E3643" s="341"/>
      <c r="F3643" s="292">
        <v>2.7</v>
      </c>
      <c r="G3643" s="292">
        <v>1</v>
      </c>
      <c r="H3643" s="347">
        <f t="shared" si="89"/>
        <v>15.741000000000001</v>
      </c>
      <c r="I3643" s="1567"/>
      <c r="J3643" s="1543"/>
      <c r="K3643" s="1543"/>
      <c r="L3643" s="1543"/>
      <c r="M3643" s="1543"/>
      <c r="N3643" s="1566"/>
    </row>
    <row r="3644" spans="1:14" hidden="1">
      <c r="A3644" s="1707"/>
      <c r="B3644" s="620" t="s">
        <v>3184</v>
      </c>
      <c r="C3644" s="292"/>
      <c r="D3644" s="292">
        <v>3.08</v>
      </c>
      <c r="E3644" s="341"/>
      <c r="F3644" s="292">
        <v>5.6</v>
      </c>
      <c r="G3644" s="292">
        <v>1</v>
      </c>
      <c r="H3644" s="347">
        <f t="shared" si="89"/>
        <v>17.247999999999998</v>
      </c>
      <c r="I3644" s="1567"/>
      <c r="J3644" s="1543"/>
      <c r="K3644" s="1543"/>
      <c r="L3644" s="1543"/>
      <c r="M3644" s="1543"/>
      <c r="N3644" s="1566"/>
    </row>
    <row r="3645" spans="1:14" hidden="1">
      <c r="A3645" s="1707"/>
      <c r="B3645" s="620" t="s">
        <v>3185</v>
      </c>
      <c r="C3645" s="292"/>
      <c r="D3645" s="292">
        <v>3.36</v>
      </c>
      <c r="E3645" s="341"/>
      <c r="F3645" s="292">
        <v>2.7</v>
      </c>
      <c r="G3645" s="292">
        <v>1</v>
      </c>
      <c r="H3645" s="347">
        <f t="shared" si="89"/>
        <v>9.072000000000001</v>
      </c>
      <c r="I3645" s="1567"/>
      <c r="J3645" s="1543"/>
      <c r="K3645" s="1543"/>
      <c r="L3645" s="1543"/>
      <c r="M3645" s="1543"/>
      <c r="N3645" s="1566"/>
    </row>
    <row r="3646" spans="1:14" hidden="1">
      <c r="A3646" s="1576"/>
      <c r="B3646" s="672" t="s">
        <v>3186</v>
      </c>
      <c r="C3646" s="294"/>
      <c r="D3646" s="294">
        <v>3.76</v>
      </c>
      <c r="E3646" s="348"/>
      <c r="F3646" s="294">
        <v>2.7</v>
      </c>
      <c r="G3646" s="294">
        <v>1</v>
      </c>
      <c r="H3646" s="349">
        <f t="shared" si="89"/>
        <v>10.151999999999999</v>
      </c>
      <c r="I3646" s="1567"/>
      <c r="J3646" s="1543"/>
      <c r="K3646" s="1543"/>
      <c r="L3646" s="1543"/>
      <c r="M3646" s="1543"/>
      <c r="N3646" s="1566"/>
    </row>
    <row r="3647" spans="1:14" hidden="1">
      <c r="A3647" s="1574" t="s">
        <v>3217</v>
      </c>
      <c r="B3647" s="849" t="s">
        <v>3247</v>
      </c>
      <c r="C3647" s="287"/>
      <c r="D3647" s="287">
        <v>6.3</v>
      </c>
      <c r="E3647" s="346"/>
      <c r="F3647" s="287">
        <v>2.33</v>
      </c>
      <c r="G3647" s="287">
        <v>1</v>
      </c>
      <c r="H3647" s="403">
        <f t="shared" si="89"/>
        <v>14.679</v>
      </c>
      <c r="I3647" s="1567"/>
      <c r="J3647" s="1543"/>
      <c r="K3647" s="1543"/>
      <c r="L3647" s="1543"/>
      <c r="M3647" s="1543"/>
      <c r="N3647" s="1566"/>
    </row>
    <row r="3648" spans="1:14" hidden="1">
      <c r="A3648" s="1707"/>
      <c r="B3648" s="620" t="s">
        <v>3248</v>
      </c>
      <c r="C3648" s="292"/>
      <c r="D3648" s="292">
        <v>0.8</v>
      </c>
      <c r="E3648" s="341">
        <v>0.2</v>
      </c>
      <c r="F3648" s="292">
        <v>0.4</v>
      </c>
      <c r="G3648" s="292">
        <v>66</v>
      </c>
      <c r="H3648" s="347">
        <f>((D3648*F3648)+(D3648*F3648)+(D3648*E3648)+(E3648*F3648)+(E3648*F3648))*G3648</f>
        <v>63.360000000000014</v>
      </c>
      <c r="I3648" s="1567"/>
      <c r="J3648" s="1543"/>
      <c r="K3648" s="1543"/>
      <c r="L3648" s="1543"/>
      <c r="M3648" s="1543"/>
      <c r="N3648" s="1566"/>
    </row>
    <row r="3649" spans="1:14" hidden="1">
      <c r="A3649" s="1707"/>
      <c r="B3649" s="620" t="s">
        <v>3249</v>
      </c>
      <c r="C3649" s="292"/>
      <c r="D3649" s="292">
        <v>2.6</v>
      </c>
      <c r="E3649" s="341">
        <v>0.2</v>
      </c>
      <c r="F3649" s="292">
        <v>1.1000000000000001</v>
      </c>
      <c r="G3649" s="292">
        <v>2</v>
      </c>
      <c r="H3649" s="347">
        <f>(D3649*F3649*G3649)+(E3649*F3649)</f>
        <v>5.94</v>
      </c>
      <c r="I3649" s="1567"/>
      <c r="J3649" s="1543"/>
      <c r="K3649" s="1543"/>
      <c r="L3649" s="1543"/>
      <c r="M3649" s="1543"/>
      <c r="N3649" s="1566"/>
    </row>
    <row r="3650" spans="1:14" hidden="1">
      <c r="A3650" s="1707"/>
      <c r="B3650" s="620" t="s">
        <v>3184</v>
      </c>
      <c r="C3650" s="292"/>
      <c r="D3650" s="292">
        <v>0.27</v>
      </c>
      <c r="E3650" s="341">
        <v>0.2</v>
      </c>
      <c r="F3650" s="292">
        <v>3.1</v>
      </c>
      <c r="G3650" s="292">
        <v>1</v>
      </c>
      <c r="H3650" s="347">
        <f>(D3650*F3650*2)+(E3650*F3650)</f>
        <v>2.2940000000000005</v>
      </c>
      <c r="I3650" s="1567"/>
      <c r="J3650" s="1543"/>
      <c r="K3650" s="1543"/>
      <c r="L3650" s="1543"/>
      <c r="M3650" s="1543"/>
      <c r="N3650" s="1566"/>
    </row>
    <row r="3651" spans="1:14" ht="24" hidden="1">
      <c r="A3651" s="1707"/>
      <c r="B3651" s="620" t="s">
        <v>3250</v>
      </c>
      <c r="C3651" s="292"/>
      <c r="D3651" s="292">
        <v>1.7</v>
      </c>
      <c r="E3651" s="341">
        <v>0.2</v>
      </c>
      <c r="F3651" s="292">
        <v>0.25</v>
      </c>
      <c r="G3651" s="292">
        <v>1</v>
      </c>
      <c r="H3651" s="347">
        <f>(D3651*F3651*2)+(D3651*E3651)+(E3651*F3651)</f>
        <v>1.24</v>
      </c>
      <c r="I3651" s="1567"/>
      <c r="J3651" s="1543"/>
      <c r="K3651" s="1543"/>
      <c r="L3651" s="1543"/>
      <c r="M3651" s="1543"/>
      <c r="N3651" s="1566"/>
    </row>
    <row r="3652" spans="1:14" hidden="1">
      <c r="A3652" s="1707"/>
      <c r="B3652" s="620" t="s">
        <v>3251</v>
      </c>
      <c r="C3652" s="292"/>
      <c r="D3652" s="292">
        <v>4.17</v>
      </c>
      <c r="E3652" s="341"/>
      <c r="F3652" s="292">
        <v>0.35</v>
      </c>
      <c r="G3652" s="292">
        <v>1</v>
      </c>
      <c r="H3652" s="347">
        <f>D3652*F3652</f>
        <v>1.4594999999999998</v>
      </c>
      <c r="I3652" s="1567"/>
      <c r="J3652" s="1543"/>
      <c r="K3652" s="1543"/>
      <c r="L3652" s="1543"/>
      <c r="M3652" s="1543"/>
      <c r="N3652" s="1566"/>
    </row>
    <row r="3653" spans="1:14" hidden="1">
      <c r="A3653" s="1707"/>
      <c r="B3653" s="620" t="s">
        <v>3252</v>
      </c>
      <c r="C3653" s="292"/>
      <c r="D3653" s="292">
        <v>3.39</v>
      </c>
      <c r="E3653" s="341"/>
      <c r="F3653" s="292">
        <v>2.5</v>
      </c>
      <c r="G3653" s="292">
        <v>1</v>
      </c>
      <c r="H3653" s="347">
        <f>D3653*F3653</f>
        <v>8.4749999999999996</v>
      </c>
      <c r="I3653" s="1567"/>
      <c r="J3653" s="1543"/>
      <c r="K3653" s="1543"/>
      <c r="L3653" s="1543"/>
      <c r="M3653" s="1543"/>
      <c r="N3653" s="1566"/>
    </row>
    <row r="3654" spans="1:14" hidden="1">
      <c r="A3654" s="1576"/>
      <c r="B3654" s="672"/>
      <c r="C3654" s="294"/>
      <c r="D3654" s="294"/>
      <c r="E3654" s="348"/>
      <c r="F3654" s="294"/>
      <c r="G3654" s="294">
        <v>1</v>
      </c>
      <c r="H3654" s="349">
        <f>D3654*F3654</f>
        <v>0</v>
      </c>
      <c r="I3654" s="1567"/>
      <c r="J3654" s="1543"/>
      <c r="K3654" s="1543"/>
      <c r="L3654" s="1543"/>
      <c r="M3654" s="1543"/>
      <c r="N3654" s="1566"/>
    </row>
    <row r="3655" spans="1:14" hidden="1">
      <c r="A3655" s="1574" t="s">
        <v>3294</v>
      </c>
      <c r="B3655" s="849"/>
      <c r="C3655" s="368" t="s">
        <v>2627</v>
      </c>
      <c r="D3655" s="369" t="s">
        <v>2187</v>
      </c>
      <c r="E3655" s="529" t="s">
        <v>2596</v>
      </c>
      <c r="F3655" s="369" t="s">
        <v>2649</v>
      </c>
      <c r="G3655" s="370" t="s">
        <v>2709</v>
      </c>
      <c r="H3655" s="403"/>
      <c r="I3655" s="1567"/>
      <c r="J3655" s="1543"/>
      <c r="K3655" s="1543"/>
      <c r="L3655" s="1543"/>
      <c r="M3655" s="1543"/>
      <c r="N3655" s="1566"/>
    </row>
    <row r="3656" spans="1:14" hidden="1">
      <c r="A3656" s="1707"/>
      <c r="B3656" s="620" t="s">
        <v>3326</v>
      </c>
      <c r="C3656" s="292"/>
      <c r="D3656" s="292">
        <v>1.42</v>
      </c>
      <c r="E3656" s="341">
        <v>0.15</v>
      </c>
      <c r="F3656" s="292">
        <v>2.8</v>
      </c>
      <c r="G3656" s="292">
        <v>2</v>
      </c>
      <c r="H3656" s="347">
        <f>((D3656*F3656)+(D3656*E3656)+(E3656*F3656))*G3656</f>
        <v>9.2179999999999982</v>
      </c>
      <c r="I3656" s="1567"/>
      <c r="J3656" s="1543"/>
      <c r="K3656" s="1543"/>
      <c r="L3656" s="1543"/>
      <c r="M3656" s="1543"/>
      <c r="N3656" s="1566"/>
    </row>
    <row r="3657" spans="1:14" hidden="1">
      <c r="A3657" s="1707"/>
      <c r="B3657" s="908" t="s">
        <v>3023</v>
      </c>
      <c r="C3657" s="909" t="s">
        <v>3327</v>
      </c>
      <c r="D3657" s="909">
        <v>0.9</v>
      </c>
      <c r="E3657" s="910"/>
      <c r="F3657" s="909">
        <v>2.1</v>
      </c>
      <c r="G3657" s="909">
        <v>2</v>
      </c>
      <c r="H3657" s="911">
        <f>-(D3657*F3657*G3657)</f>
        <v>-3.7800000000000002</v>
      </c>
      <c r="I3657" s="1567"/>
      <c r="J3657" s="1543"/>
      <c r="K3657" s="1543"/>
      <c r="L3657" s="1543"/>
      <c r="M3657" s="1543"/>
      <c r="N3657" s="1566"/>
    </row>
    <row r="3658" spans="1:14" hidden="1">
      <c r="A3658" s="1707"/>
      <c r="B3658" s="620" t="s">
        <v>3332</v>
      </c>
      <c r="C3658" s="292"/>
      <c r="D3658" s="292">
        <v>0.8</v>
      </c>
      <c r="E3658" s="341">
        <v>0.15</v>
      </c>
      <c r="F3658" s="292">
        <v>1.3</v>
      </c>
      <c r="G3658" s="292">
        <v>2</v>
      </c>
      <c r="H3658" s="347">
        <f>((D3658*F3658)+(D3658*E3658)+(E3658*F3658))*G3658</f>
        <v>2.7100000000000004</v>
      </c>
      <c r="I3658" s="1567"/>
      <c r="J3658" s="1543"/>
      <c r="K3658" s="1543"/>
      <c r="L3658" s="1543"/>
      <c r="M3658" s="1543"/>
      <c r="N3658" s="1566"/>
    </row>
    <row r="3659" spans="1:14" hidden="1">
      <c r="A3659" s="1707"/>
      <c r="B3659" s="620" t="s">
        <v>3328</v>
      </c>
      <c r="C3659" s="292"/>
      <c r="D3659" s="292">
        <v>2.09</v>
      </c>
      <c r="E3659" s="341">
        <v>0.45</v>
      </c>
      <c r="F3659" s="292">
        <v>0.45</v>
      </c>
      <c r="G3659" s="292">
        <v>1</v>
      </c>
      <c r="H3659" s="347">
        <f>(D3659*F3659)+(E3659*F3659)+(E3659*F3659)</f>
        <v>1.3454999999999999</v>
      </c>
      <c r="I3659" s="1567"/>
      <c r="J3659" s="1543"/>
      <c r="K3659" s="1543"/>
      <c r="L3659" s="1543"/>
      <c r="M3659" s="1543"/>
      <c r="N3659" s="1566"/>
    </row>
    <row r="3660" spans="1:14" hidden="1">
      <c r="A3660" s="1707"/>
      <c r="B3660" s="620" t="s">
        <v>3329</v>
      </c>
      <c r="C3660" s="292"/>
      <c r="D3660" s="292">
        <v>2.66</v>
      </c>
      <c r="E3660" s="341">
        <v>0.45</v>
      </c>
      <c r="F3660" s="292">
        <v>0.45</v>
      </c>
      <c r="G3660" s="292">
        <v>1</v>
      </c>
      <c r="H3660" s="347">
        <f>(D3660*F3660)+(E3660*F3660)+(E3660*F3660)</f>
        <v>1.6020000000000003</v>
      </c>
      <c r="I3660" s="1567"/>
      <c r="J3660" s="1543"/>
      <c r="K3660" s="1543"/>
      <c r="L3660" s="1543"/>
      <c r="M3660" s="1543"/>
      <c r="N3660" s="1566"/>
    </row>
    <row r="3661" spans="1:14" hidden="1">
      <c r="A3661" s="1707"/>
      <c r="B3661" s="620" t="s">
        <v>3330</v>
      </c>
      <c r="C3661" s="292"/>
      <c r="D3661" s="292">
        <v>1.55</v>
      </c>
      <c r="E3661" s="341">
        <v>0.45</v>
      </c>
      <c r="F3661" s="292">
        <v>0.45</v>
      </c>
      <c r="G3661" s="292">
        <v>1</v>
      </c>
      <c r="H3661" s="347">
        <f>(D3661*F3661)+(E3661*F3661)+(E3661*F3661)</f>
        <v>1.1025</v>
      </c>
      <c r="I3661" s="1567"/>
      <c r="J3661" s="1543"/>
      <c r="K3661" s="1543"/>
      <c r="L3661" s="1543"/>
      <c r="M3661" s="1543"/>
      <c r="N3661" s="1566"/>
    </row>
    <row r="3662" spans="1:14" hidden="1">
      <c r="A3662" s="1707"/>
      <c r="B3662" s="620" t="s">
        <v>3331</v>
      </c>
      <c r="C3662" s="292"/>
      <c r="D3662" s="292">
        <v>1.55</v>
      </c>
      <c r="E3662" s="341">
        <v>0.45</v>
      </c>
      <c r="F3662" s="292">
        <v>0.45</v>
      </c>
      <c r="G3662" s="292">
        <v>1</v>
      </c>
      <c r="H3662" s="347">
        <f>(D3662*F3662)+(E3662*F3662)+(E3662*F3662)</f>
        <v>1.1025</v>
      </c>
      <c r="I3662" s="1567"/>
      <c r="J3662" s="1543"/>
      <c r="K3662" s="1543"/>
      <c r="L3662" s="1543"/>
      <c r="M3662" s="1543"/>
      <c r="N3662" s="1566"/>
    </row>
    <row r="3663" spans="1:14" hidden="1">
      <c r="A3663" s="1575"/>
      <c r="B3663" s="912" t="s">
        <v>3333</v>
      </c>
      <c r="C3663" s="312"/>
      <c r="D3663" s="312">
        <v>7</v>
      </c>
      <c r="E3663" s="351">
        <v>0.2</v>
      </c>
      <c r="F3663" s="312">
        <v>0.6</v>
      </c>
      <c r="G3663" s="312">
        <v>2</v>
      </c>
      <c r="H3663" s="347">
        <f>((D3663*F3663)+(D3663*E3663)+(E3663*F3663))*G3663</f>
        <v>11.440000000000001</v>
      </c>
      <c r="I3663" s="1567"/>
      <c r="J3663" s="1543"/>
      <c r="K3663" s="1543"/>
      <c r="L3663" s="1543"/>
      <c r="M3663" s="1543"/>
      <c r="N3663" s="1566"/>
    </row>
    <row r="3664" spans="1:14" hidden="1">
      <c r="A3664" s="1576"/>
      <c r="B3664" s="672"/>
      <c r="C3664" s="294"/>
      <c r="D3664" s="294"/>
      <c r="E3664" s="348"/>
      <c r="F3664" s="294"/>
      <c r="G3664" s="294"/>
      <c r="H3664" s="349"/>
      <c r="I3664" s="1567"/>
      <c r="J3664" s="1543"/>
      <c r="K3664" s="1543"/>
      <c r="L3664" s="1543"/>
      <c r="M3664" s="1543"/>
      <c r="N3664" s="1566"/>
    </row>
    <row r="3665" spans="1:14" hidden="1">
      <c r="A3665" s="1574" t="s">
        <v>3364</v>
      </c>
      <c r="B3665" s="849"/>
      <c r="C3665" s="368" t="s">
        <v>2627</v>
      </c>
      <c r="D3665" s="369" t="s">
        <v>2187</v>
      </c>
      <c r="E3665" s="529" t="s">
        <v>2596</v>
      </c>
      <c r="F3665" s="369" t="s">
        <v>2649</v>
      </c>
      <c r="G3665" s="370" t="s">
        <v>2709</v>
      </c>
      <c r="H3665" s="403"/>
      <c r="I3665" s="1567"/>
      <c r="J3665" s="1543"/>
      <c r="K3665" s="1543"/>
      <c r="L3665" s="1543"/>
      <c r="M3665" s="1543"/>
      <c r="N3665" s="1566"/>
    </row>
    <row r="3666" spans="1:14" hidden="1">
      <c r="A3666" s="1707"/>
      <c r="B3666" s="620" t="s">
        <v>3387</v>
      </c>
      <c r="C3666" s="292"/>
      <c r="D3666" s="292">
        <f>4.7+8.77</f>
        <v>13.469999999999999</v>
      </c>
      <c r="E3666" s="341">
        <v>0.15</v>
      </c>
      <c r="F3666" s="292">
        <v>0.6</v>
      </c>
      <c r="G3666" s="292">
        <v>2</v>
      </c>
      <c r="H3666" s="347">
        <f>((D3666*F3666)+(D3666*E3666)+(E3666*F3666))*G3666</f>
        <v>20.384999999999998</v>
      </c>
      <c r="I3666" s="1567"/>
      <c r="J3666" s="1543"/>
      <c r="K3666" s="1543"/>
      <c r="L3666" s="1543"/>
      <c r="M3666" s="1543"/>
      <c r="N3666" s="1566"/>
    </row>
    <row r="3667" spans="1:14" hidden="1">
      <c r="A3667" s="1575"/>
      <c r="B3667" s="912" t="s">
        <v>3388</v>
      </c>
      <c r="C3667" s="312"/>
      <c r="D3667" s="312">
        <v>10.73</v>
      </c>
      <c r="E3667" s="351"/>
      <c r="F3667" s="312">
        <v>2.9</v>
      </c>
      <c r="G3667" s="312">
        <v>1</v>
      </c>
      <c r="H3667" s="347">
        <f>((D3667*F3667)+(D3667*E3667)+(E3667*F3667))*G3667</f>
        <v>31.117000000000001</v>
      </c>
      <c r="I3667" s="1567"/>
      <c r="J3667" s="1543"/>
      <c r="K3667" s="1543"/>
      <c r="L3667" s="1543"/>
      <c r="M3667" s="1543"/>
      <c r="N3667" s="1566"/>
    </row>
    <row r="3668" spans="1:14" hidden="1">
      <c r="A3668" s="1576"/>
      <c r="B3668" s="672"/>
      <c r="C3668" s="294"/>
      <c r="D3668" s="294"/>
      <c r="E3668" s="348"/>
      <c r="F3668" s="294"/>
      <c r="G3668" s="294"/>
      <c r="H3668" s="349"/>
      <c r="I3668" s="1567"/>
      <c r="J3668" s="1543"/>
      <c r="K3668" s="1543"/>
      <c r="L3668" s="1543"/>
      <c r="M3668" s="1543"/>
      <c r="N3668" s="1566"/>
    </row>
    <row r="3669" spans="1:14" hidden="1">
      <c r="A3669" s="1703" t="s">
        <v>3465</v>
      </c>
      <c r="B3669" s="849"/>
      <c r="C3669" s="368" t="s">
        <v>2627</v>
      </c>
      <c r="D3669" s="369" t="s">
        <v>2187</v>
      </c>
      <c r="E3669" s="529" t="s">
        <v>2596</v>
      </c>
      <c r="F3669" s="369" t="s">
        <v>2649</v>
      </c>
      <c r="G3669" s="370" t="s">
        <v>2709</v>
      </c>
      <c r="H3669" s="403"/>
      <c r="I3669" s="1567"/>
      <c r="J3669" s="1543"/>
      <c r="K3669" s="1543"/>
      <c r="L3669" s="1543"/>
      <c r="M3669" s="1543"/>
      <c r="N3669" s="1566"/>
    </row>
    <row r="3670" spans="1:14" hidden="1">
      <c r="A3670" s="1639"/>
      <c r="B3670" s="620" t="s">
        <v>3472</v>
      </c>
      <c r="C3670" s="292"/>
      <c r="D3670" s="292">
        <v>3.17</v>
      </c>
      <c r="E3670" s="341"/>
      <c r="F3670" s="292">
        <v>6.33</v>
      </c>
      <c r="G3670" s="292">
        <v>1</v>
      </c>
      <c r="H3670" s="347">
        <f>D3670*F3670*G3670</f>
        <v>20.066099999999999</v>
      </c>
      <c r="I3670" s="1567"/>
      <c r="J3670" s="1543"/>
      <c r="K3670" s="1543"/>
      <c r="L3670" s="1543"/>
      <c r="M3670" s="1543"/>
      <c r="N3670" s="1566"/>
    </row>
    <row r="3671" spans="1:14" hidden="1">
      <c r="A3671" s="1708"/>
      <c r="B3671" s="672"/>
      <c r="C3671" s="294"/>
      <c r="D3671" s="294"/>
      <c r="E3671" s="348"/>
      <c r="F3671" s="294"/>
      <c r="G3671" s="294"/>
      <c r="H3671" s="349"/>
      <c r="I3671" s="1567"/>
      <c r="J3671" s="1543"/>
      <c r="K3671" s="1543"/>
      <c r="L3671" s="1543"/>
      <c r="M3671" s="1543"/>
      <c r="N3671" s="1566"/>
    </row>
    <row r="3672" spans="1:14" hidden="1">
      <c r="A3672" s="1712" t="s">
        <v>2218</v>
      </c>
      <c r="B3672" s="1609"/>
      <c r="C3672" s="1609"/>
      <c r="D3672" s="1609"/>
      <c r="E3672" s="1609"/>
      <c r="F3672" s="1609"/>
      <c r="G3672" s="1610"/>
      <c r="H3672" s="271">
        <f>SUM(H3588:H3671)</f>
        <v>1394.2184999999997</v>
      </c>
      <c r="I3672" s="1567"/>
      <c r="J3672" s="1543"/>
      <c r="K3672" s="1543"/>
      <c r="L3672" s="1543"/>
      <c r="M3672" s="1543"/>
      <c r="N3672" s="1566"/>
    </row>
    <row r="3673" spans="1:14" hidden="1">
      <c r="A3673" s="1519" t="s">
        <v>2219</v>
      </c>
      <c r="B3673" s="1517"/>
      <c r="C3673" s="1517"/>
      <c r="D3673" s="1517"/>
      <c r="E3673" s="1517"/>
      <c r="F3673" s="1517"/>
      <c r="G3673" s="1518"/>
      <c r="H3673" s="271">
        <f>SUM(H3589:H3668)</f>
        <v>1374.1523999999997</v>
      </c>
      <c r="I3673" s="1543"/>
      <c r="J3673" s="1543"/>
      <c r="K3673" s="1543"/>
      <c r="L3673" s="1543"/>
      <c r="M3673" s="1543"/>
      <c r="N3673" s="1566"/>
    </row>
    <row r="3674" spans="1:14" ht="15.75" hidden="1" thickBot="1">
      <c r="A3674" s="1520" t="s">
        <v>2220</v>
      </c>
      <c r="B3674" s="1521"/>
      <c r="C3674" s="1521"/>
      <c r="D3674" s="1521"/>
      <c r="E3674" s="1521"/>
      <c r="F3674" s="1521"/>
      <c r="G3674" s="1522"/>
      <c r="H3674" s="216">
        <f>H3672-H3673</f>
        <v>20.066100000000006</v>
      </c>
      <c r="I3674" s="1568"/>
      <c r="J3674" s="1568"/>
      <c r="K3674" s="1568"/>
      <c r="L3674" s="1568"/>
      <c r="M3674" s="1568"/>
      <c r="N3674" s="1569"/>
    </row>
    <row r="3675" spans="1:14" hidden="1">
      <c r="A3675" s="1104"/>
      <c r="B3675" s="278"/>
      <c r="C3675" s="278"/>
      <c r="D3675" s="281"/>
      <c r="E3675" s="1319"/>
      <c r="F3675" s="278"/>
      <c r="G3675" s="278"/>
      <c r="H3675" s="217"/>
      <c r="I3675" s="279"/>
      <c r="J3675" s="279"/>
      <c r="K3675" s="279"/>
      <c r="L3675" s="279"/>
      <c r="M3675" s="279"/>
      <c r="N3675" s="441"/>
    </row>
    <row r="3676" spans="1:14" ht="21.6" customHeight="1" thickBot="1">
      <c r="A3676" s="1114" t="s">
        <v>3389</v>
      </c>
      <c r="B3676" s="1581" t="s">
        <v>3258</v>
      </c>
      <c r="C3676" s="1582"/>
      <c r="D3676" s="1582"/>
      <c r="E3676" s="1582"/>
      <c r="F3676" s="1582"/>
      <c r="G3676" s="1582"/>
      <c r="H3676" s="1582"/>
      <c r="I3676" s="1582"/>
      <c r="J3676" s="1582"/>
      <c r="K3676" s="1582"/>
      <c r="L3676" s="1582"/>
      <c r="M3676" s="1582"/>
      <c r="N3676" s="1711"/>
    </row>
    <row r="3677" spans="1:14" ht="34.9" customHeight="1">
      <c r="A3677" s="1084" t="s">
        <v>3187</v>
      </c>
      <c r="B3677" s="1655" t="s">
        <v>1021</v>
      </c>
      <c r="C3677" s="1656"/>
      <c r="D3677" s="1656"/>
      <c r="E3677" s="1656"/>
      <c r="F3677" s="1656"/>
      <c r="G3677" s="1656"/>
      <c r="H3677" s="1656"/>
      <c r="I3677" s="1656"/>
      <c r="J3677" s="1657"/>
      <c r="K3677" s="266" t="s">
        <v>12</v>
      </c>
      <c r="L3677" s="1497">
        <f>'27ª MEDIÇÃO '!F223</f>
        <v>313.5</v>
      </c>
      <c r="M3677" s="1498"/>
      <c r="N3677" s="197">
        <f>L3677-H3707</f>
        <v>2.9999999999859028E-3</v>
      </c>
    </row>
    <row r="3678" spans="1:14" ht="25.5">
      <c r="A3678" s="1710" t="s">
        <v>3364</v>
      </c>
      <c r="B3678" s="853" t="s">
        <v>2727</v>
      </c>
      <c r="C3678" s="826"/>
      <c r="D3678" s="97"/>
      <c r="E3678" s="97" t="s">
        <v>3162</v>
      </c>
      <c r="F3678" s="862" t="s">
        <v>3190</v>
      </c>
      <c r="G3678" s="97" t="s">
        <v>3191</v>
      </c>
      <c r="H3678" s="97" t="s">
        <v>2498</v>
      </c>
      <c r="I3678" s="1683"/>
      <c r="J3678" s="1683"/>
      <c r="K3678" s="1683"/>
      <c r="L3678" s="1683"/>
      <c r="M3678" s="1683"/>
      <c r="N3678" s="1684"/>
    </row>
    <row r="3679" spans="1:14">
      <c r="A3679" s="1536"/>
      <c r="B3679" s="355" t="s">
        <v>3390</v>
      </c>
      <c r="C3679" s="686"/>
      <c r="D3679" s="786"/>
      <c r="E3679" s="1315">
        <v>23</v>
      </c>
      <c r="F3679" s="317">
        <v>0.95</v>
      </c>
      <c r="G3679" s="317"/>
      <c r="H3679" s="857">
        <f>(E3679*F3679)-(E3680)</f>
        <v>15.449999999999998</v>
      </c>
      <c r="I3679" s="1683"/>
      <c r="J3679" s="1683"/>
      <c r="K3679" s="1683"/>
      <c r="L3679" s="1683"/>
      <c r="M3679" s="1683"/>
      <c r="N3679" s="1684"/>
    </row>
    <row r="3680" spans="1:14">
      <c r="A3680" s="1536"/>
      <c r="B3680" s="858" t="s">
        <v>3053</v>
      </c>
      <c r="C3680" s="859"/>
      <c r="D3680" s="787"/>
      <c r="E3680" s="1316">
        <v>6.4</v>
      </c>
      <c r="F3680" s="788"/>
      <c r="G3680" s="788"/>
      <c r="H3680" s="860">
        <f>-E3680</f>
        <v>-6.4</v>
      </c>
      <c r="I3680" s="1683"/>
      <c r="J3680" s="1683"/>
      <c r="K3680" s="1683"/>
      <c r="L3680" s="1683"/>
      <c r="M3680" s="1683"/>
      <c r="N3680" s="1684"/>
    </row>
    <row r="3681" spans="1:14">
      <c r="A3681" s="1536"/>
      <c r="B3681" s="355" t="s">
        <v>2438</v>
      </c>
      <c r="C3681" s="686"/>
      <c r="D3681" s="786"/>
      <c r="E3681" s="1315">
        <v>3.05</v>
      </c>
      <c r="F3681" s="317">
        <v>0.95</v>
      </c>
      <c r="G3681" s="317"/>
      <c r="H3681" s="857">
        <f>(E3681*F3681)-(E3682)</f>
        <v>2.8974999999999995</v>
      </c>
      <c r="I3681" s="1683"/>
      <c r="J3681" s="1683"/>
      <c r="K3681" s="1683"/>
      <c r="L3681" s="1683"/>
      <c r="M3681" s="1683"/>
      <c r="N3681" s="1684"/>
    </row>
    <row r="3682" spans="1:14">
      <c r="A3682" s="1536"/>
      <c r="B3682" s="858"/>
      <c r="C3682" s="859"/>
      <c r="D3682" s="787"/>
      <c r="E3682" s="1316"/>
      <c r="F3682" s="788"/>
      <c r="G3682" s="788"/>
      <c r="H3682" s="860"/>
      <c r="I3682" s="1683"/>
      <c r="J3682" s="1683"/>
      <c r="K3682" s="1683"/>
      <c r="L3682" s="1683"/>
      <c r="M3682" s="1683"/>
      <c r="N3682" s="1684"/>
    </row>
    <row r="3683" spans="1:14" ht="25.5">
      <c r="A3683" s="1611" t="s">
        <v>3428</v>
      </c>
      <c r="B3683" s="853" t="s">
        <v>2727</v>
      </c>
      <c r="C3683" s="826"/>
      <c r="D3683" s="97"/>
      <c r="E3683" s="97" t="s">
        <v>3162</v>
      </c>
      <c r="F3683" s="862" t="s">
        <v>3190</v>
      </c>
      <c r="G3683" s="97" t="s">
        <v>3191</v>
      </c>
      <c r="H3683" s="97" t="s">
        <v>2498</v>
      </c>
      <c r="I3683" s="1683"/>
      <c r="J3683" s="1683"/>
      <c r="K3683" s="1683"/>
      <c r="L3683" s="1683"/>
      <c r="M3683" s="1683"/>
      <c r="N3683" s="1684"/>
    </row>
    <row r="3684" spans="1:14">
      <c r="A3684" s="1612"/>
      <c r="B3684" s="355" t="s">
        <v>3433</v>
      </c>
      <c r="C3684" s="686"/>
      <c r="D3684" s="786"/>
      <c r="E3684" s="1315">
        <v>13.73</v>
      </c>
      <c r="F3684" s="317">
        <v>1.1000000000000001</v>
      </c>
      <c r="G3684" s="317"/>
      <c r="H3684" s="857">
        <f>(E3684*F3684)</f>
        <v>15.103000000000002</v>
      </c>
      <c r="I3684" s="1683"/>
      <c r="J3684" s="1683"/>
      <c r="K3684" s="1683"/>
      <c r="L3684" s="1683"/>
      <c r="M3684" s="1683"/>
      <c r="N3684" s="1684"/>
    </row>
    <row r="3685" spans="1:14">
      <c r="A3685" s="1612"/>
      <c r="B3685" s="858" t="s">
        <v>3053</v>
      </c>
      <c r="C3685" s="859"/>
      <c r="D3685" s="787"/>
      <c r="E3685" s="1316">
        <v>2</v>
      </c>
      <c r="F3685" s="788"/>
      <c r="G3685" s="788"/>
      <c r="H3685" s="860">
        <f>-E3685</f>
        <v>-2</v>
      </c>
      <c r="I3685" s="1683"/>
      <c r="J3685" s="1683"/>
      <c r="K3685" s="1683"/>
      <c r="L3685" s="1683"/>
      <c r="M3685" s="1683"/>
      <c r="N3685" s="1684"/>
    </row>
    <row r="3686" spans="1:14">
      <c r="A3686" s="1612"/>
      <c r="B3686" s="355" t="s">
        <v>3095</v>
      </c>
      <c r="C3686" s="686"/>
      <c r="D3686" s="786"/>
      <c r="E3686" s="1315">
        <v>17.829999999999998</v>
      </c>
      <c r="F3686" s="317">
        <v>0.05</v>
      </c>
      <c r="G3686" s="317"/>
      <c r="H3686" s="857">
        <f>(E3686*F3686)</f>
        <v>0.89149999999999996</v>
      </c>
      <c r="I3686" s="1683"/>
      <c r="J3686" s="1683"/>
      <c r="K3686" s="1683"/>
      <c r="L3686" s="1683"/>
      <c r="M3686" s="1683"/>
      <c r="N3686" s="1684"/>
    </row>
    <row r="3687" spans="1:14">
      <c r="A3687" s="1612"/>
      <c r="B3687" s="858" t="s">
        <v>3053</v>
      </c>
      <c r="C3687" s="859"/>
      <c r="D3687" s="787"/>
      <c r="E3687" s="1316">
        <v>1.6</v>
      </c>
      <c r="F3687" s="788"/>
      <c r="G3687" s="788"/>
      <c r="H3687" s="860">
        <f>-E3687</f>
        <v>-1.6</v>
      </c>
      <c r="I3687" s="1683"/>
      <c r="J3687" s="1683"/>
      <c r="K3687" s="1683"/>
      <c r="L3687" s="1683"/>
      <c r="M3687" s="1683"/>
      <c r="N3687" s="1684"/>
    </row>
    <row r="3688" spans="1:14">
      <c r="A3688" s="1612"/>
      <c r="B3688" s="853" t="s">
        <v>2727</v>
      </c>
      <c r="C3688" s="859"/>
      <c r="D3688" s="787"/>
      <c r="E3688" s="1316"/>
      <c r="F3688" s="788"/>
      <c r="G3688" s="788"/>
      <c r="H3688" s="860"/>
      <c r="I3688" s="1683"/>
      <c r="J3688" s="1683"/>
      <c r="K3688" s="1683"/>
      <c r="L3688" s="1683"/>
      <c r="M3688" s="1683"/>
      <c r="N3688" s="1684"/>
    </row>
    <row r="3689" spans="1:14">
      <c r="A3689" s="1612"/>
      <c r="B3689" s="355" t="s">
        <v>2983</v>
      </c>
      <c r="C3689" s="686"/>
      <c r="D3689" s="786"/>
      <c r="E3689" s="1315">
        <v>49.9</v>
      </c>
      <c r="F3689" s="317">
        <v>0.05</v>
      </c>
      <c r="G3689" s="317"/>
      <c r="H3689" s="857">
        <f>(E3689*F3689)</f>
        <v>2.4950000000000001</v>
      </c>
      <c r="I3689" s="1683"/>
      <c r="J3689" s="1683"/>
      <c r="K3689" s="1683"/>
      <c r="L3689" s="1683"/>
      <c r="M3689" s="1683"/>
      <c r="N3689" s="1684"/>
    </row>
    <row r="3690" spans="1:14">
      <c r="A3690" s="1612"/>
      <c r="B3690" s="858" t="s">
        <v>3053</v>
      </c>
      <c r="C3690" s="859"/>
      <c r="D3690" s="787"/>
      <c r="E3690" s="1316">
        <v>0.56999999999999995</v>
      </c>
      <c r="F3690" s="788"/>
      <c r="G3690" s="788"/>
      <c r="H3690" s="860">
        <f>-E3690</f>
        <v>-0.56999999999999995</v>
      </c>
      <c r="I3690" s="1683"/>
      <c r="J3690" s="1683"/>
      <c r="K3690" s="1683"/>
      <c r="L3690" s="1683"/>
      <c r="M3690" s="1683"/>
      <c r="N3690" s="1684"/>
    </row>
    <row r="3691" spans="1:14">
      <c r="A3691" s="1097"/>
      <c r="B3691" s="858"/>
      <c r="C3691" s="859"/>
      <c r="D3691" s="787"/>
      <c r="E3691" s="1316"/>
      <c r="F3691" s="788"/>
      <c r="G3691" s="788"/>
      <c r="H3691" s="860"/>
      <c r="I3691" s="1683"/>
      <c r="J3691" s="1683"/>
      <c r="K3691" s="1683"/>
      <c r="L3691" s="1683"/>
      <c r="M3691" s="1683"/>
      <c r="N3691" s="1684"/>
    </row>
    <row r="3692" spans="1:14">
      <c r="A3692" s="1529" t="s">
        <v>3745</v>
      </c>
      <c r="B3692" s="1177" t="s">
        <v>2914</v>
      </c>
      <c r="C3692" s="859"/>
      <c r="D3692" s="787"/>
      <c r="E3692" s="1316"/>
      <c r="F3692" s="788"/>
      <c r="G3692" s="788" t="s">
        <v>3023</v>
      </c>
      <c r="H3692" s="860"/>
      <c r="I3692" s="1683"/>
      <c r="J3692" s="1683"/>
      <c r="K3692" s="1683"/>
      <c r="L3692" s="1683"/>
      <c r="M3692" s="1683"/>
      <c r="N3692" s="1684"/>
    </row>
    <row r="3693" spans="1:14">
      <c r="A3693" s="1529"/>
      <c r="B3693" s="636" t="s">
        <v>3780</v>
      </c>
      <c r="C3693" s="859"/>
      <c r="D3693" s="787"/>
      <c r="E3693" s="1340">
        <f>26.51</f>
        <v>26.51</v>
      </c>
      <c r="F3693" s="291">
        <v>1</v>
      </c>
      <c r="G3693" s="291">
        <f>0.88+0.66+0.66</f>
        <v>2.2000000000000002</v>
      </c>
      <c r="H3693" s="1180">
        <f>(E3693*F3693)-G3693</f>
        <v>24.310000000000002</v>
      </c>
      <c r="I3693" s="1683"/>
      <c r="J3693" s="1683"/>
      <c r="K3693" s="1683"/>
      <c r="L3693" s="1683"/>
      <c r="M3693" s="1683"/>
      <c r="N3693" s="1684"/>
    </row>
    <row r="3694" spans="1:14">
      <c r="A3694" s="1529"/>
      <c r="B3694" s="636" t="s">
        <v>3781</v>
      </c>
      <c r="C3694" s="859"/>
      <c r="D3694" s="787"/>
      <c r="E3694" s="1340">
        <v>40.450000000000003</v>
      </c>
      <c r="F3694" s="291">
        <v>1</v>
      </c>
      <c r="G3694" s="291">
        <f>(0.88*4)+2.2</f>
        <v>5.7200000000000006</v>
      </c>
      <c r="H3694" s="1180">
        <f t="shared" ref="H3694:H3706" si="90">(E3694*F3694)-G3694</f>
        <v>34.730000000000004</v>
      </c>
      <c r="I3694" s="1683"/>
      <c r="J3694" s="1683"/>
      <c r="K3694" s="1683"/>
      <c r="L3694" s="1683"/>
      <c r="M3694" s="1683"/>
      <c r="N3694" s="1684"/>
    </row>
    <row r="3695" spans="1:14">
      <c r="A3695" s="1529"/>
      <c r="B3695" s="636" t="s">
        <v>3517</v>
      </c>
      <c r="C3695" s="859"/>
      <c r="D3695" s="787"/>
      <c r="E3695" s="1340">
        <v>33.840000000000003</v>
      </c>
      <c r="F3695" s="291">
        <v>1</v>
      </c>
      <c r="G3695" s="291">
        <f>(0.88*10)+0.66+0.99+3.16</f>
        <v>13.610000000000001</v>
      </c>
      <c r="H3695" s="1180">
        <f t="shared" si="90"/>
        <v>20.230000000000004</v>
      </c>
      <c r="I3695" s="1683"/>
      <c r="J3695" s="1683"/>
      <c r="K3695" s="1683"/>
      <c r="L3695" s="1683"/>
      <c r="M3695" s="1683"/>
      <c r="N3695" s="1684"/>
    </row>
    <row r="3696" spans="1:14">
      <c r="A3696" s="1529"/>
      <c r="B3696" s="636" t="s">
        <v>2523</v>
      </c>
      <c r="C3696" s="859"/>
      <c r="D3696" s="787"/>
      <c r="E3696" s="1340">
        <v>14.32</v>
      </c>
      <c r="F3696" s="291">
        <v>1</v>
      </c>
      <c r="G3696" s="291">
        <v>0.88</v>
      </c>
      <c r="H3696" s="1180">
        <f t="shared" si="90"/>
        <v>13.44</v>
      </c>
      <c r="I3696" s="1683"/>
      <c r="J3696" s="1683"/>
      <c r="K3696" s="1683"/>
      <c r="L3696" s="1683"/>
      <c r="M3696" s="1683"/>
      <c r="N3696" s="1684"/>
    </row>
    <row r="3697" spans="1:14">
      <c r="A3697" s="1529"/>
      <c r="B3697" s="636" t="s">
        <v>3782</v>
      </c>
      <c r="C3697" s="859"/>
      <c r="D3697" s="787"/>
      <c r="E3697" s="1340">
        <v>48.26</v>
      </c>
      <c r="F3697" s="291">
        <v>1</v>
      </c>
      <c r="G3697" s="291">
        <f>(0.88*8)+0.99</f>
        <v>8.0299999999999994</v>
      </c>
      <c r="H3697" s="1180">
        <f t="shared" si="90"/>
        <v>40.229999999999997</v>
      </c>
      <c r="I3697" s="1683"/>
      <c r="J3697" s="1683"/>
      <c r="K3697" s="1683"/>
      <c r="L3697" s="1683"/>
      <c r="M3697" s="1683"/>
      <c r="N3697" s="1684"/>
    </row>
    <row r="3698" spans="1:14">
      <c r="A3698" s="1529"/>
      <c r="B3698" s="636" t="s">
        <v>3783</v>
      </c>
      <c r="C3698" s="859"/>
      <c r="D3698" s="787"/>
      <c r="E3698" s="1340">
        <v>42.67</v>
      </c>
      <c r="F3698" s="291">
        <v>1</v>
      </c>
      <c r="G3698" s="291">
        <f>(0.99*3)+1.21+2.2</f>
        <v>6.38</v>
      </c>
      <c r="H3698" s="1180">
        <f t="shared" si="90"/>
        <v>36.29</v>
      </c>
      <c r="I3698" s="1683"/>
      <c r="J3698" s="1683"/>
      <c r="K3698" s="1683"/>
      <c r="L3698" s="1683"/>
      <c r="M3698" s="1683"/>
      <c r="N3698" s="1684"/>
    </row>
    <row r="3699" spans="1:14">
      <c r="A3699" s="1529"/>
      <c r="B3699" s="636" t="s">
        <v>3784</v>
      </c>
      <c r="C3699" s="859"/>
      <c r="D3699" s="787"/>
      <c r="E3699" s="1340">
        <v>18.95</v>
      </c>
      <c r="F3699" s="291">
        <v>1</v>
      </c>
      <c r="G3699" s="291">
        <f>(0.88*4)</f>
        <v>3.52</v>
      </c>
      <c r="H3699" s="1180">
        <f t="shared" si="90"/>
        <v>15.43</v>
      </c>
      <c r="I3699" s="1683"/>
      <c r="J3699" s="1683"/>
      <c r="K3699" s="1683"/>
      <c r="L3699" s="1683"/>
      <c r="M3699" s="1683"/>
      <c r="N3699" s="1684"/>
    </row>
    <row r="3700" spans="1:14">
      <c r="A3700" s="1529"/>
      <c r="B3700" s="636" t="s">
        <v>3785</v>
      </c>
      <c r="C3700" s="859"/>
      <c r="D3700" s="787"/>
      <c r="E3700" s="1340">
        <v>5.4</v>
      </c>
      <c r="F3700" s="291">
        <v>1.4</v>
      </c>
      <c r="G3700" s="291">
        <v>0.66</v>
      </c>
      <c r="H3700" s="1180">
        <f t="shared" si="90"/>
        <v>6.8999999999999995</v>
      </c>
      <c r="I3700" s="1683"/>
      <c r="J3700" s="1683"/>
      <c r="K3700" s="1683"/>
      <c r="L3700" s="1683"/>
      <c r="M3700" s="1683"/>
      <c r="N3700" s="1684"/>
    </row>
    <row r="3701" spans="1:14">
      <c r="A3701" s="1529"/>
      <c r="B3701" s="636" t="s">
        <v>3786</v>
      </c>
      <c r="C3701" s="859"/>
      <c r="D3701" s="787"/>
      <c r="E3701" s="1340">
        <v>8.8699999999999992</v>
      </c>
      <c r="F3701" s="291">
        <v>1</v>
      </c>
      <c r="G3701" s="291">
        <f>1.76*1</f>
        <v>1.76</v>
      </c>
      <c r="H3701" s="1180">
        <f t="shared" si="90"/>
        <v>7.1099999999999994</v>
      </c>
      <c r="I3701" s="1683"/>
      <c r="J3701" s="1683"/>
      <c r="K3701" s="1683"/>
      <c r="L3701" s="1683"/>
      <c r="M3701" s="1683"/>
      <c r="N3701" s="1684"/>
    </row>
    <row r="3702" spans="1:14">
      <c r="A3702" s="1529"/>
      <c r="B3702" s="1178" t="s">
        <v>2915</v>
      </c>
      <c r="C3702" s="859"/>
      <c r="D3702" s="787"/>
      <c r="E3702" s="1352"/>
      <c r="F3702" s="1179"/>
      <c r="G3702" s="1179"/>
      <c r="H3702" s="1180">
        <f t="shared" si="90"/>
        <v>0</v>
      </c>
      <c r="I3702" s="1683"/>
      <c r="J3702" s="1683"/>
      <c r="K3702" s="1683"/>
      <c r="L3702" s="1683"/>
      <c r="M3702" s="1683"/>
      <c r="N3702" s="1684"/>
    </row>
    <row r="3703" spans="1:14">
      <c r="A3703" s="1529"/>
      <c r="B3703" s="636" t="s">
        <v>3787</v>
      </c>
      <c r="C3703" s="859"/>
      <c r="D3703" s="787"/>
      <c r="E3703" s="1340">
        <v>38.75</v>
      </c>
      <c r="F3703" s="291">
        <v>1</v>
      </c>
      <c r="G3703" s="291">
        <f>(0.99*4)+0.88+1.86</f>
        <v>6.7</v>
      </c>
      <c r="H3703" s="1180">
        <f t="shared" si="90"/>
        <v>32.049999999999997</v>
      </c>
      <c r="I3703" s="1683"/>
      <c r="J3703" s="1683"/>
      <c r="K3703" s="1683"/>
      <c r="L3703" s="1683"/>
      <c r="M3703" s="1683"/>
      <c r="N3703" s="1684"/>
    </row>
    <row r="3704" spans="1:14">
      <c r="A3704" s="1529"/>
      <c r="B3704" s="636" t="s">
        <v>2422</v>
      </c>
      <c r="C3704" s="859"/>
      <c r="D3704" s="787"/>
      <c r="E3704" s="1340">
        <v>49.31</v>
      </c>
      <c r="F3704" s="291">
        <v>1</v>
      </c>
      <c r="G3704" s="291">
        <f>(0.88*15)+0.99+1.1+0.99+2.83</f>
        <v>19.11</v>
      </c>
      <c r="H3704" s="1180">
        <f t="shared" si="90"/>
        <v>30.200000000000003</v>
      </c>
      <c r="I3704" s="1683"/>
      <c r="J3704" s="1683"/>
      <c r="K3704" s="1683"/>
      <c r="L3704" s="1683"/>
      <c r="M3704" s="1683"/>
      <c r="N3704" s="1684"/>
    </row>
    <row r="3705" spans="1:14">
      <c r="A3705" s="1529"/>
      <c r="B3705" s="636" t="s">
        <v>3788</v>
      </c>
      <c r="C3705" s="859"/>
      <c r="D3705" s="787"/>
      <c r="E3705" s="1340">
        <v>15.43</v>
      </c>
      <c r="F3705" s="291">
        <v>1</v>
      </c>
      <c r="G3705" s="291">
        <f>0.88</f>
        <v>0.88</v>
      </c>
      <c r="H3705" s="1180">
        <f t="shared" si="90"/>
        <v>14.549999999999999</v>
      </c>
      <c r="I3705" s="1683"/>
      <c r="J3705" s="1683"/>
      <c r="K3705" s="1683"/>
      <c r="L3705" s="1683"/>
      <c r="M3705" s="1683"/>
      <c r="N3705" s="1684"/>
    </row>
    <row r="3706" spans="1:14">
      <c r="A3706" s="1545"/>
      <c r="B3706" s="636" t="s">
        <v>3789</v>
      </c>
      <c r="C3706" s="859"/>
      <c r="D3706" s="787"/>
      <c r="E3706" s="1340">
        <v>12.64</v>
      </c>
      <c r="F3706" s="291">
        <v>1</v>
      </c>
      <c r="G3706" s="291">
        <f>0.88</f>
        <v>0.88</v>
      </c>
      <c r="H3706" s="1180">
        <f t="shared" si="90"/>
        <v>11.76</v>
      </c>
      <c r="I3706" s="1683"/>
      <c r="J3706" s="1683"/>
      <c r="K3706" s="1683"/>
      <c r="L3706" s="1683"/>
      <c r="M3706" s="1683"/>
      <c r="N3706" s="1684"/>
    </row>
    <row r="3707" spans="1:14">
      <c r="A3707" s="1577" t="s">
        <v>2218</v>
      </c>
      <c r="B3707" s="1542"/>
      <c r="C3707" s="1542"/>
      <c r="D3707" s="1542"/>
      <c r="E3707" s="1542"/>
      <c r="F3707" s="1542"/>
      <c r="G3707" s="1542"/>
      <c r="H3707" s="271">
        <f>SUM(H3678:H3706)</f>
        <v>313.49700000000001</v>
      </c>
      <c r="I3707" s="1683"/>
      <c r="J3707" s="1683"/>
      <c r="K3707" s="1683"/>
      <c r="L3707" s="1683"/>
      <c r="M3707" s="1683"/>
      <c r="N3707" s="1684"/>
    </row>
    <row r="3708" spans="1:14">
      <c r="A3708" s="1578" t="s">
        <v>2219</v>
      </c>
      <c r="B3708" s="1538"/>
      <c r="C3708" s="1538"/>
      <c r="D3708" s="1538"/>
      <c r="E3708" s="1538"/>
      <c r="F3708" s="1538"/>
      <c r="G3708" s="1538"/>
      <c r="H3708" s="320">
        <f>SUM(H3679:H3691)</f>
        <v>26.266999999999999</v>
      </c>
      <c r="I3708" s="1683"/>
      <c r="J3708" s="1683"/>
      <c r="K3708" s="1683"/>
      <c r="L3708" s="1683"/>
      <c r="M3708" s="1683"/>
      <c r="N3708" s="1684"/>
    </row>
    <row r="3709" spans="1:14" ht="15.75" thickBot="1">
      <c r="A3709" s="1579" t="s">
        <v>2220</v>
      </c>
      <c r="B3709" s="1580"/>
      <c r="C3709" s="1580"/>
      <c r="D3709" s="1580"/>
      <c r="E3709" s="1580"/>
      <c r="F3709" s="1580"/>
      <c r="G3709" s="1580"/>
      <c r="H3709" s="633">
        <f>H3707-H3708</f>
        <v>287.23</v>
      </c>
      <c r="I3709" s="1687"/>
      <c r="J3709" s="1687"/>
      <c r="K3709" s="1687"/>
      <c r="L3709" s="1687"/>
      <c r="M3709" s="1687"/>
      <c r="N3709" s="1688"/>
    </row>
    <row r="3710" spans="1:14" ht="15.75" thickBot="1">
      <c r="A3710" s="1104"/>
      <c r="B3710" s="278"/>
      <c r="C3710" s="278"/>
      <c r="D3710" s="281"/>
      <c r="E3710" s="1319"/>
      <c r="F3710" s="278"/>
      <c r="G3710" s="278"/>
      <c r="H3710" s="766"/>
      <c r="I3710" s="631"/>
      <c r="J3710" s="631"/>
      <c r="K3710" s="631"/>
      <c r="L3710" s="631"/>
      <c r="M3710" s="631"/>
      <c r="N3710" s="884"/>
    </row>
    <row r="3711" spans="1:14" ht="34.9" customHeight="1">
      <c r="A3711" s="1084" t="s">
        <v>3188</v>
      </c>
      <c r="B3711" s="1655" t="s">
        <v>1024</v>
      </c>
      <c r="C3711" s="1656"/>
      <c r="D3711" s="1656"/>
      <c r="E3711" s="1656"/>
      <c r="F3711" s="1656"/>
      <c r="G3711" s="1656"/>
      <c r="H3711" s="1656"/>
      <c r="I3711" s="1656"/>
      <c r="J3711" s="1657"/>
      <c r="K3711" s="266" t="s">
        <v>12</v>
      </c>
      <c r="L3711" s="1497">
        <f>'27ª MEDIÇÃO '!F224</f>
        <v>466.23</v>
      </c>
      <c r="M3711" s="1498"/>
      <c r="N3711" s="197">
        <f>L3711-H3777</f>
        <v>9.0000000005829861E-4</v>
      </c>
    </row>
    <row r="3712" spans="1:14" ht="45">
      <c r="A3712" s="1710" t="s">
        <v>3158</v>
      </c>
      <c r="B3712" s="853" t="s">
        <v>2727</v>
      </c>
      <c r="C3712" s="826"/>
      <c r="D3712" s="97"/>
      <c r="E3712" s="97" t="s">
        <v>3162</v>
      </c>
      <c r="F3712" s="862" t="s">
        <v>3190</v>
      </c>
      <c r="G3712" s="97" t="s">
        <v>3191</v>
      </c>
      <c r="H3712" s="97" t="s">
        <v>3192</v>
      </c>
      <c r="I3712" s="1681"/>
      <c r="J3712" s="1681"/>
      <c r="K3712" s="1681"/>
      <c r="L3712" s="1681"/>
      <c r="M3712" s="1681"/>
      <c r="N3712" s="1682"/>
    </row>
    <row r="3713" spans="1:14">
      <c r="A3713" s="1536"/>
      <c r="B3713" s="355" t="s">
        <v>2448</v>
      </c>
      <c r="C3713" s="686"/>
      <c r="D3713" s="786"/>
      <c r="E3713" s="1315">
        <v>4.4000000000000004</v>
      </c>
      <c r="F3713" s="317">
        <v>3.13</v>
      </c>
      <c r="G3713" s="317"/>
      <c r="H3713" s="857">
        <f>(E3713*F3713)-(E3714)</f>
        <v>12.512</v>
      </c>
      <c r="I3713" s="1683"/>
      <c r="J3713" s="1683"/>
      <c r="K3713" s="1683"/>
      <c r="L3713" s="1683"/>
      <c r="M3713" s="1683"/>
      <c r="N3713" s="1684"/>
    </row>
    <row r="3714" spans="1:14">
      <c r="A3714" s="1536"/>
      <c r="B3714" s="858" t="s">
        <v>3053</v>
      </c>
      <c r="C3714" s="859"/>
      <c r="D3714" s="787" t="s">
        <v>3100</v>
      </c>
      <c r="E3714" s="1316">
        <f>(0.6*2.1)</f>
        <v>1.26</v>
      </c>
      <c r="F3714" s="788"/>
      <c r="G3714" s="788"/>
      <c r="H3714" s="860"/>
      <c r="I3714" s="1683"/>
      <c r="J3714" s="1683"/>
      <c r="K3714" s="1683"/>
      <c r="L3714" s="1683"/>
      <c r="M3714" s="1683"/>
      <c r="N3714" s="1684"/>
    </row>
    <row r="3715" spans="1:14">
      <c r="A3715" s="1536"/>
      <c r="B3715" s="355" t="s">
        <v>2449</v>
      </c>
      <c r="C3715" s="686"/>
      <c r="D3715" s="786"/>
      <c r="E3715" s="1315">
        <v>4.0599999999999996</v>
      </c>
      <c r="F3715" s="317">
        <v>3.13</v>
      </c>
      <c r="G3715" s="317"/>
      <c r="H3715" s="857">
        <f>(E3715*F3715)-(E3716)</f>
        <v>11.447799999999999</v>
      </c>
      <c r="I3715" s="1683"/>
      <c r="J3715" s="1683"/>
      <c r="K3715" s="1683"/>
      <c r="L3715" s="1683"/>
      <c r="M3715" s="1683"/>
      <c r="N3715" s="1684"/>
    </row>
    <row r="3716" spans="1:14">
      <c r="A3716" s="1536"/>
      <c r="B3716" s="858" t="s">
        <v>3053</v>
      </c>
      <c r="C3716" s="859"/>
      <c r="D3716" s="787" t="s">
        <v>3100</v>
      </c>
      <c r="E3716" s="1316">
        <f>(0.6*2.1)</f>
        <v>1.26</v>
      </c>
      <c r="F3716" s="788"/>
      <c r="G3716" s="788"/>
      <c r="H3716" s="860"/>
      <c r="I3716" s="1683"/>
      <c r="J3716" s="1683"/>
      <c r="K3716" s="1683"/>
      <c r="L3716" s="1683"/>
      <c r="M3716" s="1683"/>
      <c r="N3716" s="1684"/>
    </row>
    <row r="3717" spans="1:14">
      <c r="A3717" s="1536"/>
      <c r="B3717" s="355" t="s">
        <v>2451</v>
      </c>
      <c r="C3717" s="686"/>
      <c r="D3717" s="861"/>
      <c r="E3717" s="1315">
        <v>7.79</v>
      </c>
      <c r="F3717" s="317">
        <v>3.13</v>
      </c>
      <c r="G3717" s="317"/>
      <c r="H3717" s="857">
        <f>(E3717*F3717)-(E3718)</f>
        <v>23.122699999999998</v>
      </c>
      <c r="I3717" s="1683"/>
      <c r="J3717" s="1683"/>
      <c r="K3717" s="1683"/>
      <c r="L3717" s="1683"/>
      <c r="M3717" s="1683"/>
      <c r="N3717" s="1684"/>
    </row>
    <row r="3718" spans="1:14">
      <c r="A3718" s="1536"/>
      <c r="B3718" s="858" t="s">
        <v>3053</v>
      </c>
      <c r="C3718" s="859"/>
      <c r="D3718" s="787" t="s">
        <v>3100</v>
      </c>
      <c r="E3718" s="1316">
        <f>(0.6*2.1)</f>
        <v>1.26</v>
      </c>
      <c r="F3718" s="788"/>
      <c r="G3718" s="788"/>
      <c r="H3718" s="860"/>
      <c r="I3718" s="1683"/>
      <c r="J3718" s="1683"/>
      <c r="K3718" s="1683"/>
      <c r="L3718" s="1683"/>
      <c r="M3718" s="1683"/>
      <c r="N3718" s="1684"/>
    </row>
    <row r="3719" spans="1:14">
      <c r="A3719" s="1536"/>
      <c r="B3719" s="355" t="s">
        <v>2452</v>
      </c>
      <c r="C3719" s="686"/>
      <c r="D3719" s="861"/>
      <c r="E3719" s="1315">
        <v>7.43</v>
      </c>
      <c r="F3719" s="317">
        <v>3.13</v>
      </c>
      <c r="G3719" s="317"/>
      <c r="H3719" s="857">
        <f>(E3719*F3719)-(E3720+E3721)</f>
        <v>21.515899999999998</v>
      </c>
      <c r="I3719" s="1683"/>
      <c r="J3719" s="1683"/>
      <c r="K3719" s="1683"/>
      <c r="L3719" s="1683"/>
      <c r="M3719" s="1683"/>
      <c r="N3719" s="1684"/>
    </row>
    <row r="3720" spans="1:14">
      <c r="A3720" s="1536"/>
      <c r="B3720" s="858" t="s">
        <v>3053</v>
      </c>
      <c r="C3720" s="859"/>
      <c r="D3720" s="787" t="s">
        <v>3100</v>
      </c>
      <c r="E3720" s="1316">
        <f>(0.6*2.1)</f>
        <v>1.26</v>
      </c>
      <c r="F3720" s="788"/>
      <c r="G3720" s="788"/>
      <c r="H3720" s="860"/>
      <c r="I3720" s="1683"/>
      <c r="J3720" s="1683"/>
      <c r="K3720" s="1683"/>
      <c r="L3720" s="1683"/>
      <c r="M3720" s="1683"/>
      <c r="N3720" s="1684"/>
    </row>
    <row r="3721" spans="1:14">
      <c r="A3721" s="1536"/>
      <c r="B3721" s="858" t="s">
        <v>3053</v>
      </c>
      <c r="C3721" s="859"/>
      <c r="D3721" s="787" t="s">
        <v>3189</v>
      </c>
      <c r="E3721" s="1316">
        <f>(0.6*0.8)</f>
        <v>0.48</v>
      </c>
      <c r="F3721" s="788"/>
      <c r="G3721" s="788"/>
      <c r="H3721" s="860"/>
      <c r="I3721" s="1683"/>
      <c r="J3721" s="1683"/>
      <c r="K3721" s="1683"/>
      <c r="L3721" s="1683"/>
      <c r="M3721" s="1683"/>
      <c r="N3721" s="1684"/>
    </row>
    <row r="3722" spans="1:14">
      <c r="A3722" s="1536"/>
      <c r="B3722" s="355" t="s">
        <v>2453</v>
      </c>
      <c r="C3722" s="686"/>
      <c r="D3722" s="861"/>
      <c r="E3722" s="1315">
        <v>10.76</v>
      </c>
      <c r="F3722" s="317">
        <v>3.13</v>
      </c>
      <c r="G3722" s="317"/>
      <c r="H3722" s="857">
        <f>(E3722*F3722)-(E3723)</f>
        <v>31.998799999999996</v>
      </c>
      <c r="I3722" s="1683"/>
      <c r="J3722" s="1683"/>
      <c r="K3722" s="1683"/>
      <c r="L3722" s="1683"/>
      <c r="M3722" s="1683"/>
      <c r="N3722" s="1684"/>
    </row>
    <row r="3723" spans="1:14">
      <c r="A3723" s="1536"/>
      <c r="B3723" s="858" t="s">
        <v>3053</v>
      </c>
      <c r="C3723" s="859"/>
      <c r="D3723" s="787" t="s">
        <v>3101</v>
      </c>
      <c r="E3723" s="1316">
        <f>(0.8*2.1)</f>
        <v>1.6800000000000002</v>
      </c>
      <c r="F3723" s="788"/>
      <c r="G3723" s="788"/>
      <c r="H3723" s="860"/>
      <c r="I3723" s="1683"/>
      <c r="J3723" s="1683"/>
      <c r="K3723" s="1683"/>
      <c r="L3723" s="1683"/>
      <c r="M3723" s="1683"/>
      <c r="N3723" s="1684"/>
    </row>
    <row r="3724" spans="1:14">
      <c r="A3724" s="1536"/>
      <c r="B3724" s="355" t="s">
        <v>2454</v>
      </c>
      <c r="C3724" s="686"/>
      <c r="D3724" s="861"/>
      <c r="E3724" s="1315">
        <v>11.01</v>
      </c>
      <c r="F3724" s="317">
        <v>3.13</v>
      </c>
      <c r="G3724" s="317"/>
      <c r="H3724" s="857">
        <f>(E3724*F3724)-(E3725)</f>
        <v>32.781300000000002</v>
      </c>
      <c r="I3724" s="1683"/>
      <c r="J3724" s="1683"/>
      <c r="K3724" s="1683"/>
      <c r="L3724" s="1683"/>
      <c r="M3724" s="1683"/>
      <c r="N3724" s="1684"/>
    </row>
    <row r="3725" spans="1:14">
      <c r="A3725" s="1536"/>
      <c r="B3725" s="858" t="s">
        <v>3053</v>
      </c>
      <c r="C3725" s="859"/>
      <c r="D3725" s="787" t="s">
        <v>3101</v>
      </c>
      <c r="E3725" s="1316">
        <f>(0.8*2.1)</f>
        <v>1.6800000000000002</v>
      </c>
      <c r="F3725" s="788"/>
      <c r="G3725" s="788"/>
      <c r="H3725" s="860"/>
      <c r="I3725" s="1683"/>
      <c r="J3725" s="1683"/>
      <c r="K3725" s="1683"/>
      <c r="L3725" s="1683"/>
      <c r="M3725" s="1683"/>
      <c r="N3725" s="1684"/>
    </row>
    <row r="3726" spans="1:14">
      <c r="A3726" s="1536"/>
      <c r="B3726" s="355" t="s">
        <v>2342</v>
      </c>
      <c r="C3726" s="686"/>
      <c r="D3726" s="861"/>
      <c r="E3726" s="1315">
        <v>7.56</v>
      </c>
      <c r="F3726" s="317">
        <v>3.13</v>
      </c>
      <c r="G3726" s="317"/>
      <c r="H3726" s="857">
        <f>(E3726*F3726)-(E3727)</f>
        <v>22.382799999999996</v>
      </c>
      <c r="I3726" s="1683"/>
      <c r="J3726" s="1683"/>
      <c r="K3726" s="1683"/>
      <c r="L3726" s="1683"/>
      <c r="M3726" s="1683"/>
      <c r="N3726" s="1684"/>
    </row>
    <row r="3727" spans="1:14">
      <c r="A3727" s="1536"/>
      <c r="B3727" s="858" t="s">
        <v>3053</v>
      </c>
      <c r="C3727" s="859"/>
      <c r="D3727" s="787" t="s">
        <v>3042</v>
      </c>
      <c r="E3727" s="1316">
        <f>(1.6*0.8)</f>
        <v>1.2800000000000002</v>
      </c>
      <c r="F3727" s="788"/>
      <c r="G3727" s="788"/>
      <c r="H3727" s="860"/>
      <c r="I3727" s="1683"/>
      <c r="J3727" s="1683"/>
      <c r="K3727" s="1683"/>
      <c r="L3727" s="1683"/>
      <c r="M3727" s="1683"/>
      <c r="N3727" s="1684"/>
    </row>
    <row r="3728" spans="1:14">
      <c r="A3728" s="1536"/>
      <c r="B3728" s="355" t="s">
        <v>2344</v>
      </c>
      <c r="C3728" s="686"/>
      <c r="D3728" s="861"/>
      <c r="E3728" s="1315">
        <v>5.4</v>
      </c>
      <c r="F3728" s="317">
        <v>3.13</v>
      </c>
      <c r="G3728" s="317"/>
      <c r="H3728" s="857">
        <f>(E3728*F3728)-(E3729+E3730)</f>
        <v>15.002000000000001</v>
      </c>
      <c r="I3728" s="1683"/>
      <c r="J3728" s="1683"/>
      <c r="K3728" s="1683"/>
      <c r="L3728" s="1683"/>
      <c r="M3728" s="1683"/>
      <c r="N3728" s="1684"/>
    </row>
    <row r="3729" spans="1:14">
      <c r="A3729" s="1536"/>
      <c r="B3729" s="858" t="s">
        <v>3053</v>
      </c>
      <c r="C3729" s="859"/>
      <c r="D3729" s="787" t="s">
        <v>3100</v>
      </c>
      <c r="E3729" s="1316">
        <f>(0.6*2.1)</f>
        <v>1.26</v>
      </c>
      <c r="F3729" s="788"/>
      <c r="G3729" s="788"/>
      <c r="H3729" s="860"/>
      <c r="I3729" s="1683"/>
      <c r="J3729" s="1683"/>
      <c r="K3729" s="1683"/>
      <c r="L3729" s="1683"/>
      <c r="M3729" s="1683"/>
      <c r="N3729" s="1684"/>
    </row>
    <row r="3730" spans="1:14">
      <c r="A3730" s="1536"/>
      <c r="B3730" s="858"/>
      <c r="C3730" s="859"/>
      <c r="D3730" s="787" t="s">
        <v>2854</v>
      </c>
      <c r="E3730" s="1316">
        <f>(0.8*0.8)</f>
        <v>0.64000000000000012</v>
      </c>
      <c r="F3730" s="788"/>
      <c r="G3730" s="788"/>
      <c r="H3730" s="860"/>
      <c r="I3730" s="1683"/>
      <c r="J3730" s="1683"/>
      <c r="K3730" s="1683"/>
      <c r="L3730" s="1683"/>
      <c r="M3730" s="1683"/>
      <c r="N3730" s="1684"/>
    </row>
    <row r="3731" spans="1:14">
      <c r="A3731" s="1536"/>
      <c r="B3731" s="853" t="s">
        <v>2929</v>
      </c>
      <c r="C3731" s="854"/>
      <c r="D3731" s="855"/>
      <c r="E3731" s="1353"/>
      <c r="F3731" s="856"/>
      <c r="G3731" s="856"/>
      <c r="H3731" s="863"/>
      <c r="I3731" s="1683"/>
      <c r="J3731" s="1683"/>
      <c r="K3731" s="1683"/>
      <c r="L3731" s="1683"/>
      <c r="M3731" s="1683"/>
      <c r="N3731" s="1684"/>
    </row>
    <row r="3732" spans="1:14">
      <c r="A3732" s="1536"/>
      <c r="B3732" s="355" t="s">
        <v>2458</v>
      </c>
      <c r="C3732" s="686"/>
      <c r="D3732" s="786"/>
      <c r="E3732" s="1315">
        <v>9.2799999999999994</v>
      </c>
      <c r="F3732" s="317">
        <v>2.83</v>
      </c>
      <c r="G3732" s="317"/>
      <c r="H3732" s="857">
        <f>(E3732*F3732)-(E3733+E3734)</f>
        <v>23.732399999999998</v>
      </c>
      <c r="I3732" s="1683"/>
      <c r="J3732" s="1683"/>
      <c r="K3732" s="1683"/>
      <c r="L3732" s="1683"/>
      <c r="M3732" s="1683"/>
      <c r="N3732" s="1684"/>
    </row>
    <row r="3733" spans="1:14">
      <c r="A3733" s="1536"/>
      <c r="B3733" s="858" t="s">
        <v>3053</v>
      </c>
      <c r="C3733" s="859"/>
      <c r="D3733" s="787" t="s">
        <v>3102</v>
      </c>
      <c r="E3733" s="1316">
        <f>(0.9*2.1)</f>
        <v>1.8900000000000001</v>
      </c>
      <c r="F3733" s="788"/>
      <c r="G3733" s="788"/>
      <c r="H3733" s="860"/>
      <c r="I3733" s="1683"/>
      <c r="J3733" s="1683"/>
      <c r="K3733" s="1683"/>
      <c r="L3733" s="1683"/>
      <c r="M3733" s="1683"/>
      <c r="N3733" s="1684"/>
    </row>
    <row r="3734" spans="1:14">
      <c r="A3734" s="1536"/>
      <c r="B3734" s="858"/>
      <c r="C3734" s="859"/>
      <c r="D3734" s="787" t="s">
        <v>2854</v>
      </c>
      <c r="E3734" s="1316">
        <f>(0.8*0.8)</f>
        <v>0.64000000000000012</v>
      </c>
      <c r="F3734" s="788"/>
      <c r="G3734" s="788"/>
      <c r="H3734" s="860"/>
      <c r="I3734" s="1683"/>
      <c r="J3734" s="1683"/>
      <c r="K3734" s="1683"/>
      <c r="L3734" s="1683"/>
      <c r="M3734" s="1683"/>
      <c r="N3734" s="1684"/>
    </row>
    <row r="3735" spans="1:14">
      <c r="A3735" s="1536"/>
      <c r="B3735" s="355" t="s">
        <v>2459</v>
      </c>
      <c r="C3735" s="686"/>
      <c r="D3735" s="786"/>
      <c r="E3735" s="1315">
        <v>8.93</v>
      </c>
      <c r="F3735" s="317">
        <v>2.83</v>
      </c>
      <c r="G3735" s="317"/>
      <c r="H3735" s="857">
        <f>(E3735*F3735)-(E3736+E3737)</f>
        <v>22.741899999999998</v>
      </c>
      <c r="I3735" s="1683"/>
      <c r="J3735" s="1683"/>
      <c r="K3735" s="1683"/>
      <c r="L3735" s="1683"/>
      <c r="M3735" s="1683"/>
      <c r="N3735" s="1684"/>
    </row>
    <row r="3736" spans="1:14">
      <c r="A3736" s="1536"/>
      <c r="B3736" s="858" t="s">
        <v>3053</v>
      </c>
      <c r="C3736" s="859"/>
      <c r="D3736" s="787" t="s">
        <v>3102</v>
      </c>
      <c r="E3736" s="1316">
        <f>(0.9*2.1)</f>
        <v>1.8900000000000001</v>
      </c>
      <c r="F3736" s="788"/>
      <c r="G3736" s="788"/>
      <c r="H3736" s="860"/>
      <c r="I3736" s="1683"/>
      <c r="J3736" s="1683"/>
      <c r="K3736" s="1683"/>
      <c r="L3736" s="1683"/>
      <c r="M3736" s="1683"/>
      <c r="N3736" s="1684"/>
    </row>
    <row r="3737" spans="1:14">
      <c r="A3737" s="1536"/>
      <c r="B3737" s="858"/>
      <c r="C3737" s="859"/>
      <c r="D3737" s="787" t="s">
        <v>2854</v>
      </c>
      <c r="E3737" s="1316">
        <f>(0.8*0.8)</f>
        <v>0.64000000000000012</v>
      </c>
      <c r="F3737" s="788"/>
      <c r="G3737" s="788"/>
      <c r="H3737" s="860"/>
      <c r="I3737" s="1683"/>
      <c r="J3737" s="1683"/>
      <c r="K3737" s="1683"/>
      <c r="L3737" s="1683"/>
      <c r="M3737" s="1683"/>
      <c r="N3737" s="1684"/>
    </row>
    <row r="3738" spans="1:14">
      <c r="A3738" s="1536"/>
      <c r="B3738" s="355" t="s">
        <v>2344</v>
      </c>
      <c r="C3738" s="686"/>
      <c r="D3738" s="861"/>
      <c r="E3738" s="1315">
        <v>5.8</v>
      </c>
      <c r="F3738" s="317">
        <v>2.83</v>
      </c>
      <c r="G3738" s="317"/>
      <c r="H3738" s="857">
        <f>(E3738*F3738)-(E3739+E3740)</f>
        <v>14.514000000000001</v>
      </c>
      <c r="I3738" s="1683"/>
      <c r="J3738" s="1683"/>
      <c r="K3738" s="1683"/>
      <c r="L3738" s="1683"/>
      <c r="M3738" s="1683"/>
      <c r="N3738" s="1684"/>
    </row>
    <row r="3739" spans="1:14">
      <c r="A3739" s="1536"/>
      <c r="B3739" s="858" t="s">
        <v>3053</v>
      </c>
      <c r="C3739" s="859"/>
      <c r="D3739" s="787" t="s">
        <v>3100</v>
      </c>
      <c r="E3739" s="1316">
        <f>(0.6*2.1)</f>
        <v>1.26</v>
      </c>
      <c r="F3739" s="788"/>
      <c r="G3739" s="788"/>
      <c r="H3739" s="860"/>
      <c r="I3739" s="1683"/>
      <c r="J3739" s="1683"/>
      <c r="K3739" s="1683"/>
      <c r="L3739" s="1683"/>
      <c r="M3739" s="1683"/>
      <c r="N3739" s="1684"/>
    </row>
    <row r="3740" spans="1:14">
      <c r="A3740" s="1536"/>
      <c r="B3740" s="858"/>
      <c r="C3740" s="859"/>
      <c r="D3740" s="787" t="s">
        <v>2854</v>
      </c>
      <c r="E3740" s="1316">
        <f>(0.8*0.8)</f>
        <v>0.64000000000000012</v>
      </c>
      <c r="F3740" s="788"/>
      <c r="G3740" s="788"/>
      <c r="H3740" s="860"/>
      <c r="I3740" s="1683"/>
      <c r="J3740" s="1683"/>
      <c r="K3740" s="1683"/>
      <c r="L3740" s="1683"/>
      <c r="M3740" s="1683"/>
      <c r="N3740" s="1684"/>
    </row>
    <row r="3741" spans="1:14">
      <c r="A3741" s="1536"/>
      <c r="B3741" s="355" t="s">
        <v>2342</v>
      </c>
      <c r="C3741" s="686"/>
      <c r="D3741" s="861"/>
      <c r="E3741" s="1315">
        <v>15.96</v>
      </c>
      <c r="F3741" s="317">
        <v>2.83</v>
      </c>
      <c r="G3741" s="317"/>
      <c r="H3741" s="857">
        <f>(E3741*F3741)-(E3742+E3743+E3744)</f>
        <v>40.186800000000005</v>
      </c>
      <c r="I3741" s="1683"/>
      <c r="J3741" s="1683"/>
      <c r="K3741" s="1683"/>
      <c r="L3741" s="1683"/>
      <c r="M3741" s="1683"/>
      <c r="N3741" s="1684"/>
    </row>
    <row r="3742" spans="1:14">
      <c r="A3742" s="1536"/>
      <c r="B3742" s="858" t="s">
        <v>3053</v>
      </c>
      <c r="C3742" s="859"/>
      <c r="D3742" s="787" t="s">
        <v>3100</v>
      </c>
      <c r="E3742" s="1316">
        <f>(0.6*2.1)</f>
        <v>1.26</v>
      </c>
      <c r="F3742" s="788"/>
      <c r="G3742" s="788"/>
      <c r="H3742" s="860"/>
      <c r="I3742" s="1683"/>
      <c r="J3742" s="1683"/>
      <c r="K3742" s="1683"/>
      <c r="L3742" s="1683"/>
      <c r="M3742" s="1683"/>
      <c r="N3742" s="1684"/>
    </row>
    <row r="3743" spans="1:14">
      <c r="A3743" s="1536"/>
      <c r="B3743" s="858"/>
      <c r="C3743" s="859"/>
      <c r="D3743" s="787" t="s">
        <v>3101</v>
      </c>
      <c r="E3743" s="1316">
        <f>(0.8*2.1)</f>
        <v>1.6800000000000002</v>
      </c>
      <c r="F3743" s="788"/>
      <c r="G3743" s="788"/>
      <c r="H3743" s="860"/>
      <c r="I3743" s="1683"/>
      <c r="J3743" s="1683"/>
      <c r="K3743" s="1683"/>
      <c r="L3743" s="1683"/>
      <c r="M3743" s="1683"/>
      <c r="N3743" s="1684"/>
    </row>
    <row r="3744" spans="1:14">
      <c r="A3744" s="1536"/>
      <c r="B3744" s="858"/>
      <c r="C3744" s="859"/>
      <c r="D3744" s="787" t="s">
        <v>2854</v>
      </c>
      <c r="E3744" s="1316">
        <f>(0.6)+0.8+(0.8*0.8)</f>
        <v>2.04</v>
      </c>
      <c r="F3744" s="788"/>
      <c r="G3744" s="788"/>
      <c r="H3744" s="860"/>
      <c r="I3744" s="1683"/>
      <c r="J3744" s="1683"/>
      <c r="K3744" s="1683"/>
      <c r="L3744" s="1683"/>
      <c r="M3744" s="1683"/>
      <c r="N3744" s="1684"/>
    </row>
    <row r="3745" spans="1:14">
      <c r="A3745" s="1536"/>
      <c r="B3745" s="355" t="s">
        <v>2338</v>
      </c>
      <c r="C3745" s="686"/>
      <c r="D3745" s="861"/>
      <c r="E3745" s="1315">
        <v>7.74</v>
      </c>
      <c r="F3745" s="317">
        <v>2.83</v>
      </c>
      <c r="G3745" s="317"/>
      <c r="H3745" s="857">
        <f>(E3745*F3745)-(E3746+E3747)</f>
        <v>19.374199999999998</v>
      </c>
      <c r="I3745" s="1683"/>
      <c r="J3745" s="1683"/>
      <c r="K3745" s="1683"/>
      <c r="L3745" s="1683"/>
      <c r="M3745" s="1683"/>
      <c r="N3745" s="1684"/>
    </row>
    <row r="3746" spans="1:14">
      <c r="A3746" s="1536"/>
      <c r="B3746" s="858" t="s">
        <v>3053</v>
      </c>
      <c r="C3746" s="859"/>
      <c r="D3746" s="787" t="s">
        <v>3102</v>
      </c>
      <c r="E3746" s="1316">
        <f>(0.9*2.1)</f>
        <v>1.8900000000000001</v>
      </c>
      <c r="F3746" s="788"/>
      <c r="G3746" s="788"/>
      <c r="H3746" s="860"/>
      <c r="I3746" s="1683"/>
      <c r="J3746" s="1683"/>
      <c r="K3746" s="1683"/>
      <c r="L3746" s="1683"/>
      <c r="M3746" s="1683"/>
      <c r="N3746" s="1684"/>
    </row>
    <row r="3747" spans="1:14">
      <c r="A3747" s="1536"/>
      <c r="B3747" s="858"/>
      <c r="C3747" s="859"/>
      <c r="D3747" s="787" t="s">
        <v>2854</v>
      </c>
      <c r="E3747" s="1316">
        <f>(0.8*0.8)</f>
        <v>0.64000000000000012</v>
      </c>
      <c r="F3747" s="788"/>
      <c r="G3747" s="788"/>
      <c r="H3747" s="860"/>
      <c r="I3747" s="1683"/>
      <c r="J3747" s="1683"/>
      <c r="K3747" s="1683"/>
      <c r="L3747" s="1683"/>
      <c r="M3747" s="1683"/>
      <c r="N3747" s="1684"/>
    </row>
    <row r="3748" spans="1:14">
      <c r="A3748" s="1536"/>
      <c r="B3748" s="355" t="s">
        <v>2339</v>
      </c>
      <c r="C3748" s="686"/>
      <c r="D3748" s="861"/>
      <c r="E3748" s="1315">
        <v>10.01</v>
      </c>
      <c r="F3748" s="317">
        <v>2.83</v>
      </c>
      <c r="G3748" s="317"/>
      <c r="H3748" s="857">
        <f>(E3748*F3748)-(E3749+E3750)</f>
        <v>25.798299999999998</v>
      </c>
      <c r="I3748" s="1683"/>
      <c r="J3748" s="1683"/>
      <c r="K3748" s="1683"/>
      <c r="L3748" s="1683"/>
      <c r="M3748" s="1683"/>
      <c r="N3748" s="1684"/>
    </row>
    <row r="3749" spans="1:14">
      <c r="A3749" s="1536"/>
      <c r="B3749" s="858" t="s">
        <v>3053</v>
      </c>
      <c r="C3749" s="859"/>
      <c r="D3749" s="787" t="s">
        <v>3102</v>
      </c>
      <c r="E3749" s="1316">
        <f>(0.9*2.1)</f>
        <v>1.8900000000000001</v>
      </c>
      <c r="F3749" s="788"/>
      <c r="G3749" s="788"/>
      <c r="H3749" s="857"/>
      <c r="I3749" s="1683"/>
      <c r="J3749" s="1683"/>
      <c r="K3749" s="1683"/>
      <c r="L3749" s="1683"/>
      <c r="M3749" s="1683"/>
      <c r="N3749" s="1684"/>
    </row>
    <row r="3750" spans="1:14">
      <c r="A3750" s="1536"/>
      <c r="B3750" s="858"/>
      <c r="C3750" s="859"/>
      <c r="D3750" s="787" t="s">
        <v>2854</v>
      </c>
      <c r="E3750" s="1316">
        <f>(0.8*0.8)</f>
        <v>0.64000000000000012</v>
      </c>
      <c r="F3750" s="788"/>
      <c r="G3750" s="788"/>
      <c r="H3750" s="860"/>
      <c r="I3750" s="1683"/>
      <c r="J3750" s="1683"/>
      <c r="K3750" s="1683"/>
      <c r="L3750" s="1683"/>
      <c r="M3750" s="1683"/>
      <c r="N3750" s="1684"/>
    </row>
    <row r="3751" spans="1:14" ht="45">
      <c r="A3751" s="1710" t="s">
        <v>3294</v>
      </c>
      <c r="B3751" s="853" t="s">
        <v>2727</v>
      </c>
      <c r="C3751" s="826"/>
      <c r="D3751" s="97"/>
      <c r="E3751" s="97" t="s">
        <v>3162</v>
      </c>
      <c r="F3751" s="862" t="s">
        <v>3190</v>
      </c>
      <c r="G3751" s="97" t="s">
        <v>3191</v>
      </c>
      <c r="H3751" s="97" t="s">
        <v>3192</v>
      </c>
      <c r="I3751" s="1683"/>
      <c r="J3751" s="1683"/>
      <c r="K3751" s="1683"/>
      <c r="L3751" s="1683"/>
      <c r="M3751" s="1683"/>
      <c r="N3751" s="1684"/>
    </row>
    <row r="3752" spans="1:14">
      <c r="A3752" s="1536"/>
      <c r="B3752" s="355"/>
      <c r="C3752" s="686"/>
      <c r="D3752" s="786"/>
      <c r="E3752" s="1315"/>
      <c r="F3752" s="317"/>
      <c r="G3752" s="317"/>
      <c r="H3752" s="857"/>
      <c r="I3752" s="1683"/>
      <c r="J3752" s="1683"/>
      <c r="K3752" s="1683"/>
      <c r="L3752" s="1683"/>
      <c r="M3752" s="1683"/>
      <c r="N3752" s="1684"/>
    </row>
    <row r="3753" spans="1:14">
      <c r="A3753" s="1536"/>
      <c r="B3753" s="858"/>
      <c r="C3753" s="859"/>
      <c r="D3753" s="787"/>
      <c r="E3753" s="1316"/>
      <c r="F3753" s="788"/>
      <c r="G3753" s="788"/>
      <c r="H3753" s="860"/>
      <c r="I3753" s="1683"/>
      <c r="J3753" s="1683"/>
      <c r="K3753" s="1683"/>
      <c r="L3753" s="1683"/>
      <c r="M3753" s="1683"/>
      <c r="N3753" s="1684"/>
    </row>
    <row r="3754" spans="1:14">
      <c r="A3754" s="1536"/>
      <c r="B3754" s="355" t="s">
        <v>3323</v>
      </c>
      <c r="C3754" s="686"/>
      <c r="D3754" s="786"/>
      <c r="E3754" s="1315">
        <v>7.7</v>
      </c>
      <c r="F3754" s="317">
        <v>3.13</v>
      </c>
      <c r="G3754" s="317"/>
      <c r="H3754" s="857">
        <f>(E3754*F3754)-(E3755+E3756)</f>
        <v>21.570999999999998</v>
      </c>
      <c r="I3754" s="1683"/>
      <c r="J3754" s="1683"/>
      <c r="K3754" s="1683"/>
      <c r="L3754" s="1683"/>
      <c r="M3754" s="1683"/>
      <c r="N3754" s="1684"/>
    </row>
    <row r="3755" spans="1:14">
      <c r="A3755" s="1536"/>
      <c r="B3755" s="858" t="s">
        <v>3053</v>
      </c>
      <c r="C3755" s="859"/>
      <c r="D3755" s="787" t="s">
        <v>3102</v>
      </c>
      <c r="E3755" s="1316">
        <v>1.89</v>
      </c>
      <c r="F3755" s="788"/>
      <c r="G3755" s="788"/>
      <c r="H3755" s="860"/>
      <c r="I3755" s="1683"/>
      <c r="J3755" s="1683"/>
      <c r="K3755" s="1683"/>
      <c r="L3755" s="1683"/>
      <c r="M3755" s="1683"/>
      <c r="N3755" s="1684"/>
    </row>
    <row r="3756" spans="1:14">
      <c r="A3756" s="1536"/>
      <c r="B3756" s="858"/>
      <c r="C3756" s="859"/>
      <c r="D3756" s="787" t="s">
        <v>2854</v>
      </c>
      <c r="E3756" s="1316">
        <v>0.64</v>
      </c>
      <c r="F3756" s="788"/>
      <c r="G3756" s="788"/>
      <c r="H3756" s="860"/>
      <c r="I3756" s="1683"/>
      <c r="J3756" s="1683"/>
      <c r="K3756" s="1683"/>
      <c r="L3756" s="1683"/>
      <c r="M3756" s="1683"/>
      <c r="N3756" s="1684"/>
    </row>
    <row r="3757" spans="1:14">
      <c r="A3757" s="1536"/>
      <c r="B3757" s="355" t="s">
        <v>3322</v>
      </c>
      <c r="C3757" s="686"/>
      <c r="D3757" s="861"/>
      <c r="E3757" s="1315">
        <v>7.65</v>
      </c>
      <c r="F3757" s="317">
        <v>3.13</v>
      </c>
      <c r="G3757" s="317"/>
      <c r="H3757" s="857">
        <f>(E3757*F3757)-(E3759)</f>
        <v>23.304500000000001</v>
      </c>
      <c r="I3757" s="1683"/>
      <c r="J3757" s="1683"/>
      <c r="K3757" s="1683"/>
      <c r="L3757" s="1683"/>
      <c r="M3757" s="1683"/>
      <c r="N3757" s="1684"/>
    </row>
    <row r="3758" spans="1:14">
      <c r="A3758" s="1536"/>
      <c r="B3758" s="858" t="s">
        <v>3053</v>
      </c>
      <c r="C3758" s="686"/>
      <c r="D3758" s="787" t="s">
        <v>3102</v>
      </c>
      <c r="E3758" s="1316">
        <v>1.89</v>
      </c>
      <c r="F3758" s="788"/>
      <c r="G3758" s="317"/>
      <c r="H3758" s="857"/>
      <c r="I3758" s="1683"/>
      <c r="J3758" s="1683"/>
      <c r="K3758" s="1683"/>
      <c r="L3758" s="1683"/>
      <c r="M3758" s="1683"/>
      <c r="N3758" s="1684"/>
    </row>
    <row r="3759" spans="1:14">
      <c r="A3759" s="1536"/>
      <c r="B3759" s="858"/>
      <c r="C3759" s="859"/>
      <c r="D3759" s="787" t="s">
        <v>2854</v>
      </c>
      <c r="E3759" s="1316">
        <v>0.64</v>
      </c>
      <c r="F3759" s="788"/>
      <c r="G3759" s="788"/>
      <c r="H3759" s="860"/>
      <c r="I3759" s="1683"/>
      <c r="J3759" s="1683"/>
      <c r="K3759" s="1683"/>
      <c r="L3759" s="1683"/>
      <c r="M3759" s="1683"/>
      <c r="N3759" s="1684"/>
    </row>
    <row r="3760" spans="1:14">
      <c r="A3760" s="1536"/>
      <c r="B3760" s="853" t="s">
        <v>2929</v>
      </c>
      <c r="C3760" s="854"/>
      <c r="D3760" s="855"/>
      <c r="E3760" s="1353"/>
      <c r="F3760" s="856"/>
      <c r="G3760" s="856"/>
      <c r="H3760" s="863"/>
      <c r="I3760" s="1683"/>
      <c r="J3760" s="1683"/>
      <c r="K3760" s="1683"/>
      <c r="L3760" s="1683"/>
      <c r="M3760" s="1683"/>
      <c r="N3760" s="1684"/>
    </row>
    <row r="3761" spans="1:14">
      <c r="A3761" s="1536"/>
      <c r="B3761" s="355" t="s">
        <v>3334</v>
      </c>
      <c r="C3761" s="686"/>
      <c r="D3761" s="786"/>
      <c r="E3761" s="1315">
        <v>6.27</v>
      </c>
      <c r="F3761" s="317">
        <v>2.83</v>
      </c>
      <c r="G3761" s="317"/>
      <c r="H3761" s="857">
        <f>(E3761*F3761)-(E3762+E3763)</f>
        <v>16.0441</v>
      </c>
      <c r="I3761" s="1683"/>
      <c r="J3761" s="1683"/>
      <c r="K3761" s="1683"/>
      <c r="L3761" s="1683"/>
      <c r="M3761" s="1683"/>
      <c r="N3761" s="1684"/>
    </row>
    <row r="3762" spans="1:14">
      <c r="A3762" s="1536"/>
      <c r="B3762" s="858" t="s">
        <v>3053</v>
      </c>
      <c r="C3762" s="859"/>
      <c r="D3762" s="787" t="s">
        <v>3100</v>
      </c>
      <c r="E3762" s="1316">
        <v>1.26</v>
      </c>
      <c r="F3762" s="788"/>
      <c r="G3762" s="788"/>
      <c r="H3762" s="860"/>
      <c r="I3762" s="1683"/>
      <c r="J3762" s="1683"/>
      <c r="K3762" s="1683"/>
      <c r="L3762" s="1683"/>
      <c r="M3762" s="1683"/>
      <c r="N3762" s="1684"/>
    </row>
    <row r="3763" spans="1:14">
      <c r="A3763" s="1536"/>
      <c r="B3763" s="858"/>
      <c r="C3763" s="859"/>
      <c r="D3763" s="787" t="s">
        <v>2258</v>
      </c>
      <c r="E3763" s="1316">
        <v>0.44</v>
      </c>
      <c r="F3763" s="788"/>
      <c r="G3763" s="788"/>
      <c r="H3763" s="860"/>
      <c r="I3763" s="1683"/>
      <c r="J3763" s="1683"/>
      <c r="K3763" s="1683"/>
      <c r="L3763" s="1683"/>
      <c r="M3763" s="1683"/>
      <c r="N3763" s="1684"/>
    </row>
    <row r="3764" spans="1:14" ht="25.5">
      <c r="A3764" s="1710" t="s">
        <v>3465</v>
      </c>
      <c r="B3764" s="853" t="s">
        <v>2727</v>
      </c>
      <c r="C3764" s="826"/>
      <c r="D3764" s="97"/>
      <c r="E3764" s="97" t="s">
        <v>3162</v>
      </c>
      <c r="F3764" s="862" t="s">
        <v>3190</v>
      </c>
      <c r="G3764" s="97" t="s">
        <v>3191</v>
      </c>
      <c r="H3764" s="97" t="s">
        <v>2498</v>
      </c>
      <c r="I3764" s="1683"/>
      <c r="J3764" s="1683"/>
      <c r="K3764" s="1683"/>
      <c r="L3764" s="1683"/>
      <c r="M3764" s="1683"/>
      <c r="N3764" s="1684"/>
    </row>
    <row r="3765" spans="1:14">
      <c r="A3765" s="1536"/>
      <c r="B3765" s="355" t="s">
        <v>3473</v>
      </c>
      <c r="C3765" s="686"/>
      <c r="D3765" s="786"/>
      <c r="E3765" s="1315">
        <v>13.73</v>
      </c>
      <c r="F3765" s="317">
        <v>3.13</v>
      </c>
      <c r="G3765" s="317"/>
      <c r="H3765" s="857">
        <f>(E3765*F3765)</f>
        <v>42.974899999999998</v>
      </c>
      <c r="I3765" s="1683"/>
      <c r="J3765" s="1683"/>
      <c r="K3765" s="1683"/>
      <c r="L3765" s="1683"/>
      <c r="M3765" s="1683"/>
      <c r="N3765" s="1684"/>
    </row>
    <row r="3766" spans="1:14">
      <c r="A3766" s="1536"/>
      <c r="B3766" s="858" t="s">
        <v>3053</v>
      </c>
      <c r="C3766" s="859"/>
      <c r="D3766" s="787" t="s">
        <v>3100</v>
      </c>
      <c r="E3766" s="1316">
        <f>1.89*3</f>
        <v>5.67</v>
      </c>
      <c r="F3766" s="788"/>
      <c r="G3766" s="788"/>
      <c r="H3766" s="860"/>
      <c r="I3766" s="1683"/>
      <c r="J3766" s="1683"/>
      <c r="K3766" s="1683"/>
      <c r="L3766" s="1683"/>
      <c r="M3766" s="1683"/>
      <c r="N3766" s="1684"/>
    </row>
    <row r="3767" spans="1:14">
      <c r="A3767" s="1536"/>
      <c r="B3767" s="853" t="s">
        <v>2929</v>
      </c>
      <c r="C3767" s="854"/>
      <c r="D3767" s="855"/>
      <c r="E3767" s="1353"/>
      <c r="F3767" s="856"/>
      <c r="G3767" s="856"/>
      <c r="H3767" s="863"/>
      <c r="I3767" s="1683"/>
      <c r="J3767" s="1683"/>
      <c r="K3767" s="1683"/>
      <c r="L3767" s="1683"/>
      <c r="M3767" s="1683"/>
      <c r="N3767" s="1684"/>
    </row>
    <row r="3768" spans="1:14">
      <c r="A3768" s="1536"/>
      <c r="B3768" s="355" t="s">
        <v>2461</v>
      </c>
      <c r="C3768" s="686"/>
      <c r="D3768" s="786"/>
      <c r="E3768" s="1315">
        <v>5.49</v>
      </c>
      <c r="F3768" s="317">
        <v>2.83</v>
      </c>
      <c r="G3768" s="317"/>
      <c r="H3768" s="857">
        <f>(E3768*F3768)</f>
        <v>15.536700000000002</v>
      </c>
      <c r="I3768" s="1683"/>
      <c r="J3768" s="1683"/>
      <c r="K3768" s="1683"/>
      <c r="L3768" s="1683"/>
      <c r="M3768" s="1683"/>
      <c r="N3768" s="1684"/>
    </row>
    <row r="3769" spans="1:14">
      <c r="A3769" s="1536"/>
      <c r="B3769" s="858" t="s">
        <v>3053</v>
      </c>
      <c r="C3769" s="859"/>
      <c r="D3769" s="787" t="s">
        <v>3100</v>
      </c>
      <c r="E3769" s="1316">
        <v>1.26</v>
      </c>
      <c r="F3769" s="788"/>
      <c r="G3769" s="788"/>
      <c r="H3769" s="860"/>
      <c r="I3769" s="1683"/>
      <c r="J3769" s="1683"/>
      <c r="K3769" s="1683"/>
      <c r="L3769" s="1683"/>
      <c r="M3769" s="1683"/>
      <c r="N3769" s="1684"/>
    </row>
    <row r="3770" spans="1:14">
      <c r="A3770" s="1536"/>
      <c r="B3770" s="858"/>
      <c r="C3770" s="859"/>
      <c r="D3770" s="787"/>
      <c r="E3770" s="1316"/>
      <c r="F3770" s="788"/>
      <c r="G3770" s="788"/>
      <c r="H3770" s="860"/>
      <c r="I3770" s="1683"/>
      <c r="J3770" s="1683"/>
      <c r="K3770" s="1683"/>
      <c r="L3770" s="1683"/>
      <c r="M3770" s="1683"/>
      <c r="N3770" s="1684"/>
    </row>
    <row r="3771" spans="1:14" ht="25.5">
      <c r="A3771" s="1611" t="s">
        <v>3620</v>
      </c>
      <c r="B3771" s="853" t="s">
        <v>2727</v>
      </c>
      <c r="C3771" s="826"/>
      <c r="D3771" s="97"/>
      <c r="E3771" s="97" t="s">
        <v>3162</v>
      </c>
      <c r="F3771" s="862" t="s">
        <v>3190</v>
      </c>
      <c r="G3771" s="97" t="s">
        <v>3191</v>
      </c>
      <c r="H3771" s="97" t="s">
        <v>2498</v>
      </c>
      <c r="I3771" s="1683"/>
      <c r="J3771" s="1683"/>
      <c r="K3771" s="1683"/>
      <c r="L3771" s="1683"/>
      <c r="M3771" s="1683"/>
      <c r="N3771" s="1684"/>
    </row>
    <row r="3772" spans="1:14">
      <c r="A3772" s="1612"/>
      <c r="B3772" s="355" t="s">
        <v>3589</v>
      </c>
      <c r="C3772" s="686"/>
      <c r="D3772" s="786"/>
      <c r="E3772" s="1315">
        <v>8.1999999999999993</v>
      </c>
      <c r="F3772" s="317">
        <v>2.6</v>
      </c>
      <c r="G3772" s="317"/>
      <c r="H3772" s="857">
        <f>(E3772*F3772)</f>
        <v>21.32</v>
      </c>
      <c r="I3772" s="1683"/>
      <c r="J3772" s="1683"/>
      <c r="K3772" s="1683"/>
      <c r="L3772" s="1683"/>
      <c r="M3772" s="1683"/>
      <c r="N3772" s="1684"/>
    </row>
    <row r="3773" spans="1:14">
      <c r="A3773" s="1612"/>
      <c r="B3773" s="858" t="s">
        <v>3053</v>
      </c>
      <c r="C3773" s="859"/>
      <c r="D3773" s="787" t="s">
        <v>3102</v>
      </c>
      <c r="E3773" s="1316">
        <f>2.1*0.9</f>
        <v>1.8900000000000001</v>
      </c>
      <c r="F3773" s="788"/>
      <c r="G3773" s="788"/>
      <c r="H3773" s="860"/>
      <c r="I3773" s="1683"/>
      <c r="J3773" s="1683"/>
      <c r="K3773" s="1683"/>
      <c r="L3773" s="1683"/>
      <c r="M3773" s="1683"/>
      <c r="N3773" s="1684"/>
    </row>
    <row r="3774" spans="1:14">
      <c r="A3774" s="1612"/>
      <c r="B3774" s="355" t="s">
        <v>3654</v>
      </c>
      <c r="C3774" s="686"/>
      <c r="D3774" s="786"/>
      <c r="E3774" s="1315">
        <v>10.220000000000001</v>
      </c>
      <c r="F3774" s="317">
        <v>0.35</v>
      </c>
      <c r="G3774" s="317"/>
      <c r="H3774" s="857">
        <f>(E3774*F3774)</f>
        <v>3.577</v>
      </c>
      <c r="I3774" s="1683"/>
      <c r="J3774" s="1683"/>
      <c r="K3774" s="1683"/>
      <c r="L3774" s="1683"/>
      <c r="M3774" s="1683"/>
      <c r="N3774" s="1684"/>
    </row>
    <row r="3775" spans="1:14">
      <c r="A3775" s="1097" t="s">
        <v>3850</v>
      </c>
      <c r="B3775" s="355" t="s">
        <v>3167</v>
      </c>
      <c r="C3775" s="686"/>
      <c r="D3775" s="786"/>
      <c r="E3775" s="1315"/>
      <c r="F3775" s="317"/>
      <c r="G3775" s="317"/>
      <c r="H3775" s="857">
        <v>4.79</v>
      </c>
      <c r="I3775" s="1683"/>
      <c r="J3775" s="1683"/>
      <c r="K3775" s="1683"/>
      <c r="L3775" s="1683"/>
      <c r="M3775" s="1683"/>
      <c r="N3775" s="1684"/>
    </row>
    <row r="3776" spans="1:14">
      <c r="A3776" s="1097"/>
      <c r="B3776" s="858"/>
      <c r="C3776" s="859"/>
      <c r="D3776" s="787"/>
      <c r="E3776" s="1316"/>
      <c r="F3776" s="788"/>
      <c r="G3776" s="788"/>
      <c r="H3776" s="860"/>
      <c r="I3776" s="1683"/>
      <c r="J3776" s="1683"/>
      <c r="K3776" s="1683"/>
      <c r="L3776" s="1683"/>
      <c r="M3776" s="1683"/>
      <c r="N3776" s="1684"/>
    </row>
    <row r="3777" spans="1:14">
      <c r="A3777" s="1577" t="s">
        <v>2218</v>
      </c>
      <c r="B3777" s="1542"/>
      <c r="C3777" s="1542"/>
      <c r="D3777" s="1542"/>
      <c r="E3777" s="1542"/>
      <c r="F3777" s="1542"/>
      <c r="G3777" s="1542"/>
      <c r="H3777" s="271">
        <f>SUM(H3713:H3776)</f>
        <v>466.22909999999996</v>
      </c>
      <c r="I3777" s="1683"/>
      <c r="J3777" s="1683"/>
      <c r="K3777" s="1683"/>
      <c r="L3777" s="1683"/>
      <c r="M3777" s="1683"/>
      <c r="N3777" s="1684"/>
    </row>
    <row r="3778" spans="1:14">
      <c r="A3778" s="1578" t="s">
        <v>2219</v>
      </c>
      <c r="B3778" s="1538"/>
      <c r="C3778" s="1538"/>
      <c r="D3778" s="1538"/>
      <c r="E3778" s="1538"/>
      <c r="F3778" s="1538"/>
      <c r="G3778" s="1538"/>
      <c r="H3778" s="320">
        <f>SUM(H3713:H3776)</f>
        <v>466.22909999999996</v>
      </c>
      <c r="I3778" s="1683"/>
      <c r="J3778" s="1683"/>
      <c r="K3778" s="1683"/>
      <c r="L3778" s="1683"/>
      <c r="M3778" s="1683"/>
      <c r="N3778" s="1684"/>
    </row>
    <row r="3779" spans="1:14" ht="15.75" thickBot="1">
      <c r="A3779" s="1579" t="s">
        <v>2220</v>
      </c>
      <c r="B3779" s="1580"/>
      <c r="C3779" s="1580"/>
      <c r="D3779" s="1580"/>
      <c r="E3779" s="1580"/>
      <c r="F3779" s="1580"/>
      <c r="G3779" s="1580"/>
      <c r="H3779" s="633">
        <f>H3777-H3778</f>
        <v>0</v>
      </c>
      <c r="I3779" s="1687"/>
      <c r="J3779" s="1687"/>
      <c r="K3779" s="1687"/>
      <c r="L3779" s="1687"/>
      <c r="M3779" s="1687"/>
      <c r="N3779" s="1688"/>
    </row>
    <row r="3780" spans="1:14" ht="15.75" thickBot="1">
      <c r="A3780" s="1104"/>
      <c r="B3780" s="278"/>
      <c r="C3780" s="278"/>
      <c r="D3780" s="281"/>
      <c r="E3780" s="1319"/>
      <c r="F3780" s="278"/>
      <c r="G3780" s="278"/>
      <c r="H3780" s="766"/>
      <c r="I3780" s="631"/>
      <c r="J3780" s="631"/>
      <c r="K3780" s="631"/>
      <c r="L3780" s="631"/>
      <c r="M3780" s="631"/>
      <c r="N3780" s="884"/>
    </row>
    <row r="3781" spans="1:14" ht="18.600000000000001" customHeight="1" thickBot="1">
      <c r="A3781" s="1085" t="s">
        <v>3253</v>
      </c>
      <c r="B3781" s="1494" t="s">
        <v>3254</v>
      </c>
      <c r="C3781" s="1495"/>
      <c r="D3781" s="1495"/>
      <c r="E3781" s="1495"/>
      <c r="F3781" s="1495"/>
      <c r="G3781" s="1495"/>
      <c r="H3781" s="1495"/>
      <c r="I3781" s="1495"/>
      <c r="J3781" s="1496"/>
      <c r="K3781" s="196"/>
      <c r="L3781" s="1497"/>
      <c r="M3781" s="1498"/>
      <c r="N3781" s="197"/>
    </row>
    <row r="3782" spans="1:14" ht="18.600000000000001" customHeight="1" thickBot="1">
      <c r="A3782" s="1085" t="s">
        <v>3255</v>
      </c>
      <c r="B3782" s="1494" t="s">
        <v>3256</v>
      </c>
      <c r="C3782" s="1495"/>
      <c r="D3782" s="1495"/>
      <c r="E3782" s="1495"/>
      <c r="F3782" s="1495"/>
      <c r="G3782" s="1495"/>
      <c r="H3782" s="1495"/>
      <c r="I3782" s="1495"/>
      <c r="J3782" s="1496"/>
      <c r="K3782" s="196"/>
      <c r="L3782" s="1497"/>
      <c r="M3782" s="1498"/>
      <c r="N3782" s="197"/>
    </row>
    <row r="3783" spans="1:14" ht="32.450000000000003" customHeight="1">
      <c r="A3783" s="1085" t="s">
        <v>2913</v>
      </c>
      <c r="B3783" s="1494" t="s">
        <v>404</v>
      </c>
      <c r="C3783" s="1495"/>
      <c r="D3783" s="1495"/>
      <c r="E3783" s="1495"/>
      <c r="F3783" s="1495"/>
      <c r="G3783" s="1495"/>
      <c r="H3783" s="1495"/>
      <c r="I3783" s="1495"/>
      <c r="J3783" s="1496"/>
      <c r="K3783" s="196" t="s">
        <v>2222</v>
      </c>
      <c r="L3783" s="1497">
        <f>'27ª MEDIÇÃO '!F227</f>
        <v>622.09</v>
      </c>
      <c r="M3783" s="1498"/>
      <c r="N3783" s="197">
        <f>L3783-H3858</f>
        <v>0.11000000000001364</v>
      </c>
    </row>
    <row r="3784" spans="1:14">
      <c r="A3784" s="1554"/>
      <c r="B3784" s="1541"/>
      <c r="C3784" s="366"/>
      <c r="D3784" s="367" t="s">
        <v>2183</v>
      </c>
      <c r="E3784" s="1320" t="s">
        <v>2184</v>
      </c>
      <c r="F3784" s="367" t="s">
        <v>2185</v>
      </c>
      <c r="G3784" s="367" t="s">
        <v>2186</v>
      </c>
      <c r="H3784" s="1542" t="s">
        <v>476</v>
      </c>
      <c r="I3784" s="1505"/>
      <c r="J3784" s="1506"/>
      <c r="K3784" s="1506"/>
      <c r="L3784" s="1506"/>
      <c r="M3784" s="1506"/>
      <c r="N3784" s="1507"/>
    </row>
    <row r="3785" spans="1:14">
      <c r="A3785" s="1701"/>
      <c r="B3785" s="1694"/>
      <c r="C3785" s="416" t="s">
        <v>12</v>
      </c>
      <c r="D3785" s="417" t="s">
        <v>2187</v>
      </c>
      <c r="E3785" s="1323" t="s">
        <v>2596</v>
      </c>
      <c r="F3785" s="417" t="s">
        <v>2649</v>
      </c>
      <c r="G3785" s="418" t="s">
        <v>2709</v>
      </c>
      <c r="H3785" s="1503"/>
      <c r="I3785" s="1508"/>
      <c r="J3785" s="1509"/>
      <c r="K3785" s="1509"/>
      <c r="L3785" s="1509"/>
      <c r="M3785" s="1509"/>
      <c r="N3785" s="1510"/>
    </row>
    <row r="3786" spans="1:14">
      <c r="A3786" s="1574" t="s">
        <v>2895</v>
      </c>
      <c r="B3786" s="682" t="s">
        <v>2914</v>
      </c>
      <c r="C3786" s="639"/>
      <c r="D3786" s="346"/>
      <c r="E3786" s="346"/>
      <c r="F3786" s="346"/>
      <c r="G3786" s="346"/>
      <c r="H3786" s="683"/>
      <c r="I3786" s="1508"/>
      <c r="J3786" s="1509"/>
      <c r="K3786" s="1509"/>
      <c r="L3786" s="1509"/>
      <c r="M3786" s="1509"/>
      <c r="N3786" s="1510"/>
    </row>
    <row r="3787" spans="1:14">
      <c r="A3787" s="1640"/>
      <c r="B3787" s="501" t="s">
        <v>2844</v>
      </c>
      <c r="C3787" s="684">
        <v>7.11</v>
      </c>
      <c r="D3787" s="350"/>
      <c r="E3787" s="350"/>
      <c r="F3787" s="350"/>
      <c r="G3787" s="350"/>
      <c r="H3787" s="685">
        <f t="shared" ref="H3787:H3792" si="91">C3787</f>
        <v>7.11</v>
      </c>
      <c r="I3787" s="1508"/>
      <c r="J3787" s="1509"/>
      <c r="K3787" s="1509"/>
      <c r="L3787" s="1509"/>
      <c r="M3787" s="1509"/>
      <c r="N3787" s="1510"/>
    </row>
    <row r="3788" spans="1:14">
      <c r="A3788" s="1640"/>
      <c r="B3788" s="501" t="s">
        <v>2452</v>
      </c>
      <c r="C3788" s="684">
        <v>2.5299999999999998</v>
      </c>
      <c r="D3788" s="350"/>
      <c r="E3788" s="350"/>
      <c r="F3788" s="350"/>
      <c r="G3788" s="350"/>
      <c r="H3788" s="685">
        <f t="shared" si="91"/>
        <v>2.5299999999999998</v>
      </c>
      <c r="I3788" s="1508"/>
      <c r="J3788" s="1509"/>
      <c r="K3788" s="1509"/>
      <c r="L3788" s="1509"/>
      <c r="M3788" s="1509"/>
      <c r="N3788" s="1510"/>
    </row>
    <row r="3789" spans="1:14">
      <c r="A3789" s="1640"/>
      <c r="B3789" s="501" t="s">
        <v>2453</v>
      </c>
      <c r="C3789" s="684">
        <v>6.6</v>
      </c>
      <c r="D3789" s="350"/>
      <c r="E3789" s="350"/>
      <c r="F3789" s="350"/>
      <c r="G3789" s="350"/>
      <c r="H3789" s="685">
        <f t="shared" si="91"/>
        <v>6.6</v>
      </c>
      <c r="I3789" s="1508"/>
      <c r="J3789" s="1509"/>
      <c r="K3789" s="1509"/>
      <c r="L3789" s="1509"/>
      <c r="M3789" s="1509"/>
      <c r="N3789" s="1510"/>
    </row>
    <row r="3790" spans="1:14">
      <c r="A3790" s="1640"/>
      <c r="B3790" s="501" t="s">
        <v>2454</v>
      </c>
      <c r="C3790" s="684">
        <v>6.85</v>
      </c>
      <c r="D3790" s="350"/>
      <c r="E3790" s="350"/>
      <c r="F3790" s="350"/>
      <c r="G3790" s="350"/>
      <c r="H3790" s="685">
        <f t="shared" si="91"/>
        <v>6.85</v>
      </c>
      <c r="I3790" s="1508"/>
      <c r="J3790" s="1509"/>
      <c r="K3790" s="1509"/>
      <c r="L3790" s="1509"/>
      <c r="M3790" s="1509"/>
      <c r="N3790" s="1510"/>
    </row>
    <row r="3791" spans="1:14">
      <c r="A3791" s="1640"/>
      <c r="B3791" s="501" t="s">
        <v>2962</v>
      </c>
      <c r="C3791" s="684">
        <v>3.99</v>
      </c>
      <c r="D3791" s="350"/>
      <c r="E3791" s="350"/>
      <c r="F3791" s="350"/>
      <c r="G3791" s="350"/>
      <c r="H3791" s="685">
        <f t="shared" si="91"/>
        <v>3.99</v>
      </c>
      <c r="I3791" s="1508"/>
      <c r="J3791" s="1509"/>
      <c r="K3791" s="1509"/>
      <c r="L3791" s="1509"/>
      <c r="M3791" s="1509"/>
      <c r="N3791" s="1510"/>
    </row>
    <row r="3792" spans="1:14">
      <c r="A3792" s="1640"/>
      <c r="B3792" s="501" t="s">
        <v>2344</v>
      </c>
      <c r="C3792" s="684">
        <v>1.76</v>
      </c>
      <c r="D3792" s="350"/>
      <c r="E3792" s="350"/>
      <c r="F3792" s="350"/>
      <c r="G3792" s="350"/>
      <c r="H3792" s="685">
        <f t="shared" si="91"/>
        <v>1.76</v>
      </c>
      <c r="I3792" s="1508"/>
      <c r="J3792" s="1509"/>
      <c r="K3792" s="1509"/>
      <c r="L3792" s="1509"/>
      <c r="M3792" s="1509"/>
      <c r="N3792" s="1510"/>
    </row>
    <row r="3793" spans="1:14">
      <c r="A3793" s="1640"/>
      <c r="B3793" s="501" t="s">
        <v>2963</v>
      </c>
      <c r="C3793" s="684">
        <v>4.18</v>
      </c>
      <c r="D3793" s="350"/>
      <c r="E3793" s="350"/>
      <c r="F3793" s="350"/>
      <c r="G3793" s="350"/>
      <c r="H3793" s="685"/>
      <c r="I3793" s="1508"/>
      <c r="J3793" s="1509"/>
      <c r="K3793" s="1509"/>
      <c r="L3793" s="1509"/>
      <c r="M3793" s="1509"/>
      <c r="N3793" s="1510"/>
    </row>
    <row r="3794" spans="1:14">
      <c r="A3794" s="1640"/>
      <c r="B3794" s="355" t="s">
        <v>2965</v>
      </c>
      <c r="C3794" s="686">
        <v>22.39</v>
      </c>
      <c r="D3794" s="350"/>
      <c r="E3794" s="350"/>
      <c r="F3794" s="350"/>
      <c r="G3794" s="350"/>
      <c r="H3794" s="685">
        <f t="shared" ref="H3794:H3804" si="92">C3794</f>
        <v>22.39</v>
      </c>
      <c r="I3794" s="1508"/>
      <c r="J3794" s="1509"/>
      <c r="K3794" s="1509"/>
      <c r="L3794" s="1509"/>
      <c r="M3794" s="1509"/>
      <c r="N3794" s="1510"/>
    </row>
    <row r="3795" spans="1:14">
      <c r="A3795" s="1640"/>
      <c r="B3795" s="355" t="s">
        <v>2966</v>
      </c>
      <c r="C3795" s="686">
        <f>10.65+6.52</f>
        <v>17.170000000000002</v>
      </c>
      <c r="D3795" s="350"/>
      <c r="E3795" s="350"/>
      <c r="F3795" s="350"/>
      <c r="G3795" s="350"/>
      <c r="H3795" s="685">
        <f t="shared" si="92"/>
        <v>17.170000000000002</v>
      </c>
      <c r="I3795" s="1508"/>
      <c r="J3795" s="1509"/>
      <c r="K3795" s="1509"/>
      <c r="L3795" s="1509"/>
      <c r="M3795" s="1509"/>
      <c r="N3795" s="1510"/>
    </row>
    <row r="3796" spans="1:14">
      <c r="A3796" s="1640"/>
      <c r="B3796" s="355" t="s">
        <v>2234</v>
      </c>
      <c r="C3796" s="686">
        <v>10.67</v>
      </c>
      <c r="D3796" s="350"/>
      <c r="E3796" s="350"/>
      <c r="F3796" s="350"/>
      <c r="G3796" s="350"/>
      <c r="H3796" s="685">
        <f t="shared" si="92"/>
        <v>10.67</v>
      </c>
      <c r="I3796" s="1508"/>
      <c r="J3796" s="1509"/>
      <c r="K3796" s="1509"/>
      <c r="L3796" s="1509"/>
      <c r="M3796" s="1509"/>
      <c r="N3796" s="1510"/>
    </row>
    <row r="3797" spans="1:14">
      <c r="A3797" s="1640"/>
      <c r="B3797" s="355" t="s">
        <v>2967</v>
      </c>
      <c r="C3797" s="686">
        <v>10.62</v>
      </c>
      <c r="D3797" s="350"/>
      <c r="E3797" s="350"/>
      <c r="F3797" s="350"/>
      <c r="G3797" s="350"/>
      <c r="H3797" s="685">
        <f t="shared" si="92"/>
        <v>10.62</v>
      </c>
      <c r="I3797" s="1508"/>
      <c r="J3797" s="1509"/>
      <c r="K3797" s="1509"/>
      <c r="L3797" s="1509"/>
      <c r="M3797" s="1509"/>
      <c r="N3797" s="1510"/>
    </row>
    <row r="3798" spans="1:14">
      <c r="A3798" s="1640"/>
      <c r="B3798" s="355" t="s">
        <v>2968</v>
      </c>
      <c r="C3798" s="686">
        <v>10.62</v>
      </c>
      <c r="D3798" s="350"/>
      <c r="E3798" s="350"/>
      <c r="F3798" s="350"/>
      <c r="G3798" s="350"/>
      <c r="H3798" s="685">
        <f t="shared" si="92"/>
        <v>10.62</v>
      </c>
      <c r="I3798" s="1508"/>
      <c r="J3798" s="1509"/>
      <c r="K3798" s="1509"/>
      <c r="L3798" s="1509"/>
      <c r="M3798" s="1509"/>
      <c r="N3798" s="1510"/>
    </row>
    <row r="3799" spans="1:14">
      <c r="A3799" s="1640"/>
      <c r="B3799" s="355" t="s">
        <v>2969</v>
      </c>
      <c r="C3799" s="686">
        <v>11.62</v>
      </c>
      <c r="D3799" s="350"/>
      <c r="E3799" s="350"/>
      <c r="F3799" s="350"/>
      <c r="G3799" s="350"/>
      <c r="H3799" s="685">
        <f t="shared" si="92"/>
        <v>11.62</v>
      </c>
      <c r="I3799" s="1508"/>
      <c r="J3799" s="1509"/>
      <c r="K3799" s="1509"/>
      <c r="L3799" s="1509"/>
      <c r="M3799" s="1509"/>
      <c r="N3799" s="1510"/>
    </row>
    <row r="3800" spans="1:14">
      <c r="A3800" s="1640"/>
      <c r="B3800" s="355" t="s">
        <v>2970</v>
      </c>
      <c r="C3800" s="686">
        <v>11.99</v>
      </c>
      <c r="D3800" s="350"/>
      <c r="E3800" s="350"/>
      <c r="F3800" s="350"/>
      <c r="G3800" s="350"/>
      <c r="H3800" s="685">
        <f t="shared" si="92"/>
        <v>11.99</v>
      </c>
      <c r="I3800" s="1508"/>
      <c r="J3800" s="1509"/>
      <c r="K3800" s="1509"/>
      <c r="L3800" s="1509"/>
      <c r="M3800" s="1509"/>
      <c r="N3800" s="1510"/>
    </row>
    <row r="3801" spans="1:14">
      <c r="A3801" s="1640"/>
      <c r="B3801" s="355" t="s">
        <v>2971</v>
      </c>
      <c r="C3801" s="686">
        <v>10.51</v>
      </c>
      <c r="D3801" s="350"/>
      <c r="E3801" s="350"/>
      <c r="F3801" s="350"/>
      <c r="G3801" s="350"/>
      <c r="H3801" s="685">
        <f t="shared" si="92"/>
        <v>10.51</v>
      </c>
      <c r="I3801" s="1508"/>
      <c r="J3801" s="1509"/>
      <c r="K3801" s="1509"/>
      <c r="L3801" s="1509"/>
      <c r="M3801" s="1509"/>
      <c r="N3801" s="1510"/>
    </row>
    <row r="3802" spans="1:14">
      <c r="A3802" s="1640"/>
      <c r="B3802" s="355" t="s">
        <v>2972</v>
      </c>
      <c r="C3802" s="686">
        <v>7.95</v>
      </c>
      <c r="D3802" s="350"/>
      <c r="E3802" s="350"/>
      <c r="F3802" s="350"/>
      <c r="G3802" s="350"/>
      <c r="H3802" s="685">
        <f t="shared" si="92"/>
        <v>7.95</v>
      </c>
      <c r="I3802" s="1508"/>
      <c r="J3802" s="1509"/>
      <c r="K3802" s="1509"/>
      <c r="L3802" s="1509"/>
      <c r="M3802" s="1509"/>
      <c r="N3802" s="1510"/>
    </row>
    <row r="3803" spans="1:14">
      <c r="A3803" s="1640"/>
      <c r="B3803" s="355" t="s">
        <v>2223</v>
      </c>
      <c r="C3803" s="686">
        <v>10.6</v>
      </c>
      <c r="D3803" s="350"/>
      <c r="E3803" s="350"/>
      <c r="F3803" s="350"/>
      <c r="G3803" s="350"/>
      <c r="H3803" s="685">
        <f t="shared" si="92"/>
        <v>10.6</v>
      </c>
      <c r="I3803" s="1508"/>
      <c r="J3803" s="1509"/>
      <c r="K3803" s="1509"/>
      <c r="L3803" s="1509"/>
      <c r="M3803" s="1509"/>
      <c r="N3803" s="1510"/>
    </row>
    <row r="3804" spans="1:14">
      <c r="A3804" s="1640"/>
      <c r="B3804" s="355" t="s">
        <v>2973</v>
      </c>
      <c r="C3804" s="686">
        <v>2.97</v>
      </c>
      <c r="D3804" s="350"/>
      <c r="E3804" s="350"/>
      <c r="F3804" s="350"/>
      <c r="G3804" s="350"/>
      <c r="H3804" s="685">
        <f t="shared" si="92"/>
        <v>2.97</v>
      </c>
      <c r="I3804" s="1508"/>
      <c r="J3804" s="1509"/>
      <c r="K3804" s="1509"/>
      <c r="L3804" s="1509"/>
      <c r="M3804" s="1509"/>
      <c r="N3804" s="1510"/>
    </row>
    <row r="3805" spans="1:14">
      <c r="A3805" s="1640"/>
      <c r="B3805" s="687" t="s">
        <v>2915</v>
      </c>
      <c r="C3805" s="292"/>
      <c r="D3805" s="341"/>
      <c r="E3805" s="341"/>
      <c r="F3805" s="341"/>
      <c r="G3805" s="341"/>
      <c r="H3805" s="423"/>
      <c r="I3805" s="1508"/>
      <c r="J3805" s="1509"/>
      <c r="K3805" s="1509"/>
      <c r="L3805" s="1509"/>
      <c r="M3805" s="1509"/>
      <c r="N3805" s="1510"/>
    </row>
    <row r="3806" spans="1:14">
      <c r="A3806" s="1640"/>
      <c r="B3806" s="501" t="s">
        <v>2458</v>
      </c>
      <c r="C3806" s="688">
        <v>5.08</v>
      </c>
      <c r="D3806" s="350"/>
      <c r="E3806" s="350"/>
      <c r="F3806" s="350"/>
      <c r="G3806" s="350"/>
      <c r="H3806" s="689">
        <f t="shared" ref="H3806:H3850" si="93">C3806</f>
        <v>5.08</v>
      </c>
      <c r="I3806" s="1508"/>
      <c r="J3806" s="1509"/>
      <c r="K3806" s="1509"/>
      <c r="L3806" s="1509"/>
      <c r="M3806" s="1509"/>
      <c r="N3806" s="1510"/>
    </row>
    <row r="3807" spans="1:14">
      <c r="A3807" s="1640"/>
      <c r="B3807" s="501" t="s">
        <v>2459</v>
      </c>
      <c r="C3807" s="688">
        <v>4.9000000000000004</v>
      </c>
      <c r="D3807" s="350"/>
      <c r="E3807" s="350"/>
      <c r="F3807" s="350"/>
      <c r="G3807" s="350"/>
      <c r="H3807" s="689">
        <f t="shared" si="93"/>
        <v>4.9000000000000004</v>
      </c>
      <c r="I3807" s="1508"/>
      <c r="J3807" s="1509"/>
      <c r="K3807" s="1509"/>
      <c r="L3807" s="1509"/>
      <c r="M3807" s="1509"/>
      <c r="N3807" s="1510"/>
    </row>
    <row r="3808" spans="1:14">
      <c r="A3808" s="1640"/>
      <c r="B3808" s="501" t="s">
        <v>2344</v>
      </c>
      <c r="C3808" s="688">
        <v>1.98</v>
      </c>
      <c r="D3808" s="350"/>
      <c r="E3808" s="350"/>
      <c r="F3808" s="350"/>
      <c r="G3808" s="350"/>
      <c r="H3808" s="689">
        <f t="shared" si="93"/>
        <v>1.98</v>
      </c>
      <c r="I3808" s="1508"/>
      <c r="J3808" s="1509"/>
      <c r="K3808" s="1509"/>
      <c r="L3808" s="1509"/>
      <c r="M3808" s="1509"/>
      <c r="N3808" s="1510"/>
    </row>
    <row r="3809" spans="1:19">
      <c r="A3809" s="1640"/>
      <c r="B3809" s="501" t="s">
        <v>2977</v>
      </c>
      <c r="C3809" s="688">
        <v>2.37</v>
      </c>
      <c r="D3809" s="350"/>
      <c r="E3809" s="350"/>
      <c r="F3809" s="350"/>
      <c r="G3809" s="350"/>
      <c r="H3809" s="689">
        <f t="shared" si="93"/>
        <v>2.37</v>
      </c>
      <c r="I3809" s="1508"/>
      <c r="J3809" s="1509"/>
      <c r="K3809" s="1509"/>
      <c r="L3809" s="1509"/>
      <c r="M3809" s="1509"/>
      <c r="N3809" s="1510"/>
    </row>
    <row r="3810" spans="1:19">
      <c r="A3810" s="1640"/>
      <c r="B3810" s="501" t="s">
        <v>2338</v>
      </c>
      <c r="C3810" s="688">
        <v>3.32</v>
      </c>
      <c r="D3810" s="350"/>
      <c r="E3810" s="350"/>
      <c r="F3810" s="350"/>
      <c r="G3810" s="350"/>
      <c r="H3810" s="689">
        <f t="shared" si="93"/>
        <v>3.32</v>
      </c>
      <c r="I3810" s="1508"/>
      <c r="J3810" s="1509"/>
      <c r="K3810" s="1509"/>
      <c r="L3810" s="1509"/>
      <c r="M3810" s="1509"/>
      <c r="N3810" s="1510"/>
    </row>
    <row r="3811" spans="1:19">
      <c r="A3811" s="1640"/>
      <c r="B3811" s="501" t="s">
        <v>2339</v>
      </c>
      <c r="C3811" s="688">
        <v>5.13</v>
      </c>
      <c r="D3811" s="350"/>
      <c r="E3811" s="350"/>
      <c r="F3811" s="350"/>
      <c r="G3811" s="350"/>
      <c r="H3811" s="689">
        <f t="shared" si="93"/>
        <v>5.13</v>
      </c>
      <c r="I3811" s="1508"/>
      <c r="J3811" s="1509"/>
      <c r="K3811" s="1509"/>
      <c r="L3811" s="1509"/>
      <c r="M3811" s="1509"/>
      <c r="N3811" s="1510"/>
    </row>
    <row r="3812" spans="1:19">
      <c r="A3812" s="1640"/>
      <c r="B3812" s="501" t="s">
        <v>2461</v>
      </c>
      <c r="C3812" s="688">
        <v>1.81</v>
      </c>
      <c r="D3812" s="350"/>
      <c r="E3812" s="350"/>
      <c r="F3812" s="350"/>
      <c r="G3812" s="350"/>
      <c r="H3812" s="689">
        <f t="shared" si="93"/>
        <v>1.81</v>
      </c>
      <c r="I3812" s="1508"/>
      <c r="J3812" s="1509"/>
      <c r="K3812" s="1509"/>
      <c r="L3812" s="1509"/>
      <c r="M3812" s="1509"/>
      <c r="N3812" s="1510"/>
      <c r="R3812" s="690"/>
      <c r="S3812" s="690"/>
    </row>
    <row r="3813" spans="1:19">
      <c r="A3813" s="1640"/>
      <c r="B3813" s="355" t="s">
        <v>2978</v>
      </c>
      <c r="C3813" s="688">
        <v>17.309999999999999</v>
      </c>
      <c r="D3813" s="350"/>
      <c r="E3813" s="350"/>
      <c r="F3813" s="350"/>
      <c r="G3813" s="350"/>
      <c r="H3813" s="689">
        <f t="shared" si="93"/>
        <v>17.309999999999999</v>
      </c>
      <c r="I3813" s="1508"/>
      <c r="J3813" s="1509"/>
      <c r="K3813" s="1509"/>
      <c r="L3813" s="1509"/>
      <c r="M3813" s="1509"/>
      <c r="N3813" s="1510"/>
    </row>
    <row r="3814" spans="1:19">
      <c r="A3814" s="1640"/>
      <c r="B3814" s="355" t="s">
        <v>2979</v>
      </c>
      <c r="C3814" s="688">
        <v>22.62</v>
      </c>
      <c r="D3814" s="350"/>
      <c r="E3814" s="350"/>
      <c r="F3814" s="350"/>
      <c r="G3814" s="350"/>
      <c r="H3814" s="689">
        <f t="shared" si="93"/>
        <v>22.62</v>
      </c>
      <c r="I3814" s="1508"/>
      <c r="J3814" s="1509"/>
      <c r="K3814" s="1509"/>
      <c r="L3814" s="1509"/>
      <c r="M3814" s="1509"/>
      <c r="N3814" s="1510"/>
    </row>
    <row r="3815" spans="1:19">
      <c r="A3815" s="1640"/>
      <c r="B3815" s="355" t="s">
        <v>2231</v>
      </c>
      <c r="C3815" s="688">
        <v>7.27</v>
      </c>
      <c r="D3815" s="350"/>
      <c r="E3815" s="350"/>
      <c r="F3815" s="350"/>
      <c r="G3815" s="350"/>
      <c r="H3815" s="689">
        <f t="shared" si="93"/>
        <v>7.27</v>
      </c>
      <c r="I3815" s="1508"/>
      <c r="J3815" s="1509"/>
      <c r="K3815" s="1509"/>
      <c r="L3815" s="1509"/>
      <c r="M3815" s="1509"/>
      <c r="N3815" s="1510"/>
    </row>
    <row r="3816" spans="1:19">
      <c r="A3816" s="1640"/>
      <c r="B3816" s="501" t="s">
        <v>2980</v>
      </c>
      <c r="C3816" s="688">
        <v>9.6</v>
      </c>
      <c r="D3816" s="350"/>
      <c r="E3816" s="350"/>
      <c r="F3816" s="350"/>
      <c r="G3816" s="350"/>
      <c r="H3816" s="689">
        <f t="shared" si="93"/>
        <v>9.6</v>
      </c>
      <c r="I3816" s="1508"/>
      <c r="J3816" s="1509"/>
      <c r="K3816" s="1509"/>
      <c r="L3816" s="1509"/>
      <c r="M3816" s="1509"/>
      <c r="N3816" s="1510"/>
    </row>
    <row r="3817" spans="1:19">
      <c r="A3817" s="1640"/>
      <c r="B3817" s="501" t="s">
        <v>2981</v>
      </c>
      <c r="C3817" s="688">
        <v>9.6</v>
      </c>
      <c r="D3817" s="350"/>
      <c r="E3817" s="350"/>
      <c r="F3817" s="350"/>
      <c r="G3817" s="350"/>
      <c r="H3817" s="689">
        <f t="shared" si="93"/>
        <v>9.6</v>
      </c>
      <c r="I3817" s="1508"/>
      <c r="J3817" s="1509"/>
      <c r="K3817" s="1509"/>
      <c r="L3817" s="1509"/>
      <c r="M3817" s="1509"/>
      <c r="N3817" s="1510"/>
    </row>
    <row r="3818" spans="1:19">
      <c r="A3818" s="1640"/>
      <c r="B3818" s="501" t="s">
        <v>2968</v>
      </c>
      <c r="C3818" s="688">
        <v>9.6</v>
      </c>
      <c r="D3818" s="350"/>
      <c r="E3818" s="350"/>
      <c r="F3818" s="350"/>
      <c r="G3818" s="350"/>
      <c r="H3818" s="689">
        <f t="shared" si="93"/>
        <v>9.6</v>
      </c>
      <c r="I3818" s="1508"/>
      <c r="J3818" s="1509"/>
      <c r="K3818" s="1509"/>
      <c r="L3818" s="1509"/>
      <c r="M3818" s="1509"/>
      <c r="N3818" s="1510"/>
    </row>
    <row r="3819" spans="1:19">
      <c r="A3819" s="1640"/>
      <c r="B3819" s="355" t="s">
        <v>2967</v>
      </c>
      <c r="C3819" s="688">
        <v>9.6</v>
      </c>
      <c r="D3819" s="350"/>
      <c r="E3819" s="350"/>
      <c r="F3819" s="350"/>
      <c r="G3819" s="350"/>
      <c r="H3819" s="689">
        <f t="shared" si="93"/>
        <v>9.6</v>
      </c>
      <c r="I3819" s="1508"/>
      <c r="J3819" s="1509"/>
      <c r="K3819" s="1509"/>
      <c r="L3819" s="1509"/>
      <c r="M3819" s="1509"/>
      <c r="N3819" s="1510"/>
    </row>
    <row r="3820" spans="1:19">
      <c r="A3820" s="1640"/>
      <c r="B3820" s="355" t="s">
        <v>2234</v>
      </c>
      <c r="C3820" s="688">
        <v>12.54</v>
      </c>
      <c r="D3820" s="350"/>
      <c r="E3820" s="350"/>
      <c r="F3820" s="350"/>
      <c r="G3820" s="350"/>
      <c r="H3820" s="689">
        <f t="shared" si="93"/>
        <v>12.54</v>
      </c>
      <c r="I3820" s="1508"/>
      <c r="J3820" s="1509"/>
      <c r="K3820" s="1509"/>
      <c r="L3820" s="1509"/>
      <c r="M3820" s="1509"/>
      <c r="N3820" s="1510"/>
    </row>
    <row r="3821" spans="1:19">
      <c r="A3821" s="1640"/>
      <c r="B3821" s="355" t="s">
        <v>2342</v>
      </c>
      <c r="C3821" s="688">
        <v>12.59</v>
      </c>
      <c r="D3821" s="350"/>
      <c r="E3821" s="350"/>
      <c r="F3821" s="350"/>
      <c r="G3821" s="350"/>
      <c r="H3821" s="689">
        <f t="shared" si="93"/>
        <v>12.59</v>
      </c>
      <c r="I3821" s="1508"/>
      <c r="J3821" s="1509"/>
      <c r="K3821" s="1509"/>
      <c r="L3821" s="1509"/>
      <c r="M3821" s="1509"/>
      <c r="N3821" s="1510"/>
    </row>
    <row r="3822" spans="1:19">
      <c r="A3822" s="1640"/>
      <c r="B3822" s="355" t="s">
        <v>2982</v>
      </c>
      <c r="C3822" s="688">
        <v>12.06</v>
      </c>
      <c r="D3822" s="350"/>
      <c r="E3822" s="350"/>
      <c r="F3822" s="350"/>
      <c r="G3822" s="350"/>
      <c r="H3822" s="689">
        <f t="shared" si="93"/>
        <v>12.06</v>
      </c>
      <c r="I3822" s="1508"/>
      <c r="J3822" s="1509"/>
      <c r="K3822" s="1509"/>
      <c r="L3822" s="1509"/>
      <c r="M3822" s="1509"/>
      <c r="N3822" s="1510"/>
    </row>
    <row r="3823" spans="1:19">
      <c r="A3823" s="1640"/>
      <c r="B3823" s="355" t="s">
        <v>2983</v>
      </c>
      <c r="C3823" s="688">
        <v>33.07</v>
      </c>
      <c r="D3823" s="350"/>
      <c r="E3823" s="350"/>
      <c r="F3823" s="350"/>
      <c r="G3823" s="350"/>
      <c r="H3823" s="689">
        <f t="shared" si="93"/>
        <v>33.07</v>
      </c>
      <c r="I3823" s="1508"/>
      <c r="J3823" s="1509"/>
      <c r="K3823" s="1509"/>
      <c r="L3823" s="1509"/>
      <c r="M3823" s="1509"/>
      <c r="N3823" s="1510"/>
    </row>
    <row r="3824" spans="1:19">
      <c r="A3824" s="1707"/>
      <c r="B3824" s="355" t="s">
        <v>2984</v>
      </c>
      <c r="C3824" s="292">
        <v>6.16</v>
      </c>
      <c r="D3824" s="341"/>
      <c r="E3824" s="341"/>
      <c r="F3824" s="341"/>
      <c r="G3824" s="341"/>
      <c r="H3824" s="689">
        <f t="shared" si="93"/>
        <v>6.16</v>
      </c>
      <c r="I3824" s="1508"/>
      <c r="J3824" s="1509"/>
      <c r="K3824" s="1509"/>
      <c r="L3824" s="1509"/>
      <c r="M3824" s="1509"/>
      <c r="N3824" s="1510"/>
    </row>
    <row r="3825" spans="1:14">
      <c r="A3825" s="1707"/>
      <c r="B3825" s="355" t="s">
        <v>2985</v>
      </c>
      <c r="C3825" s="292">
        <v>17</v>
      </c>
      <c r="D3825" s="341"/>
      <c r="E3825" s="341"/>
      <c r="F3825" s="341"/>
      <c r="G3825" s="341"/>
      <c r="H3825" s="689">
        <f t="shared" si="93"/>
        <v>17</v>
      </c>
      <c r="I3825" s="1508"/>
      <c r="J3825" s="1509"/>
      <c r="K3825" s="1509"/>
      <c r="L3825" s="1509"/>
      <c r="M3825" s="1509"/>
      <c r="N3825" s="1510"/>
    </row>
    <row r="3826" spans="1:14">
      <c r="A3826" s="1707"/>
      <c r="B3826" s="355" t="s">
        <v>2986</v>
      </c>
      <c r="C3826" s="292">
        <v>10.199999999999999</v>
      </c>
      <c r="D3826" s="341"/>
      <c r="E3826" s="341"/>
      <c r="F3826" s="341"/>
      <c r="G3826" s="341"/>
      <c r="H3826" s="689">
        <f t="shared" si="93"/>
        <v>10.199999999999999</v>
      </c>
      <c r="I3826" s="1508"/>
      <c r="J3826" s="1509"/>
      <c r="K3826" s="1509"/>
      <c r="L3826" s="1509"/>
      <c r="M3826" s="1509"/>
      <c r="N3826" s="1510"/>
    </row>
    <row r="3827" spans="1:14">
      <c r="A3827" s="1707"/>
      <c r="B3827" s="355" t="s">
        <v>2987</v>
      </c>
      <c r="C3827" s="292">
        <v>9.6</v>
      </c>
      <c r="D3827" s="341"/>
      <c r="E3827" s="341"/>
      <c r="F3827" s="341"/>
      <c r="G3827" s="341"/>
      <c r="H3827" s="689">
        <f t="shared" si="93"/>
        <v>9.6</v>
      </c>
      <c r="I3827" s="1508"/>
      <c r="J3827" s="1509"/>
      <c r="K3827" s="1509"/>
      <c r="L3827" s="1509"/>
      <c r="M3827" s="1509"/>
      <c r="N3827" s="1510"/>
    </row>
    <row r="3828" spans="1:14">
      <c r="A3828" s="1707"/>
      <c r="B3828" s="355" t="s">
        <v>2988</v>
      </c>
      <c r="C3828" s="292">
        <v>9.6</v>
      </c>
      <c r="D3828" s="341"/>
      <c r="E3828" s="341"/>
      <c r="F3828" s="341"/>
      <c r="G3828" s="341"/>
      <c r="H3828" s="689">
        <f t="shared" si="93"/>
        <v>9.6</v>
      </c>
      <c r="I3828" s="1508"/>
      <c r="J3828" s="1509"/>
      <c r="K3828" s="1509"/>
      <c r="L3828" s="1509"/>
      <c r="M3828" s="1509"/>
      <c r="N3828" s="1510"/>
    </row>
    <row r="3829" spans="1:14">
      <c r="A3829" s="1707"/>
      <c r="B3829" s="355" t="s">
        <v>2989</v>
      </c>
      <c r="C3829" s="292">
        <v>9.6</v>
      </c>
      <c r="D3829" s="341"/>
      <c r="E3829" s="341"/>
      <c r="F3829" s="341"/>
      <c r="G3829" s="341"/>
      <c r="H3829" s="689">
        <f t="shared" si="93"/>
        <v>9.6</v>
      </c>
      <c r="I3829" s="1508"/>
      <c r="J3829" s="1509"/>
      <c r="K3829" s="1509"/>
      <c r="L3829" s="1509"/>
      <c r="M3829" s="1509"/>
      <c r="N3829" s="1510"/>
    </row>
    <row r="3830" spans="1:14">
      <c r="A3830" s="1709" t="s">
        <v>2942</v>
      </c>
      <c r="B3830" s="355" t="s">
        <v>2974</v>
      </c>
      <c r="C3830" s="297">
        <v>16.399999999999999</v>
      </c>
      <c r="D3830" s="350"/>
      <c r="E3830" s="350"/>
      <c r="F3830" s="350"/>
      <c r="G3830" s="350"/>
      <c r="H3830" s="689">
        <f t="shared" si="93"/>
        <v>16.399999999999999</v>
      </c>
      <c r="I3830" s="1508"/>
      <c r="J3830" s="1509"/>
      <c r="K3830" s="1509"/>
      <c r="L3830" s="1509"/>
      <c r="M3830" s="1509"/>
      <c r="N3830" s="1510"/>
    </row>
    <row r="3831" spans="1:14">
      <c r="A3831" s="1531"/>
      <c r="B3831" s="355" t="s">
        <v>2975</v>
      </c>
      <c r="C3831" s="297">
        <v>5.4</v>
      </c>
      <c r="D3831" s="350"/>
      <c r="E3831" s="350"/>
      <c r="F3831" s="350"/>
      <c r="G3831" s="350"/>
      <c r="H3831" s="689">
        <f t="shared" si="93"/>
        <v>5.4</v>
      </c>
      <c r="I3831" s="1508"/>
      <c r="J3831" s="1509"/>
      <c r="K3831" s="1509"/>
      <c r="L3831" s="1509"/>
      <c r="M3831" s="1509"/>
      <c r="N3831" s="1510"/>
    </row>
    <row r="3832" spans="1:14">
      <c r="A3832" s="1531"/>
      <c r="B3832" s="355" t="s">
        <v>2231</v>
      </c>
      <c r="C3832" s="297">
        <v>10.31</v>
      </c>
      <c r="D3832" s="350"/>
      <c r="E3832" s="350"/>
      <c r="F3832" s="350"/>
      <c r="G3832" s="350"/>
      <c r="H3832" s="689">
        <f t="shared" si="93"/>
        <v>10.31</v>
      </c>
      <c r="I3832" s="1508"/>
      <c r="J3832" s="1509"/>
      <c r="K3832" s="1509"/>
      <c r="L3832" s="1509"/>
      <c r="M3832" s="1509"/>
      <c r="N3832" s="1510"/>
    </row>
    <row r="3833" spans="1:14">
      <c r="A3833" s="1531"/>
      <c r="B3833" s="355" t="s">
        <v>2973</v>
      </c>
      <c r="C3833" s="297">
        <v>4.26</v>
      </c>
      <c r="D3833" s="350"/>
      <c r="E3833" s="350"/>
      <c r="F3833" s="350"/>
      <c r="G3833" s="350"/>
      <c r="H3833" s="689">
        <f t="shared" si="93"/>
        <v>4.26</v>
      </c>
      <c r="I3833" s="1508"/>
      <c r="J3833" s="1509"/>
      <c r="K3833" s="1509"/>
      <c r="L3833" s="1509"/>
      <c r="M3833" s="1509"/>
      <c r="N3833" s="1510"/>
    </row>
    <row r="3834" spans="1:14">
      <c r="A3834" s="1531"/>
      <c r="B3834" s="691" t="s">
        <v>2976</v>
      </c>
      <c r="C3834" s="692">
        <v>3.43</v>
      </c>
      <c r="D3834" s="693"/>
      <c r="E3834" s="693"/>
      <c r="F3834" s="693"/>
      <c r="G3834" s="693"/>
      <c r="H3834" s="694">
        <f t="shared" si="93"/>
        <v>3.43</v>
      </c>
      <c r="I3834" s="1508"/>
      <c r="J3834" s="1509"/>
      <c r="K3834" s="1509"/>
      <c r="L3834" s="1509"/>
      <c r="M3834" s="1509"/>
      <c r="N3834" s="1510"/>
    </row>
    <row r="3835" spans="1:14">
      <c r="A3835" s="1531"/>
      <c r="B3835" s="695" t="s">
        <v>2949</v>
      </c>
      <c r="C3835" s="375">
        <v>16.16</v>
      </c>
      <c r="D3835" s="376"/>
      <c r="E3835" s="376"/>
      <c r="F3835" s="376"/>
      <c r="G3835" s="376"/>
      <c r="H3835" s="475">
        <f t="shared" si="93"/>
        <v>16.16</v>
      </c>
      <c r="I3835" s="1509"/>
      <c r="J3835" s="1509"/>
      <c r="K3835" s="1509"/>
      <c r="L3835" s="1509"/>
      <c r="M3835" s="1509"/>
      <c r="N3835" s="1510"/>
    </row>
    <row r="3836" spans="1:14">
      <c r="A3836" s="1531"/>
      <c r="B3836" s="298" t="s">
        <v>2950</v>
      </c>
      <c r="C3836" s="297">
        <v>11.98</v>
      </c>
      <c r="D3836" s="350"/>
      <c r="E3836" s="350"/>
      <c r="F3836" s="350"/>
      <c r="G3836" s="350"/>
      <c r="H3836" s="371">
        <f t="shared" si="93"/>
        <v>11.98</v>
      </c>
      <c r="I3836" s="1508"/>
      <c r="J3836" s="1509"/>
      <c r="K3836" s="1509"/>
      <c r="L3836" s="1509"/>
      <c r="M3836" s="1509"/>
      <c r="N3836" s="1510"/>
    </row>
    <row r="3837" spans="1:14">
      <c r="A3837" s="1531"/>
      <c r="B3837" s="290" t="s">
        <v>2951</v>
      </c>
      <c r="C3837" s="292">
        <v>6.72</v>
      </c>
      <c r="D3837" s="341"/>
      <c r="E3837" s="341"/>
      <c r="F3837" s="341"/>
      <c r="G3837" s="341"/>
      <c r="H3837" s="347">
        <f t="shared" si="93"/>
        <v>6.72</v>
      </c>
      <c r="I3837" s="1508"/>
      <c r="J3837" s="1509"/>
      <c r="K3837" s="1509"/>
      <c r="L3837" s="1509"/>
      <c r="M3837" s="1509"/>
      <c r="N3837" s="1510"/>
    </row>
    <row r="3838" spans="1:14">
      <c r="A3838" s="1531"/>
      <c r="B3838" s="290" t="s">
        <v>2952</v>
      </c>
      <c r="C3838" s="292">
        <v>14.84</v>
      </c>
      <c r="D3838" s="341"/>
      <c r="E3838" s="341"/>
      <c r="F3838" s="341"/>
      <c r="G3838" s="341"/>
      <c r="H3838" s="347">
        <f t="shared" si="93"/>
        <v>14.84</v>
      </c>
      <c r="I3838" s="1508"/>
      <c r="J3838" s="1509"/>
      <c r="K3838" s="1509"/>
      <c r="L3838" s="1509"/>
      <c r="M3838" s="1509"/>
      <c r="N3838" s="1510"/>
    </row>
    <row r="3839" spans="1:14">
      <c r="A3839" s="1531"/>
      <c r="B3839" s="290" t="s">
        <v>2953</v>
      </c>
      <c r="C3839" s="292">
        <v>12.97</v>
      </c>
      <c r="D3839" s="341"/>
      <c r="E3839" s="341"/>
      <c r="F3839" s="341"/>
      <c r="G3839" s="341"/>
      <c r="H3839" s="347">
        <f t="shared" si="93"/>
        <v>12.97</v>
      </c>
      <c r="I3839" s="1508"/>
      <c r="J3839" s="1509"/>
      <c r="K3839" s="1509"/>
      <c r="L3839" s="1509"/>
      <c r="M3839" s="1509"/>
      <c r="N3839" s="1510"/>
    </row>
    <row r="3840" spans="1:14">
      <c r="A3840" s="1531"/>
      <c r="B3840" s="290" t="s">
        <v>2776</v>
      </c>
      <c r="C3840" s="292">
        <v>8.06</v>
      </c>
      <c r="D3840" s="341"/>
      <c r="E3840" s="341"/>
      <c r="F3840" s="341"/>
      <c r="G3840" s="341"/>
      <c r="H3840" s="347">
        <f t="shared" si="93"/>
        <v>8.06</v>
      </c>
      <c r="I3840" s="1508"/>
      <c r="J3840" s="1509"/>
      <c r="K3840" s="1509"/>
      <c r="L3840" s="1509"/>
      <c r="M3840" s="1509"/>
      <c r="N3840" s="1510"/>
    </row>
    <row r="3841" spans="1:14">
      <c r="A3841" s="1531"/>
      <c r="B3841" s="696" t="s">
        <v>2451</v>
      </c>
      <c r="C3841" s="697">
        <v>3.22</v>
      </c>
      <c r="D3841" s="693"/>
      <c r="E3841" s="693"/>
      <c r="F3841" s="693"/>
      <c r="G3841" s="693"/>
      <c r="H3841" s="364">
        <f t="shared" si="93"/>
        <v>3.22</v>
      </c>
      <c r="I3841" s="1508"/>
      <c r="J3841" s="1509"/>
      <c r="K3841" s="1509"/>
      <c r="L3841" s="1509"/>
      <c r="M3841" s="1509"/>
      <c r="N3841" s="1510"/>
    </row>
    <row r="3842" spans="1:14">
      <c r="A3842" s="1530" t="s">
        <v>2997</v>
      </c>
      <c r="B3842" s="595" t="s">
        <v>2963</v>
      </c>
      <c r="C3842" s="346">
        <v>4.18</v>
      </c>
      <c r="D3842" s="614"/>
      <c r="E3842" s="531"/>
      <c r="F3842" s="346"/>
      <c r="G3842" s="288"/>
      <c r="H3842" s="698">
        <f t="shared" si="93"/>
        <v>4.18</v>
      </c>
      <c r="I3842" s="1508"/>
      <c r="J3842" s="1509"/>
      <c r="K3842" s="1509"/>
      <c r="L3842" s="1509"/>
      <c r="M3842" s="1509"/>
      <c r="N3842" s="1510"/>
    </row>
    <row r="3843" spans="1:14">
      <c r="A3843" s="1531"/>
      <c r="B3843" s="597" t="s">
        <v>2419</v>
      </c>
      <c r="C3843" s="341">
        <v>2.56</v>
      </c>
      <c r="D3843" s="888"/>
      <c r="E3843" s="901"/>
      <c r="F3843" s="341"/>
      <c r="G3843" s="290"/>
      <c r="H3843" s="675">
        <f t="shared" si="93"/>
        <v>2.56</v>
      </c>
      <c r="I3843" s="1508"/>
      <c r="J3843" s="1509"/>
      <c r="K3843" s="1509"/>
      <c r="L3843" s="1509"/>
      <c r="M3843" s="1509"/>
      <c r="N3843" s="1510"/>
    </row>
    <row r="3844" spans="1:14">
      <c r="A3844" s="1531"/>
      <c r="B3844" s="597" t="s">
        <v>3000</v>
      </c>
      <c r="C3844" s="341">
        <v>1.08</v>
      </c>
      <c r="D3844" s="888"/>
      <c r="E3844" s="901"/>
      <c r="F3844" s="341"/>
      <c r="G3844" s="290"/>
      <c r="H3844" s="675">
        <f t="shared" si="93"/>
        <v>1.08</v>
      </c>
      <c r="I3844" s="1508"/>
      <c r="J3844" s="1509"/>
      <c r="K3844" s="1509"/>
      <c r="L3844" s="1509"/>
      <c r="M3844" s="1509"/>
      <c r="N3844" s="1510"/>
    </row>
    <row r="3845" spans="1:14">
      <c r="A3845" s="1531"/>
      <c r="B3845" s="699" t="s">
        <v>3002</v>
      </c>
      <c r="C3845" s="350">
        <v>17.18</v>
      </c>
      <c r="D3845" s="904"/>
      <c r="E3845" s="903"/>
      <c r="F3845" s="350"/>
      <c r="G3845" s="298"/>
      <c r="H3845" s="675">
        <f t="shared" si="93"/>
        <v>17.18</v>
      </c>
      <c r="I3845" s="1508"/>
      <c r="J3845" s="1509"/>
      <c r="K3845" s="1509"/>
      <c r="L3845" s="1509"/>
      <c r="M3845" s="1509"/>
      <c r="N3845" s="1510"/>
    </row>
    <row r="3846" spans="1:14">
      <c r="A3846" s="1702"/>
      <c r="B3846" s="700" t="s">
        <v>3001</v>
      </c>
      <c r="C3846" s="701">
        <v>1.08</v>
      </c>
      <c r="D3846" s="983"/>
      <c r="E3846" s="994"/>
      <c r="F3846" s="701"/>
      <c r="G3846" s="702"/>
      <c r="H3846" s="679">
        <f t="shared" si="93"/>
        <v>1.08</v>
      </c>
      <c r="I3846" s="1508"/>
      <c r="J3846" s="1509"/>
      <c r="K3846" s="1509"/>
      <c r="L3846" s="1509"/>
      <c r="M3846" s="1509"/>
      <c r="N3846" s="1510"/>
    </row>
    <row r="3847" spans="1:14">
      <c r="A3847" s="1530" t="s">
        <v>3158</v>
      </c>
      <c r="B3847" s="699" t="s">
        <v>3193</v>
      </c>
      <c r="C3847" s="350">
        <v>3.88</v>
      </c>
      <c r="D3847" s="904"/>
      <c r="E3847" s="903"/>
      <c r="F3847" s="350"/>
      <c r="G3847" s="298"/>
      <c r="H3847" s="675">
        <f t="shared" si="93"/>
        <v>3.88</v>
      </c>
      <c r="I3847" s="1508"/>
      <c r="J3847" s="1509"/>
      <c r="K3847" s="1509"/>
      <c r="L3847" s="1509"/>
      <c r="M3847" s="1509"/>
      <c r="N3847" s="1510"/>
    </row>
    <row r="3848" spans="1:14">
      <c r="A3848" s="1531"/>
      <c r="B3848" s="699" t="s">
        <v>3194</v>
      </c>
      <c r="C3848" s="350">
        <v>4.12</v>
      </c>
      <c r="D3848" s="904"/>
      <c r="E3848" s="903"/>
      <c r="F3848" s="350"/>
      <c r="G3848" s="298"/>
      <c r="H3848" s="675">
        <f t="shared" si="93"/>
        <v>4.12</v>
      </c>
      <c r="I3848" s="1508"/>
      <c r="J3848" s="1509"/>
      <c r="K3848" s="1509"/>
      <c r="L3848" s="1509"/>
      <c r="M3848" s="1509"/>
      <c r="N3848" s="1510"/>
    </row>
    <row r="3849" spans="1:14">
      <c r="A3849" s="1531"/>
      <c r="B3849" s="699" t="s">
        <v>3195</v>
      </c>
      <c r="C3849" s="350">
        <v>3.88</v>
      </c>
      <c r="D3849" s="904"/>
      <c r="E3849" s="903"/>
      <c r="F3849" s="350"/>
      <c r="G3849" s="298"/>
      <c r="H3849" s="675">
        <f t="shared" si="93"/>
        <v>3.88</v>
      </c>
      <c r="I3849" s="1508"/>
      <c r="J3849" s="1509"/>
      <c r="K3849" s="1509"/>
      <c r="L3849" s="1509"/>
      <c r="M3849" s="1509"/>
      <c r="N3849" s="1510"/>
    </row>
    <row r="3850" spans="1:14">
      <c r="A3850" s="1531"/>
      <c r="B3850" s="913" t="s">
        <v>3196</v>
      </c>
      <c r="C3850" s="693">
        <v>4.12</v>
      </c>
      <c r="D3850" s="984"/>
      <c r="E3850" s="993"/>
      <c r="F3850" s="693"/>
      <c r="G3850" s="914"/>
      <c r="H3850" s="915">
        <f t="shared" si="93"/>
        <v>4.12</v>
      </c>
      <c r="I3850" s="1508"/>
      <c r="J3850" s="1509"/>
      <c r="K3850" s="1509"/>
      <c r="L3850" s="1509"/>
      <c r="M3850" s="1509"/>
      <c r="N3850" s="1510"/>
    </row>
    <row r="3851" spans="1:14">
      <c r="A3851" s="1530" t="s">
        <v>3294</v>
      </c>
      <c r="B3851" s="595"/>
      <c r="C3851" s="346"/>
      <c r="D3851" s="614"/>
      <c r="E3851" s="531"/>
      <c r="F3851" s="346"/>
      <c r="G3851" s="288"/>
      <c r="H3851" s="698"/>
      <c r="I3851" s="1508"/>
      <c r="J3851" s="1509"/>
      <c r="K3851" s="1509"/>
      <c r="L3851" s="1509"/>
      <c r="M3851" s="1509"/>
      <c r="N3851" s="1510"/>
    </row>
    <row r="3852" spans="1:14">
      <c r="A3852" s="1531"/>
      <c r="B3852" s="699" t="s">
        <v>2964</v>
      </c>
      <c r="C3852" s="350">
        <v>11.93</v>
      </c>
      <c r="D3852" s="904"/>
      <c r="E3852" s="903"/>
      <c r="F3852" s="350"/>
      <c r="G3852" s="298"/>
      <c r="H3852" s="675">
        <f>C3852</f>
        <v>11.93</v>
      </c>
      <c r="I3852" s="1508"/>
      <c r="J3852" s="1509"/>
      <c r="K3852" s="1509"/>
      <c r="L3852" s="1509"/>
      <c r="M3852" s="1509"/>
      <c r="N3852" s="1510"/>
    </row>
    <row r="3853" spans="1:14">
      <c r="A3853" s="1531"/>
      <c r="B3853" s="699" t="s">
        <v>3335</v>
      </c>
      <c r="C3853" s="350">
        <v>37.65</v>
      </c>
      <c r="D3853" s="904"/>
      <c r="E3853" s="903"/>
      <c r="F3853" s="350"/>
      <c r="G3853" s="298"/>
      <c r="H3853" s="675">
        <f>C3853</f>
        <v>37.65</v>
      </c>
      <c r="I3853" s="1508"/>
      <c r="J3853" s="1509"/>
      <c r="K3853" s="1509"/>
      <c r="L3853" s="1509"/>
      <c r="M3853" s="1509"/>
      <c r="N3853" s="1510"/>
    </row>
    <row r="3854" spans="1:14">
      <c r="A3854" s="1531"/>
      <c r="B3854" s="699"/>
      <c r="C3854" s="350"/>
      <c r="D3854" s="904"/>
      <c r="E3854" s="903"/>
      <c r="F3854" s="350"/>
      <c r="G3854" s="298"/>
      <c r="H3854" s="675"/>
      <c r="I3854" s="1508"/>
      <c r="J3854" s="1509"/>
      <c r="K3854" s="1509"/>
      <c r="L3854" s="1509"/>
      <c r="M3854" s="1509"/>
      <c r="N3854" s="1510"/>
    </row>
    <row r="3855" spans="1:14">
      <c r="A3855" s="1530" t="s">
        <v>3569</v>
      </c>
      <c r="B3855" s="595"/>
      <c r="C3855" s="346"/>
      <c r="D3855" s="614"/>
      <c r="E3855" s="531"/>
      <c r="F3855" s="346"/>
      <c r="G3855" s="288"/>
      <c r="H3855" s="698"/>
      <c r="I3855" s="1508"/>
      <c r="J3855" s="1509"/>
      <c r="K3855" s="1509"/>
      <c r="L3855" s="1509"/>
      <c r="M3855" s="1509"/>
      <c r="N3855" s="1510"/>
    </row>
    <row r="3856" spans="1:14">
      <c r="A3856" s="1531"/>
      <c r="B3856" s="699" t="s">
        <v>3589</v>
      </c>
      <c r="C3856" s="350">
        <v>18.010000000000002</v>
      </c>
      <c r="D3856" s="904"/>
      <c r="E3856" s="903"/>
      <c r="F3856" s="350"/>
      <c r="G3856" s="298"/>
      <c r="H3856" s="675">
        <f>C3856</f>
        <v>18.010000000000002</v>
      </c>
      <c r="I3856" s="1508"/>
      <c r="J3856" s="1509"/>
      <c r="K3856" s="1509"/>
      <c r="L3856" s="1509"/>
      <c r="M3856" s="1509"/>
      <c r="N3856" s="1510"/>
    </row>
    <row r="3857" spans="1:14">
      <c r="A3857" s="1531"/>
      <c r="B3857" s="699"/>
      <c r="C3857" s="350"/>
      <c r="D3857" s="904"/>
      <c r="E3857" s="903"/>
      <c r="F3857" s="350"/>
      <c r="G3857" s="298"/>
      <c r="H3857" s="675"/>
      <c r="I3857" s="1508"/>
      <c r="J3857" s="1509"/>
      <c r="K3857" s="1509"/>
      <c r="L3857" s="1509"/>
      <c r="M3857" s="1509"/>
      <c r="N3857" s="1510"/>
    </row>
    <row r="3858" spans="1:14">
      <c r="A3858" s="1542" t="s">
        <v>2218</v>
      </c>
      <c r="B3858" s="1542"/>
      <c r="C3858" s="1542"/>
      <c r="D3858" s="1542"/>
      <c r="E3858" s="1542"/>
      <c r="F3858" s="1542"/>
      <c r="G3858" s="1542"/>
      <c r="H3858" s="271">
        <f>SUM(H3786:H3857)</f>
        <v>621.98</v>
      </c>
      <c r="I3858" s="1508"/>
      <c r="J3858" s="1509"/>
      <c r="K3858" s="1509"/>
      <c r="L3858" s="1509"/>
      <c r="M3858" s="1509"/>
      <c r="N3858" s="1510"/>
    </row>
    <row r="3859" spans="1:14">
      <c r="A3859" s="1538" t="s">
        <v>2219</v>
      </c>
      <c r="B3859" s="1538"/>
      <c r="C3859" s="1538"/>
      <c r="D3859" s="1538"/>
      <c r="E3859" s="1538"/>
      <c r="F3859" s="1538"/>
      <c r="G3859" s="1538"/>
      <c r="H3859" s="271">
        <f>SUM(H3787:H3854)</f>
        <v>603.97</v>
      </c>
      <c r="I3859" s="1508"/>
      <c r="J3859" s="1509"/>
      <c r="K3859" s="1509"/>
      <c r="L3859" s="1509"/>
      <c r="M3859" s="1509"/>
      <c r="N3859" s="1510"/>
    </row>
    <row r="3860" spans="1:14" ht="13.9" customHeight="1" thickBot="1">
      <c r="A3860" s="1538" t="s">
        <v>2220</v>
      </c>
      <c r="B3860" s="1538"/>
      <c r="C3860" s="1538"/>
      <c r="D3860" s="1538"/>
      <c r="E3860" s="1538"/>
      <c r="F3860" s="1538"/>
      <c r="G3860" s="1538"/>
      <c r="H3860" s="216">
        <f>H3858-H3859</f>
        <v>18.009999999999991</v>
      </c>
      <c r="I3860" s="1511"/>
      <c r="J3860" s="1512"/>
      <c r="K3860" s="1512"/>
      <c r="L3860" s="1512"/>
      <c r="M3860" s="1512"/>
      <c r="N3860" s="1513"/>
    </row>
    <row r="3861" spans="1:14" ht="15.75" thickBot="1">
      <c r="A3861" s="278"/>
      <c r="B3861" s="278"/>
      <c r="C3861" s="278"/>
      <c r="D3861" s="281"/>
      <c r="E3861" s="1319"/>
      <c r="F3861" s="278"/>
      <c r="G3861" s="278"/>
      <c r="H3861" s="217"/>
      <c r="I3861" s="279"/>
      <c r="J3861" s="279"/>
      <c r="K3861" s="279"/>
      <c r="L3861" s="279"/>
      <c r="M3861" s="279"/>
      <c r="N3861" s="279"/>
    </row>
    <row r="3862" spans="1:14" ht="18.600000000000001" customHeight="1" thickBot="1">
      <c r="A3862" s="1085" t="s">
        <v>3257</v>
      </c>
      <c r="B3862" s="1494" t="s">
        <v>3258</v>
      </c>
      <c r="C3862" s="1495"/>
      <c r="D3862" s="1495"/>
      <c r="E3862" s="1495"/>
      <c r="F3862" s="1495"/>
      <c r="G3862" s="1495"/>
      <c r="H3862" s="1495"/>
      <c r="I3862" s="1495"/>
      <c r="J3862" s="1496"/>
      <c r="K3862" s="196"/>
      <c r="L3862" s="1497"/>
      <c r="M3862" s="1498"/>
      <c r="N3862" s="197"/>
    </row>
    <row r="3863" spans="1:14" ht="32.450000000000003" customHeight="1">
      <c r="A3863" s="1085" t="s">
        <v>3259</v>
      </c>
      <c r="B3863" s="1494" t="s">
        <v>1033</v>
      </c>
      <c r="C3863" s="1495"/>
      <c r="D3863" s="1495"/>
      <c r="E3863" s="1495"/>
      <c r="F3863" s="1495"/>
      <c r="G3863" s="1495"/>
      <c r="H3863" s="1495"/>
      <c r="I3863" s="1495"/>
      <c r="J3863" s="1496"/>
      <c r="K3863" s="196" t="s">
        <v>2222</v>
      </c>
      <c r="L3863" s="1497">
        <f>'27ª MEDIÇÃO '!F229</f>
        <v>66.81</v>
      </c>
      <c r="M3863" s="1498"/>
      <c r="N3863" s="197">
        <f>L3863-H3890</f>
        <v>0</v>
      </c>
    </row>
    <row r="3864" spans="1:14">
      <c r="A3864" s="1554"/>
      <c r="B3864" s="1541"/>
      <c r="C3864" s="366"/>
      <c r="D3864" s="367" t="s">
        <v>2183</v>
      </c>
      <c r="E3864" s="1320"/>
      <c r="F3864" s="367"/>
      <c r="G3864" s="367"/>
      <c r="H3864" s="1542" t="s">
        <v>476</v>
      </c>
      <c r="I3864" s="1505"/>
      <c r="J3864" s="1506"/>
      <c r="K3864" s="1506"/>
      <c r="L3864" s="1506"/>
      <c r="M3864" s="1506"/>
      <c r="N3864" s="1507"/>
    </row>
    <row r="3865" spans="1:14">
      <c r="A3865" s="1701"/>
      <c r="B3865" s="1694"/>
      <c r="C3865" s="416" t="s">
        <v>12</v>
      </c>
      <c r="D3865" s="417" t="s">
        <v>3393</v>
      </c>
      <c r="E3865" s="1323"/>
      <c r="F3865" s="417"/>
      <c r="G3865" s="418"/>
      <c r="H3865" s="1503"/>
      <c r="I3865" s="1508"/>
      <c r="J3865" s="1509"/>
      <c r="K3865" s="1509"/>
      <c r="L3865" s="1509"/>
      <c r="M3865" s="1509"/>
      <c r="N3865" s="1510"/>
    </row>
    <row r="3866" spans="1:14">
      <c r="A3866" s="1530" t="s">
        <v>3364</v>
      </c>
      <c r="B3866" s="673" t="s">
        <v>2727</v>
      </c>
      <c r="C3866" s="350"/>
      <c r="D3866" s="904"/>
      <c r="E3866" s="903"/>
      <c r="F3866" s="350"/>
      <c r="G3866" s="298"/>
      <c r="H3866" s="675"/>
      <c r="I3866" s="1508"/>
      <c r="J3866" s="1509"/>
      <c r="K3866" s="1509"/>
      <c r="L3866" s="1509"/>
      <c r="M3866" s="1509"/>
      <c r="N3866" s="1510"/>
    </row>
    <row r="3867" spans="1:14">
      <c r="A3867" s="1531"/>
      <c r="B3867" s="355" t="s">
        <v>3391</v>
      </c>
      <c r="C3867" s="350"/>
      <c r="D3867" s="903">
        <v>3.22</v>
      </c>
      <c r="E3867" s="903"/>
      <c r="F3867" s="350"/>
      <c r="G3867" s="298"/>
      <c r="H3867" s="675">
        <f t="shared" ref="H3867:H3883" si="94">D3867</f>
        <v>3.22</v>
      </c>
      <c r="I3867" s="1508"/>
      <c r="J3867" s="1509"/>
      <c r="K3867" s="1509"/>
      <c r="L3867" s="1509"/>
      <c r="M3867" s="1509"/>
      <c r="N3867" s="1510"/>
    </row>
    <row r="3868" spans="1:14">
      <c r="A3868" s="1531"/>
      <c r="B3868" s="355" t="s">
        <v>2844</v>
      </c>
      <c r="C3868" s="350"/>
      <c r="D3868" s="903">
        <v>7.11</v>
      </c>
      <c r="E3868" s="903"/>
      <c r="F3868" s="350"/>
      <c r="G3868" s="298"/>
      <c r="H3868" s="675">
        <f t="shared" si="94"/>
        <v>7.11</v>
      </c>
      <c r="I3868" s="1508"/>
      <c r="J3868" s="1509"/>
      <c r="K3868" s="1509"/>
      <c r="L3868" s="1509"/>
      <c r="M3868" s="1509"/>
      <c r="N3868" s="1510"/>
    </row>
    <row r="3869" spans="1:14">
      <c r="A3869" s="1531"/>
      <c r="B3869" s="355" t="s">
        <v>2452</v>
      </c>
      <c r="C3869" s="350"/>
      <c r="D3869" s="903">
        <v>2.5299999999999998</v>
      </c>
      <c r="E3869" s="903"/>
      <c r="F3869" s="350"/>
      <c r="G3869" s="298"/>
      <c r="H3869" s="675">
        <f t="shared" si="94"/>
        <v>2.5299999999999998</v>
      </c>
      <c r="I3869" s="1508"/>
      <c r="J3869" s="1509"/>
      <c r="K3869" s="1509"/>
      <c r="L3869" s="1509"/>
      <c r="M3869" s="1509"/>
      <c r="N3869" s="1510"/>
    </row>
    <row r="3870" spans="1:14">
      <c r="A3870" s="1531"/>
      <c r="B3870" s="355" t="s">
        <v>3319</v>
      </c>
      <c r="C3870" s="350"/>
      <c r="D3870" s="903">
        <v>6.6</v>
      </c>
      <c r="E3870" s="903"/>
      <c r="F3870" s="350"/>
      <c r="G3870" s="298"/>
      <c r="H3870" s="675">
        <f t="shared" si="94"/>
        <v>6.6</v>
      </c>
      <c r="I3870" s="1508"/>
      <c r="J3870" s="1509"/>
      <c r="K3870" s="1509"/>
      <c r="L3870" s="1509"/>
      <c r="M3870" s="1509"/>
      <c r="N3870" s="1510"/>
    </row>
    <row r="3871" spans="1:14">
      <c r="A3871" s="1531"/>
      <c r="B3871" s="355" t="s">
        <v>3320</v>
      </c>
      <c r="C3871" s="350"/>
      <c r="D3871" s="903">
        <v>6.85</v>
      </c>
      <c r="E3871" s="903"/>
      <c r="F3871" s="350"/>
      <c r="G3871" s="298"/>
      <c r="H3871" s="675">
        <f t="shared" si="94"/>
        <v>6.85</v>
      </c>
      <c r="I3871" s="1508"/>
      <c r="J3871" s="1509"/>
      <c r="K3871" s="1509"/>
      <c r="L3871" s="1509"/>
      <c r="M3871" s="1509"/>
      <c r="N3871" s="1510"/>
    </row>
    <row r="3872" spans="1:14">
      <c r="A3872" s="1531"/>
      <c r="B3872" s="355" t="s">
        <v>2440</v>
      </c>
      <c r="C3872" s="350"/>
      <c r="D3872" s="903">
        <v>3.99</v>
      </c>
      <c r="E3872" s="903"/>
      <c r="F3872" s="350"/>
      <c r="G3872" s="298"/>
      <c r="H3872" s="675">
        <f t="shared" si="94"/>
        <v>3.99</v>
      </c>
      <c r="I3872" s="1508"/>
      <c r="J3872" s="1509"/>
      <c r="K3872" s="1509"/>
      <c r="L3872" s="1509"/>
      <c r="M3872" s="1509"/>
      <c r="N3872" s="1510"/>
    </row>
    <row r="3873" spans="1:14">
      <c r="A3873" s="1531"/>
      <c r="B3873" s="355" t="s">
        <v>2344</v>
      </c>
      <c r="C3873" s="350"/>
      <c r="D3873" s="903">
        <v>1.76</v>
      </c>
      <c r="E3873" s="903"/>
      <c r="F3873" s="350"/>
      <c r="G3873" s="298"/>
      <c r="H3873" s="675">
        <f t="shared" si="94"/>
        <v>1.76</v>
      </c>
      <c r="I3873" s="1508"/>
      <c r="J3873" s="1509"/>
      <c r="K3873" s="1509"/>
      <c r="L3873" s="1509"/>
      <c r="M3873" s="1509"/>
      <c r="N3873" s="1510"/>
    </row>
    <row r="3874" spans="1:14">
      <c r="A3874" s="1531"/>
      <c r="B3874" s="355" t="s">
        <v>3323</v>
      </c>
      <c r="C3874" s="350"/>
      <c r="D3874" s="903">
        <v>3.88</v>
      </c>
      <c r="E3874" s="903"/>
      <c r="F3874" s="350"/>
      <c r="G3874" s="298"/>
      <c r="H3874" s="675">
        <f t="shared" si="94"/>
        <v>3.88</v>
      </c>
      <c r="I3874" s="1508"/>
      <c r="J3874" s="1509"/>
      <c r="K3874" s="1509"/>
      <c r="L3874" s="1509"/>
      <c r="M3874" s="1509"/>
      <c r="N3874" s="1510"/>
    </row>
    <row r="3875" spans="1:14">
      <c r="A3875" s="1531"/>
      <c r="B3875" s="355" t="s">
        <v>3322</v>
      </c>
      <c r="C3875" s="350"/>
      <c r="D3875" s="903">
        <v>4.12</v>
      </c>
      <c r="E3875" s="903"/>
      <c r="F3875" s="350"/>
      <c r="G3875" s="298"/>
      <c r="H3875" s="675">
        <f t="shared" si="94"/>
        <v>4.12</v>
      </c>
      <c r="I3875" s="1508"/>
      <c r="J3875" s="1509"/>
      <c r="K3875" s="1509"/>
      <c r="L3875" s="1509"/>
      <c r="M3875" s="1509"/>
      <c r="N3875" s="1510"/>
    </row>
    <row r="3876" spans="1:14">
      <c r="A3876" s="1531"/>
      <c r="B3876" s="673" t="s">
        <v>2929</v>
      </c>
      <c r="C3876" s="350"/>
      <c r="D3876" s="903"/>
      <c r="E3876" s="903"/>
      <c r="F3876" s="350"/>
      <c r="G3876" s="298"/>
      <c r="H3876" s="675">
        <f t="shared" si="94"/>
        <v>0</v>
      </c>
      <c r="I3876" s="1508"/>
      <c r="J3876" s="1509"/>
      <c r="K3876" s="1509"/>
      <c r="L3876" s="1509"/>
      <c r="M3876" s="1509"/>
      <c r="N3876" s="1510"/>
    </row>
    <row r="3877" spans="1:14">
      <c r="A3877" s="1531"/>
      <c r="B3877" s="355" t="s">
        <v>3323</v>
      </c>
      <c r="C3877" s="350"/>
      <c r="D3877" s="903">
        <v>5.08</v>
      </c>
      <c r="E3877" s="903"/>
      <c r="F3877" s="350"/>
      <c r="G3877" s="298"/>
      <c r="H3877" s="675">
        <f t="shared" si="94"/>
        <v>5.08</v>
      </c>
      <c r="I3877" s="1508"/>
      <c r="J3877" s="1509"/>
      <c r="K3877" s="1509"/>
      <c r="L3877" s="1509"/>
      <c r="M3877" s="1509"/>
      <c r="N3877" s="1510"/>
    </row>
    <row r="3878" spans="1:14">
      <c r="A3878" s="1531"/>
      <c r="B3878" s="355" t="s">
        <v>3322</v>
      </c>
      <c r="C3878" s="350"/>
      <c r="D3878" s="903">
        <v>4.9000000000000004</v>
      </c>
      <c r="E3878" s="903"/>
      <c r="F3878" s="350"/>
      <c r="G3878" s="298"/>
      <c r="H3878" s="675">
        <f t="shared" si="94"/>
        <v>4.9000000000000004</v>
      </c>
      <c r="I3878" s="1508"/>
      <c r="J3878" s="1509"/>
      <c r="K3878" s="1509"/>
      <c r="L3878" s="1509"/>
      <c r="M3878" s="1509"/>
      <c r="N3878" s="1510"/>
    </row>
    <row r="3879" spans="1:14">
      <c r="A3879" s="1531"/>
      <c r="B3879" s="355" t="s">
        <v>2344</v>
      </c>
      <c r="C3879" s="350"/>
      <c r="D3879" s="903">
        <v>1.98</v>
      </c>
      <c r="E3879" s="903"/>
      <c r="F3879" s="350"/>
      <c r="G3879" s="298"/>
      <c r="H3879" s="675">
        <f t="shared" si="94"/>
        <v>1.98</v>
      </c>
      <c r="I3879" s="1508"/>
      <c r="J3879" s="1509"/>
      <c r="K3879" s="1509"/>
      <c r="L3879" s="1509"/>
      <c r="M3879" s="1509"/>
      <c r="N3879" s="1510"/>
    </row>
    <row r="3880" spans="1:14">
      <c r="A3880" s="1531"/>
      <c r="B3880" s="355" t="s">
        <v>3392</v>
      </c>
      <c r="C3880" s="350"/>
      <c r="D3880" s="903">
        <v>2.37</v>
      </c>
      <c r="E3880" s="903"/>
      <c r="F3880" s="350"/>
      <c r="G3880" s="298"/>
      <c r="H3880" s="675">
        <f t="shared" si="94"/>
        <v>2.37</v>
      </c>
      <c r="I3880" s="1508"/>
      <c r="J3880" s="1509"/>
      <c r="K3880" s="1509"/>
      <c r="L3880" s="1509"/>
      <c r="M3880" s="1509"/>
      <c r="N3880" s="1510"/>
    </row>
    <row r="3881" spans="1:14">
      <c r="A3881" s="1531"/>
      <c r="B3881" s="355" t="s">
        <v>2339</v>
      </c>
      <c r="C3881" s="350"/>
      <c r="D3881" s="903">
        <v>3.32</v>
      </c>
      <c r="E3881" s="903"/>
      <c r="F3881" s="350"/>
      <c r="G3881" s="298"/>
      <c r="H3881" s="675">
        <f t="shared" si="94"/>
        <v>3.32</v>
      </c>
      <c r="I3881" s="1508"/>
      <c r="J3881" s="1509"/>
      <c r="K3881" s="1509"/>
      <c r="L3881" s="1509"/>
      <c r="M3881" s="1509"/>
      <c r="N3881" s="1510"/>
    </row>
    <row r="3882" spans="1:14">
      <c r="A3882" s="1531"/>
      <c r="B3882" s="355" t="s">
        <v>2338</v>
      </c>
      <c r="C3882" s="350"/>
      <c r="D3882" s="903">
        <v>5.13</v>
      </c>
      <c r="E3882" s="903"/>
      <c r="F3882" s="350"/>
      <c r="G3882" s="298"/>
      <c r="H3882" s="675">
        <f t="shared" si="94"/>
        <v>5.13</v>
      </c>
      <c r="I3882" s="1508"/>
      <c r="J3882" s="1509"/>
      <c r="K3882" s="1509"/>
      <c r="L3882" s="1509"/>
      <c r="M3882" s="1509"/>
      <c r="N3882" s="1510"/>
    </row>
    <row r="3883" spans="1:14">
      <c r="A3883" s="1531"/>
      <c r="B3883" s="355" t="s">
        <v>2461</v>
      </c>
      <c r="C3883" s="350"/>
      <c r="D3883" s="903">
        <v>1.81</v>
      </c>
      <c r="E3883" s="903"/>
      <c r="F3883" s="350"/>
      <c r="G3883" s="298"/>
      <c r="H3883" s="675">
        <f t="shared" si="94"/>
        <v>1.81</v>
      </c>
      <c r="I3883" s="1508"/>
      <c r="J3883" s="1509"/>
      <c r="K3883" s="1509"/>
      <c r="L3883" s="1509"/>
      <c r="M3883" s="1509"/>
      <c r="N3883" s="1510"/>
    </row>
    <row r="3884" spans="1:14">
      <c r="A3884" s="1531"/>
      <c r="B3884" s="699"/>
      <c r="C3884" s="350"/>
      <c r="D3884" s="904"/>
      <c r="E3884" s="903"/>
      <c r="F3884" s="350"/>
      <c r="G3884" s="298"/>
      <c r="H3884" s="675"/>
      <c r="I3884" s="1508"/>
      <c r="J3884" s="1509"/>
      <c r="K3884" s="1509"/>
      <c r="L3884" s="1509"/>
      <c r="M3884" s="1509"/>
      <c r="N3884" s="1510"/>
    </row>
    <row r="3885" spans="1:14">
      <c r="A3885" s="1701"/>
      <c r="B3885" s="1694"/>
      <c r="C3885" s="416" t="s">
        <v>12</v>
      </c>
      <c r="D3885" s="417" t="s">
        <v>3393</v>
      </c>
      <c r="E3885" s="1323"/>
      <c r="F3885" s="417"/>
      <c r="G3885" s="418"/>
      <c r="H3885" s="955" t="s">
        <v>476</v>
      </c>
      <c r="I3885" s="1508"/>
      <c r="J3885" s="1509"/>
      <c r="K3885" s="1509"/>
      <c r="L3885" s="1509"/>
      <c r="M3885" s="1509"/>
      <c r="N3885" s="1510"/>
    </row>
    <row r="3886" spans="1:14">
      <c r="A3886" s="1530" t="s">
        <v>3465</v>
      </c>
      <c r="B3886" s="673" t="s">
        <v>2727</v>
      </c>
      <c r="C3886" s="350"/>
      <c r="D3886" s="904"/>
      <c r="E3886" s="903"/>
      <c r="F3886" s="350"/>
      <c r="G3886" s="298"/>
      <c r="H3886" s="675"/>
      <c r="I3886" s="1508"/>
      <c r="J3886" s="1509"/>
      <c r="K3886" s="1509"/>
      <c r="L3886" s="1509"/>
      <c r="M3886" s="1509"/>
      <c r="N3886" s="1510"/>
    </row>
    <row r="3887" spans="1:14">
      <c r="A3887" s="1531"/>
      <c r="B3887" s="355" t="s">
        <v>2448</v>
      </c>
      <c r="C3887" s="350"/>
      <c r="D3887" s="903">
        <v>1.08</v>
      </c>
      <c r="E3887" s="903"/>
      <c r="F3887" s="350"/>
      <c r="G3887" s="298"/>
      <c r="H3887" s="675">
        <f>D3887</f>
        <v>1.08</v>
      </c>
      <c r="I3887" s="1508"/>
      <c r="J3887" s="1509"/>
      <c r="K3887" s="1509"/>
      <c r="L3887" s="1509"/>
      <c r="M3887" s="1509"/>
      <c r="N3887" s="1510"/>
    </row>
    <row r="3888" spans="1:14">
      <c r="A3888" s="1531"/>
      <c r="B3888" s="355" t="s">
        <v>2449</v>
      </c>
      <c r="C3888" s="350"/>
      <c r="D3888" s="903">
        <v>1.08</v>
      </c>
      <c r="E3888" s="903"/>
      <c r="F3888" s="350"/>
      <c r="G3888" s="298"/>
      <c r="H3888" s="675">
        <f>D3888</f>
        <v>1.08</v>
      </c>
      <c r="I3888" s="1508"/>
      <c r="J3888" s="1509"/>
      <c r="K3888" s="1509"/>
      <c r="L3888" s="1509"/>
      <c r="M3888" s="1509"/>
      <c r="N3888" s="1510"/>
    </row>
    <row r="3889" spans="1:14">
      <c r="A3889" s="1531"/>
      <c r="B3889" s="699"/>
      <c r="C3889" s="350"/>
      <c r="D3889" s="904"/>
      <c r="E3889" s="903"/>
      <c r="F3889" s="350"/>
      <c r="G3889" s="298"/>
      <c r="H3889" s="675"/>
      <c r="I3889" s="1508"/>
      <c r="J3889" s="1509"/>
      <c r="K3889" s="1509"/>
      <c r="L3889" s="1509"/>
      <c r="M3889" s="1509"/>
      <c r="N3889" s="1510"/>
    </row>
    <row r="3890" spans="1:14">
      <c r="A3890" s="1542" t="s">
        <v>2218</v>
      </c>
      <c r="B3890" s="1542"/>
      <c r="C3890" s="1542"/>
      <c r="D3890" s="1542"/>
      <c r="E3890" s="1542"/>
      <c r="F3890" s="1542"/>
      <c r="G3890" s="1542"/>
      <c r="H3890" s="271">
        <f>SUM(H3866:H3889)</f>
        <v>66.809999999999988</v>
      </c>
      <c r="I3890" s="1508"/>
      <c r="J3890" s="1509"/>
      <c r="K3890" s="1509"/>
      <c r="L3890" s="1509"/>
      <c r="M3890" s="1509"/>
      <c r="N3890" s="1510"/>
    </row>
    <row r="3891" spans="1:14">
      <c r="A3891" s="1538" t="s">
        <v>2219</v>
      </c>
      <c r="B3891" s="1538"/>
      <c r="C3891" s="1538"/>
      <c r="D3891" s="1538"/>
      <c r="E3891" s="1538"/>
      <c r="F3891" s="1538"/>
      <c r="G3891" s="1538"/>
      <c r="H3891" s="271">
        <f>SUM(H3866:H3884)</f>
        <v>64.649999999999991</v>
      </c>
      <c r="I3891" s="1508"/>
      <c r="J3891" s="1509"/>
      <c r="K3891" s="1509"/>
      <c r="L3891" s="1509"/>
      <c r="M3891" s="1509"/>
      <c r="N3891" s="1510"/>
    </row>
    <row r="3892" spans="1:14" ht="13.9" customHeight="1" thickBot="1">
      <c r="A3892" s="1538" t="s">
        <v>2220</v>
      </c>
      <c r="B3892" s="1538"/>
      <c r="C3892" s="1538"/>
      <c r="D3892" s="1538"/>
      <c r="E3892" s="1538"/>
      <c r="F3892" s="1538"/>
      <c r="G3892" s="1538"/>
      <c r="H3892" s="216">
        <f>H3890-H3891</f>
        <v>2.1599999999999966</v>
      </c>
      <c r="I3892" s="1511"/>
      <c r="J3892" s="1512"/>
      <c r="K3892" s="1512"/>
      <c r="L3892" s="1512"/>
      <c r="M3892" s="1512"/>
      <c r="N3892" s="1513"/>
    </row>
    <row r="3893" spans="1:14" ht="13.9" customHeight="1" thickBot="1">
      <c r="A3893" s="1115"/>
      <c r="B3893" s="889"/>
      <c r="C3893" s="640"/>
      <c r="D3893" s="971"/>
      <c r="E3893" s="1343"/>
      <c r="F3893" s="640"/>
      <c r="G3893" s="640"/>
      <c r="H3893" s="217"/>
      <c r="I3893" s="279"/>
      <c r="J3893" s="279"/>
      <c r="K3893" s="279"/>
      <c r="L3893" s="279"/>
      <c r="M3893" s="279"/>
      <c r="N3893" s="441"/>
    </row>
    <row r="3894" spans="1:14" ht="32.450000000000003" customHeight="1">
      <c r="A3894" s="1085" t="s">
        <v>3260</v>
      </c>
      <c r="B3894" s="1494" t="s">
        <v>1036</v>
      </c>
      <c r="C3894" s="1495"/>
      <c r="D3894" s="1495"/>
      <c r="E3894" s="1495"/>
      <c r="F3894" s="1495"/>
      <c r="G3894" s="1495"/>
      <c r="H3894" s="1495"/>
      <c r="I3894" s="1495"/>
      <c r="J3894" s="1496"/>
      <c r="K3894" s="196" t="s">
        <v>2222</v>
      </c>
      <c r="L3894" s="1497">
        <f>'27ª MEDIÇÃO '!F169</f>
        <v>2</v>
      </c>
      <c r="M3894" s="1498"/>
      <c r="N3894" s="197">
        <f>L3894-H3951</f>
        <v>-506.2800000000002</v>
      </c>
    </row>
    <row r="3895" spans="1:14">
      <c r="A3895" s="1554"/>
      <c r="B3895" s="1541"/>
      <c r="C3895" s="366"/>
      <c r="D3895" s="367" t="s">
        <v>2183</v>
      </c>
      <c r="E3895" s="1320" t="s">
        <v>2184</v>
      </c>
      <c r="F3895" s="367" t="s">
        <v>2185</v>
      </c>
      <c r="G3895" s="367" t="s">
        <v>2186</v>
      </c>
      <c r="H3895" s="1542" t="s">
        <v>476</v>
      </c>
      <c r="I3895" s="1505"/>
      <c r="J3895" s="1506"/>
      <c r="K3895" s="1506"/>
      <c r="L3895" s="1506"/>
      <c r="M3895" s="1506"/>
      <c r="N3895" s="1507"/>
    </row>
    <row r="3896" spans="1:14">
      <c r="A3896" s="1701"/>
      <c r="B3896" s="1694"/>
      <c r="C3896" s="416" t="s">
        <v>12</v>
      </c>
      <c r="D3896" s="417" t="s">
        <v>2187</v>
      </c>
      <c r="E3896" s="1323" t="s">
        <v>2596</v>
      </c>
      <c r="F3896" s="417" t="s">
        <v>2649</v>
      </c>
      <c r="G3896" s="418" t="s">
        <v>2709</v>
      </c>
      <c r="H3896" s="1503"/>
      <c r="I3896" s="1508"/>
      <c r="J3896" s="1509"/>
      <c r="K3896" s="1509"/>
      <c r="L3896" s="1509"/>
      <c r="M3896" s="1509"/>
      <c r="N3896" s="1510"/>
    </row>
    <row r="3897" spans="1:14">
      <c r="A3897" s="1704" t="s">
        <v>3217</v>
      </c>
      <c r="B3897" s="791" t="s">
        <v>2929</v>
      </c>
      <c r="C3897" s="555"/>
      <c r="D3897" s="375"/>
      <c r="E3897" s="1312"/>
      <c r="F3897" s="375"/>
      <c r="G3897" s="556"/>
      <c r="H3897" s="892"/>
      <c r="I3897" s="1508"/>
      <c r="J3897" s="1509"/>
      <c r="K3897" s="1509"/>
      <c r="L3897" s="1509"/>
      <c r="M3897" s="1509"/>
      <c r="N3897" s="1510"/>
    </row>
    <row r="3898" spans="1:14">
      <c r="A3898" s="1705"/>
      <c r="B3898" s="699" t="s">
        <v>2982</v>
      </c>
      <c r="C3898" s="350">
        <v>12.37</v>
      </c>
      <c r="D3898" s="904"/>
      <c r="E3898" s="903"/>
      <c r="F3898" s="350"/>
      <c r="G3898" s="298"/>
      <c r="H3898" s="675">
        <f t="shared" ref="H3898:H3908" si="95">C3898</f>
        <v>12.37</v>
      </c>
      <c r="I3898" s="1508"/>
      <c r="J3898" s="1509"/>
      <c r="K3898" s="1509"/>
      <c r="L3898" s="1509"/>
      <c r="M3898" s="1509"/>
      <c r="N3898" s="1510"/>
    </row>
    <row r="3899" spans="1:14">
      <c r="A3899" s="1705"/>
      <c r="B3899" s="699" t="s">
        <v>3261</v>
      </c>
      <c r="C3899" s="350">
        <v>10.11</v>
      </c>
      <c r="D3899" s="904"/>
      <c r="E3899" s="903"/>
      <c r="F3899" s="350"/>
      <c r="G3899" s="298"/>
      <c r="H3899" s="675">
        <f t="shared" si="95"/>
        <v>10.11</v>
      </c>
      <c r="I3899" s="1508"/>
      <c r="J3899" s="1509"/>
      <c r="K3899" s="1509"/>
      <c r="L3899" s="1509"/>
      <c r="M3899" s="1509"/>
      <c r="N3899" s="1510"/>
    </row>
    <row r="3900" spans="1:14">
      <c r="A3900" s="1705"/>
      <c r="B3900" s="699" t="s">
        <v>2988</v>
      </c>
      <c r="C3900" s="350">
        <v>10.19</v>
      </c>
      <c r="D3900" s="904"/>
      <c r="E3900" s="903"/>
      <c r="F3900" s="350"/>
      <c r="G3900" s="298"/>
      <c r="H3900" s="675">
        <f t="shared" si="95"/>
        <v>10.19</v>
      </c>
      <c r="I3900" s="1508"/>
      <c r="J3900" s="1509"/>
      <c r="K3900" s="1509"/>
      <c r="L3900" s="1509"/>
      <c r="M3900" s="1509"/>
      <c r="N3900" s="1510"/>
    </row>
    <row r="3901" spans="1:14">
      <c r="A3901" s="1705"/>
      <c r="B3901" s="699" t="s">
        <v>3262</v>
      </c>
      <c r="C3901" s="350">
        <v>10.11</v>
      </c>
      <c r="D3901" s="904"/>
      <c r="E3901" s="903"/>
      <c r="F3901" s="350"/>
      <c r="G3901" s="298"/>
      <c r="H3901" s="675">
        <f t="shared" si="95"/>
        <v>10.11</v>
      </c>
      <c r="I3901" s="1508"/>
      <c r="J3901" s="1509"/>
      <c r="K3901" s="1509"/>
      <c r="L3901" s="1509"/>
      <c r="M3901" s="1509"/>
      <c r="N3901" s="1510"/>
    </row>
    <row r="3902" spans="1:14">
      <c r="A3902" s="1705"/>
      <c r="B3902" s="699" t="s">
        <v>3263</v>
      </c>
      <c r="C3902" s="350">
        <v>10.98</v>
      </c>
      <c r="D3902" s="904"/>
      <c r="E3902" s="903"/>
      <c r="F3902" s="350"/>
      <c r="G3902" s="298"/>
      <c r="H3902" s="675">
        <f t="shared" si="95"/>
        <v>10.98</v>
      </c>
      <c r="I3902" s="1508"/>
      <c r="J3902" s="1509"/>
      <c r="K3902" s="1509"/>
      <c r="L3902" s="1509"/>
      <c r="M3902" s="1509"/>
      <c r="N3902" s="1510"/>
    </row>
    <row r="3903" spans="1:14">
      <c r="A3903" s="1705"/>
      <c r="B3903" s="699" t="s">
        <v>2978</v>
      </c>
      <c r="C3903" s="350">
        <v>17.98</v>
      </c>
      <c r="D3903" s="904"/>
      <c r="E3903" s="903"/>
      <c r="F3903" s="350"/>
      <c r="G3903" s="298"/>
      <c r="H3903" s="675">
        <f t="shared" si="95"/>
        <v>17.98</v>
      </c>
      <c r="I3903" s="1508"/>
      <c r="J3903" s="1509"/>
      <c r="K3903" s="1509"/>
      <c r="L3903" s="1509"/>
      <c r="M3903" s="1509"/>
      <c r="N3903" s="1510"/>
    </row>
    <row r="3904" spans="1:14">
      <c r="A3904" s="1705"/>
      <c r="B3904" s="699" t="s">
        <v>3264</v>
      </c>
      <c r="C3904" s="350">
        <v>1.2</v>
      </c>
      <c r="D3904" s="904"/>
      <c r="E3904" s="903"/>
      <c r="F3904" s="350"/>
      <c r="G3904" s="298"/>
      <c r="H3904" s="675">
        <f t="shared" si="95"/>
        <v>1.2</v>
      </c>
      <c r="I3904" s="1508"/>
      <c r="J3904" s="1509"/>
      <c r="K3904" s="1509"/>
      <c r="L3904" s="1509"/>
      <c r="M3904" s="1509"/>
      <c r="N3904" s="1510"/>
    </row>
    <row r="3905" spans="1:14">
      <c r="A3905" s="1705"/>
      <c r="B3905" s="699" t="s">
        <v>3265</v>
      </c>
      <c r="C3905" s="350">
        <v>15.62</v>
      </c>
      <c r="D3905" s="904"/>
      <c r="E3905" s="903"/>
      <c r="F3905" s="350"/>
      <c r="G3905" s="298"/>
      <c r="H3905" s="675">
        <f t="shared" si="95"/>
        <v>15.62</v>
      </c>
      <c r="I3905" s="1508"/>
      <c r="J3905" s="1509"/>
      <c r="K3905" s="1509"/>
      <c r="L3905" s="1509"/>
      <c r="M3905" s="1509"/>
      <c r="N3905" s="1510"/>
    </row>
    <row r="3906" spans="1:14">
      <c r="A3906" s="1705"/>
      <c r="B3906" s="699" t="s">
        <v>2422</v>
      </c>
      <c r="C3906" s="350">
        <v>12.54</v>
      </c>
      <c r="D3906" s="904"/>
      <c r="E3906" s="903"/>
      <c r="F3906" s="350"/>
      <c r="G3906" s="298"/>
      <c r="H3906" s="675">
        <f t="shared" si="95"/>
        <v>12.54</v>
      </c>
      <c r="I3906" s="1508"/>
      <c r="J3906" s="1509"/>
      <c r="K3906" s="1509"/>
      <c r="L3906" s="1509"/>
      <c r="M3906" s="1509"/>
      <c r="N3906" s="1510"/>
    </row>
    <row r="3907" spans="1:14">
      <c r="A3907" s="1705"/>
      <c r="B3907" s="890" t="s">
        <v>2231</v>
      </c>
      <c r="C3907" s="376">
        <v>2.63</v>
      </c>
      <c r="D3907" s="778"/>
      <c r="E3907" s="1312"/>
      <c r="F3907" s="376"/>
      <c r="G3907" s="695"/>
      <c r="H3907" s="891">
        <f t="shared" si="95"/>
        <v>2.63</v>
      </c>
      <c r="I3907" s="1508"/>
      <c r="J3907" s="1509"/>
      <c r="K3907" s="1509"/>
      <c r="L3907" s="1509"/>
      <c r="M3907" s="1509"/>
      <c r="N3907" s="1510"/>
    </row>
    <row r="3908" spans="1:14">
      <c r="A3908" s="1706"/>
      <c r="B3908" s="890" t="s">
        <v>2979</v>
      </c>
      <c r="C3908" s="376">
        <v>6.82</v>
      </c>
      <c r="D3908" s="778"/>
      <c r="E3908" s="1312"/>
      <c r="F3908" s="376"/>
      <c r="G3908" s="695"/>
      <c r="H3908" s="891">
        <f t="shared" si="95"/>
        <v>6.82</v>
      </c>
      <c r="I3908" s="1508"/>
      <c r="J3908" s="1509"/>
      <c r="K3908" s="1509"/>
      <c r="L3908" s="1509"/>
      <c r="M3908" s="1509"/>
      <c r="N3908" s="1510"/>
    </row>
    <row r="3909" spans="1:14">
      <c r="A3909" s="1704" t="s">
        <v>3294</v>
      </c>
      <c r="B3909" s="916" t="s">
        <v>2727</v>
      </c>
      <c r="C3909" s="346"/>
      <c r="D3909" s="614"/>
      <c r="E3909" s="531"/>
      <c r="F3909" s="346"/>
      <c r="G3909" s="288"/>
      <c r="H3909" s="918"/>
      <c r="I3909" s="1508"/>
      <c r="J3909" s="1509"/>
      <c r="K3909" s="1509"/>
      <c r="L3909" s="1509"/>
      <c r="M3909" s="1509"/>
      <c r="N3909" s="1510"/>
    </row>
    <row r="3910" spans="1:14">
      <c r="A3910" s="1705"/>
      <c r="B3910" s="699" t="s">
        <v>3336</v>
      </c>
      <c r="C3910" s="350">
        <v>13.18</v>
      </c>
      <c r="D3910" s="904"/>
      <c r="E3910" s="903"/>
      <c r="F3910" s="350"/>
      <c r="G3910" s="298"/>
      <c r="H3910" s="891">
        <f t="shared" ref="H3910:H3926" si="96">C3910</f>
        <v>13.18</v>
      </c>
      <c r="I3910" s="1508"/>
      <c r="J3910" s="1509"/>
      <c r="K3910" s="1509"/>
      <c r="L3910" s="1509"/>
      <c r="M3910" s="1509"/>
      <c r="N3910" s="1510"/>
    </row>
    <row r="3911" spans="1:14">
      <c r="A3911" s="1705"/>
      <c r="B3911" s="699" t="s">
        <v>2965</v>
      </c>
      <c r="C3911" s="350">
        <v>22.39</v>
      </c>
      <c r="D3911" s="904"/>
      <c r="E3911" s="903"/>
      <c r="F3911" s="350"/>
      <c r="G3911" s="298"/>
      <c r="H3911" s="891">
        <f t="shared" si="96"/>
        <v>22.39</v>
      </c>
      <c r="I3911" s="1508"/>
      <c r="J3911" s="1509"/>
      <c r="K3911" s="1509"/>
      <c r="L3911" s="1509"/>
      <c r="M3911" s="1509"/>
      <c r="N3911" s="1510"/>
    </row>
    <row r="3912" spans="1:14">
      <c r="A3912" s="1705"/>
      <c r="B3912" s="699" t="s">
        <v>2966</v>
      </c>
      <c r="C3912" s="350">
        <v>17.170000000000002</v>
      </c>
      <c r="D3912" s="904"/>
      <c r="E3912" s="903"/>
      <c r="F3912" s="350"/>
      <c r="G3912" s="298"/>
      <c r="H3912" s="891">
        <f t="shared" si="96"/>
        <v>17.170000000000002</v>
      </c>
      <c r="I3912" s="1508"/>
      <c r="J3912" s="1509"/>
      <c r="K3912" s="1509"/>
      <c r="L3912" s="1509"/>
      <c r="M3912" s="1509"/>
      <c r="N3912" s="1510"/>
    </row>
    <row r="3913" spans="1:14">
      <c r="A3913" s="1705"/>
      <c r="B3913" s="699" t="s">
        <v>2234</v>
      </c>
      <c r="C3913" s="350">
        <v>10.67</v>
      </c>
      <c r="D3913" s="904"/>
      <c r="E3913" s="903"/>
      <c r="F3913" s="350"/>
      <c r="G3913" s="298"/>
      <c r="H3913" s="891">
        <f t="shared" si="96"/>
        <v>10.67</v>
      </c>
      <c r="I3913" s="1508"/>
      <c r="J3913" s="1509"/>
      <c r="K3913" s="1509"/>
      <c r="L3913" s="1509"/>
      <c r="M3913" s="1509"/>
      <c r="N3913" s="1510"/>
    </row>
    <row r="3914" spans="1:14">
      <c r="A3914" s="1705"/>
      <c r="B3914" s="699" t="s">
        <v>2967</v>
      </c>
      <c r="C3914" s="350">
        <v>10.62</v>
      </c>
      <c r="D3914" s="904"/>
      <c r="E3914" s="903"/>
      <c r="F3914" s="350"/>
      <c r="G3914" s="298"/>
      <c r="H3914" s="891">
        <f t="shared" si="96"/>
        <v>10.62</v>
      </c>
      <c r="I3914" s="1508"/>
      <c r="J3914" s="1509"/>
      <c r="K3914" s="1509"/>
      <c r="L3914" s="1509"/>
      <c r="M3914" s="1509"/>
      <c r="N3914" s="1510"/>
    </row>
    <row r="3915" spans="1:14">
      <c r="A3915" s="1705"/>
      <c r="B3915" s="699" t="s">
        <v>2968</v>
      </c>
      <c r="C3915" s="350">
        <v>10.62</v>
      </c>
      <c r="D3915" s="904"/>
      <c r="E3915" s="903"/>
      <c r="F3915" s="350"/>
      <c r="G3915" s="298"/>
      <c r="H3915" s="891">
        <f t="shared" si="96"/>
        <v>10.62</v>
      </c>
      <c r="I3915" s="1508"/>
      <c r="J3915" s="1509"/>
      <c r="K3915" s="1509"/>
      <c r="L3915" s="1509"/>
      <c r="M3915" s="1509"/>
      <c r="N3915" s="1510"/>
    </row>
    <row r="3916" spans="1:14">
      <c r="A3916" s="1705"/>
      <c r="B3916" s="699" t="s">
        <v>2969</v>
      </c>
      <c r="C3916" s="350">
        <v>11.62</v>
      </c>
      <c r="D3916" s="904"/>
      <c r="E3916" s="903"/>
      <c r="F3916" s="350"/>
      <c r="G3916" s="298"/>
      <c r="H3916" s="891">
        <f t="shared" si="96"/>
        <v>11.62</v>
      </c>
      <c r="I3916" s="1508"/>
      <c r="J3916" s="1509"/>
      <c r="K3916" s="1509"/>
      <c r="L3916" s="1509"/>
      <c r="M3916" s="1509"/>
      <c r="N3916" s="1510"/>
    </row>
    <row r="3917" spans="1:14">
      <c r="A3917" s="1705"/>
      <c r="B3917" s="699" t="s">
        <v>2970</v>
      </c>
      <c r="C3917" s="350">
        <v>11.99</v>
      </c>
      <c r="D3917" s="904"/>
      <c r="E3917" s="903"/>
      <c r="F3917" s="350"/>
      <c r="G3917" s="298"/>
      <c r="H3917" s="891">
        <f t="shared" si="96"/>
        <v>11.99</v>
      </c>
      <c r="I3917" s="1508"/>
      <c r="J3917" s="1509"/>
      <c r="K3917" s="1509"/>
      <c r="L3917" s="1509"/>
      <c r="M3917" s="1509"/>
      <c r="N3917" s="1510"/>
    </row>
    <row r="3918" spans="1:14">
      <c r="A3918" s="1705"/>
      <c r="B3918" s="699" t="s">
        <v>2971</v>
      </c>
      <c r="C3918" s="350">
        <v>10.51</v>
      </c>
      <c r="D3918" s="904"/>
      <c r="E3918" s="903"/>
      <c r="F3918" s="350"/>
      <c r="G3918" s="298"/>
      <c r="H3918" s="891">
        <f t="shared" si="96"/>
        <v>10.51</v>
      </c>
      <c r="I3918" s="1508"/>
      <c r="J3918" s="1509"/>
      <c r="K3918" s="1509"/>
      <c r="L3918" s="1509"/>
      <c r="M3918" s="1509"/>
      <c r="N3918" s="1510"/>
    </row>
    <row r="3919" spans="1:14">
      <c r="A3919" s="1705"/>
      <c r="B3919" s="699" t="s">
        <v>2972</v>
      </c>
      <c r="C3919" s="350">
        <v>7.95</v>
      </c>
      <c r="D3919" s="904"/>
      <c r="E3919" s="903"/>
      <c r="F3919" s="350"/>
      <c r="G3919" s="298"/>
      <c r="H3919" s="891">
        <f t="shared" si="96"/>
        <v>7.95</v>
      </c>
      <c r="I3919" s="1508"/>
      <c r="J3919" s="1509"/>
      <c r="K3919" s="1509"/>
      <c r="L3919" s="1509"/>
      <c r="M3919" s="1509"/>
      <c r="N3919" s="1510"/>
    </row>
    <row r="3920" spans="1:14">
      <c r="A3920" s="1705"/>
      <c r="B3920" s="699" t="s">
        <v>2223</v>
      </c>
      <c r="C3920" s="350">
        <v>10.6</v>
      </c>
      <c r="D3920" s="904"/>
      <c r="E3920" s="903"/>
      <c r="F3920" s="350"/>
      <c r="G3920" s="298"/>
      <c r="H3920" s="891">
        <f t="shared" si="96"/>
        <v>10.6</v>
      </c>
      <c r="I3920" s="1508"/>
      <c r="J3920" s="1509"/>
      <c r="K3920" s="1509"/>
      <c r="L3920" s="1509"/>
      <c r="M3920" s="1509"/>
      <c r="N3920" s="1510"/>
    </row>
    <row r="3921" spans="1:14">
      <c r="A3921" s="1705"/>
      <c r="B3921" s="699" t="s">
        <v>2973</v>
      </c>
      <c r="C3921" s="350">
        <v>2.97</v>
      </c>
      <c r="D3921" s="904"/>
      <c r="E3921" s="903"/>
      <c r="F3921" s="350"/>
      <c r="G3921" s="298"/>
      <c r="H3921" s="891">
        <f t="shared" si="96"/>
        <v>2.97</v>
      </c>
      <c r="I3921" s="1508"/>
      <c r="J3921" s="1509"/>
      <c r="K3921" s="1509"/>
      <c r="L3921" s="1509"/>
      <c r="M3921" s="1509"/>
      <c r="N3921" s="1510"/>
    </row>
    <row r="3922" spans="1:14">
      <c r="A3922" s="1705"/>
      <c r="B3922" s="699" t="s">
        <v>2974</v>
      </c>
      <c r="C3922" s="350">
        <v>16.399999999999999</v>
      </c>
      <c r="D3922" s="904"/>
      <c r="E3922" s="903"/>
      <c r="F3922" s="350"/>
      <c r="G3922" s="298"/>
      <c r="H3922" s="891">
        <f t="shared" si="96"/>
        <v>16.399999999999999</v>
      </c>
      <c r="I3922" s="1508"/>
      <c r="J3922" s="1509"/>
      <c r="K3922" s="1509"/>
      <c r="L3922" s="1509"/>
      <c r="M3922" s="1509"/>
      <c r="N3922" s="1510"/>
    </row>
    <row r="3923" spans="1:14">
      <c r="A3923" s="1705"/>
      <c r="B3923" s="699" t="s">
        <v>2975</v>
      </c>
      <c r="C3923" s="350">
        <v>5.4</v>
      </c>
      <c r="D3923" s="904"/>
      <c r="E3923" s="903"/>
      <c r="F3923" s="350"/>
      <c r="G3923" s="298"/>
      <c r="H3923" s="891">
        <f t="shared" si="96"/>
        <v>5.4</v>
      </c>
      <c r="I3923" s="1508"/>
      <c r="J3923" s="1509"/>
      <c r="K3923" s="1509"/>
      <c r="L3923" s="1509"/>
      <c r="M3923" s="1509"/>
      <c r="N3923" s="1510"/>
    </row>
    <row r="3924" spans="1:14">
      <c r="A3924" s="1705"/>
      <c r="B3924" s="699" t="s">
        <v>2231</v>
      </c>
      <c r="C3924" s="350">
        <v>10.31</v>
      </c>
      <c r="D3924" s="904"/>
      <c r="E3924" s="903"/>
      <c r="F3924" s="350"/>
      <c r="G3924" s="298"/>
      <c r="H3924" s="891">
        <f t="shared" si="96"/>
        <v>10.31</v>
      </c>
      <c r="I3924" s="1508"/>
      <c r="J3924" s="1509"/>
      <c r="K3924" s="1509"/>
      <c r="L3924" s="1509"/>
      <c r="M3924" s="1509"/>
      <c r="N3924" s="1510"/>
    </row>
    <row r="3925" spans="1:14">
      <c r="A3925" s="1705"/>
      <c r="B3925" s="699" t="s">
        <v>2973</v>
      </c>
      <c r="C3925" s="350">
        <v>4.26</v>
      </c>
      <c r="D3925" s="904"/>
      <c r="E3925" s="903"/>
      <c r="F3925" s="350"/>
      <c r="G3925" s="298"/>
      <c r="H3925" s="891">
        <f t="shared" si="96"/>
        <v>4.26</v>
      </c>
      <c r="I3925" s="1508"/>
      <c r="J3925" s="1509"/>
      <c r="K3925" s="1509"/>
      <c r="L3925" s="1509"/>
      <c r="M3925" s="1509"/>
      <c r="N3925" s="1510"/>
    </row>
    <row r="3926" spans="1:14">
      <c r="A3926" s="1705"/>
      <c r="B3926" s="699" t="s">
        <v>2976</v>
      </c>
      <c r="C3926" s="350">
        <v>3.43</v>
      </c>
      <c r="D3926" s="904"/>
      <c r="E3926" s="903"/>
      <c r="F3926" s="350"/>
      <c r="G3926" s="298"/>
      <c r="H3926" s="891">
        <f t="shared" si="96"/>
        <v>3.43</v>
      </c>
      <c r="I3926" s="1508"/>
      <c r="J3926" s="1509"/>
      <c r="K3926" s="1509"/>
      <c r="L3926" s="1509"/>
      <c r="M3926" s="1509"/>
      <c r="N3926" s="1510"/>
    </row>
    <row r="3927" spans="1:14">
      <c r="A3927" s="1705"/>
      <c r="B3927" s="917" t="s">
        <v>2929</v>
      </c>
      <c r="C3927" s="350"/>
      <c r="D3927" s="904"/>
      <c r="E3927" s="903"/>
      <c r="F3927" s="350"/>
      <c r="G3927" s="298"/>
      <c r="H3927" s="891"/>
      <c r="I3927" s="1508"/>
      <c r="J3927" s="1509"/>
      <c r="K3927" s="1509"/>
      <c r="L3927" s="1509"/>
      <c r="M3927" s="1509"/>
      <c r="N3927" s="1510"/>
    </row>
    <row r="3928" spans="1:14">
      <c r="A3928" s="1705"/>
      <c r="B3928" s="699" t="s">
        <v>2979</v>
      </c>
      <c r="C3928" s="350">
        <f>22.62-6.82</f>
        <v>15.8</v>
      </c>
      <c r="D3928" s="904"/>
      <c r="E3928" s="903"/>
      <c r="F3928" s="350"/>
      <c r="G3928" s="298"/>
      <c r="H3928" s="675">
        <f t="shared" ref="H3928:H3938" si="97">C3928</f>
        <v>15.8</v>
      </c>
      <c r="I3928" s="1508"/>
      <c r="J3928" s="1509"/>
      <c r="K3928" s="1509"/>
      <c r="L3928" s="1509"/>
      <c r="M3928" s="1509"/>
      <c r="N3928" s="1510"/>
    </row>
    <row r="3929" spans="1:14">
      <c r="A3929" s="1705"/>
      <c r="B3929" s="699" t="s">
        <v>2231</v>
      </c>
      <c r="C3929" s="350">
        <f>7.27-2.63</f>
        <v>4.6399999999999997</v>
      </c>
      <c r="D3929" s="904"/>
      <c r="E3929" s="903"/>
      <c r="F3929" s="350"/>
      <c r="G3929" s="298"/>
      <c r="H3929" s="675">
        <f t="shared" si="97"/>
        <v>4.6399999999999997</v>
      </c>
      <c r="I3929" s="1508"/>
      <c r="J3929" s="1509"/>
      <c r="K3929" s="1509"/>
      <c r="L3929" s="1509"/>
      <c r="M3929" s="1509"/>
      <c r="N3929" s="1510"/>
    </row>
    <row r="3930" spans="1:14">
      <c r="A3930" s="1705"/>
      <c r="B3930" s="699" t="s">
        <v>2980</v>
      </c>
      <c r="C3930" s="350">
        <v>9.6</v>
      </c>
      <c r="D3930" s="904"/>
      <c r="E3930" s="903"/>
      <c r="F3930" s="350"/>
      <c r="G3930" s="298"/>
      <c r="H3930" s="675">
        <f t="shared" si="97"/>
        <v>9.6</v>
      </c>
      <c r="I3930" s="1508"/>
      <c r="J3930" s="1509"/>
      <c r="K3930" s="1509"/>
      <c r="L3930" s="1509"/>
      <c r="M3930" s="1509"/>
      <c r="N3930" s="1510"/>
    </row>
    <row r="3931" spans="1:14">
      <c r="A3931" s="1705"/>
      <c r="B3931" s="699" t="s">
        <v>2981</v>
      </c>
      <c r="C3931" s="350">
        <v>9.6</v>
      </c>
      <c r="D3931" s="904"/>
      <c r="E3931" s="903"/>
      <c r="F3931" s="350"/>
      <c r="G3931" s="298"/>
      <c r="H3931" s="675">
        <f t="shared" si="97"/>
        <v>9.6</v>
      </c>
      <c r="I3931" s="1508"/>
      <c r="J3931" s="1509"/>
      <c r="K3931" s="1509"/>
      <c r="L3931" s="1509"/>
      <c r="M3931" s="1509"/>
      <c r="N3931" s="1510"/>
    </row>
    <row r="3932" spans="1:14">
      <c r="A3932" s="1705"/>
      <c r="B3932" s="699" t="s">
        <v>2968</v>
      </c>
      <c r="C3932" s="350">
        <v>9.6</v>
      </c>
      <c r="D3932" s="904"/>
      <c r="E3932" s="903"/>
      <c r="F3932" s="350"/>
      <c r="G3932" s="298"/>
      <c r="H3932" s="675">
        <f t="shared" si="97"/>
        <v>9.6</v>
      </c>
      <c r="I3932" s="1508"/>
      <c r="J3932" s="1509"/>
      <c r="K3932" s="1509"/>
      <c r="L3932" s="1509"/>
      <c r="M3932" s="1509"/>
      <c r="N3932" s="1510"/>
    </row>
    <row r="3933" spans="1:14">
      <c r="A3933" s="1705"/>
      <c r="B3933" s="699" t="s">
        <v>2967</v>
      </c>
      <c r="C3933" s="350">
        <v>9.6</v>
      </c>
      <c r="D3933" s="904"/>
      <c r="E3933" s="903"/>
      <c r="F3933" s="350"/>
      <c r="G3933" s="298"/>
      <c r="H3933" s="675">
        <f t="shared" si="97"/>
        <v>9.6</v>
      </c>
      <c r="I3933" s="1508"/>
      <c r="J3933" s="1509"/>
      <c r="K3933" s="1509"/>
      <c r="L3933" s="1509"/>
      <c r="M3933" s="1509"/>
      <c r="N3933" s="1510"/>
    </row>
    <row r="3934" spans="1:14">
      <c r="A3934" s="1705"/>
      <c r="B3934" s="699" t="s">
        <v>2234</v>
      </c>
      <c r="C3934" s="350">
        <v>12.54</v>
      </c>
      <c r="D3934" s="904"/>
      <c r="E3934" s="903"/>
      <c r="F3934" s="350"/>
      <c r="G3934" s="298"/>
      <c r="H3934" s="675">
        <f t="shared" si="97"/>
        <v>12.54</v>
      </c>
      <c r="I3934" s="1508"/>
      <c r="J3934" s="1509"/>
      <c r="K3934" s="1509"/>
      <c r="L3934" s="1509"/>
      <c r="M3934" s="1509"/>
      <c r="N3934" s="1510"/>
    </row>
    <row r="3935" spans="1:14">
      <c r="A3935" s="1705"/>
      <c r="B3935" s="699" t="s">
        <v>2342</v>
      </c>
      <c r="C3935" s="350">
        <v>12.59</v>
      </c>
      <c r="D3935" s="904"/>
      <c r="E3935" s="903"/>
      <c r="F3935" s="350"/>
      <c r="G3935" s="298"/>
      <c r="H3935" s="675">
        <f t="shared" si="97"/>
        <v>12.59</v>
      </c>
      <c r="I3935" s="1508"/>
      <c r="J3935" s="1509"/>
      <c r="K3935" s="1509"/>
      <c r="L3935" s="1509"/>
      <c r="M3935" s="1509"/>
      <c r="N3935" s="1510"/>
    </row>
    <row r="3936" spans="1:14">
      <c r="A3936" s="1705"/>
      <c r="B3936" s="699" t="s">
        <v>2983</v>
      </c>
      <c r="C3936" s="350">
        <f>33.07-12.54</f>
        <v>20.53</v>
      </c>
      <c r="D3936" s="904"/>
      <c r="E3936" s="903"/>
      <c r="F3936" s="350"/>
      <c r="G3936" s="298"/>
      <c r="H3936" s="675">
        <f t="shared" si="97"/>
        <v>20.53</v>
      </c>
      <c r="I3936" s="1508"/>
      <c r="J3936" s="1509"/>
      <c r="K3936" s="1509"/>
      <c r="L3936" s="1509"/>
      <c r="M3936" s="1509"/>
      <c r="N3936" s="1510"/>
    </row>
    <row r="3937" spans="1:14">
      <c r="A3937" s="1705"/>
      <c r="B3937" s="699" t="s">
        <v>2984</v>
      </c>
      <c r="C3937" s="350">
        <f>6.16-1.2</f>
        <v>4.96</v>
      </c>
      <c r="D3937" s="904"/>
      <c r="E3937" s="903"/>
      <c r="F3937" s="350"/>
      <c r="G3937" s="298"/>
      <c r="H3937" s="675">
        <f t="shared" si="97"/>
        <v>4.96</v>
      </c>
      <c r="I3937" s="1508"/>
      <c r="J3937" s="1509"/>
      <c r="K3937" s="1509"/>
      <c r="L3937" s="1509"/>
      <c r="M3937" s="1509"/>
      <c r="N3937" s="1510"/>
    </row>
    <row r="3938" spans="1:14">
      <c r="A3938" s="1705"/>
      <c r="B3938" s="699" t="s">
        <v>2985</v>
      </c>
      <c r="C3938" s="350">
        <f>17-15.62</f>
        <v>1.3800000000000008</v>
      </c>
      <c r="D3938" s="904"/>
      <c r="E3938" s="903"/>
      <c r="F3938" s="350"/>
      <c r="G3938" s="298"/>
      <c r="H3938" s="675">
        <f t="shared" si="97"/>
        <v>1.3800000000000008</v>
      </c>
      <c r="I3938" s="1508"/>
      <c r="J3938" s="1509"/>
      <c r="K3938" s="1509"/>
      <c r="L3938" s="1509"/>
      <c r="M3938" s="1509"/>
      <c r="N3938" s="1510"/>
    </row>
    <row r="3939" spans="1:14">
      <c r="A3939" s="1704" t="s">
        <v>3364</v>
      </c>
      <c r="B3939" s="916" t="s">
        <v>2727</v>
      </c>
      <c r="C3939" s="346"/>
      <c r="D3939" s="614"/>
      <c r="E3939" s="531"/>
      <c r="F3939" s="346"/>
      <c r="G3939" s="288"/>
      <c r="H3939" s="918"/>
      <c r="I3939" s="1508"/>
      <c r="J3939" s="1509"/>
      <c r="K3939" s="1509"/>
      <c r="L3939" s="1509"/>
      <c r="M3939" s="1509"/>
      <c r="N3939" s="1510"/>
    </row>
    <row r="3940" spans="1:14">
      <c r="A3940" s="1705"/>
      <c r="B3940" s="699" t="s">
        <v>3336</v>
      </c>
      <c r="C3940" s="350">
        <v>24.67</v>
      </c>
      <c r="D3940" s="904"/>
      <c r="E3940" s="903"/>
      <c r="F3940" s="350"/>
      <c r="G3940" s="298"/>
      <c r="H3940" s="891">
        <f>C3940</f>
        <v>24.67</v>
      </c>
      <c r="I3940" s="1508"/>
      <c r="J3940" s="1509"/>
      <c r="K3940" s="1509"/>
      <c r="L3940" s="1509"/>
      <c r="M3940" s="1509"/>
      <c r="N3940" s="1510"/>
    </row>
    <row r="3941" spans="1:14">
      <c r="A3941" s="1705"/>
      <c r="B3941" s="699" t="s">
        <v>3394</v>
      </c>
      <c r="C3941" s="350">
        <v>16.16</v>
      </c>
      <c r="D3941" s="904"/>
      <c r="E3941" s="903"/>
      <c r="F3941" s="350"/>
      <c r="G3941" s="298"/>
      <c r="H3941" s="891">
        <f>C3941</f>
        <v>16.16</v>
      </c>
      <c r="I3941" s="1508"/>
      <c r="J3941" s="1509"/>
      <c r="K3941" s="1509"/>
      <c r="L3941" s="1509"/>
      <c r="M3941" s="1509"/>
      <c r="N3941" s="1510"/>
    </row>
    <row r="3942" spans="1:14">
      <c r="A3942" s="1705"/>
      <c r="B3942" s="699" t="s">
        <v>2438</v>
      </c>
      <c r="C3942" s="350">
        <v>6.72</v>
      </c>
      <c r="D3942" s="904"/>
      <c r="E3942" s="903"/>
      <c r="F3942" s="350"/>
      <c r="G3942" s="298"/>
      <c r="H3942" s="891">
        <f>C3942</f>
        <v>6.72</v>
      </c>
      <c r="I3942" s="1508"/>
      <c r="J3942" s="1509"/>
      <c r="K3942" s="1509"/>
      <c r="L3942" s="1509"/>
      <c r="M3942" s="1509"/>
      <c r="N3942" s="1510"/>
    </row>
    <row r="3943" spans="1:14">
      <c r="A3943" s="1705"/>
      <c r="B3943" s="699" t="s">
        <v>2953</v>
      </c>
      <c r="C3943" s="350">
        <v>7.91</v>
      </c>
      <c r="D3943" s="904"/>
      <c r="E3943" s="903"/>
      <c r="F3943" s="350"/>
      <c r="G3943" s="298"/>
      <c r="H3943" s="891">
        <f>C3943</f>
        <v>7.91</v>
      </c>
      <c r="I3943" s="1508"/>
      <c r="J3943" s="1509"/>
      <c r="K3943" s="1509"/>
      <c r="L3943" s="1509"/>
      <c r="M3943" s="1509"/>
      <c r="N3943" s="1510"/>
    </row>
    <row r="3944" spans="1:14">
      <c r="A3944" s="1705"/>
      <c r="B3944" s="699" t="s">
        <v>2776</v>
      </c>
      <c r="C3944" s="350">
        <v>8.43</v>
      </c>
      <c r="D3944" s="904"/>
      <c r="E3944" s="903"/>
      <c r="F3944" s="350"/>
      <c r="G3944" s="298"/>
      <c r="H3944" s="891">
        <f>C3944</f>
        <v>8.43</v>
      </c>
      <c r="I3944" s="1508"/>
      <c r="J3944" s="1509"/>
      <c r="K3944" s="1509"/>
      <c r="L3944" s="1509"/>
      <c r="M3944" s="1509"/>
      <c r="N3944" s="1510"/>
    </row>
    <row r="3945" spans="1:14">
      <c r="A3945" s="1704" t="s">
        <v>3428</v>
      </c>
      <c r="B3945" s="916" t="s">
        <v>2727</v>
      </c>
      <c r="C3945" s="346"/>
      <c r="D3945" s="614"/>
      <c r="E3945" s="531"/>
      <c r="F3945" s="346"/>
      <c r="G3945" s="288"/>
      <c r="H3945" s="918"/>
      <c r="I3945" s="1508"/>
      <c r="J3945" s="1509"/>
      <c r="K3945" s="1509"/>
      <c r="L3945" s="1509"/>
      <c r="M3945" s="1509"/>
      <c r="N3945" s="1510"/>
    </row>
    <row r="3946" spans="1:14">
      <c r="A3946" s="1705"/>
      <c r="B3946" s="699" t="s">
        <v>2963</v>
      </c>
      <c r="C3946" s="350">
        <v>4.18</v>
      </c>
      <c r="D3946" s="904"/>
      <c r="E3946" s="903"/>
      <c r="F3946" s="350"/>
      <c r="G3946" s="298"/>
      <c r="H3946" s="891">
        <f>C3946</f>
        <v>4.18</v>
      </c>
      <c r="I3946" s="1508"/>
      <c r="J3946" s="1509"/>
      <c r="K3946" s="1509"/>
      <c r="L3946" s="1509"/>
      <c r="M3946" s="1509"/>
      <c r="N3946" s="1510"/>
    </row>
    <row r="3947" spans="1:14">
      <c r="A3947" s="1705"/>
      <c r="B3947" s="699" t="s">
        <v>3095</v>
      </c>
      <c r="C3947" s="350">
        <v>17.100000000000001</v>
      </c>
      <c r="D3947" s="904"/>
      <c r="E3947" s="903"/>
      <c r="F3947" s="350"/>
      <c r="G3947" s="298"/>
      <c r="H3947" s="891">
        <f>C3947</f>
        <v>17.100000000000001</v>
      </c>
      <c r="I3947" s="1508"/>
      <c r="J3947" s="1509"/>
      <c r="K3947" s="1509"/>
      <c r="L3947" s="1509"/>
      <c r="M3947" s="1509"/>
      <c r="N3947" s="1510"/>
    </row>
    <row r="3948" spans="1:14">
      <c r="A3948" s="1705"/>
      <c r="B3948" s="699" t="s">
        <v>2952</v>
      </c>
      <c r="C3948" s="350">
        <v>10.6</v>
      </c>
      <c r="D3948" s="904"/>
      <c r="E3948" s="903"/>
      <c r="F3948" s="350"/>
      <c r="G3948" s="298"/>
      <c r="H3948" s="891">
        <f>C3948</f>
        <v>10.6</v>
      </c>
      <c r="I3948" s="1508"/>
      <c r="J3948" s="1509"/>
      <c r="K3948" s="1509"/>
      <c r="L3948" s="1509"/>
      <c r="M3948" s="1509"/>
      <c r="N3948" s="1510"/>
    </row>
    <row r="3949" spans="1:14">
      <c r="A3949" s="1705"/>
      <c r="B3949" s="699" t="s">
        <v>2964</v>
      </c>
      <c r="C3949" s="350">
        <v>11.03</v>
      </c>
      <c r="D3949" s="904"/>
      <c r="E3949" s="903"/>
      <c r="F3949" s="350"/>
      <c r="G3949" s="298"/>
      <c r="H3949" s="891">
        <f>C3949</f>
        <v>11.03</v>
      </c>
      <c r="I3949" s="1508"/>
      <c r="J3949" s="1509"/>
      <c r="K3949" s="1509"/>
      <c r="L3949" s="1509"/>
      <c r="M3949" s="1509"/>
      <c r="N3949" s="1510"/>
    </row>
    <row r="3950" spans="1:14">
      <c r="A3950" s="1705"/>
      <c r="B3950" s="699"/>
      <c r="C3950" s="350"/>
      <c r="D3950" s="904"/>
      <c r="E3950" s="903"/>
      <c r="F3950" s="350"/>
      <c r="G3950" s="298"/>
      <c r="H3950" s="891"/>
      <c r="I3950" s="1508"/>
      <c r="J3950" s="1509"/>
      <c r="K3950" s="1509"/>
      <c r="L3950" s="1509"/>
      <c r="M3950" s="1509"/>
      <c r="N3950" s="1510"/>
    </row>
    <row r="3951" spans="1:14">
      <c r="A3951" s="1542" t="s">
        <v>2218</v>
      </c>
      <c r="B3951" s="1542"/>
      <c r="C3951" s="1542"/>
      <c r="D3951" s="1542"/>
      <c r="E3951" s="1542"/>
      <c r="F3951" s="1542"/>
      <c r="G3951" s="1542"/>
      <c r="H3951" s="271">
        <f>SUM(H3898:H3950)</f>
        <v>508.2800000000002</v>
      </c>
      <c r="I3951" s="1508"/>
      <c r="J3951" s="1509"/>
      <c r="K3951" s="1509"/>
      <c r="L3951" s="1509"/>
      <c r="M3951" s="1509"/>
      <c r="N3951" s="1510"/>
    </row>
    <row r="3952" spans="1:14">
      <c r="A3952" s="1538" t="s">
        <v>2219</v>
      </c>
      <c r="B3952" s="1538"/>
      <c r="C3952" s="1538"/>
      <c r="D3952" s="1538"/>
      <c r="E3952" s="1538"/>
      <c r="F3952" s="1538"/>
      <c r="G3952" s="1538"/>
      <c r="H3952" s="271">
        <f>SUM(H3897:H3944)</f>
        <v>465.37000000000018</v>
      </c>
      <c r="I3952" s="1508"/>
      <c r="J3952" s="1509"/>
      <c r="K3952" s="1509"/>
      <c r="L3952" s="1509"/>
      <c r="M3952" s="1509"/>
      <c r="N3952" s="1510"/>
    </row>
    <row r="3953" spans="1:14" ht="13.9" customHeight="1" thickBot="1">
      <c r="A3953" s="1538" t="s">
        <v>2220</v>
      </c>
      <c r="B3953" s="1538"/>
      <c r="C3953" s="1538"/>
      <c r="D3953" s="1538"/>
      <c r="E3953" s="1538"/>
      <c r="F3953" s="1538"/>
      <c r="G3953" s="1538"/>
      <c r="H3953" s="216">
        <f>H3951-H3952</f>
        <v>42.910000000000025</v>
      </c>
      <c r="I3953" s="1511"/>
      <c r="J3953" s="1512"/>
      <c r="K3953" s="1512"/>
      <c r="L3953" s="1512"/>
      <c r="M3953" s="1512"/>
      <c r="N3953" s="1513"/>
    </row>
    <row r="3954" spans="1:14" ht="13.9" customHeight="1" thickBot="1">
      <c r="A3954" s="1115"/>
      <c r="B3954" s="889"/>
      <c r="C3954" s="640"/>
      <c r="D3954" s="971"/>
      <c r="E3954" s="1343"/>
      <c r="F3954" s="640"/>
      <c r="G3954" s="640"/>
      <c r="H3954" s="217"/>
      <c r="I3954" s="279"/>
      <c r="J3954" s="279"/>
      <c r="K3954" s="279"/>
      <c r="L3954" s="279"/>
      <c r="M3954" s="279"/>
      <c r="N3954" s="441"/>
    </row>
    <row r="3955" spans="1:14" ht="32.450000000000003" customHeight="1">
      <c r="A3955" s="1085" t="s">
        <v>3810</v>
      </c>
      <c r="B3955" s="1494" t="s">
        <v>1042</v>
      </c>
      <c r="C3955" s="1495"/>
      <c r="D3955" s="1495"/>
      <c r="E3955" s="1495"/>
      <c r="F3955" s="1495"/>
      <c r="G3955" s="1495"/>
      <c r="H3955" s="1495"/>
      <c r="I3955" s="1495"/>
      <c r="J3955" s="1496"/>
      <c r="K3955" s="196" t="s">
        <v>2222</v>
      </c>
      <c r="L3955" s="1497">
        <f>'27ª MEDIÇÃO '!F232</f>
        <v>64.849999999999994</v>
      </c>
      <c r="M3955" s="1498"/>
      <c r="N3955" s="197">
        <f>L3955-H3965</f>
        <v>0</v>
      </c>
    </row>
    <row r="3956" spans="1:14">
      <c r="A3956" s="1554"/>
      <c r="B3956" s="1541"/>
      <c r="C3956" s="366"/>
      <c r="D3956" s="367" t="s">
        <v>2183</v>
      </c>
      <c r="E3956" s="1320" t="s">
        <v>2184</v>
      </c>
      <c r="F3956" s="367" t="s">
        <v>2185</v>
      </c>
      <c r="G3956" s="367" t="s">
        <v>2186</v>
      </c>
      <c r="H3956" s="1542" t="s">
        <v>476</v>
      </c>
      <c r="I3956" s="1505"/>
      <c r="J3956" s="1506"/>
      <c r="K3956" s="1506"/>
      <c r="L3956" s="1506"/>
      <c r="M3956" s="1506"/>
      <c r="N3956" s="1507"/>
    </row>
    <row r="3957" spans="1:14">
      <c r="A3957" s="1701"/>
      <c r="B3957" s="1694"/>
      <c r="C3957" s="416" t="s">
        <v>12</v>
      </c>
      <c r="D3957" s="417" t="s">
        <v>2187</v>
      </c>
      <c r="E3957" s="1323" t="s">
        <v>2596</v>
      </c>
      <c r="F3957" s="417" t="s">
        <v>2649</v>
      </c>
      <c r="G3957" s="418" t="s">
        <v>2709</v>
      </c>
      <c r="H3957" s="1503"/>
      <c r="I3957" s="1508"/>
      <c r="J3957" s="1509"/>
      <c r="K3957" s="1509"/>
      <c r="L3957" s="1509"/>
      <c r="M3957" s="1509"/>
      <c r="N3957" s="1510"/>
    </row>
    <row r="3958" spans="1:14">
      <c r="A3958" s="1704" t="s">
        <v>3745</v>
      </c>
      <c r="B3958" s="1190" t="s">
        <v>3178</v>
      </c>
      <c r="C3958" s="555">
        <v>4.62</v>
      </c>
      <c r="D3958" s="375"/>
      <c r="E3958" s="1312"/>
      <c r="F3958" s="375"/>
      <c r="G3958" s="556"/>
      <c r="H3958" s="892">
        <f t="shared" ref="H3958:H3963" si="98">C3958</f>
        <v>4.62</v>
      </c>
      <c r="I3958" s="1508"/>
      <c r="J3958" s="1509"/>
      <c r="K3958" s="1509"/>
      <c r="L3958" s="1509"/>
      <c r="M3958" s="1509"/>
      <c r="N3958" s="1510"/>
    </row>
    <row r="3959" spans="1:14">
      <c r="A3959" s="1705"/>
      <c r="B3959" s="699" t="s">
        <v>3104</v>
      </c>
      <c r="C3959" s="350">
        <v>5.73</v>
      </c>
      <c r="D3959" s="904"/>
      <c r="E3959" s="903"/>
      <c r="F3959" s="350"/>
      <c r="G3959" s="298"/>
      <c r="H3959" s="892">
        <f t="shared" si="98"/>
        <v>5.73</v>
      </c>
      <c r="I3959" s="1508"/>
      <c r="J3959" s="1509"/>
      <c r="K3959" s="1509"/>
      <c r="L3959" s="1509"/>
      <c r="M3959" s="1509"/>
      <c r="N3959" s="1510"/>
    </row>
    <row r="3960" spans="1:14">
      <c r="A3960" s="1705"/>
      <c r="B3960" s="699" t="s">
        <v>2993</v>
      </c>
      <c r="C3960" s="350">
        <v>3.75</v>
      </c>
      <c r="D3960" s="904"/>
      <c r="E3960" s="903"/>
      <c r="F3960" s="350"/>
      <c r="G3960" s="298"/>
      <c r="H3960" s="892">
        <f t="shared" si="98"/>
        <v>3.75</v>
      </c>
      <c r="I3960" s="1508"/>
      <c r="J3960" s="1509"/>
      <c r="K3960" s="1509"/>
      <c r="L3960" s="1509"/>
      <c r="M3960" s="1509"/>
      <c r="N3960" s="1510"/>
    </row>
    <row r="3961" spans="1:14">
      <c r="A3961" s="1705"/>
      <c r="B3961" s="699" t="s">
        <v>2994</v>
      </c>
      <c r="C3961" s="350">
        <v>3.75</v>
      </c>
      <c r="D3961" s="904"/>
      <c r="E3961" s="903"/>
      <c r="F3961" s="350"/>
      <c r="G3961" s="298"/>
      <c r="H3961" s="892">
        <f t="shared" si="98"/>
        <v>3.75</v>
      </c>
      <c r="I3961" s="1508"/>
      <c r="J3961" s="1509"/>
      <c r="K3961" s="1509"/>
      <c r="L3961" s="1509"/>
      <c r="M3961" s="1509"/>
      <c r="N3961" s="1510"/>
    </row>
    <row r="3962" spans="1:14">
      <c r="A3962" s="1080" t="s">
        <v>4143</v>
      </c>
      <c r="B3962" s="699" t="s">
        <v>4147</v>
      </c>
      <c r="C3962" s="350">
        <v>47</v>
      </c>
      <c r="D3962" s="904"/>
      <c r="E3962" s="903"/>
      <c r="F3962" s="350"/>
      <c r="G3962" s="298"/>
      <c r="H3962" s="891">
        <f t="shared" si="98"/>
        <v>47</v>
      </c>
      <c r="I3962" s="1508"/>
      <c r="J3962" s="1509"/>
      <c r="K3962" s="1509"/>
      <c r="L3962" s="1509"/>
      <c r="M3962" s="1509"/>
      <c r="N3962" s="1510"/>
    </row>
    <row r="3963" spans="1:14">
      <c r="A3963" s="1191"/>
      <c r="B3963" s="699"/>
      <c r="C3963" s="350"/>
      <c r="D3963" s="904"/>
      <c r="E3963" s="903"/>
      <c r="F3963" s="350"/>
      <c r="G3963" s="298"/>
      <c r="H3963" s="892">
        <f t="shared" si="98"/>
        <v>0</v>
      </c>
      <c r="I3963" s="1508"/>
      <c r="J3963" s="1509"/>
      <c r="K3963" s="1509"/>
      <c r="L3963" s="1509"/>
      <c r="M3963" s="1509"/>
      <c r="N3963" s="1510"/>
    </row>
    <row r="3964" spans="1:14">
      <c r="A3964" s="1080"/>
      <c r="B3964" s="699"/>
      <c r="C3964" s="350"/>
      <c r="D3964" s="904"/>
      <c r="E3964" s="903"/>
      <c r="F3964" s="350"/>
      <c r="G3964" s="298"/>
      <c r="H3964" s="891"/>
      <c r="I3964" s="1508"/>
      <c r="J3964" s="1509"/>
      <c r="K3964" s="1509"/>
      <c r="L3964" s="1509"/>
      <c r="M3964" s="1509"/>
      <c r="N3964" s="1510"/>
    </row>
    <row r="3965" spans="1:14">
      <c r="A3965" s="1542" t="s">
        <v>2218</v>
      </c>
      <c r="B3965" s="1542"/>
      <c r="C3965" s="1542"/>
      <c r="D3965" s="1542"/>
      <c r="E3965" s="1542"/>
      <c r="F3965" s="1542"/>
      <c r="G3965" s="1542"/>
      <c r="H3965" s="271">
        <f>SUM(H3958:H3964)</f>
        <v>64.849999999999994</v>
      </c>
      <c r="I3965" s="1508"/>
      <c r="J3965" s="1509"/>
      <c r="K3965" s="1509"/>
      <c r="L3965" s="1509"/>
      <c r="M3965" s="1509"/>
      <c r="N3965" s="1510"/>
    </row>
    <row r="3966" spans="1:14">
      <c r="A3966" s="1538" t="s">
        <v>2219</v>
      </c>
      <c r="B3966" s="1538"/>
      <c r="C3966" s="1538"/>
      <c r="D3966" s="1538"/>
      <c r="E3966" s="1538"/>
      <c r="F3966" s="1538"/>
      <c r="G3966" s="1538"/>
      <c r="H3966" s="271">
        <f>SUM(H3958:H3961)</f>
        <v>17.850000000000001</v>
      </c>
      <c r="I3966" s="1508"/>
      <c r="J3966" s="1509"/>
      <c r="K3966" s="1509"/>
      <c r="L3966" s="1509"/>
      <c r="M3966" s="1509"/>
      <c r="N3966" s="1510"/>
    </row>
    <row r="3967" spans="1:14" ht="13.9" customHeight="1" thickBot="1">
      <c r="A3967" s="1538" t="s">
        <v>2220</v>
      </c>
      <c r="B3967" s="1538"/>
      <c r="C3967" s="1538"/>
      <c r="D3967" s="1538"/>
      <c r="E3967" s="1538"/>
      <c r="F3967" s="1538"/>
      <c r="G3967" s="1538"/>
      <c r="H3967" s="216">
        <f>H3965-H3966</f>
        <v>46.999999999999993</v>
      </c>
      <c r="I3967" s="1511"/>
      <c r="J3967" s="1512"/>
      <c r="K3967" s="1512"/>
      <c r="L3967" s="1512"/>
      <c r="M3967" s="1512"/>
      <c r="N3967" s="1513"/>
    </row>
    <row r="3968" spans="1:14" ht="13.9" customHeight="1" thickBot="1">
      <c r="A3968" s="1115"/>
      <c r="B3968" s="889"/>
      <c r="C3968" s="640"/>
      <c r="D3968" s="971"/>
      <c r="E3968" s="1343"/>
      <c r="F3968" s="640"/>
      <c r="G3968" s="640"/>
      <c r="H3968" s="217"/>
      <c r="I3968" s="279"/>
      <c r="J3968" s="279"/>
      <c r="K3968" s="279"/>
      <c r="L3968" s="279"/>
      <c r="M3968" s="279"/>
      <c r="N3968" s="441"/>
    </row>
    <row r="3969" spans="1:14" ht="18.600000000000001" customHeight="1" thickBot="1">
      <c r="A3969" s="1085" t="s">
        <v>3395</v>
      </c>
      <c r="B3969" s="1494" t="s">
        <v>3396</v>
      </c>
      <c r="C3969" s="1495"/>
      <c r="D3969" s="1495"/>
      <c r="E3969" s="1495"/>
      <c r="F3969" s="1495"/>
      <c r="G3969" s="1495"/>
      <c r="H3969" s="1495"/>
      <c r="I3969" s="1495"/>
      <c r="J3969" s="1496"/>
      <c r="K3969" s="196"/>
      <c r="L3969" s="1497"/>
      <c r="M3969" s="1498"/>
      <c r="N3969" s="197"/>
    </row>
    <row r="3970" spans="1:14" ht="32.450000000000003" customHeight="1">
      <c r="A3970" s="1085" t="s">
        <v>3397</v>
      </c>
      <c r="B3970" s="1494" t="s">
        <v>1047</v>
      </c>
      <c r="C3970" s="1495"/>
      <c r="D3970" s="1495"/>
      <c r="E3970" s="1495"/>
      <c r="F3970" s="1495"/>
      <c r="G3970" s="1495"/>
      <c r="H3970" s="1495"/>
      <c r="I3970" s="1495"/>
      <c r="J3970" s="1496"/>
      <c r="K3970" s="196" t="s">
        <v>2222</v>
      </c>
      <c r="L3970" s="1497">
        <f>'27ª MEDIÇÃO '!F234</f>
        <v>793.25</v>
      </c>
      <c r="M3970" s="1498"/>
      <c r="N3970" s="197">
        <f>L3970-H4119</f>
        <v>0</v>
      </c>
    </row>
    <row r="3971" spans="1:14">
      <c r="A3971" s="1554"/>
      <c r="B3971" s="1541"/>
      <c r="C3971" s="366"/>
      <c r="D3971" s="367" t="s">
        <v>2183</v>
      </c>
      <c r="E3971" s="1320"/>
      <c r="F3971" s="367"/>
      <c r="G3971" s="367"/>
      <c r="H3971" s="1542" t="s">
        <v>476</v>
      </c>
      <c r="I3971" s="1505" t="s">
        <v>3953</v>
      </c>
      <c r="J3971" s="1506"/>
      <c r="K3971" s="1506"/>
      <c r="L3971" s="1506"/>
      <c r="M3971" s="1506"/>
      <c r="N3971" s="1507"/>
    </row>
    <row r="3972" spans="1:14">
      <c r="A3972" s="1701"/>
      <c r="B3972" s="1694"/>
      <c r="C3972" s="416" t="s">
        <v>12</v>
      </c>
      <c r="D3972" s="417" t="s">
        <v>3162</v>
      </c>
      <c r="E3972" s="1323"/>
      <c r="F3972" s="417"/>
      <c r="G3972" s="418"/>
      <c r="H3972" s="1503"/>
      <c r="I3972" s="1508"/>
      <c r="J3972" s="1509"/>
      <c r="K3972" s="1509"/>
      <c r="L3972" s="1509"/>
      <c r="M3972" s="1509"/>
      <c r="N3972" s="1510"/>
    </row>
    <row r="3973" spans="1:14">
      <c r="A3973" s="1530" t="s">
        <v>3521</v>
      </c>
      <c r="B3973" s="673" t="s">
        <v>3524</v>
      </c>
      <c r="C3973" s="350"/>
      <c r="D3973" s="903"/>
      <c r="E3973" s="903"/>
      <c r="F3973" s="350"/>
      <c r="G3973" s="298"/>
      <c r="H3973" s="675"/>
      <c r="I3973" s="1508"/>
      <c r="J3973" s="1509"/>
      <c r="K3973" s="1509"/>
      <c r="L3973" s="1509"/>
      <c r="M3973" s="1509"/>
      <c r="N3973" s="1510"/>
    </row>
    <row r="3974" spans="1:14">
      <c r="A3974" s="1531"/>
      <c r="B3974" s="974" t="s">
        <v>2438</v>
      </c>
      <c r="C3974" s="350"/>
      <c r="D3974" s="903">
        <v>13.7</v>
      </c>
      <c r="E3974" s="903"/>
      <c r="F3974" s="350"/>
      <c r="G3974" s="298"/>
      <c r="H3974" s="675">
        <f>D3974-D3975</f>
        <v>10.799999999999999</v>
      </c>
      <c r="I3974" s="1508"/>
      <c r="J3974" s="1509"/>
      <c r="K3974" s="1509"/>
      <c r="L3974" s="1509"/>
      <c r="M3974" s="1509"/>
      <c r="N3974" s="1510"/>
    </row>
    <row r="3975" spans="1:14">
      <c r="A3975" s="1531"/>
      <c r="B3975" s="975" t="s">
        <v>3053</v>
      </c>
      <c r="C3975" s="350"/>
      <c r="D3975" s="992">
        <v>2.9</v>
      </c>
      <c r="E3975" s="903"/>
      <c r="F3975" s="350"/>
      <c r="G3975" s="298"/>
      <c r="H3975" s="675"/>
      <c r="I3975" s="1508"/>
      <c r="J3975" s="1509"/>
      <c r="K3975" s="1509"/>
      <c r="L3975" s="1509"/>
      <c r="M3975" s="1509"/>
      <c r="N3975" s="1510"/>
    </row>
    <row r="3976" spans="1:14">
      <c r="A3976" s="1531"/>
      <c r="B3976" s="974" t="s">
        <v>2965</v>
      </c>
      <c r="C3976" s="350"/>
      <c r="D3976" s="903">
        <v>33.83</v>
      </c>
      <c r="E3976" s="903"/>
      <c r="F3976" s="350"/>
      <c r="G3976" s="298"/>
      <c r="H3976" s="675">
        <f>D3976-D3977</f>
        <v>24.33</v>
      </c>
      <c r="I3976" s="1508"/>
      <c r="J3976" s="1509"/>
      <c r="K3976" s="1509"/>
      <c r="L3976" s="1509"/>
      <c r="M3976" s="1509"/>
      <c r="N3976" s="1510"/>
    </row>
    <row r="3977" spans="1:14">
      <c r="A3977" s="1531"/>
      <c r="B3977" s="975" t="s">
        <v>3053</v>
      </c>
      <c r="C3977" s="350"/>
      <c r="D3977" s="992">
        <v>9.5</v>
      </c>
      <c r="E3977" s="903"/>
      <c r="F3977" s="350"/>
      <c r="G3977" s="298"/>
      <c r="H3977" s="675"/>
      <c r="I3977" s="1508"/>
      <c r="J3977" s="1509"/>
      <c r="K3977" s="1509"/>
      <c r="L3977" s="1509"/>
      <c r="M3977" s="1509"/>
      <c r="N3977" s="1510"/>
    </row>
    <row r="3978" spans="1:14">
      <c r="A3978" s="1531"/>
      <c r="B3978" s="974" t="s">
        <v>3391</v>
      </c>
      <c r="C3978" s="350"/>
      <c r="D3978" s="903">
        <v>7.79</v>
      </c>
      <c r="E3978" s="903"/>
      <c r="F3978" s="350"/>
      <c r="G3978" s="298"/>
      <c r="H3978" s="675">
        <f>D3978-D3979</f>
        <v>7.19</v>
      </c>
      <c r="I3978" s="1508"/>
      <c r="J3978" s="1509"/>
      <c r="K3978" s="1509"/>
      <c r="L3978" s="1509"/>
      <c r="M3978" s="1509"/>
      <c r="N3978" s="1510"/>
    </row>
    <row r="3979" spans="1:14">
      <c r="A3979" s="1531"/>
      <c r="B3979" s="975" t="s">
        <v>3053</v>
      </c>
      <c r="C3979" s="350"/>
      <c r="D3979" s="992">
        <v>0.6</v>
      </c>
      <c r="E3979" s="903"/>
      <c r="F3979" s="350"/>
      <c r="G3979" s="298"/>
      <c r="H3979" s="675"/>
      <c r="I3979" s="1508"/>
      <c r="J3979" s="1509"/>
      <c r="K3979" s="1509"/>
      <c r="L3979" s="1509"/>
      <c r="M3979" s="1509"/>
      <c r="N3979" s="1510"/>
    </row>
    <row r="3980" spans="1:14">
      <c r="A3980" s="1531"/>
      <c r="B3980" s="974" t="s">
        <v>3318</v>
      </c>
      <c r="C3980" s="350"/>
      <c r="D3980" s="903">
        <v>7.43</v>
      </c>
      <c r="E3980" s="903"/>
      <c r="F3980" s="350"/>
      <c r="G3980" s="298"/>
      <c r="H3980" s="675">
        <f>D3980-D3981</f>
        <v>6.5299999999999994</v>
      </c>
      <c r="I3980" s="1508"/>
      <c r="J3980" s="1509"/>
      <c r="K3980" s="1509"/>
      <c r="L3980" s="1509"/>
      <c r="M3980" s="1509"/>
      <c r="N3980" s="1510"/>
    </row>
    <row r="3981" spans="1:14">
      <c r="A3981" s="1531"/>
      <c r="B3981" s="975" t="s">
        <v>3053</v>
      </c>
      <c r="C3981" s="350"/>
      <c r="D3981" s="992">
        <v>0.9</v>
      </c>
      <c r="E3981" s="903"/>
      <c r="F3981" s="350"/>
      <c r="G3981" s="298"/>
      <c r="H3981" s="675"/>
      <c r="I3981" s="1508"/>
      <c r="J3981" s="1509"/>
      <c r="K3981" s="1509"/>
      <c r="L3981" s="1509"/>
      <c r="M3981" s="1509"/>
      <c r="N3981" s="1510"/>
    </row>
    <row r="3982" spans="1:14">
      <c r="A3982" s="1531"/>
      <c r="B3982" s="974" t="s">
        <v>3526</v>
      </c>
      <c r="C3982" s="350"/>
      <c r="D3982" s="903">
        <v>10.76</v>
      </c>
      <c r="E3982" s="903"/>
      <c r="F3982" s="350"/>
      <c r="G3982" s="298"/>
      <c r="H3982" s="675">
        <f>D3982-D3983</f>
        <v>9.9599999999999991</v>
      </c>
      <c r="I3982" s="1508"/>
      <c r="J3982" s="1509"/>
      <c r="K3982" s="1509"/>
      <c r="L3982" s="1509"/>
      <c r="M3982" s="1509"/>
      <c r="N3982" s="1510"/>
    </row>
    <row r="3983" spans="1:14">
      <c r="A3983" s="1531"/>
      <c r="B3983" s="975" t="s">
        <v>3053</v>
      </c>
      <c r="C3983" s="350"/>
      <c r="D3983" s="992">
        <v>0.8</v>
      </c>
      <c r="E3983" s="903"/>
      <c r="F3983" s="350"/>
      <c r="G3983" s="298"/>
      <c r="H3983" s="675"/>
      <c r="I3983" s="1508"/>
      <c r="J3983" s="1509"/>
      <c r="K3983" s="1509"/>
      <c r="L3983" s="1509"/>
      <c r="M3983" s="1509"/>
      <c r="N3983" s="1510"/>
    </row>
    <row r="3984" spans="1:14">
      <c r="A3984" s="1531"/>
      <c r="B3984" s="974" t="s">
        <v>3527</v>
      </c>
      <c r="C3984" s="350"/>
      <c r="D3984" s="903">
        <v>11.01</v>
      </c>
      <c r="E3984" s="903"/>
      <c r="F3984" s="350"/>
      <c r="G3984" s="298"/>
      <c r="H3984" s="675">
        <f>D3984-D3985</f>
        <v>10.209999999999999</v>
      </c>
      <c r="I3984" s="1508"/>
      <c r="J3984" s="1509"/>
      <c r="K3984" s="1509"/>
      <c r="L3984" s="1509"/>
      <c r="M3984" s="1509"/>
      <c r="N3984" s="1510"/>
    </row>
    <row r="3985" spans="1:14">
      <c r="A3985" s="1531"/>
      <c r="B3985" s="975" t="s">
        <v>3053</v>
      </c>
      <c r="C3985" s="350"/>
      <c r="D3985" s="992">
        <v>0.8</v>
      </c>
      <c r="E3985" s="903"/>
      <c r="F3985" s="350"/>
      <c r="G3985" s="298"/>
      <c r="H3985" s="675"/>
      <c r="I3985" s="1508"/>
      <c r="J3985" s="1509"/>
      <c r="K3985" s="1509"/>
      <c r="L3985" s="1509"/>
      <c r="M3985" s="1509"/>
      <c r="N3985" s="1510"/>
    </row>
    <row r="3986" spans="1:14">
      <c r="A3986" s="1531"/>
      <c r="B3986" s="974" t="s">
        <v>2440</v>
      </c>
      <c r="C3986" s="350"/>
      <c r="D3986" s="903">
        <v>8.2200000000000006</v>
      </c>
      <c r="E3986" s="903"/>
      <c r="F3986" s="350"/>
      <c r="G3986" s="298"/>
      <c r="H3986" s="675">
        <f>D3986-D3987</f>
        <v>7.4200000000000008</v>
      </c>
      <c r="I3986" s="1508"/>
      <c r="J3986" s="1509"/>
      <c r="K3986" s="1509"/>
      <c r="L3986" s="1509"/>
      <c r="M3986" s="1509"/>
      <c r="N3986" s="1510"/>
    </row>
    <row r="3987" spans="1:14">
      <c r="A3987" s="1531"/>
      <c r="B3987" s="975" t="s">
        <v>3053</v>
      </c>
      <c r="C3987" s="350"/>
      <c r="D3987" s="992">
        <v>0.8</v>
      </c>
      <c r="E3987" s="903"/>
      <c r="F3987" s="350"/>
      <c r="G3987" s="298"/>
      <c r="H3987" s="675"/>
      <c r="I3987" s="1508"/>
      <c r="J3987" s="1509"/>
      <c r="K3987" s="1509"/>
      <c r="L3987" s="1509"/>
      <c r="M3987" s="1509"/>
      <c r="N3987" s="1510"/>
    </row>
    <row r="3988" spans="1:14">
      <c r="A3988" s="1531"/>
      <c r="B3988" s="974" t="s">
        <v>2344</v>
      </c>
      <c r="C3988" s="350"/>
      <c r="D3988" s="903">
        <v>5.4</v>
      </c>
      <c r="E3988" s="903"/>
      <c r="F3988" s="350"/>
      <c r="G3988" s="298"/>
      <c r="H3988" s="675">
        <f>D3988-D3989</f>
        <v>4.8000000000000007</v>
      </c>
      <c r="I3988" s="1508"/>
      <c r="J3988" s="1509"/>
      <c r="K3988" s="1509"/>
      <c r="L3988" s="1509"/>
      <c r="M3988" s="1509"/>
      <c r="N3988" s="1510"/>
    </row>
    <row r="3989" spans="1:14">
      <c r="A3989" s="1531"/>
      <c r="B3989" s="975" t="s">
        <v>3053</v>
      </c>
      <c r="C3989" s="350"/>
      <c r="D3989" s="992">
        <v>0.6</v>
      </c>
      <c r="E3989" s="903"/>
      <c r="F3989" s="350"/>
      <c r="G3989" s="298"/>
      <c r="H3989" s="675"/>
      <c r="I3989" s="1508"/>
      <c r="J3989" s="1509"/>
      <c r="K3989" s="1509"/>
      <c r="L3989" s="1509"/>
      <c r="M3989" s="1509"/>
      <c r="N3989" s="1510"/>
    </row>
    <row r="3990" spans="1:14">
      <c r="A3990" s="1531"/>
      <c r="B3990" s="974" t="s">
        <v>2970</v>
      </c>
      <c r="C3990" s="350"/>
      <c r="D3990" s="903">
        <v>18.73</v>
      </c>
      <c r="E3990" s="903"/>
      <c r="F3990" s="350"/>
      <c r="G3990" s="298"/>
      <c r="H3990" s="675">
        <f>D3990-D3991</f>
        <v>9.6900000000000013</v>
      </c>
      <c r="I3990" s="1508"/>
      <c r="J3990" s="1509"/>
      <c r="K3990" s="1509"/>
      <c r="L3990" s="1509"/>
      <c r="M3990" s="1509"/>
      <c r="N3990" s="1510"/>
    </row>
    <row r="3991" spans="1:14">
      <c r="A3991" s="1531"/>
      <c r="B3991" s="975" t="s">
        <v>3053</v>
      </c>
      <c r="C3991" s="350"/>
      <c r="D3991" s="992">
        <v>9.0399999999999991</v>
      </c>
      <c r="E3991" s="903"/>
      <c r="F3991" s="350"/>
      <c r="G3991" s="298"/>
      <c r="H3991" s="675"/>
      <c r="I3991" s="1508"/>
      <c r="J3991" s="1509"/>
      <c r="K3991" s="1509"/>
      <c r="L3991" s="1509"/>
      <c r="M3991" s="1509"/>
      <c r="N3991" s="1510"/>
    </row>
    <row r="3992" spans="1:14">
      <c r="A3992" s="1531"/>
      <c r="B3992" s="974" t="s">
        <v>2971</v>
      </c>
      <c r="C3992" s="350"/>
      <c r="D3992" s="903">
        <v>18.77</v>
      </c>
      <c r="E3992" s="903"/>
      <c r="F3992" s="350"/>
      <c r="G3992" s="298"/>
      <c r="H3992" s="675">
        <f>D3992-D3993</f>
        <v>16.37</v>
      </c>
      <c r="I3992" s="1508"/>
      <c r="J3992" s="1509"/>
      <c r="K3992" s="1509"/>
      <c r="L3992" s="1509"/>
      <c r="M3992" s="1509"/>
      <c r="N3992" s="1510"/>
    </row>
    <row r="3993" spans="1:14">
      <c r="A3993" s="1531"/>
      <c r="B3993" s="975" t="s">
        <v>3053</v>
      </c>
      <c r="C3993" s="350"/>
      <c r="D3993" s="992">
        <v>2.4</v>
      </c>
      <c r="E3993" s="903"/>
      <c r="F3993" s="350"/>
      <c r="G3993" s="298"/>
      <c r="H3993" s="675"/>
      <c r="I3993" s="1508"/>
      <c r="J3993" s="1509"/>
      <c r="K3993" s="1509"/>
      <c r="L3993" s="1509"/>
      <c r="M3993" s="1509"/>
      <c r="N3993" s="1510"/>
    </row>
    <row r="3994" spans="1:14">
      <c r="A3994" s="1531"/>
      <c r="B3994" s="974" t="s">
        <v>3322</v>
      </c>
      <c r="C3994" s="350"/>
      <c r="D3994" s="903">
        <v>7.7</v>
      </c>
      <c r="E3994" s="903"/>
      <c r="F3994" s="350"/>
      <c r="G3994" s="298"/>
      <c r="H3994" s="675">
        <f>D3994-D3995</f>
        <v>6.8</v>
      </c>
      <c r="I3994" s="1508"/>
      <c r="J3994" s="1509"/>
      <c r="K3994" s="1509"/>
      <c r="L3994" s="1509"/>
      <c r="M3994" s="1509"/>
      <c r="N3994" s="1510"/>
    </row>
    <row r="3995" spans="1:14">
      <c r="A3995" s="1531"/>
      <c r="B3995" s="975" t="s">
        <v>3053</v>
      </c>
      <c r="C3995" s="350"/>
      <c r="D3995" s="992">
        <v>0.9</v>
      </c>
      <c r="E3995" s="903"/>
      <c r="F3995" s="350"/>
      <c r="G3995" s="298"/>
      <c r="H3995" s="675"/>
      <c r="I3995" s="1508"/>
      <c r="J3995" s="1509"/>
      <c r="K3995" s="1509"/>
      <c r="L3995" s="1509"/>
      <c r="M3995" s="1509"/>
      <c r="N3995" s="1510"/>
    </row>
    <row r="3996" spans="1:14">
      <c r="A3996" s="1531"/>
      <c r="B3996" s="974" t="s">
        <v>3323</v>
      </c>
      <c r="C3996" s="350"/>
      <c r="D3996" s="903">
        <v>7.65</v>
      </c>
      <c r="E3996" s="903"/>
      <c r="F3996" s="350"/>
      <c r="G3996" s="298"/>
      <c r="H3996" s="675">
        <f>D3996-D3997</f>
        <v>6.75</v>
      </c>
      <c r="I3996" s="1508"/>
      <c r="J3996" s="1509"/>
      <c r="K3996" s="1509"/>
      <c r="L3996" s="1509"/>
      <c r="M3996" s="1509"/>
      <c r="N3996" s="1510"/>
    </row>
    <row r="3997" spans="1:14">
      <c r="A3997" s="1531"/>
      <c r="B3997" s="975" t="s">
        <v>3053</v>
      </c>
      <c r="C3997" s="350"/>
      <c r="D3997" s="992">
        <v>0.9</v>
      </c>
      <c r="E3997" s="903"/>
      <c r="F3997" s="350"/>
      <c r="G3997" s="298"/>
      <c r="H3997" s="675"/>
      <c r="I3997" s="1508"/>
      <c r="J3997" s="1509"/>
      <c r="K3997" s="1509"/>
      <c r="L3997" s="1509"/>
      <c r="M3997" s="1509"/>
      <c r="N3997" s="1510"/>
    </row>
    <row r="3998" spans="1:14">
      <c r="A3998" s="1531"/>
      <c r="B3998" s="673" t="s">
        <v>2929</v>
      </c>
      <c r="C3998" s="350"/>
      <c r="D3998" s="903"/>
      <c r="E3998" s="903"/>
      <c r="F3998" s="350"/>
      <c r="G3998" s="298"/>
      <c r="H3998" s="675"/>
      <c r="I3998" s="1508"/>
      <c r="J3998" s="1509"/>
      <c r="K3998" s="1509"/>
      <c r="L3998" s="1509"/>
      <c r="M3998" s="1509"/>
      <c r="N3998" s="1510"/>
    </row>
    <row r="3999" spans="1:14">
      <c r="A3999" s="1531"/>
      <c r="B3999" s="974" t="s">
        <v>2979</v>
      </c>
      <c r="C3999" s="350"/>
      <c r="D3999" s="903">
        <v>34.340000000000003</v>
      </c>
      <c r="E3999" s="903"/>
      <c r="F3999" s="350"/>
      <c r="G3999" s="298"/>
      <c r="H3999" s="675">
        <f>D3999-D4000</f>
        <v>29.040000000000003</v>
      </c>
      <c r="I3999" s="1508"/>
      <c r="J3999" s="1509"/>
      <c r="K3999" s="1509"/>
      <c r="L3999" s="1509"/>
      <c r="M3999" s="1509"/>
      <c r="N3999" s="1510"/>
    </row>
    <row r="4000" spans="1:14">
      <c r="A4000" s="1531"/>
      <c r="B4000" s="975" t="s">
        <v>3053</v>
      </c>
      <c r="C4000" s="350"/>
      <c r="D4000" s="992">
        <v>5.3</v>
      </c>
      <c r="E4000" s="903"/>
      <c r="F4000" s="350"/>
      <c r="G4000" s="298"/>
      <c r="H4000" s="675"/>
      <c r="I4000" s="1508"/>
      <c r="J4000" s="1509"/>
      <c r="K4000" s="1509"/>
      <c r="L4000" s="1509"/>
      <c r="M4000" s="1509"/>
      <c r="N4000" s="1510"/>
    </row>
    <row r="4001" spans="1:14">
      <c r="A4001" s="1531"/>
      <c r="B4001" s="974" t="s">
        <v>2231</v>
      </c>
      <c r="C4001" s="350"/>
      <c r="D4001" s="903">
        <v>12.64</v>
      </c>
      <c r="E4001" s="903"/>
      <c r="F4001" s="350"/>
      <c r="G4001" s="298"/>
      <c r="H4001" s="675">
        <f>D4001-D4002</f>
        <v>11.84</v>
      </c>
      <c r="I4001" s="1508"/>
      <c r="J4001" s="1509"/>
      <c r="K4001" s="1509"/>
      <c r="L4001" s="1509"/>
      <c r="M4001" s="1509"/>
      <c r="N4001" s="1510"/>
    </row>
    <row r="4002" spans="1:14">
      <c r="A4002" s="1531"/>
      <c r="B4002" s="975" t="s">
        <v>3053</v>
      </c>
      <c r="C4002" s="350"/>
      <c r="D4002" s="992">
        <v>0.8</v>
      </c>
      <c r="E4002" s="903"/>
      <c r="F4002" s="350"/>
      <c r="G4002" s="298"/>
      <c r="H4002" s="675"/>
      <c r="I4002" s="1508"/>
      <c r="J4002" s="1509"/>
      <c r="K4002" s="1509"/>
      <c r="L4002" s="1509"/>
      <c r="M4002" s="1509"/>
      <c r="N4002" s="1510"/>
    </row>
    <row r="4003" spans="1:14">
      <c r="A4003" s="1531"/>
      <c r="B4003" s="974" t="s">
        <v>3322</v>
      </c>
      <c r="C4003" s="350"/>
      <c r="D4003" s="903">
        <v>9.2799999999999994</v>
      </c>
      <c r="E4003" s="903"/>
      <c r="F4003" s="350"/>
      <c r="G4003" s="298"/>
      <c r="H4003" s="675">
        <f>D4003-D4004</f>
        <v>8.379999999999999</v>
      </c>
      <c r="I4003" s="1508"/>
      <c r="J4003" s="1509"/>
      <c r="K4003" s="1509"/>
      <c r="L4003" s="1509"/>
      <c r="M4003" s="1509"/>
      <c r="N4003" s="1510"/>
    </row>
    <row r="4004" spans="1:14">
      <c r="A4004" s="1531"/>
      <c r="B4004" s="975" t="s">
        <v>3053</v>
      </c>
      <c r="C4004" s="350"/>
      <c r="D4004" s="992">
        <v>0.9</v>
      </c>
      <c r="E4004" s="903"/>
      <c r="F4004" s="350"/>
      <c r="G4004" s="298"/>
      <c r="H4004" s="675"/>
      <c r="I4004" s="1508"/>
      <c r="J4004" s="1509"/>
      <c r="K4004" s="1509"/>
      <c r="L4004" s="1509"/>
      <c r="M4004" s="1509"/>
      <c r="N4004" s="1510"/>
    </row>
    <row r="4005" spans="1:14">
      <c r="A4005" s="1531"/>
      <c r="B4005" s="974" t="s">
        <v>3323</v>
      </c>
      <c r="C4005" s="350"/>
      <c r="D4005" s="903">
        <v>8.93</v>
      </c>
      <c r="E4005" s="903"/>
      <c r="F4005" s="350"/>
      <c r="G4005" s="298"/>
      <c r="H4005" s="675">
        <f>D4005-D4006</f>
        <v>8.0299999999999994</v>
      </c>
      <c r="I4005" s="1508"/>
      <c r="J4005" s="1509"/>
      <c r="K4005" s="1509"/>
      <c r="L4005" s="1509"/>
      <c r="M4005" s="1509"/>
      <c r="N4005" s="1510"/>
    </row>
    <row r="4006" spans="1:14">
      <c r="A4006" s="1531"/>
      <c r="B4006" s="975" t="s">
        <v>3053</v>
      </c>
      <c r="C4006" s="350"/>
      <c r="D4006" s="992">
        <v>0.9</v>
      </c>
      <c r="E4006" s="903"/>
      <c r="F4006" s="350"/>
      <c r="G4006" s="298"/>
      <c r="H4006" s="675"/>
      <c r="I4006" s="1508"/>
      <c r="J4006" s="1509"/>
      <c r="K4006" s="1509"/>
      <c r="L4006" s="1509"/>
      <c r="M4006" s="1509"/>
      <c r="N4006" s="1510"/>
    </row>
    <row r="4007" spans="1:14">
      <c r="A4007" s="1531"/>
      <c r="B4007" s="974" t="s">
        <v>2344</v>
      </c>
      <c r="C4007" s="350"/>
      <c r="D4007" s="903">
        <v>5.8</v>
      </c>
      <c r="E4007" s="903"/>
      <c r="F4007" s="350"/>
      <c r="G4007" s="298"/>
      <c r="H4007" s="675">
        <f>D4007-D4008</f>
        <v>5.2</v>
      </c>
      <c r="I4007" s="1508"/>
      <c r="J4007" s="1509"/>
      <c r="K4007" s="1509"/>
      <c r="L4007" s="1509"/>
      <c r="M4007" s="1509"/>
      <c r="N4007" s="1510"/>
    </row>
    <row r="4008" spans="1:14">
      <c r="A4008" s="1531"/>
      <c r="B4008" s="975" t="s">
        <v>3053</v>
      </c>
      <c r="C4008" s="350"/>
      <c r="D4008" s="992">
        <v>0.6</v>
      </c>
      <c r="E4008" s="903"/>
      <c r="F4008" s="350"/>
      <c r="G4008" s="298"/>
      <c r="H4008" s="675"/>
      <c r="I4008" s="1508"/>
      <c r="J4008" s="1509"/>
      <c r="K4008" s="1509"/>
      <c r="L4008" s="1509"/>
      <c r="M4008" s="1509"/>
      <c r="N4008" s="1510"/>
    </row>
    <row r="4009" spans="1:14">
      <c r="A4009" s="1531"/>
      <c r="B4009" s="974" t="s">
        <v>3392</v>
      </c>
      <c r="C4009" s="350"/>
      <c r="D4009" s="903">
        <v>6.27</v>
      </c>
      <c r="E4009" s="903"/>
      <c r="F4009" s="350"/>
      <c r="G4009" s="298"/>
      <c r="H4009" s="675">
        <f>D4009-D4010</f>
        <v>5.67</v>
      </c>
      <c r="I4009" s="1508"/>
      <c r="J4009" s="1509"/>
      <c r="K4009" s="1509"/>
      <c r="L4009" s="1509"/>
      <c r="M4009" s="1509"/>
      <c r="N4009" s="1510"/>
    </row>
    <row r="4010" spans="1:14">
      <c r="A4010" s="1531"/>
      <c r="B4010" s="975" t="s">
        <v>3053</v>
      </c>
      <c r="C4010" s="350"/>
      <c r="D4010" s="992">
        <v>0.6</v>
      </c>
      <c r="E4010" s="903"/>
      <c r="F4010" s="350"/>
      <c r="G4010" s="298"/>
      <c r="H4010" s="675"/>
      <c r="I4010" s="1508"/>
      <c r="J4010" s="1509"/>
      <c r="K4010" s="1509"/>
      <c r="L4010" s="1509"/>
      <c r="M4010" s="1509"/>
      <c r="N4010" s="1510"/>
    </row>
    <row r="4011" spans="1:14">
      <c r="A4011" s="1531"/>
      <c r="B4011" s="974" t="s">
        <v>2338</v>
      </c>
      <c r="C4011" s="350"/>
      <c r="D4011" s="903">
        <v>7.74</v>
      </c>
      <c r="E4011" s="903"/>
      <c r="F4011" s="350"/>
      <c r="G4011" s="298"/>
      <c r="H4011" s="675">
        <f>D4011-D4012</f>
        <v>6.74</v>
      </c>
      <c r="I4011" s="1508"/>
      <c r="J4011" s="1509"/>
      <c r="K4011" s="1509"/>
      <c r="L4011" s="1509"/>
      <c r="M4011" s="1509"/>
      <c r="N4011" s="1510"/>
    </row>
    <row r="4012" spans="1:14">
      <c r="A4012" s="1531"/>
      <c r="B4012" s="975" t="s">
        <v>3053</v>
      </c>
      <c r="C4012" s="350"/>
      <c r="D4012" s="992">
        <v>1</v>
      </c>
      <c r="E4012" s="903"/>
      <c r="F4012" s="350"/>
      <c r="G4012" s="298"/>
      <c r="H4012" s="675"/>
      <c r="I4012" s="1508"/>
      <c r="J4012" s="1509"/>
      <c r="K4012" s="1509"/>
      <c r="L4012" s="1509"/>
      <c r="M4012" s="1509"/>
      <c r="N4012" s="1510"/>
    </row>
    <row r="4013" spans="1:14">
      <c r="A4013" s="1531"/>
      <c r="B4013" s="974" t="s">
        <v>2339</v>
      </c>
      <c r="C4013" s="350"/>
      <c r="D4013" s="903">
        <v>10.01</v>
      </c>
      <c r="E4013" s="903"/>
      <c r="F4013" s="350"/>
      <c r="G4013" s="298"/>
      <c r="H4013" s="675">
        <f>D4013-D4014</f>
        <v>9.2099999999999991</v>
      </c>
      <c r="I4013" s="1508"/>
      <c r="J4013" s="1509"/>
      <c r="K4013" s="1509"/>
      <c r="L4013" s="1509"/>
      <c r="M4013" s="1509"/>
      <c r="N4013" s="1510"/>
    </row>
    <row r="4014" spans="1:14">
      <c r="A4014" s="1531"/>
      <c r="B4014" s="975" t="s">
        <v>3053</v>
      </c>
      <c r="C4014" s="350"/>
      <c r="D4014" s="992">
        <v>0.8</v>
      </c>
      <c r="E4014" s="903"/>
      <c r="F4014" s="350"/>
      <c r="G4014" s="298"/>
      <c r="H4014" s="675"/>
      <c r="I4014" s="1508"/>
      <c r="J4014" s="1509"/>
      <c r="K4014" s="1509"/>
      <c r="L4014" s="1509"/>
      <c r="M4014" s="1509"/>
      <c r="N4014" s="1510"/>
    </row>
    <row r="4015" spans="1:14">
      <c r="A4015" s="1531"/>
      <c r="B4015" s="974" t="s">
        <v>2461</v>
      </c>
      <c r="C4015" s="350"/>
      <c r="D4015" s="903">
        <v>5.49</v>
      </c>
      <c r="E4015" s="903"/>
      <c r="F4015" s="350"/>
      <c r="G4015" s="298"/>
      <c r="H4015" s="675">
        <f>D4015-D4016</f>
        <v>4.8900000000000006</v>
      </c>
      <c r="I4015" s="1508"/>
      <c r="J4015" s="1509"/>
      <c r="K4015" s="1509"/>
      <c r="L4015" s="1509"/>
      <c r="M4015" s="1509"/>
      <c r="N4015" s="1510"/>
    </row>
    <row r="4016" spans="1:14">
      <c r="A4016" s="1531"/>
      <c r="B4016" s="975" t="s">
        <v>3053</v>
      </c>
      <c r="C4016" s="350"/>
      <c r="D4016" s="992">
        <v>0.6</v>
      </c>
      <c r="E4016" s="903"/>
      <c r="F4016" s="350"/>
      <c r="G4016" s="298"/>
      <c r="H4016" s="675"/>
      <c r="I4016" s="1508"/>
      <c r="J4016" s="1509"/>
      <c r="K4016" s="1509"/>
      <c r="L4016" s="1509"/>
      <c r="M4016" s="1509"/>
      <c r="N4016" s="1510"/>
    </row>
    <row r="4017" spans="1:14">
      <c r="A4017" s="1531"/>
      <c r="B4017" s="974" t="s">
        <v>3528</v>
      </c>
      <c r="C4017" s="350"/>
      <c r="D4017" s="903">
        <v>49.9</v>
      </c>
      <c r="E4017" s="903"/>
      <c r="F4017" s="350"/>
      <c r="G4017" s="298"/>
      <c r="H4017" s="675">
        <f>D4017-D4018</f>
        <v>35.9</v>
      </c>
      <c r="I4017" s="1508"/>
      <c r="J4017" s="1509"/>
      <c r="K4017" s="1509"/>
      <c r="L4017" s="1509"/>
      <c r="M4017" s="1509"/>
      <c r="N4017" s="1510"/>
    </row>
    <row r="4018" spans="1:14">
      <c r="A4018" s="1531"/>
      <c r="B4018" s="975" t="s">
        <v>3053</v>
      </c>
      <c r="C4018" s="350"/>
      <c r="D4018" s="992">
        <v>14</v>
      </c>
      <c r="E4018" s="903"/>
      <c r="F4018" s="350"/>
      <c r="G4018" s="298"/>
      <c r="H4018" s="675"/>
      <c r="I4018" s="1508"/>
      <c r="J4018" s="1509"/>
      <c r="K4018" s="1509"/>
      <c r="L4018" s="1509"/>
      <c r="M4018" s="1509"/>
      <c r="N4018" s="1510"/>
    </row>
    <row r="4019" spans="1:14">
      <c r="A4019" s="1531"/>
      <c r="B4019" s="699"/>
      <c r="C4019" s="693"/>
      <c r="D4019" s="993"/>
      <c r="E4019" s="993"/>
      <c r="F4019" s="693"/>
      <c r="G4019" s="914"/>
      <c r="H4019" s="915"/>
      <c r="I4019" s="1508"/>
      <c r="J4019" s="1509"/>
      <c r="K4019" s="1509"/>
      <c r="L4019" s="1509"/>
      <c r="M4019" s="1509"/>
      <c r="N4019" s="1510"/>
    </row>
    <row r="4020" spans="1:14">
      <c r="A4020" s="1530" t="s">
        <v>3569</v>
      </c>
      <c r="B4020" s="673" t="s">
        <v>3524</v>
      </c>
      <c r="C4020" s="346"/>
      <c r="D4020" s="531"/>
      <c r="E4020" s="531"/>
      <c r="F4020" s="346"/>
      <c r="G4020" s="288"/>
      <c r="H4020" s="698"/>
      <c r="I4020" s="1508"/>
      <c r="J4020" s="1509"/>
      <c r="K4020" s="1509"/>
      <c r="L4020" s="1509"/>
      <c r="M4020" s="1509"/>
      <c r="N4020" s="1510"/>
    </row>
    <row r="4021" spans="1:14">
      <c r="A4021" s="1531"/>
      <c r="B4021" s="974" t="s">
        <v>2448</v>
      </c>
      <c r="C4021" s="350"/>
      <c r="D4021" s="903">
        <v>4.4000000000000004</v>
      </c>
      <c r="E4021" s="903"/>
      <c r="F4021" s="350"/>
      <c r="G4021" s="298"/>
      <c r="H4021" s="675">
        <f>D4021-D4022</f>
        <v>3.8000000000000003</v>
      </c>
      <c r="I4021" s="1508"/>
      <c r="J4021" s="1509"/>
      <c r="K4021" s="1509"/>
      <c r="L4021" s="1509"/>
      <c r="M4021" s="1509"/>
      <c r="N4021" s="1510"/>
    </row>
    <row r="4022" spans="1:14">
      <c r="A4022" s="1531"/>
      <c r="B4022" s="975" t="s">
        <v>3053</v>
      </c>
      <c r="C4022" s="350"/>
      <c r="D4022" s="992">
        <v>0.6</v>
      </c>
      <c r="E4022" s="903"/>
      <c r="F4022" s="350"/>
      <c r="G4022" s="298"/>
      <c r="H4022" s="675"/>
      <c r="I4022" s="1508"/>
      <c r="J4022" s="1509"/>
      <c r="K4022" s="1509"/>
      <c r="L4022" s="1509"/>
      <c r="M4022" s="1509"/>
      <c r="N4022" s="1510"/>
    </row>
    <row r="4023" spans="1:14">
      <c r="A4023" s="1531"/>
      <c r="B4023" s="974" t="s">
        <v>2449</v>
      </c>
      <c r="C4023" s="350"/>
      <c r="D4023" s="903">
        <v>4.0599999999999996</v>
      </c>
      <c r="E4023" s="903"/>
      <c r="F4023" s="350"/>
      <c r="G4023" s="298"/>
      <c r="H4023" s="675">
        <f>D4023-D4024</f>
        <v>3.4599999999999995</v>
      </c>
      <c r="I4023" s="1508"/>
      <c r="J4023" s="1509"/>
      <c r="K4023" s="1509"/>
      <c r="L4023" s="1509"/>
      <c r="M4023" s="1509"/>
      <c r="N4023" s="1510"/>
    </row>
    <row r="4024" spans="1:14">
      <c r="A4024" s="1531"/>
      <c r="B4024" s="975" t="s">
        <v>3053</v>
      </c>
      <c r="C4024" s="350"/>
      <c r="D4024" s="992">
        <v>0.6</v>
      </c>
      <c r="E4024" s="903"/>
      <c r="F4024" s="350"/>
      <c r="G4024" s="298"/>
      <c r="H4024" s="675"/>
      <c r="I4024" s="1508"/>
      <c r="J4024" s="1509"/>
      <c r="K4024" s="1509"/>
      <c r="L4024" s="1509"/>
      <c r="M4024" s="1509"/>
      <c r="N4024" s="1510"/>
    </row>
    <row r="4025" spans="1:14">
      <c r="A4025" s="1531"/>
      <c r="B4025" s="974" t="s">
        <v>2963</v>
      </c>
      <c r="C4025" s="350"/>
      <c r="D4025" s="903">
        <v>13.73</v>
      </c>
      <c r="E4025" s="903"/>
      <c r="F4025" s="350"/>
      <c r="G4025" s="298"/>
      <c r="H4025" s="675">
        <f>D4025-D4026</f>
        <v>11.73</v>
      </c>
      <c r="I4025" s="1508"/>
      <c r="J4025" s="1509"/>
      <c r="K4025" s="1509"/>
      <c r="L4025" s="1509"/>
      <c r="M4025" s="1509"/>
      <c r="N4025" s="1510"/>
    </row>
    <row r="4026" spans="1:14">
      <c r="A4026" s="1531"/>
      <c r="B4026" s="975" t="s">
        <v>3053</v>
      </c>
      <c r="C4026" s="350"/>
      <c r="D4026" s="992">
        <v>2</v>
      </c>
      <c r="E4026" s="903"/>
      <c r="F4026" s="350"/>
      <c r="G4026" s="298"/>
      <c r="H4026" s="675"/>
      <c r="I4026" s="1508"/>
      <c r="J4026" s="1509"/>
      <c r="K4026" s="1509"/>
      <c r="L4026" s="1509"/>
      <c r="M4026" s="1509"/>
      <c r="N4026" s="1510"/>
    </row>
    <row r="4027" spans="1:14">
      <c r="A4027" s="1531"/>
      <c r="B4027" s="974" t="s">
        <v>3095</v>
      </c>
      <c r="C4027" s="350"/>
      <c r="D4027" s="903">
        <v>17.829999999999998</v>
      </c>
      <c r="E4027" s="903"/>
      <c r="F4027" s="350"/>
      <c r="G4027" s="298"/>
      <c r="H4027" s="675">
        <f>D4027-D4028</f>
        <v>16.229999999999997</v>
      </c>
      <c r="I4027" s="1508"/>
      <c r="J4027" s="1509"/>
      <c r="K4027" s="1509"/>
      <c r="L4027" s="1509"/>
      <c r="M4027" s="1509"/>
      <c r="N4027" s="1510"/>
    </row>
    <row r="4028" spans="1:14">
      <c r="A4028" s="1531"/>
      <c r="B4028" s="975" t="s">
        <v>3053</v>
      </c>
      <c r="C4028" s="350"/>
      <c r="D4028" s="992">
        <v>1.6</v>
      </c>
      <c r="E4028" s="903"/>
      <c r="F4028" s="350"/>
      <c r="G4028" s="298"/>
      <c r="H4028" s="675"/>
      <c r="I4028" s="1508"/>
      <c r="J4028" s="1509"/>
      <c r="K4028" s="1509"/>
      <c r="L4028" s="1509"/>
      <c r="M4028" s="1509"/>
      <c r="N4028" s="1510"/>
    </row>
    <row r="4029" spans="1:14">
      <c r="A4029" s="1531"/>
      <c r="B4029" s="974" t="s">
        <v>2964</v>
      </c>
      <c r="C4029" s="350"/>
      <c r="D4029" s="903">
        <v>16.27</v>
      </c>
      <c r="E4029" s="903"/>
      <c r="F4029" s="350"/>
      <c r="G4029" s="298"/>
      <c r="H4029" s="675">
        <f>D4029-D4030</f>
        <v>15.469999999999999</v>
      </c>
      <c r="I4029" s="1508"/>
      <c r="J4029" s="1509"/>
      <c r="K4029" s="1509"/>
      <c r="L4029" s="1509"/>
      <c r="M4029" s="1509"/>
      <c r="N4029" s="1510"/>
    </row>
    <row r="4030" spans="1:14">
      <c r="A4030" s="1531"/>
      <c r="B4030" s="975" t="s">
        <v>3053</v>
      </c>
      <c r="C4030" s="350"/>
      <c r="D4030" s="992">
        <v>0.8</v>
      </c>
      <c r="E4030" s="903"/>
      <c r="F4030" s="350"/>
      <c r="G4030" s="298"/>
      <c r="H4030" s="675"/>
      <c r="I4030" s="1508"/>
      <c r="J4030" s="1509"/>
      <c r="K4030" s="1509"/>
      <c r="L4030" s="1509"/>
      <c r="M4030" s="1509"/>
      <c r="N4030" s="1510"/>
    </row>
    <row r="4031" spans="1:14">
      <c r="A4031" s="1531"/>
      <c r="B4031" s="974" t="s">
        <v>3590</v>
      </c>
      <c r="C4031" s="350"/>
      <c r="D4031" s="903">
        <v>23</v>
      </c>
      <c r="E4031" s="903"/>
      <c r="F4031" s="350"/>
      <c r="G4031" s="298"/>
      <c r="H4031" s="675">
        <f>D4031-D4032</f>
        <v>16.600000000000001</v>
      </c>
      <c r="I4031" s="1508"/>
      <c r="J4031" s="1509"/>
      <c r="K4031" s="1509"/>
      <c r="L4031" s="1509"/>
      <c r="M4031" s="1509"/>
      <c r="N4031" s="1510"/>
    </row>
    <row r="4032" spans="1:14">
      <c r="A4032" s="1531"/>
      <c r="B4032" s="975" t="s">
        <v>3053</v>
      </c>
      <c r="C4032" s="350"/>
      <c r="D4032" s="992">
        <v>6.4</v>
      </c>
      <c r="E4032" s="903"/>
      <c r="F4032" s="350"/>
      <c r="G4032" s="298"/>
      <c r="H4032" s="675"/>
      <c r="I4032" s="1508"/>
      <c r="J4032" s="1509"/>
      <c r="K4032" s="1509"/>
      <c r="L4032" s="1509"/>
      <c r="M4032" s="1509"/>
      <c r="N4032" s="1510"/>
    </row>
    <row r="4033" spans="1:14">
      <c r="A4033" s="1531"/>
      <c r="B4033" s="974" t="s">
        <v>3591</v>
      </c>
      <c r="C4033" s="350"/>
      <c r="D4033" s="903">
        <v>11.85</v>
      </c>
      <c r="E4033" s="903"/>
      <c r="F4033" s="350"/>
      <c r="G4033" s="298"/>
      <c r="H4033" s="675">
        <f>D4033-D4034</f>
        <v>11.049999999999999</v>
      </c>
      <c r="I4033" s="1508"/>
      <c r="J4033" s="1509"/>
      <c r="K4033" s="1509"/>
      <c r="L4033" s="1509"/>
      <c r="M4033" s="1509"/>
      <c r="N4033" s="1510"/>
    </row>
    <row r="4034" spans="1:14">
      <c r="A4034" s="1531"/>
      <c r="B4034" s="975" t="s">
        <v>3053</v>
      </c>
      <c r="C4034" s="350"/>
      <c r="D4034" s="992">
        <v>0.8</v>
      </c>
      <c r="E4034" s="903"/>
      <c r="F4034" s="350"/>
      <c r="G4034" s="298"/>
      <c r="H4034" s="675"/>
      <c r="I4034" s="1508"/>
      <c r="J4034" s="1509"/>
      <c r="K4034" s="1509"/>
      <c r="L4034" s="1509"/>
      <c r="M4034" s="1509"/>
      <c r="N4034" s="1510"/>
    </row>
    <row r="4035" spans="1:14">
      <c r="A4035" s="1531"/>
      <c r="B4035" s="974" t="s">
        <v>3592</v>
      </c>
      <c r="C4035" s="350"/>
      <c r="D4035" s="903">
        <v>12.95</v>
      </c>
      <c r="E4035" s="903"/>
      <c r="F4035" s="350"/>
      <c r="G4035" s="298"/>
      <c r="H4035" s="675">
        <f>D4035-D4036</f>
        <v>12.149999999999999</v>
      </c>
      <c r="I4035" s="1508"/>
      <c r="J4035" s="1509"/>
      <c r="K4035" s="1509"/>
      <c r="L4035" s="1509"/>
      <c r="M4035" s="1509"/>
      <c r="N4035" s="1510"/>
    </row>
    <row r="4036" spans="1:14">
      <c r="A4036" s="1531"/>
      <c r="B4036" s="975" t="s">
        <v>3053</v>
      </c>
      <c r="C4036" s="350"/>
      <c r="D4036" s="992">
        <v>0.8</v>
      </c>
      <c r="E4036" s="903"/>
      <c r="F4036" s="350"/>
      <c r="G4036" s="298"/>
      <c r="H4036" s="675"/>
      <c r="I4036" s="1508"/>
      <c r="J4036" s="1509"/>
      <c r="K4036" s="1509"/>
      <c r="L4036" s="1509"/>
      <c r="M4036" s="1509"/>
      <c r="N4036" s="1510"/>
    </row>
    <row r="4037" spans="1:14">
      <c r="A4037" s="1531"/>
      <c r="B4037" s="974" t="s">
        <v>2844</v>
      </c>
      <c r="C4037" s="350"/>
      <c r="D4037" s="903">
        <v>10.73</v>
      </c>
      <c r="E4037" s="903"/>
      <c r="F4037" s="350"/>
      <c r="G4037" s="298"/>
      <c r="H4037" s="675">
        <f>D4037-D4038</f>
        <v>9.93</v>
      </c>
      <c r="I4037" s="1508"/>
      <c r="J4037" s="1509"/>
      <c r="K4037" s="1509"/>
      <c r="L4037" s="1509"/>
      <c r="M4037" s="1509"/>
      <c r="N4037" s="1510"/>
    </row>
    <row r="4038" spans="1:14">
      <c r="A4038" s="1531"/>
      <c r="B4038" s="975" t="s">
        <v>3053</v>
      </c>
      <c r="C4038" s="350"/>
      <c r="D4038" s="992">
        <v>0.8</v>
      </c>
      <c r="E4038" s="903"/>
      <c r="F4038" s="350"/>
      <c r="G4038" s="298"/>
      <c r="H4038" s="675"/>
      <c r="I4038" s="1508"/>
      <c r="J4038" s="1509"/>
      <c r="K4038" s="1509"/>
      <c r="L4038" s="1509"/>
      <c r="M4038" s="1509"/>
      <c r="N4038" s="1510"/>
    </row>
    <row r="4039" spans="1:14">
      <c r="A4039" s="1531"/>
      <c r="B4039" s="974" t="s">
        <v>3386</v>
      </c>
      <c r="C4039" s="350"/>
      <c r="D4039" s="903">
        <v>21.93</v>
      </c>
      <c r="E4039" s="903"/>
      <c r="F4039" s="350"/>
      <c r="G4039" s="298"/>
      <c r="H4039" s="675">
        <f>D4039-D4040</f>
        <v>21.13</v>
      </c>
      <c r="I4039" s="1508"/>
      <c r="J4039" s="1509"/>
      <c r="K4039" s="1509"/>
      <c r="L4039" s="1509"/>
      <c r="M4039" s="1509"/>
      <c r="N4039" s="1510"/>
    </row>
    <row r="4040" spans="1:14">
      <c r="A4040" s="1531"/>
      <c r="B4040" s="975" t="s">
        <v>3053</v>
      </c>
      <c r="C4040" s="350"/>
      <c r="D4040" s="992">
        <v>0.8</v>
      </c>
      <c r="E4040" s="903"/>
      <c r="F4040" s="350"/>
      <c r="G4040" s="298"/>
      <c r="H4040" s="675"/>
      <c r="I4040" s="1508"/>
      <c r="J4040" s="1509"/>
      <c r="K4040" s="1509"/>
      <c r="L4040" s="1509"/>
      <c r="M4040" s="1509"/>
      <c r="N4040" s="1510"/>
    </row>
    <row r="4041" spans="1:14">
      <c r="A4041" s="1531"/>
      <c r="B4041" s="974" t="s">
        <v>2973</v>
      </c>
      <c r="C4041" s="350"/>
      <c r="D4041" s="903">
        <v>7.3</v>
      </c>
      <c r="E4041" s="903"/>
      <c r="F4041" s="350"/>
      <c r="G4041" s="298"/>
      <c r="H4041" s="675">
        <f>D4041-D4042</f>
        <v>5.66</v>
      </c>
      <c r="I4041" s="1508"/>
      <c r="J4041" s="1509"/>
      <c r="K4041" s="1509"/>
      <c r="L4041" s="1509"/>
      <c r="M4041" s="1509"/>
      <c r="N4041" s="1510"/>
    </row>
    <row r="4042" spans="1:14">
      <c r="A4042" s="1531"/>
      <c r="B4042" s="975" t="s">
        <v>3053</v>
      </c>
      <c r="C4042" s="350"/>
      <c r="D4042" s="992">
        <v>1.64</v>
      </c>
      <c r="E4042" s="903"/>
      <c r="F4042" s="350"/>
      <c r="G4042" s="298"/>
      <c r="H4042" s="675"/>
      <c r="I4042" s="1508"/>
      <c r="J4042" s="1509"/>
      <c r="K4042" s="1509"/>
      <c r="L4042" s="1509"/>
      <c r="M4042" s="1509"/>
      <c r="N4042" s="1510"/>
    </row>
    <row r="4043" spans="1:14">
      <c r="A4043" s="1531"/>
      <c r="B4043" s="974" t="s">
        <v>2974</v>
      </c>
      <c r="C4043" s="350"/>
      <c r="D4043" s="903">
        <v>17.55</v>
      </c>
      <c r="E4043" s="903"/>
      <c r="F4043" s="350"/>
      <c r="G4043" s="298"/>
      <c r="H4043" s="675">
        <f>D4043-D4044</f>
        <v>16.75</v>
      </c>
      <c r="I4043" s="1508"/>
      <c r="J4043" s="1509"/>
      <c r="K4043" s="1509"/>
      <c r="L4043" s="1509"/>
      <c r="M4043" s="1509"/>
      <c r="N4043" s="1510"/>
    </row>
    <row r="4044" spans="1:14">
      <c r="A4044" s="1531"/>
      <c r="B4044" s="975" t="s">
        <v>3053</v>
      </c>
      <c r="C4044" s="350"/>
      <c r="D4044" s="992">
        <v>0.8</v>
      </c>
      <c r="E4044" s="903"/>
      <c r="F4044" s="350"/>
      <c r="G4044" s="298"/>
      <c r="H4044" s="675"/>
      <c r="I4044" s="1508"/>
      <c r="J4044" s="1509"/>
      <c r="K4044" s="1509"/>
      <c r="L4044" s="1509"/>
      <c r="M4044" s="1509"/>
      <c r="N4044" s="1510"/>
    </row>
    <row r="4045" spans="1:14">
      <c r="A4045" s="1531"/>
      <c r="B4045" s="974" t="s">
        <v>3430</v>
      </c>
      <c r="C4045" s="350"/>
      <c r="D4045" s="903">
        <v>6.84</v>
      </c>
      <c r="E4045" s="903"/>
      <c r="F4045" s="350"/>
      <c r="G4045" s="298"/>
      <c r="H4045" s="675">
        <f>D4045-D4046</f>
        <v>6.04</v>
      </c>
      <c r="I4045" s="1508"/>
      <c r="J4045" s="1509"/>
      <c r="K4045" s="1509"/>
      <c r="L4045" s="1509"/>
      <c r="M4045" s="1509"/>
      <c r="N4045" s="1510"/>
    </row>
    <row r="4046" spans="1:14">
      <c r="A4046" s="1531"/>
      <c r="B4046" s="975" t="s">
        <v>3053</v>
      </c>
      <c r="C4046" s="350"/>
      <c r="D4046" s="992">
        <v>0.8</v>
      </c>
      <c r="E4046" s="903"/>
      <c r="F4046" s="350"/>
      <c r="G4046" s="298"/>
      <c r="H4046" s="675"/>
      <c r="I4046" s="1508"/>
      <c r="J4046" s="1509"/>
      <c r="K4046" s="1509"/>
      <c r="L4046" s="1509"/>
      <c r="M4046" s="1509"/>
      <c r="N4046" s="1510"/>
    </row>
    <row r="4047" spans="1:14">
      <c r="A4047" s="1703" t="s">
        <v>3620</v>
      </c>
      <c r="B4047" s="673" t="s">
        <v>3524</v>
      </c>
      <c r="C4047" s="346"/>
      <c r="D4047" s="531"/>
      <c r="E4047" s="531"/>
      <c r="F4047" s="346"/>
      <c r="G4047" s="288"/>
      <c r="H4047" s="698"/>
      <c r="I4047" s="1508"/>
      <c r="J4047" s="1509"/>
      <c r="K4047" s="1509"/>
      <c r="L4047" s="1509"/>
      <c r="M4047" s="1509"/>
      <c r="N4047" s="1510"/>
    </row>
    <row r="4048" spans="1:14">
      <c r="A4048" s="1639"/>
      <c r="B4048" s="974" t="s">
        <v>3430</v>
      </c>
      <c r="C4048" s="350"/>
      <c r="D4048" s="903">
        <v>6.22</v>
      </c>
      <c r="E4048" s="903"/>
      <c r="F4048" s="350"/>
      <c r="G4048" s="298"/>
      <c r="H4048" s="675">
        <f>D4048</f>
        <v>6.22</v>
      </c>
      <c r="I4048" s="1508"/>
      <c r="J4048" s="1509"/>
      <c r="K4048" s="1509"/>
      <c r="L4048" s="1509"/>
      <c r="M4048" s="1509"/>
      <c r="N4048" s="1510"/>
    </row>
    <row r="4049" spans="1:14">
      <c r="A4049" s="1639"/>
      <c r="B4049" s="974" t="s">
        <v>3625</v>
      </c>
      <c r="C4049" s="350"/>
      <c r="D4049" s="903">
        <v>17.55</v>
      </c>
      <c r="E4049" s="903"/>
      <c r="F4049" s="350"/>
      <c r="G4049" s="298"/>
      <c r="H4049" s="675">
        <f>D4049-D4050</f>
        <v>15.950000000000001</v>
      </c>
      <c r="I4049" s="1508"/>
      <c r="J4049" s="1509"/>
      <c r="K4049" s="1509"/>
      <c r="L4049" s="1509"/>
      <c r="M4049" s="1509"/>
      <c r="N4049" s="1510"/>
    </row>
    <row r="4050" spans="1:14">
      <c r="A4050" s="1639"/>
      <c r="B4050" s="975" t="s">
        <v>3053</v>
      </c>
      <c r="C4050" s="350"/>
      <c r="D4050" s="992">
        <v>1.6</v>
      </c>
      <c r="E4050" s="903"/>
      <c r="F4050" s="350"/>
      <c r="G4050" s="298"/>
      <c r="H4050" s="675"/>
      <c r="I4050" s="1508"/>
      <c r="J4050" s="1509"/>
      <c r="K4050" s="1509"/>
      <c r="L4050" s="1509"/>
      <c r="M4050" s="1509"/>
      <c r="N4050" s="1510"/>
    </row>
    <row r="4051" spans="1:14">
      <c r="A4051" s="1639"/>
      <c r="B4051" s="974" t="s">
        <v>2231</v>
      </c>
      <c r="C4051" s="350"/>
      <c r="D4051" s="903">
        <v>13.55</v>
      </c>
      <c r="E4051" s="903"/>
      <c r="F4051" s="350"/>
      <c r="G4051" s="298"/>
      <c r="H4051" s="675">
        <f>D4051-D4052</f>
        <v>12.55</v>
      </c>
      <c r="I4051" s="1508"/>
      <c r="J4051" s="1509"/>
      <c r="K4051" s="1509"/>
      <c r="L4051" s="1509"/>
      <c r="M4051" s="1509"/>
      <c r="N4051" s="1510"/>
    </row>
    <row r="4052" spans="1:14">
      <c r="A4052" s="1639"/>
      <c r="B4052" s="975" t="s">
        <v>3053</v>
      </c>
      <c r="C4052" s="350"/>
      <c r="D4052" s="992">
        <v>1</v>
      </c>
      <c r="E4052" s="903"/>
      <c r="F4052" s="350"/>
      <c r="G4052" s="298"/>
      <c r="H4052" s="675"/>
      <c r="I4052" s="1508"/>
      <c r="J4052" s="1509"/>
      <c r="K4052" s="1509"/>
      <c r="L4052" s="1509"/>
      <c r="M4052" s="1509"/>
      <c r="N4052" s="1510"/>
    </row>
    <row r="4053" spans="1:14">
      <c r="A4053" s="1639"/>
      <c r="B4053" s="974" t="s">
        <v>2973</v>
      </c>
      <c r="C4053" s="350"/>
      <c r="D4053" s="903">
        <v>8.67</v>
      </c>
      <c r="E4053" s="903"/>
      <c r="F4053" s="350"/>
      <c r="G4053" s="298"/>
      <c r="H4053" s="675">
        <f>D4053-D4054</f>
        <v>5.87</v>
      </c>
      <c r="I4053" s="1508"/>
      <c r="J4053" s="1509"/>
      <c r="K4053" s="1509"/>
      <c r="L4053" s="1509"/>
      <c r="M4053" s="1509"/>
      <c r="N4053" s="1510"/>
    </row>
    <row r="4054" spans="1:14">
      <c r="A4054" s="1639"/>
      <c r="B4054" s="975" t="s">
        <v>3053</v>
      </c>
      <c r="C4054" s="350"/>
      <c r="D4054" s="992">
        <v>2.8</v>
      </c>
      <c r="E4054" s="903"/>
      <c r="F4054" s="350"/>
      <c r="G4054" s="298"/>
      <c r="H4054" s="675"/>
      <c r="I4054" s="1508"/>
      <c r="J4054" s="1509"/>
      <c r="K4054" s="1509"/>
      <c r="L4054" s="1509"/>
      <c r="M4054" s="1509"/>
      <c r="N4054" s="1510"/>
    </row>
    <row r="4055" spans="1:14">
      <c r="A4055" s="1639"/>
      <c r="B4055" s="974" t="s">
        <v>2976</v>
      </c>
      <c r="C4055" s="350"/>
      <c r="D4055" s="903">
        <v>7.49</v>
      </c>
      <c r="E4055" s="903"/>
      <c r="F4055" s="350"/>
      <c r="G4055" s="298"/>
      <c r="H4055" s="675">
        <f>D4055-D4056</f>
        <v>4.6900000000000004</v>
      </c>
      <c r="I4055" s="1508"/>
      <c r="J4055" s="1509"/>
      <c r="K4055" s="1509"/>
      <c r="L4055" s="1509"/>
      <c r="M4055" s="1509"/>
      <c r="N4055" s="1510"/>
    </row>
    <row r="4056" spans="1:14">
      <c r="A4056" s="1639"/>
      <c r="B4056" s="975" t="s">
        <v>3053</v>
      </c>
      <c r="C4056" s="350"/>
      <c r="D4056" s="992">
        <v>2.8</v>
      </c>
      <c r="E4056" s="903"/>
      <c r="F4056" s="350"/>
      <c r="G4056" s="298"/>
      <c r="H4056" s="675"/>
      <c r="I4056" s="1508"/>
      <c r="J4056" s="1509"/>
      <c r="K4056" s="1509"/>
      <c r="L4056" s="1509"/>
      <c r="M4056" s="1509"/>
      <c r="N4056" s="1510"/>
    </row>
    <row r="4057" spans="1:14">
      <c r="A4057" s="1639"/>
      <c r="B4057" s="974" t="s">
        <v>3390</v>
      </c>
      <c r="C4057" s="350"/>
      <c r="D4057" s="903">
        <v>39.43</v>
      </c>
      <c r="E4057" s="903"/>
      <c r="F4057" s="350"/>
      <c r="G4057" s="298"/>
      <c r="H4057" s="675">
        <f>D4057-D4058</f>
        <v>33.33</v>
      </c>
      <c r="I4057" s="1508"/>
      <c r="J4057" s="1509"/>
      <c r="K4057" s="1509"/>
      <c r="L4057" s="1509"/>
      <c r="M4057" s="1509"/>
      <c r="N4057" s="1510"/>
    </row>
    <row r="4058" spans="1:14">
      <c r="A4058" s="1639"/>
      <c r="B4058" s="975" t="s">
        <v>3053</v>
      </c>
      <c r="C4058" s="350"/>
      <c r="D4058" s="992">
        <v>6.1</v>
      </c>
      <c r="E4058" s="903"/>
      <c r="F4058" s="350"/>
      <c r="G4058" s="298"/>
      <c r="H4058" s="675"/>
      <c r="I4058" s="1508"/>
      <c r="J4058" s="1509"/>
      <c r="K4058" s="1509"/>
      <c r="L4058" s="1509"/>
      <c r="M4058" s="1509"/>
      <c r="N4058" s="1510"/>
    </row>
    <row r="4059" spans="1:14">
      <c r="A4059" s="1639"/>
      <c r="B4059" s="673" t="s">
        <v>3655</v>
      </c>
      <c r="C4059" s="346"/>
      <c r="D4059" s="531"/>
      <c r="E4059" s="531"/>
      <c r="F4059" s="346"/>
      <c r="G4059" s="288"/>
      <c r="H4059" s="698"/>
      <c r="I4059" s="1508"/>
      <c r="J4059" s="1509"/>
      <c r="K4059" s="1509"/>
      <c r="L4059" s="1509"/>
      <c r="M4059" s="1509"/>
      <c r="N4059" s="1510"/>
    </row>
    <row r="4060" spans="1:14">
      <c r="A4060" s="1639"/>
      <c r="B4060" s="974" t="s">
        <v>2978</v>
      </c>
      <c r="C4060" s="350"/>
      <c r="D4060" s="903">
        <v>19.22</v>
      </c>
      <c r="E4060" s="903"/>
      <c r="F4060" s="350"/>
      <c r="G4060" s="298"/>
      <c r="H4060" s="675">
        <f>D4060-D4061</f>
        <v>18.419999999999998</v>
      </c>
      <c r="I4060" s="1508"/>
      <c r="J4060" s="1509"/>
      <c r="K4060" s="1509"/>
      <c r="L4060" s="1509"/>
      <c r="M4060" s="1509"/>
      <c r="N4060" s="1510"/>
    </row>
    <row r="4061" spans="1:14">
      <c r="A4061" s="1639"/>
      <c r="B4061" s="975" t="s">
        <v>3053</v>
      </c>
      <c r="C4061" s="350"/>
      <c r="D4061" s="992">
        <v>0.8</v>
      </c>
      <c r="E4061" s="903"/>
      <c r="F4061" s="350"/>
      <c r="G4061" s="298"/>
      <c r="H4061" s="675"/>
      <c r="I4061" s="1508"/>
      <c r="J4061" s="1509"/>
      <c r="K4061" s="1509"/>
      <c r="L4061" s="1509"/>
      <c r="M4061" s="1509"/>
      <c r="N4061" s="1510"/>
    </row>
    <row r="4062" spans="1:14">
      <c r="A4062" s="1639"/>
      <c r="B4062" s="974" t="s">
        <v>2980</v>
      </c>
      <c r="C4062" s="350"/>
      <c r="D4062" s="903">
        <v>12.8</v>
      </c>
      <c r="E4062" s="903"/>
      <c r="F4062" s="350"/>
      <c r="G4062" s="298"/>
      <c r="H4062" s="675">
        <f>D4062-D4063</f>
        <v>12</v>
      </c>
      <c r="I4062" s="1508"/>
      <c r="J4062" s="1509"/>
      <c r="K4062" s="1509"/>
      <c r="L4062" s="1509"/>
      <c r="M4062" s="1509"/>
      <c r="N4062" s="1510"/>
    </row>
    <row r="4063" spans="1:14">
      <c r="A4063" s="1639"/>
      <c r="B4063" s="975" t="s">
        <v>3053</v>
      </c>
      <c r="C4063" s="350"/>
      <c r="D4063" s="992">
        <v>0.8</v>
      </c>
      <c r="E4063" s="903"/>
      <c r="F4063" s="350"/>
      <c r="G4063" s="298"/>
      <c r="H4063" s="675"/>
      <c r="I4063" s="1508"/>
      <c r="J4063" s="1509"/>
      <c r="K4063" s="1509"/>
      <c r="L4063" s="1509"/>
      <c r="M4063" s="1509"/>
      <c r="N4063" s="1510"/>
    </row>
    <row r="4064" spans="1:14">
      <c r="A4064" s="1639"/>
      <c r="B4064" s="974" t="s">
        <v>2981</v>
      </c>
      <c r="C4064" s="350"/>
      <c r="D4064" s="903">
        <v>13.4</v>
      </c>
      <c r="E4064" s="903"/>
      <c r="F4064" s="350"/>
      <c r="G4064" s="298"/>
      <c r="H4064" s="675">
        <f>D4064-D4065</f>
        <v>12.6</v>
      </c>
      <c r="I4064" s="1508"/>
      <c r="J4064" s="1509"/>
      <c r="K4064" s="1509"/>
      <c r="L4064" s="1509"/>
      <c r="M4064" s="1509"/>
      <c r="N4064" s="1510"/>
    </row>
    <row r="4065" spans="1:14">
      <c r="A4065" s="1639"/>
      <c r="B4065" s="975" t="s">
        <v>3053</v>
      </c>
      <c r="C4065" s="350"/>
      <c r="D4065" s="992">
        <v>0.8</v>
      </c>
      <c r="E4065" s="903"/>
      <c r="F4065" s="350"/>
      <c r="G4065" s="298"/>
      <c r="H4065" s="675"/>
      <c r="I4065" s="1508"/>
      <c r="J4065" s="1509"/>
      <c r="K4065" s="1509"/>
      <c r="L4065" s="1509"/>
      <c r="M4065" s="1509"/>
      <c r="N4065" s="1510"/>
    </row>
    <row r="4066" spans="1:14">
      <c r="A4066" s="1639"/>
      <c r="B4066" s="974" t="s">
        <v>2968</v>
      </c>
      <c r="C4066" s="350"/>
      <c r="D4066" s="903">
        <v>13.4</v>
      </c>
      <c r="E4066" s="903"/>
      <c r="F4066" s="350"/>
      <c r="G4066" s="298"/>
      <c r="H4066" s="675">
        <f>D4066-D4067</f>
        <v>12.6</v>
      </c>
      <c r="I4066" s="1508"/>
      <c r="J4066" s="1509"/>
      <c r="K4066" s="1509"/>
      <c r="L4066" s="1509"/>
      <c r="M4066" s="1509"/>
      <c r="N4066" s="1510"/>
    </row>
    <row r="4067" spans="1:14">
      <c r="A4067" s="1639"/>
      <c r="B4067" s="975" t="s">
        <v>3053</v>
      </c>
      <c r="C4067" s="350"/>
      <c r="D4067" s="992">
        <v>0.8</v>
      </c>
      <c r="E4067" s="903"/>
      <c r="F4067" s="350"/>
      <c r="G4067" s="298"/>
      <c r="H4067" s="675"/>
      <c r="I4067" s="1508"/>
      <c r="J4067" s="1509"/>
      <c r="K4067" s="1509"/>
      <c r="L4067" s="1509"/>
      <c r="M4067" s="1509"/>
      <c r="N4067" s="1510"/>
    </row>
    <row r="4068" spans="1:14">
      <c r="A4068" s="1639"/>
      <c r="B4068" s="974" t="s">
        <v>2967</v>
      </c>
      <c r="C4068" s="350"/>
      <c r="D4068" s="903">
        <v>13.4</v>
      </c>
      <c r="E4068" s="903"/>
      <c r="F4068" s="350"/>
      <c r="G4068" s="298"/>
      <c r="H4068" s="675">
        <f>D4068-D4069</f>
        <v>12.6</v>
      </c>
      <c r="I4068" s="1508"/>
      <c r="J4068" s="1509"/>
      <c r="K4068" s="1509"/>
      <c r="L4068" s="1509"/>
      <c r="M4068" s="1509"/>
      <c r="N4068" s="1510"/>
    </row>
    <row r="4069" spans="1:14">
      <c r="A4069" s="1639"/>
      <c r="B4069" s="975" t="s">
        <v>3053</v>
      </c>
      <c r="C4069" s="350"/>
      <c r="D4069" s="992">
        <v>0.8</v>
      </c>
      <c r="E4069" s="903"/>
      <c r="F4069" s="350"/>
      <c r="G4069" s="298"/>
      <c r="H4069" s="675"/>
      <c r="I4069" s="1508"/>
      <c r="J4069" s="1509"/>
      <c r="K4069" s="1509"/>
      <c r="L4069" s="1509"/>
      <c r="M4069" s="1509"/>
      <c r="N4069" s="1510"/>
    </row>
    <row r="4070" spans="1:14">
      <c r="A4070" s="1639"/>
      <c r="B4070" s="974" t="s">
        <v>2234</v>
      </c>
      <c r="C4070" s="350"/>
      <c r="D4070" s="903">
        <v>14.91</v>
      </c>
      <c r="E4070" s="903"/>
      <c r="F4070" s="350"/>
      <c r="G4070" s="298"/>
      <c r="H4070" s="675">
        <f>D4070-D4071</f>
        <v>13.51</v>
      </c>
      <c r="I4070" s="1508"/>
      <c r="J4070" s="1509"/>
      <c r="K4070" s="1509"/>
      <c r="L4070" s="1509"/>
      <c r="M4070" s="1509"/>
      <c r="N4070" s="1510"/>
    </row>
    <row r="4071" spans="1:14">
      <c r="A4071" s="1639"/>
      <c r="B4071" s="975" t="s">
        <v>3053</v>
      </c>
      <c r="C4071" s="350"/>
      <c r="D4071" s="992">
        <v>1.4</v>
      </c>
      <c r="E4071" s="903"/>
      <c r="F4071" s="350"/>
      <c r="G4071" s="298"/>
      <c r="H4071" s="675"/>
      <c r="I4071" s="1508"/>
      <c r="J4071" s="1509"/>
      <c r="K4071" s="1509"/>
      <c r="L4071" s="1509"/>
      <c r="M4071" s="1509"/>
      <c r="N4071" s="1510"/>
    </row>
    <row r="4072" spans="1:14">
      <c r="A4072" s="1639"/>
      <c r="B4072" s="974" t="s">
        <v>2982</v>
      </c>
      <c r="C4072" s="350"/>
      <c r="D4072" s="903">
        <v>15.55</v>
      </c>
      <c r="E4072" s="903"/>
      <c r="F4072" s="350"/>
      <c r="G4072" s="298"/>
      <c r="H4072" s="675">
        <f>D4072-D4073</f>
        <v>14.15</v>
      </c>
      <c r="I4072" s="1508"/>
      <c r="J4072" s="1509"/>
      <c r="K4072" s="1509"/>
      <c r="L4072" s="1509"/>
      <c r="M4072" s="1509"/>
      <c r="N4072" s="1510"/>
    </row>
    <row r="4073" spans="1:14">
      <c r="A4073" s="1639"/>
      <c r="B4073" s="975" t="s">
        <v>3053</v>
      </c>
      <c r="C4073" s="350"/>
      <c r="D4073" s="992">
        <v>1.4</v>
      </c>
      <c r="E4073" s="903"/>
      <c r="F4073" s="350"/>
      <c r="G4073" s="298"/>
      <c r="H4073" s="675"/>
      <c r="I4073" s="1508"/>
      <c r="J4073" s="1509"/>
      <c r="K4073" s="1509"/>
      <c r="L4073" s="1509"/>
      <c r="M4073" s="1509"/>
      <c r="N4073" s="1510"/>
    </row>
    <row r="4074" spans="1:14">
      <c r="A4074" s="1639"/>
      <c r="B4074" s="974" t="s">
        <v>2984</v>
      </c>
      <c r="C4074" s="350"/>
      <c r="D4074" s="903">
        <v>10.28</v>
      </c>
      <c r="E4074" s="903"/>
      <c r="F4074" s="350"/>
      <c r="G4074" s="298"/>
      <c r="H4074" s="675">
        <f>D4074-D4075</f>
        <v>9.4799999999999986</v>
      </c>
      <c r="I4074" s="1508"/>
      <c r="J4074" s="1509"/>
      <c r="K4074" s="1509"/>
      <c r="L4074" s="1509"/>
      <c r="M4074" s="1509"/>
      <c r="N4074" s="1510"/>
    </row>
    <row r="4075" spans="1:14">
      <c r="A4075" s="1639"/>
      <c r="B4075" s="975" t="s">
        <v>3053</v>
      </c>
      <c r="C4075" s="350"/>
      <c r="D4075" s="992">
        <v>0.8</v>
      </c>
      <c r="E4075" s="903"/>
      <c r="F4075" s="350"/>
      <c r="G4075" s="298"/>
      <c r="H4075" s="675"/>
      <c r="I4075" s="1508"/>
      <c r="J4075" s="1509"/>
      <c r="K4075" s="1509"/>
      <c r="L4075" s="1509"/>
      <c r="M4075" s="1509"/>
      <c r="N4075" s="1510"/>
    </row>
    <row r="4076" spans="1:14">
      <c r="A4076" s="1639"/>
      <c r="B4076" s="974" t="s">
        <v>2985</v>
      </c>
      <c r="C4076" s="350"/>
      <c r="D4076" s="903">
        <v>15.31</v>
      </c>
      <c r="E4076" s="903"/>
      <c r="F4076" s="350"/>
      <c r="G4076" s="298"/>
      <c r="H4076" s="675">
        <f>D4076-D4077</f>
        <v>14.51</v>
      </c>
      <c r="I4076" s="1508"/>
      <c r="J4076" s="1509"/>
      <c r="K4076" s="1509"/>
      <c r="L4076" s="1509"/>
      <c r="M4076" s="1509"/>
      <c r="N4076" s="1510"/>
    </row>
    <row r="4077" spans="1:14">
      <c r="A4077" s="1639"/>
      <c r="B4077" s="975" t="s">
        <v>3053</v>
      </c>
      <c r="C4077" s="350"/>
      <c r="D4077" s="992">
        <v>0.8</v>
      </c>
      <c r="E4077" s="903"/>
      <c r="F4077" s="350"/>
      <c r="G4077" s="298"/>
      <c r="H4077" s="675"/>
      <c r="I4077" s="1508"/>
      <c r="J4077" s="1509"/>
      <c r="K4077" s="1509"/>
      <c r="L4077" s="1509"/>
      <c r="M4077" s="1509"/>
      <c r="N4077" s="1510"/>
    </row>
    <row r="4078" spans="1:14">
      <c r="A4078" s="1639"/>
      <c r="B4078" s="974" t="s">
        <v>2986</v>
      </c>
      <c r="C4078" s="350"/>
      <c r="D4078" s="903">
        <v>13.6</v>
      </c>
      <c r="E4078" s="903"/>
      <c r="F4078" s="350"/>
      <c r="G4078" s="298"/>
      <c r="H4078" s="675">
        <f>D4078-D4079</f>
        <v>12.799999999999999</v>
      </c>
      <c r="I4078" s="1508"/>
      <c r="J4078" s="1509"/>
      <c r="K4078" s="1509"/>
      <c r="L4078" s="1509"/>
      <c r="M4078" s="1509"/>
      <c r="N4078" s="1510"/>
    </row>
    <row r="4079" spans="1:14">
      <c r="A4079" s="1639"/>
      <c r="B4079" s="975" t="s">
        <v>3053</v>
      </c>
      <c r="C4079" s="350"/>
      <c r="D4079" s="992">
        <v>0.8</v>
      </c>
      <c r="E4079" s="903"/>
      <c r="F4079" s="350"/>
      <c r="G4079" s="298"/>
      <c r="H4079" s="675"/>
      <c r="I4079" s="1508"/>
      <c r="J4079" s="1509"/>
      <c r="K4079" s="1509"/>
      <c r="L4079" s="1509"/>
      <c r="M4079" s="1509"/>
      <c r="N4079" s="1510"/>
    </row>
    <row r="4080" spans="1:14">
      <c r="A4080" s="1639"/>
      <c r="B4080" s="974" t="s">
        <v>2987</v>
      </c>
      <c r="C4080" s="350"/>
      <c r="D4080" s="903">
        <v>13.4</v>
      </c>
      <c r="E4080" s="903"/>
      <c r="F4080" s="350"/>
      <c r="G4080" s="298"/>
      <c r="H4080" s="675">
        <f>D4080-D4081</f>
        <v>12.6</v>
      </c>
      <c r="I4080" s="1508"/>
      <c r="J4080" s="1509"/>
      <c r="K4080" s="1509"/>
      <c r="L4080" s="1509"/>
      <c r="M4080" s="1509"/>
      <c r="N4080" s="1510"/>
    </row>
    <row r="4081" spans="1:14">
      <c r="A4081" s="1639"/>
      <c r="B4081" s="975" t="s">
        <v>3053</v>
      </c>
      <c r="C4081" s="350"/>
      <c r="D4081" s="992">
        <v>0.8</v>
      </c>
      <c r="E4081" s="903"/>
      <c r="F4081" s="350"/>
      <c r="G4081" s="298"/>
      <c r="H4081" s="675"/>
      <c r="I4081" s="1508"/>
      <c r="J4081" s="1509"/>
      <c r="K4081" s="1509"/>
      <c r="L4081" s="1509"/>
      <c r="M4081" s="1509"/>
      <c r="N4081" s="1510"/>
    </row>
    <row r="4082" spans="1:14">
      <c r="A4082" s="1639"/>
      <c r="B4082" s="974" t="s">
        <v>3464</v>
      </c>
      <c r="C4082" s="350"/>
      <c r="D4082" s="903">
        <v>13.4</v>
      </c>
      <c r="E4082" s="903"/>
      <c r="F4082" s="350"/>
      <c r="G4082" s="298"/>
      <c r="H4082" s="675">
        <f>D4082-D4083</f>
        <v>12.6</v>
      </c>
      <c r="I4082" s="1508"/>
      <c r="J4082" s="1509"/>
      <c r="K4082" s="1509"/>
      <c r="L4082" s="1509"/>
      <c r="M4082" s="1509"/>
      <c r="N4082" s="1510"/>
    </row>
    <row r="4083" spans="1:14">
      <c r="A4083" s="1639"/>
      <c r="B4083" s="975" t="s">
        <v>3053</v>
      </c>
      <c r="C4083" s="350"/>
      <c r="D4083" s="992">
        <v>0.8</v>
      </c>
      <c r="E4083" s="903"/>
      <c r="F4083" s="350"/>
      <c r="G4083" s="298"/>
      <c r="H4083" s="675"/>
      <c r="I4083" s="1508"/>
      <c r="J4083" s="1509"/>
      <c r="K4083" s="1509"/>
      <c r="L4083" s="1509"/>
      <c r="M4083" s="1509"/>
      <c r="N4083" s="1510"/>
    </row>
    <row r="4084" spans="1:14">
      <c r="A4084" s="1639"/>
      <c r="B4084" s="974" t="s">
        <v>2989</v>
      </c>
      <c r="C4084" s="350"/>
      <c r="D4084" s="903">
        <v>12.76</v>
      </c>
      <c r="E4084" s="903"/>
      <c r="F4084" s="350"/>
      <c r="G4084" s="298"/>
      <c r="H4084" s="675">
        <f>D4084-D4085</f>
        <v>11.959999999999999</v>
      </c>
      <c r="I4084" s="1508"/>
      <c r="J4084" s="1509"/>
      <c r="K4084" s="1509"/>
      <c r="L4084" s="1509"/>
      <c r="M4084" s="1509"/>
      <c r="N4084" s="1510"/>
    </row>
    <row r="4085" spans="1:14">
      <c r="A4085" s="1639"/>
      <c r="B4085" s="975" t="s">
        <v>3053</v>
      </c>
      <c r="C4085" s="350"/>
      <c r="D4085" s="992">
        <v>0.8</v>
      </c>
      <c r="E4085" s="903"/>
      <c r="F4085" s="350"/>
      <c r="G4085" s="298"/>
      <c r="H4085" s="675"/>
      <c r="I4085" s="1508"/>
      <c r="J4085" s="1509"/>
      <c r="K4085" s="1509"/>
      <c r="L4085" s="1509"/>
      <c r="M4085" s="1509"/>
      <c r="N4085" s="1510"/>
    </row>
    <row r="4086" spans="1:14">
      <c r="A4086" s="1639" t="s">
        <v>3745</v>
      </c>
      <c r="B4086" s="673" t="s">
        <v>3524</v>
      </c>
      <c r="C4086" s="346"/>
      <c r="D4086" s="531"/>
      <c r="E4086" s="531"/>
      <c r="F4086" s="346"/>
      <c r="G4086" s="288"/>
      <c r="H4086" s="698"/>
      <c r="I4086" s="1508"/>
      <c r="J4086" s="1509"/>
      <c r="K4086" s="1509"/>
      <c r="L4086" s="1509"/>
      <c r="M4086" s="1509"/>
      <c r="N4086" s="1510"/>
    </row>
    <row r="4087" spans="1:14">
      <c r="A4087" s="1639"/>
      <c r="B4087" s="974" t="s">
        <v>2952</v>
      </c>
      <c r="C4087" s="350"/>
      <c r="D4087" s="903">
        <v>13.37</v>
      </c>
      <c r="E4087" s="903"/>
      <c r="F4087" s="350"/>
      <c r="G4087" s="298"/>
      <c r="H4087" s="675">
        <f>D4087-D4088</f>
        <v>12.569999999999999</v>
      </c>
      <c r="I4087" s="1508"/>
      <c r="J4087" s="1509"/>
      <c r="K4087" s="1509"/>
      <c r="L4087" s="1509"/>
      <c r="M4087" s="1509"/>
      <c r="N4087" s="1510"/>
    </row>
    <row r="4088" spans="1:14">
      <c r="A4088" s="1639"/>
      <c r="B4088" s="975" t="s">
        <v>3053</v>
      </c>
      <c r="C4088" s="350"/>
      <c r="D4088" s="992">
        <v>0.8</v>
      </c>
      <c r="E4088" s="903"/>
      <c r="F4088" s="350"/>
      <c r="G4088" s="298"/>
      <c r="H4088" s="675"/>
      <c r="I4088" s="1508"/>
      <c r="J4088" s="1509"/>
      <c r="K4088" s="1509"/>
      <c r="L4088" s="1509"/>
      <c r="M4088" s="1509"/>
      <c r="N4088" s="1510"/>
    </row>
    <row r="4089" spans="1:14">
      <c r="A4089" s="1639"/>
      <c r="B4089" s="974" t="s">
        <v>2432</v>
      </c>
      <c r="C4089" s="350"/>
      <c r="D4089" s="903">
        <v>14.59</v>
      </c>
      <c r="E4089" s="903"/>
      <c r="F4089" s="350"/>
      <c r="G4089" s="298"/>
      <c r="H4089" s="675">
        <f>D4089-D4090</f>
        <v>13.79</v>
      </c>
      <c r="I4089" s="1508"/>
      <c r="J4089" s="1509"/>
      <c r="K4089" s="1509"/>
      <c r="L4089" s="1509"/>
      <c r="M4089" s="1509"/>
      <c r="N4089" s="1510"/>
    </row>
    <row r="4090" spans="1:14">
      <c r="A4090" s="1639"/>
      <c r="B4090" s="975" t="s">
        <v>3053</v>
      </c>
      <c r="C4090" s="350"/>
      <c r="D4090" s="992">
        <v>0.8</v>
      </c>
      <c r="E4090" s="903"/>
      <c r="F4090" s="350"/>
      <c r="G4090" s="298"/>
      <c r="H4090" s="675"/>
      <c r="I4090" s="1508"/>
      <c r="J4090" s="1509"/>
      <c r="K4090" s="1509"/>
      <c r="L4090" s="1509"/>
      <c r="M4090" s="1509"/>
      <c r="N4090" s="1510"/>
    </row>
    <row r="4091" spans="1:14">
      <c r="A4091" s="1639"/>
      <c r="B4091" s="974" t="s">
        <v>2967</v>
      </c>
      <c r="C4091" s="350"/>
      <c r="D4091" s="903">
        <v>13.5</v>
      </c>
      <c r="E4091" s="903"/>
      <c r="F4091" s="350"/>
      <c r="G4091" s="298"/>
      <c r="H4091" s="675">
        <f>D4091-D4092</f>
        <v>12.7</v>
      </c>
      <c r="I4091" s="1508"/>
      <c r="J4091" s="1509"/>
      <c r="K4091" s="1509"/>
      <c r="L4091" s="1509"/>
      <c r="M4091" s="1509"/>
      <c r="N4091" s="1510"/>
    </row>
    <row r="4092" spans="1:14">
      <c r="A4092" s="1639"/>
      <c r="B4092" s="975" t="s">
        <v>3053</v>
      </c>
      <c r="C4092" s="350"/>
      <c r="D4092" s="992">
        <v>0.8</v>
      </c>
      <c r="E4092" s="903"/>
      <c r="F4092" s="350"/>
      <c r="G4092" s="298"/>
      <c r="H4092" s="675"/>
      <c r="I4092" s="1508"/>
      <c r="J4092" s="1509"/>
      <c r="K4092" s="1509"/>
      <c r="L4092" s="1509"/>
      <c r="M4092" s="1509"/>
      <c r="N4092" s="1510"/>
    </row>
    <row r="4093" spans="1:14">
      <c r="A4093" s="1639"/>
      <c r="B4093" s="974" t="s">
        <v>2968</v>
      </c>
      <c r="C4093" s="350"/>
      <c r="D4093" s="903">
        <v>13.5</v>
      </c>
      <c r="E4093" s="903"/>
      <c r="F4093" s="350"/>
      <c r="G4093" s="298"/>
      <c r="H4093" s="675">
        <f>D4093-D4094</f>
        <v>12.7</v>
      </c>
      <c r="I4093" s="1508"/>
      <c r="J4093" s="1509"/>
      <c r="K4093" s="1509"/>
      <c r="L4093" s="1509"/>
      <c r="M4093" s="1509"/>
      <c r="N4093" s="1510"/>
    </row>
    <row r="4094" spans="1:14">
      <c r="A4094" s="1639"/>
      <c r="B4094" s="975" t="s">
        <v>3053</v>
      </c>
      <c r="C4094" s="350"/>
      <c r="D4094" s="992">
        <v>0.8</v>
      </c>
      <c r="E4094" s="903"/>
      <c r="F4094" s="350"/>
      <c r="G4094" s="298"/>
      <c r="H4094" s="675"/>
      <c r="I4094" s="1508"/>
      <c r="J4094" s="1509"/>
      <c r="K4094" s="1509"/>
      <c r="L4094" s="1509"/>
      <c r="M4094" s="1509"/>
      <c r="N4094" s="1510"/>
    </row>
    <row r="4095" spans="1:14">
      <c r="A4095" s="1639"/>
      <c r="B4095" s="974" t="s">
        <v>2969</v>
      </c>
      <c r="C4095" s="350"/>
      <c r="D4095" s="903">
        <v>14.16</v>
      </c>
      <c r="E4095" s="903"/>
      <c r="F4095" s="350"/>
      <c r="G4095" s="298"/>
      <c r="H4095" s="675">
        <f>D4095-D4096</f>
        <v>13.36</v>
      </c>
      <c r="I4095" s="1508"/>
      <c r="J4095" s="1509"/>
      <c r="K4095" s="1509"/>
      <c r="L4095" s="1509"/>
      <c r="M4095" s="1509"/>
      <c r="N4095" s="1510"/>
    </row>
    <row r="4096" spans="1:14">
      <c r="A4096" s="1639"/>
      <c r="B4096" s="975" t="s">
        <v>3053</v>
      </c>
      <c r="C4096" s="350"/>
      <c r="D4096" s="992">
        <v>0.8</v>
      </c>
      <c r="E4096" s="903"/>
      <c r="F4096" s="350"/>
      <c r="G4096" s="298"/>
      <c r="H4096" s="675"/>
      <c r="I4096" s="1508"/>
      <c r="J4096" s="1509"/>
      <c r="K4096" s="1509"/>
      <c r="L4096" s="1509"/>
      <c r="M4096" s="1509"/>
      <c r="N4096" s="1510"/>
    </row>
    <row r="4097" spans="1:14">
      <c r="A4097" s="1639"/>
      <c r="B4097" s="974" t="s">
        <v>2972</v>
      </c>
      <c r="C4097" s="350"/>
      <c r="D4097" s="903">
        <v>11.28</v>
      </c>
      <c r="E4097" s="903"/>
      <c r="F4097" s="350"/>
      <c r="G4097" s="298"/>
      <c r="H4097" s="675">
        <f>D4097-D4098</f>
        <v>10.479999999999999</v>
      </c>
      <c r="I4097" s="1508"/>
      <c r="J4097" s="1509"/>
      <c r="K4097" s="1509"/>
      <c r="L4097" s="1509"/>
      <c r="M4097" s="1509"/>
      <c r="N4097" s="1510"/>
    </row>
    <row r="4098" spans="1:14">
      <c r="A4098" s="1639"/>
      <c r="B4098" s="975" t="s">
        <v>3053</v>
      </c>
      <c r="C4098" s="350"/>
      <c r="D4098" s="992">
        <v>0.8</v>
      </c>
      <c r="E4098" s="903"/>
      <c r="F4098" s="350"/>
      <c r="G4098" s="298"/>
      <c r="H4098" s="675"/>
      <c r="I4098" s="1508"/>
      <c r="J4098" s="1509"/>
      <c r="K4098" s="1509"/>
      <c r="L4098" s="1509"/>
      <c r="M4098" s="1509"/>
      <c r="N4098" s="1510"/>
    </row>
    <row r="4099" spans="1:14">
      <c r="A4099" s="1639"/>
      <c r="B4099" s="974" t="s">
        <v>2223</v>
      </c>
      <c r="C4099" s="350"/>
      <c r="D4099" s="903">
        <v>13.22</v>
      </c>
      <c r="E4099" s="903"/>
      <c r="F4099" s="350"/>
      <c r="G4099" s="298"/>
      <c r="H4099" s="675">
        <f>D4099-D4100</f>
        <v>12.42</v>
      </c>
      <c r="I4099" s="1508"/>
      <c r="J4099" s="1509"/>
      <c r="K4099" s="1509"/>
      <c r="L4099" s="1509"/>
      <c r="M4099" s="1509"/>
      <c r="N4099" s="1510"/>
    </row>
    <row r="4100" spans="1:14">
      <c r="A4100" s="1639"/>
      <c r="B4100" s="1230" t="s">
        <v>3053</v>
      </c>
      <c r="C4100" s="693"/>
      <c r="D4100" s="1232">
        <v>0.8</v>
      </c>
      <c r="E4100" s="993"/>
      <c r="F4100" s="350"/>
      <c r="G4100" s="298"/>
      <c r="H4100" s="675"/>
      <c r="I4100" s="1508"/>
      <c r="J4100" s="1509"/>
      <c r="K4100" s="1509"/>
      <c r="L4100" s="1509"/>
      <c r="M4100" s="1509"/>
      <c r="N4100" s="1510"/>
    </row>
    <row r="4101" spans="1:14">
      <c r="A4101" s="1639" t="s">
        <v>3937</v>
      </c>
      <c r="B4101" s="1231" t="s">
        <v>2992</v>
      </c>
      <c r="C4101" s="1234"/>
      <c r="D4101" s="1237">
        <v>9.2200000000000006</v>
      </c>
      <c r="E4101" s="1354"/>
      <c r="F4101" s="1236"/>
      <c r="G4101" s="290"/>
      <c r="H4101" s="675">
        <f t="shared" ref="H4101:H4117" si="99">D4101-D4102</f>
        <v>9.2200000000000006</v>
      </c>
      <c r="I4101" s="1509"/>
      <c r="J4101" s="1509"/>
      <c r="K4101" s="1509"/>
      <c r="L4101" s="1509"/>
      <c r="M4101" s="1509"/>
      <c r="N4101" s="1510"/>
    </row>
    <row r="4102" spans="1:14">
      <c r="A4102" s="1639"/>
      <c r="B4102" s="1233" t="s">
        <v>3952</v>
      </c>
      <c r="C4102" s="1235"/>
      <c r="D4102" s="1238"/>
      <c r="E4102" s="1238"/>
      <c r="F4102" s="1236"/>
      <c r="G4102" s="290"/>
      <c r="H4102" s="675"/>
      <c r="I4102" s="1509"/>
      <c r="J4102" s="1509"/>
      <c r="K4102" s="1509"/>
      <c r="L4102" s="1509"/>
      <c r="M4102" s="1509"/>
      <c r="N4102" s="1510"/>
    </row>
    <row r="4103" spans="1:14">
      <c r="A4103" s="1639"/>
      <c r="B4103" s="1231" t="s">
        <v>3104</v>
      </c>
      <c r="C4103" s="1234"/>
      <c r="D4103" s="1237">
        <v>10.47</v>
      </c>
      <c r="E4103" s="1354"/>
      <c r="F4103" s="1236"/>
      <c r="G4103" s="290"/>
      <c r="H4103" s="675">
        <f>D4103-D4104</f>
        <v>9.4700000000000006</v>
      </c>
      <c r="I4103" s="1509"/>
      <c r="J4103" s="1509"/>
      <c r="K4103" s="1509"/>
      <c r="L4103" s="1509"/>
      <c r="M4103" s="1509"/>
      <c r="N4103" s="1510"/>
    </row>
    <row r="4104" spans="1:14">
      <c r="A4104" s="1639"/>
      <c r="B4104" s="1233" t="s">
        <v>3952</v>
      </c>
      <c r="C4104" s="1235"/>
      <c r="D4104" s="1239">
        <v>1</v>
      </c>
      <c r="E4104" s="1355"/>
      <c r="F4104" s="1236"/>
      <c r="G4104" s="290"/>
      <c r="H4104" s="675"/>
      <c r="I4104" s="1509"/>
      <c r="J4104" s="1509"/>
      <c r="K4104" s="1509"/>
      <c r="L4104" s="1509"/>
      <c r="M4104" s="1509"/>
      <c r="N4104" s="1510"/>
    </row>
    <row r="4105" spans="1:14">
      <c r="A4105" s="1639"/>
      <c r="B4105" s="1231" t="s">
        <v>2993</v>
      </c>
      <c r="C4105" s="1234"/>
      <c r="D4105" s="1237">
        <v>7.98</v>
      </c>
      <c r="E4105" s="1354"/>
      <c r="F4105" s="1236"/>
      <c r="G4105" s="290"/>
      <c r="H4105" s="675">
        <f t="shared" si="99"/>
        <v>6.98</v>
      </c>
      <c r="I4105" s="1509"/>
      <c r="J4105" s="1509"/>
      <c r="K4105" s="1509"/>
      <c r="L4105" s="1509"/>
      <c r="M4105" s="1509"/>
      <c r="N4105" s="1510"/>
    </row>
    <row r="4106" spans="1:14">
      <c r="A4106" s="1639"/>
      <c r="B4106" s="1233" t="s">
        <v>3952</v>
      </c>
      <c r="C4106" s="1235"/>
      <c r="D4106" s="1239">
        <v>1</v>
      </c>
      <c r="E4106" s="1355"/>
      <c r="F4106" s="1236"/>
      <c r="G4106" s="290"/>
      <c r="H4106" s="675"/>
      <c r="I4106" s="1509"/>
      <c r="J4106" s="1509"/>
      <c r="K4106" s="1509"/>
      <c r="L4106" s="1509"/>
      <c r="M4106" s="1509"/>
      <c r="N4106" s="1510"/>
    </row>
    <row r="4107" spans="1:14">
      <c r="A4107" s="1639"/>
      <c r="B4107" s="1231" t="s">
        <v>2994</v>
      </c>
      <c r="C4107" s="1234"/>
      <c r="D4107" s="1237">
        <v>7.98</v>
      </c>
      <c r="E4107" s="1354"/>
      <c r="F4107" s="1236"/>
      <c r="G4107" s="290"/>
      <c r="H4107" s="675">
        <f t="shared" si="99"/>
        <v>6.98</v>
      </c>
      <c r="I4107" s="1509"/>
      <c r="J4107" s="1509"/>
      <c r="K4107" s="1509"/>
      <c r="L4107" s="1509"/>
      <c r="M4107" s="1509"/>
      <c r="N4107" s="1510"/>
    </row>
    <row r="4108" spans="1:14">
      <c r="A4108" s="1639"/>
      <c r="B4108" s="1233" t="s">
        <v>3952</v>
      </c>
      <c r="C4108" s="1235"/>
      <c r="D4108" s="1239">
        <v>1</v>
      </c>
      <c r="E4108" s="1355"/>
      <c r="F4108" s="1236"/>
      <c r="G4108" s="290"/>
      <c r="H4108" s="675"/>
      <c r="I4108" s="1509"/>
      <c r="J4108" s="1509"/>
      <c r="K4108" s="1509"/>
      <c r="L4108" s="1509"/>
      <c r="M4108" s="1509"/>
      <c r="N4108" s="1510"/>
    </row>
    <row r="4109" spans="1:14">
      <c r="A4109" s="1639" t="s">
        <v>4080</v>
      </c>
      <c r="B4109" s="1231"/>
      <c r="C4109" s="1234"/>
      <c r="D4109" s="1237"/>
      <c r="E4109" s="1354"/>
      <c r="F4109" s="1236"/>
      <c r="G4109" s="290"/>
      <c r="H4109" s="675">
        <f t="shared" ref="H4109" si="100">D4109-D4110</f>
        <v>0</v>
      </c>
      <c r="I4109" s="1509"/>
      <c r="J4109" s="1509"/>
      <c r="K4109" s="1509"/>
      <c r="L4109" s="1509"/>
      <c r="M4109" s="1509"/>
      <c r="N4109" s="1510"/>
    </row>
    <row r="4110" spans="1:14">
      <c r="A4110" s="1639"/>
      <c r="B4110" s="673" t="s">
        <v>3524</v>
      </c>
      <c r="C4110" s="1235"/>
      <c r="D4110" s="1238"/>
      <c r="E4110" s="1238"/>
      <c r="F4110" s="1236"/>
      <c r="G4110" s="290"/>
      <c r="H4110" s="675"/>
      <c r="I4110" s="1509"/>
      <c r="J4110" s="1509"/>
      <c r="K4110" s="1509"/>
      <c r="L4110" s="1509"/>
      <c r="M4110" s="1509"/>
      <c r="N4110" s="1510"/>
    </row>
    <row r="4111" spans="1:14">
      <c r="A4111" s="1639"/>
      <c r="B4111" s="1231" t="s">
        <v>4016</v>
      </c>
      <c r="C4111" s="1234"/>
      <c r="D4111" s="1237">
        <v>28.39</v>
      </c>
      <c r="E4111" s="1354"/>
      <c r="F4111" s="1236"/>
      <c r="G4111" s="290"/>
      <c r="H4111" s="675">
        <f>D4111-D4112</f>
        <v>28.39</v>
      </c>
      <c r="I4111" s="1509"/>
      <c r="J4111" s="1509"/>
      <c r="K4111" s="1509"/>
      <c r="L4111" s="1509"/>
      <c r="M4111" s="1509"/>
      <c r="N4111" s="1510"/>
    </row>
    <row r="4112" spans="1:14">
      <c r="A4112" s="1639"/>
      <c r="B4112" s="1233"/>
      <c r="C4112" s="1235"/>
      <c r="D4112" s="1239"/>
      <c r="E4112" s="1355"/>
      <c r="F4112" s="1236"/>
      <c r="G4112" s="290"/>
      <c r="H4112" s="675"/>
      <c r="I4112" s="1509"/>
      <c r="J4112" s="1509"/>
      <c r="K4112" s="1509"/>
      <c r="L4112" s="1509"/>
      <c r="M4112" s="1509"/>
      <c r="N4112" s="1510"/>
    </row>
    <row r="4113" spans="1:14">
      <c r="A4113" s="1639"/>
      <c r="B4113" s="1231"/>
      <c r="C4113" s="1234"/>
      <c r="D4113" s="1237"/>
      <c r="E4113" s="1354"/>
      <c r="F4113" s="1236"/>
      <c r="G4113" s="290"/>
      <c r="H4113" s="675">
        <f t="shared" ref="H4113" si="101">D4113-D4114</f>
        <v>0</v>
      </c>
      <c r="I4113" s="1509"/>
      <c r="J4113" s="1509"/>
      <c r="K4113" s="1509"/>
      <c r="L4113" s="1509"/>
      <c r="M4113" s="1509"/>
      <c r="N4113" s="1510"/>
    </row>
    <row r="4114" spans="1:14">
      <c r="A4114" s="1639"/>
      <c r="B4114" s="1233"/>
      <c r="C4114" s="1235"/>
      <c r="D4114" s="1239"/>
      <c r="E4114" s="1355"/>
      <c r="F4114" s="1236"/>
      <c r="G4114" s="290"/>
      <c r="H4114" s="675"/>
      <c r="I4114" s="1509"/>
      <c r="J4114" s="1509"/>
      <c r="K4114" s="1509"/>
      <c r="L4114" s="1509"/>
      <c r="M4114" s="1509"/>
      <c r="N4114" s="1510"/>
    </row>
    <row r="4115" spans="1:14">
      <c r="A4115" s="1639"/>
      <c r="B4115" s="1231"/>
      <c r="C4115" s="1234"/>
      <c r="D4115" s="1237"/>
      <c r="E4115" s="1354"/>
      <c r="F4115" s="1236"/>
      <c r="G4115" s="290"/>
      <c r="H4115" s="675">
        <f t="shared" ref="H4115" si="102">D4115-D4116</f>
        <v>0</v>
      </c>
      <c r="I4115" s="1509"/>
      <c r="J4115" s="1509"/>
      <c r="K4115" s="1509"/>
      <c r="L4115" s="1509"/>
      <c r="M4115" s="1509"/>
      <c r="N4115" s="1510"/>
    </row>
    <row r="4116" spans="1:14">
      <c r="A4116" s="1639"/>
      <c r="B4116" s="1233"/>
      <c r="C4116" s="1235"/>
      <c r="D4116" s="1239"/>
      <c r="E4116" s="1355"/>
      <c r="F4116" s="1236"/>
      <c r="G4116" s="290"/>
      <c r="H4116" s="675"/>
      <c r="I4116" s="1509"/>
      <c r="J4116" s="1509"/>
      <c r="K4116" s="1509"/>
      <c r="L4116" s="1509"/>
      <c r="M4116" s="1509"/>
      <c r="N4116" s="1510"/>
    </row>
    <row r="4117" spans="1:14">
      <c r="A4117" s="1140"/>
      <c r="B4117" s="1019"/>
      <c r="C4117" s="376"/>
      <c r="D4117" s="1020"/>
      <c r="E4117" s="1312"/>
      <c r="F4117" s="376"/>
      <c r="G4117" s="695"/>
      <c r="H4117" s="675">
        <f t="shared" si="99"/>
        <v>0</v>
      </c>
      <c r="I4117" s="1508"/>
      <c r="J4117" s="1509"/>
      <c r="K4117" s="1509"/>
      <c r="L4117" s="1509"/>
      <c r="M4117" s="1509"/>
      <c r="N4117" s="1510"/>
    </row>
    <row r="4118" spans="1:14">
      <c r="A4118" s="1141"/>
      <c r="B4118" s="1019"/>
      <c r="C4118" s="376"/>
      <c r="D4118" s="1020"/>
      <c r="E4118" s="1312"/>
      <c r="F4118" s="376"/>
      <c r="G4118" s="695"/>
      <c r="H4118" s="891"/>
      <c r="I4118" s="1508"/>
      <c r="J4118" s="1509"/>
      <c r="K4118" s="1509"/>
      <c r="L4118" s="1509"/>
      <c r="M4118" s="1509"/>
      <c r="N4118" s="1510"/>
    </row>
    <row r="4119" spans="1:14">
      <c r="A4119" s="1542" t="s">
        <v>2218</v>
      </c>
      <c r="B4119" s="1542"/>
      <c r="C4119" s="1542"/>
      <c r="D4119" s="1542"/>
      <c r="E4119" s="1542"/>
      <c r="F4119" s="1542"/>
      <c r="G4119" s="1542"/>
      <c r="H4119" s="271">
        <f>SUM(H3973:H4118)</f>
        <v>793.25000000000034</v>
      </c>
      <c r="I4119" s="1508"/>
      <c r="J4119" s="1509"/>
      <c r="K4119" s="1509"/>
      <c r="L4119" s="1509"/>
      <c r="M4119" s="1509"/>
      <c r="N4119" s="1510"/>
    </row>
    <row r="4120" spans="1:14">
      <c r="A4120" s="1538" t="s">
        <v>2219</v>
      </c>
      <c r="B4120" s="1538"/>
      <c r="C4120" s="1538"/>
      <c r="D4120" s="1538"/>
      <c r="E4120" s="1538"/>
      <c r="F4120" s="1538"/>
      <c r="G4120" s="1538"/>
      <c r="H4120" s="271">
        <f>SUM(H3973:H4108)</f>
        <v>764.86000000000035</v>
      </c>
      <c r="I4120" s="1508"/>
      <c r="J4120" s="1509"/>
      <c r="K4120" s="1509"/>
      <c r="L4120" s="1509"/>
      <c r="M4120" s="1509"/>
      <c r="N4120" s="1510"/>
    </row>
    <row r="4121" spans="1:14" ht="13.9" customHeight="1" thickBot="1">
      <c r="A4121" s="1538" t="s">
        <v>2220</v>
      </c>
      <c r="B4121" s="1538"/>
      <c r="C4121" s="1538"/>
      <c r="D4121" s="1538"/>
      <c r="E4121" s="1538"/>
      <c r="F4121" s="1538"/>
      <c r="G4121" s="1538"/>
      <c r="H4121" s="216">
        <f>H4119-H4120</f>
        <v>28.389999999999986</v>
      </c>
      <c r="I4121" s="1511"/>
      <c r="J4121" s="1512"/>
      <c r="K4121" s="1512"/>
      <c r="L4121" s="1512"/>
      <c r="M4121" s="1512"/>
      <c r="N4121" s="1513"/>
    </row>
    <row r="4122" spans="1:14" ht="13.9" customHeight="1" thickBot="1">
      <c r="A4122" s="1115"/>
      <c r="B4122" s="889"/>
      <c r="C4122" s="640"/>
      <c r="D4122" s="971"/>
      <c r="E4122" s="1343"/>
      <c r="F4122" s="640"/>
      <c r="G4122" s="640"/>
      <c r="H4122" s="217"/>
      <c r="I4122" s="279"/>
      <c r="J4122" s="279"/>
      <c r="K4122" s="279"/>
      <c r="L4122" s="279"/>
      <c r="M4122" s="279"/>
      <c r="N4122" s="441"/>
    </row>
    <row r="4123" spans="1:14" ht="32.450000000000003" customHeight="1">
      <c r="A4123" s="1085" t="s">
        <v>3399</v>
      </c>
      <c r="B4123" s="1494" t="s">
        <v>1050</v>
      </c>
      <c r="C4123" s="1495"/>
      <c r="D4123" s="1495"/>
      <c r="E4123" s="1495"/>
      <c r="F4123" s="1495"/>
      <c r="G4123" s="1495"/>
      <c r="H4123" s="1495"/>
      <c r="I4123" s="1495"/>
      <c r="J4123" s="1496"/>
      <c r="K4123" s="196" t="s">
        <v>2222</v>
      </c>
      <c r="L4123" s="1497">
        <f>'27ª MEDIÇÃO '!F235</f>
        <v>1.38</v>
      </c>
      <c r="M4123" s="1498"/>
      <c r="N4123" s="197">
        <f>L4123-H4130</f>
        <v>0</v>
      </c>
    </row>
    <row r="4124" spans="1:14">
      <c r="A4124" s="1554"/>
      <c r="B4124" s="1541"/>
      <c r="C4124" s="366"/>
      <c r="D4124" s="367" t="s">
        <v>2183</v>
      </c>
      <c r="E4124" s="1320"/>
      <c r="F4124" s="367"/>
      <c r="G4124" s="367"/>
      <c r="H4124" s="1542" t="s">
        <v>476</v>
      </c>
      <c r="I4124" s="1505"/>
      <c r="J4124" s="1506"/>
      <c r="K4124" s="1506"/>
      <c r="L4124" s="1506"/>
      <c r="M4124" s="1506"/>
      <c r="N4124" s="1507"/>
    </row>
    <row r="4125" spans="1:14">
      <c r="A4125" s="1701"/>
      <c r="B4125" s="1694"/>
      <c r="C4125" s="416" t="s">
        <v>12</v>
      </c>
      <c r="D4125" s="417" t="s">
        <v>3811</v>
      </c>
      <c r="E4125" s="1323"/>
      <c r="F4125" s="417"/>
      <c r="G4125" s="418"/>
      <c r="H4125" s="1503"/>
      <c r="I4125" s="1508"/>
      <c r="J4125" s="1509"/>
      <c r="K4125" s="1509"/>
      <c r="L4125" s="1509"/>
      <c r="M4125" s="1509"/>
      <c r="N4125" s="1510"/>
    </row>
    <row r="4126" spans="1:14">
      <c r="A4126" s="1530" t="s">
        <v>3745</v>
      </c>
      <c r="B4126" s="673" t="s">
        <v>2727</v>
      </c>
      <c r="C4126" s="350"/>
      <c r="D4126" s="904"/>
      <c r="E4126" s="903"/>
      <c r="F4126" s="350"/>
      <c r="G4126" s="298"/>
      <c r="H4126" s="675"/>
      <c r="I4126" s="1508"/>
      <c r="J4126" s="1509"/>
      <c r="K4126" s="1509"/>
      <c r="L4126" s="1509"/>
      <c r="M4126" s="1509"/>
      <c r="N4126" s="1510"/>
    </row>
    <row r="4127" spans="1:14">
      <c r="A4127" s="1531"/>
      <c r="B4127" s="355" t="s">
        <v>2455</v>
      </c>
      <c r="C4127" s="350">
        <f>1.5*0.46</f>
        <v>0.69000000000000006</v>
      </c>
      <c r="D4127" s="903">
        <v>2</v>
      </c>
      <c r="E4127" s="903"/>
      <c r="F4127" s="350"/>
      <c r="G4127" s="298"/>
      <c r="H4127" s="675">
        <f>C4127*D4127</f>
        <v>1.3800000000000001</v>
      </c>
      <c r="I4127" s="1508"/>
      <c r="J4127" s="1509"/>
      <c r="K4127" s="1509"/>
      <c r="L4127" s="1509"/>
      <c r="M4127" s="1509"/>
      <c r="N4127" s="1510"/>
    </row>
    <row r="4128" spans="1:14">
      <c r="A4128" s="1531"/>
      <c r="B4128" s="355"/>
      <c r="C4128" s="350"/>
      <c r="D4128" s="903"/>
      <c r="E4128" s="903"/>
      <c r="F4128" s="350"/>
      <c r="G4128" s="298"/>
      <c r="H4128" s="675">
        <f>D4128</f>
        <v>0</v>
      </c>
      <c r="I4128" s="1508"/>
      <c r="J4128" s="1509"/>
      <c r="K4128" s="1509"/>
      <c r="L4128" s="1509"/>
      <c r="M4128" s="1509"/>
      <c r="N4128" s="1510"/>
    </row>
    <row r="4129" spans="1:14">
      <c r="A4129" s="1531"/>
      <c r="B4129" s="699"/>
      <c r="C4129" s="350"/>
      <c r="D4129" s="904"/>
      <c r="E4129" s="903"/>
      <c r="F4129" s="350"/>
      <c r="G4129" s="298"/>
      <c r="H4129" s="675"/>
      <c r="I4129" s="1508"/>
      <c r="J4129" s="1509"/>
      <c r="K4129" s="1509"/>
      <c r="L4129" s="1509"/>
      <c r="M4129" s="1509"/>
      <c r="N4129" s="1510"/>
    </row>
    <row r="4130" spans="1:14">
      <c r="A4130" s="1542" t="s">
        <v>2218</v>
      </c>
      <c r="B4130" s="1542"/>
      <c r="C4130" s="1542"/>
      <c r="D4130" s="1542"/>
      <c r="E4130" s="1542"/>
      <c r="F4130" s="1542"/>
      <c r="G4130" s="1542"/>
      <c r="H4130" s="271">
        <f>SUM(H4126:H4129)</f>
        <v>1.3800000000000001</v>
      </c>
      <c r="I4130" s="1508"/>
      <c r="J4130" s="1509"/>
      <c r="K4130" s="1509"/>
      <c r="L4130" s="1509"/>
      <c r="M4130" s="1509"/>
      <c r="N4130" s="1510"/>
    </row>
    <row r="4131" spans="1:14">
      <c r="A4131" s="1538" t="s">
        <v>2219</v>
      </c>
      <c r="B4131" s="1538"/>
      <c r="C4131" s="1538"/>
      <c r="D4131" s="1538"/>
      <c r="E4131" s="1538"/>
      <c r="F4131" s="1538"/>
      <c r="G4131" s="1538"/>
      <c r="H4131" s="271">
        <f>SUM(H4126)</f>
        <v>0</v>
      </c>
      <c r="I4131" s="1508"/>
      <c r="J4131" s="1509"/>
      <c r="K4131" s="1509"/>
      <c r="L4131" s="1509"/>
      <c r="M4131" s="1509"/>
      <c r="N4131" s="1510"/>
    </row>
    <row r="4132" spans="1:14" ht="13.9" customHeight="1" thickBot="1">
      <c r="A4132" s="1538" t="s">
        <v>2220</v>
      </c>
      <c r="B4132" s="1538"/>
      <c r="C4132" s="1538"/>
      <c r="D4132" s="1538"/>
      <c r="E4132" s="1538"/>
      <c r="F4132" s="1538"/>
      <c r="G4132" s="1538"/>
      <c r="H4132" s="216">
        <f>H4130-H4131</f>
        <v>1.3800000000000001</v>
      </c>
      <c r="I4132" s="1511"/>
      <c r="J4132" s="1512"/>
      <c r="K4132" s="1512"/>
      <c r="L4132" s="1512"/>
      <c r="M4132" s="1512"/>
      <c r="N4132" s="1513"/>
    </row>
    <row r="4133" spans="1:14" ht="13.9" customHeight="1" thickBot="1">
      <c r="A4133" s="1115"/>
      <c r="B4133" s="889"/>
      <c r="C4133" s="640"/>
      <c r="D4133" s="971"/>
      <c r="E4133" s="1343"/>
      <c r="F4133" s="640"/>
      <c r="G4133" s="640"/>
      <c r="H4133" s="217"/>
      <c r="I4133" s="279"/>
      <c r="J4133" s="279"/>
      <c r="K4133" s="279"/>
      <c r="L4133" s="279"/>
      <c r="M4133" s="279"/>
      <c r="N4133" s="441"/>
    </row>
    <row r="4134" spans="1:14" ht="32.450000000000003" customHeight="1">
      <c r="A4134" s="1085" t="s">
        <v>3400</v>
      </c>
      <c r="B4134" s="1494" t="s">
        <v>1053</v>
      </c>
      <c r="C4134" s="1495"/>
      <c r="D4134" s="1495"/>
      <c r="E4134" s="1495"/>
      <c r="F4134" s="1495"/>
      <c r="G4134" s="1495"/>
      <c r="H4134" s="1495"/>
      <c r="I4134" s="1495"/>
      <c r="J4134" s="1496"/>
      <c r="K4134" s="196" t="s">
        <v>2222</v>
      </c>
      <c r="L4134" s="1497">
        <f>'27ª MEDIÇÃO '!F236</f>
        <v>14</v>
      </c>
      <c r="M4134" s="1498"/>
      <c r="N4134" s="197">
        <f>L4134-H4162</f>
        <v>0</v>
      </c>
    </row>
    <row r="4135" spans="1:14">
      <c r="A4135" s="1554"/>
      <c r="B4135" s="1541"/>
      <c r="C4135" s="366"/>
      <c r="D4135" s="367" t="s">
        <v>2183</v>
      </c>
      <c r="E4135" s="1320"/>
      <c r="F4135" s="367"/>
      <c r="G4135" s="367"/>
      <c r="H4135" s="1542" t="s">
        <v>476</v>
      </c>
      <c r="I4135" s="1505"/>
      <c r="J4135" s="1506"/>
      <c r="K4135" s="1506"/>
      <c r="L4135" s="1506"/>
      <c r="M4135" s="1506"/>
      <c r="N4135" s="1507"/>
    </row>
    <row r="4136" spans="1:14">
      <c r="A4136" s="1701"/>
      <c r="B4136" s="1694"/>
      <c r="C4136" s="416" t="s">
        <v>12</v>
      </c>
      <c r="D4136" s="417" t="s">
        <v>3393</v>
      </c>
      <c r="E4136" s="1323"/>
      <c r="F4136" s="417"/>
      <c r="G4136" s="418"/>
      <c r="H4136" s="1503"/>
      <c r="I4136" s="1508"/>
      <c r="J4136" s="1509"/>
      <c r="K4136" s="1509"/>
      <c r="L4136" s="1509"/>
      <c r="M4136" s="1509"/>
      <c r="N4136" s="1510"/>
    </row>
    <row r="4137" spans="1:14">
      <c r="A4137" s="1530" t="s">
        <v>3364</v>
      </c>
      <c r="B4137" s="916" t="s">
        <v>2727</v>
      </c>
      <c r="C4137" s="350"/>
      <c r="D4137" s="904"/>
      <c r="E4137" s="903"/>
      <c r="F4137" s="350"/>
      <c r="G4137" s="298"/>
      <c r="H4137" s="675"/>
      <c r="I4137" s="1508"/>
      <c r="J4137" s="1509"/>
      <c r="K4137" s="1509"/>
      <c r="L4137" s="1509"/>
      <c r="M4137" s="1509"/>
      <c r="N4137" s="1510"/>
    </row>
    <row r="4138" spans="1:14">
      <c r="A4138" s="1531"/>
      <c r="B4138" s="355" t="s">
        <v>3391</v>
      </c>
      <c r="C4138" s="350" t="s">
        <v>2646</v>
      </c>
      <c r="D4138" s="903">
        <v>0.6</v>
      </c>
      <c r="E4138" s="903"/>
      <c r="F4138" s="350"/>
      <c r="G4138" s="298"/>
      <c r="H4138" s="675">
        <f>D4138</f>
        <v>0.6</v>
      </c>
      <c r="I4138" s="1508"/>
      <c r="J4138" s="1509"/>
      <c r="K4138" s="1509"/>
      <c r="L4138" s="1509"/>
      <c r="M4138" s="1509"/>
      <c r="N4138" s="1510"/>
    </row>
    <row r="4139" spans="1:14">
      <c r="A4139" s="1531"/>
      <c r="B4139" s="355" t="s">
        <v>2344</v>
      </c>
      <c r="C4139" s="350" t="s">
        <v>2646</v>
      </c>
      <c r="D4139" s="903">
        <v>0.6</v>
      </c>
      <c r="E4139" s="903"/>
      <c r="F4139" s="350"/>
      <c r="G4139" s="298"/>
      <c r="H4139" s="675">
        <f>D4139</f>
        <v>0.6</v>
      </c>
      <c r="I4139" s="1508"/>
      <c r="J4139" s="1509"/>
      <c r="K4139" s="1509"/>
      <c r="L4139" s="1509"/>
      <c r="M4139" s="1509"/>
      <c r="N4139" s="1510"/>
    </row>
    <row r="4140" spans="1:14">
      <c r="A4140" s="1531"/>
      <c r="B4140" s="355" t="s">
        <v>3319</v>
      </c>
      <c r="C4140" s="350" t="s">
        <v>3036</v>
      </c>
      <c r="D4140" s="903">
        <v>0.8</v>
      </c>
      <c r="E4140" s="903"/>
      <c r="F4140" s="350"/>
      <c r="G4140" s="298"/>
      <c r="H4140" s="675">
        <f>D4140</f>
        <v>0.8</v>
      </c>
      <c r="I4140" s="1508"/>
      <c r="J4140" s="1509"/>
      <c r="K4140" s="1509"/>
      <c r="L4140" s="1509"/>
      <c r="M4140" s="1509"/>
      <c r="N4140" s="1510"/>
    </row>
    <row r="4141" spans="1:14">
      <c r="A4141" s="1531"/>
      <c r="B4141" s="355" t="s">
        <v>3320</v>
      </c>
      <c r="C4141" s="350" t="s">
        <v>3036</v>
      </c>
      <c r="D4141" s="903">
        <v>0.8</v>
      </c>
      <c r="E4141" s="903"/>
      <c r="F4141" s="350"/>
      <c r="G4141" s="298"/>
      <c r="H4141" s="675">
        <f>D4141</f>
        <v>0.8</v>
      </c>
      <c r="I4141" s="1508"/>
      <c r="J4141" s="1509"/>
      <c r="K4141" s="1509"/>
      <c r="L4141" s="1509"/>
      <c r="M4141" s="1509"/>
      <c r="N4141" s="1510"/>
    </row>
    <row r="4142" spans="1:14">
      <c r="A4142" s="1531"/>
      <c r="B4142" s="916" t="s">
        <v>2929</v>
      </c>
      <c r="C4142" s="350"/>
      <c r="D4142" s="903"/>
      <c r="E4142" s="903"/>
      <c r="F4142" s="350"/>
      <c r="G4142" s="298"/>
      <c r="H4142" s="675"/>
      <c r="I4142" s="1508"/>
      <c r="J4142" s="1509"/>
      <c r="K4142" s="1509"/>
      <c r="L4142" s="1509"/>
      <c r="M4142" s="1509"/>
      <c r="N4142" s="1510"/>
    </row>
    <row r="4143" spans="1:14">
      <c r="A4143" s="1531"/>
      <c r="B4143" s="355" t="s">
        <v>3392</v>
      </c>
      <c r="C4143" s="350" t="s">
        <v>2646</v>
      </c>
      <c r="D4143" s="903">
        <v>0.6</v>
      </c>
      <c r="E4143" s="903"/>
      <c r="F4143" s="350"/>
      <c r="G4143" s="298"/>
      <c r="H4143" s="675">
        <f>D4143</f>
        <v>0.6</v>
      </c>
      <c r="I4143" s="1508"/>
      <c r="J4143" s="1509"/>
      <c r="K4143" s="1509"/>
      <c r="L4143" s="1509"/>
      <c r="M4143" s="1509"/>
      <c r="N4143" s="1510"/>
    </row>
    <row r="4144" spans="1:14">
      <c r="A4144" s="1531"/>
      <c r="B4144" s="355" t="s">
        <v>2344</v>
      </c>
      <c r="C4144" s="350" t="s">
        <v>2646</v>
      </c>
      <c r="D4144" s="903">
        <v>0.6</v>
      </c>
      <c r="E4144" s="903"/>
      <c r="F4144" s="350"/>
      <c r="G4144" s="298"/>
      <c r="H4144" s="675">
        <f>D4144</f>
        <v>0.6</v>
      </c>
      <c r="I4144" s="1508"/>
      <c r="J4144" s="1509"/>
      <c r="K4144" s="1509"/>
      <c r="L4144" s="1509"/>
      <c r="M4144" s="1509"/>
      <c r="N4144" s="1510"/>
    </row>
    <row r="4145" spans="1:14">
      <c r="A4145" s="1531"/>
      <c r="B4145" s="699"/>
      <c r="C4145" s="348"/>
      <c r="D4145" s="985"/>
      <c r="E4145" s="1214"/>
      <c r="F4145" s="348"/>
      <c r="G4145" s="295"/>
      <c r="H4145" s="679"/>
      <c r="I4145" s="1508"/>
      <c r="J4145" s="1509"/>
      <c r="K4145" s="1509"/>
      <c r="L4145" s="1509"/>
      <c r="M4145" s="1509"/>
      <c r="N4145" s="1510"/>
    </row>
    <row r="4146" spans="1:14">
      <c r="A4146" s="1530" t="s">
        <v>3465</v>
      </c>
      <c r="B4146" s="916" t="s">
        <v>2727</v>
      </c>
      <c r="C4146" s="350"/>
      <c r="D4146" s="904"/>
      <c r="E4146" s="903"/>
      <c r="F4146" s="350"/>
      <c r="G4146" s="298"/>
      <c r="H4146" s="962"/>
      <c r="I4146" s="1508"/>
      <c r="J4146" s="1509"/>
      <c r="K4146" s="1509"/>
      <c r="L4146" s="1509"/>
      <c r="M4146" s="1509"/>
      <c r="N4146" s="1510"/>
    </row>
    <row r="4147" spans="1:14">
      <c r="A4147" s="1531"/>
      <c r="B4147" s="355" t="s">
        <v>3474</v>
      </c>
      <c r="C4147" s="350" t="s">
        <v>3038</v>
      </c>
      <c r="D4147" s="903">
        <v>0.6</v>
      </c>
      <c r="E4147" s="903"/>
      <c r="F4147" s="350"/>
      <c r="G4147" s="298"/>
      <c r="H4147" s="675">
        <f>D4147</f>
        <v>0.6</v>
      </c>
      <c r="I4147" s="1508"/>
      <c r="J4147" s="1509"/>
      <c r="K4147" s="1509"/>
      <c r="L4147" s="1509"/>
      <c r="M4147" s="1509"/>
      <c r="N4147" s="1510"/>
    </row>
    <row r="4148" spans="1:14">
      <c r="A4148" s="1531"/>
      <c r="B4148" s="355" t="s">
        <v>3475</v>
      </c>
      <c r="C4148" s="350" t="s">
        <v>3038</v>
      </c>
      <c r="D4148" s="903">
        <v>0.6</v>
      </c>
      <c r="E4148" s="903"/>
      <c r="F4148" s="350"/>
      <c r="G4148" s="298"/>
      <c r="H4148" s="675">
        <f>D4148</f>
        <v>0.6</v>
      </c>
      <c r="I4148" s="1508"/>
      <c r="J4148" s="1509"/>
      <c r="K4148" s="1509"/>
      <c r="L4148" s="1509"/>
      <c r="M4148" s="1509"/>
      <c r="N4148" s="1510"/>
    </row>
    <row r="4149" spans="1:14">
      <c r="A4149" s="1531"/>
      <c r="B4149" s="355"/>
      <c r="C4149" s="350"/>
      <c r="D4149" s="903"/>
      <c r="E4149" s="903"/>
      <c r="F4149" s="350"/>
      <c r="G4149" s="298"/>
      <c r="H4149" s="675"/>
      <c r="I4149" s="1508"/>
      <c r="J4149" s="1509"/>
      <c r="K4149" s="1509"/>
      <c r="L4149" s="1509"/>
      <c r="M4149" s="1509"/>
      <c r="N4149" s="1510"/>
    </row>
    <row r="4150" spans="1:14">
      <c r="A4150" s="1531" t="s">
        <v>3745</v>
      </c>
      <c r="B4150" s="916" t="s">
        <v>2727</v>
      </c>
      <c r="C4150" s="350"/>
      <c r="D4150" s="903"/>
      <c r="E4150" s="903"/>
      <c r="F4150" s="350"/>
      <c r="G4150" s="298"/>
      <c r="H4150" s="675"/>
      <c r="I4150" s="1508"/>
      <c r="J4150" s="1509"/>
      <c r="K4150" s="1509"/>
      <c r="L4150" s="1509"/>
      <c r="M4150" s="1509"/>
      <c r="N4150" s="1510"/>
    </row>
    <row r="4151" spans="1:14">
      <c r="A4151" s="1531"/>
      <c r="B4151" s="355" t="s">
        <v>3095</v>
      </c>
      <c r="C4151" s="350" t="s">
        <v>3036</v>
      </c>
      <c r="D4151" s="903">
        <v>0.8</v>
      </c>
      <c r="E4151" s="903"/>
      <c r="F4151" s="350"/>
      <c r="G4151" s="298"/>
      <c r="H4151" s="675">
        <f t="shared" ref="H4151:H4161" si="103">D4151</f>
        <v>0.8</v>
      </c>
      <c r="I4151" s="1508"/>
      <c r="J4151" s="1509"/>
      <c r="K4151" s="1509"/>
      <c r="L4151" s="1509"/>
      <c r="M4151" s="1509"/>
      <c r="N4151" s="1510"/>
    </row>
    <row r="4152" spans="1:14">
      <c r="A4152" s="1531"/>
      <c r="B4152" s="355" t="s">
        <v>2867</v>
      </c>
      <c r="C4152" s="350" t="s">
        <v>3036</v>
      </c>
      <c r="D4152" s="903">
        <v>0.8</v>
      </c>
      <c r="E4152" s="903"/>
      <c r="F4152" s="350"/>
      <c r="G4152" s="298"/>
      <c r="H4152" s="675">
        <f t="shared" si="103"/>
        <v>0.8</v>
      </c>
      <c r="I4152" s="1508"/>
      <c r="J4152" s="1509"/>
      <c r="K4152" s="1509"/>
      <c r="L4152" s="1509"/>
      <c r="M4152" s="1509"/>
      <c r="N4152" s="1510"/>
    </row>
    <row r="4153" spans="1:14">
      <c r="A4153" s="1531"/>
      <c r="B4153" s="355" t="s">
        <v>3812</v>
      </c>
      <c r="C4153" s="350" t="s">
        <v>3036</v>
      </c>
      <c r="D4153" s="903">
        <v>0.8</v>
      </c>
      <c r="E4153" s="903"/>
      <c r="F4153" s="350"/>
      <c r="G4153" s="298"/>
      <c r="H4153" s="675">
        <f t="shared" si="103"/>
        <v>0.8</v>
      </c>
      <c r="I4153" s="1508"/>
      <c r="J4153" s="1509"/>
      <c r="K4153" s="1509"/>
      <c r="L4153" s="1509"/>
      <c r="M4153" s="1509"/>
      <c r="N4153" s="1510"/>
    </row>
    <row r="4154" spans="1:14">
      <c r="A4154" s="1531"/>
      <c r="B4154" s="355" t="s">
        <v>3813</v>
      </c>
      <c r="C4154" s="350" t="s">
        <v>3036</v>
      </c>
      <c r="D4154" s="903">
        <v>0.8</v>
      </c>
      <c r="E4154" s="903"/>
      <c r="F4154" s="350"/>
      <c r="G4154" s="298"/>
      <c r="H4154" s="675">
        <f t="shared" si="103"/>
        <v>0.8</v>
      </c>
      <c r="I4154" s="1508"/>
      <c r="J4154" s="1509"/>
      <c r="K4154" s="1509"/>
      <c r="L4154" s="1509"/>
      <c r="M4154" s="1509"/>
      <c r="N4154" s="1510"/>
    </row>
    <row r="4155" spans="1:14">
      <c r="A4155" s="1531"/>
      <c r="B4155" s="355" t="s">
        <v>2422</v>
      </c>
      <c r="C4155" s="350" t="s">
        <v>3036</v>
      </c>
      <c r="D4155" s="903">
        <v>0.8</v>
      </c>
      <c r="E4155" s="903"/>
      <c r="F4155" s="350"/>
      <c r="G4155" s="298"/>
      <c r="H4155" s="675">
        <f t="shared" si="103"/>
        <v>0.8</v>
      </c>
      <c r="I4155" s="1508"/>
      <c r="J4155" s="1509"/>
      <c r="K4155" s="1509"/>
      <c r="L4155" s="1509"/>
      <c r="M4155" s="1509"/>
      <c r="N4155" s="1510"/>
    </row>
    <row r="4156" spans="1:14">
      <c r="A4156" s="1531"/>
      <c r="B4156" s="355" t="s">
        <v>3814</v>
      </c>
      <c r="C4156" s="350" t="s">
        <v>3037</v>
      </c>
      <c r="D4156" s="903">
        <v>0.9</v>
      </c>
      <c r="E4156" s="903"/>
      <c r="F4156" s="350"/>
      <c r="G4156" s="298"/>
      <c r="H4156" s="675">
        <f t="shared" si="103"/>
        <v>0.9</v>
      </c>
      <c r="I4156" s="1508"/>
      <c r="J4156" s="1509"/>
      <c r="K4156" s="1509"/>
      <c r="L4156" s="1509"/>
      <c r="M4156" s="1509"/>
      <c r="N4156" s="1510"/>
    </row>
    <row r="4157" spans="1:14">
      <c r="A4157" s="1531"/>
      <c r="B4157" s="355" t="s">
        <v>3815</v>
      </c>
      <c r="C4157" s="376" t="s">
        <v>2647</v>
      </c>
      <c r="D4157" s="903">
        <v>1</v>
      </c>
      <c r="E4157" s="903"/>
      <c r="F4157" s="350"/>
      <c r="G4157" s="298"/>
      <c r="H4157" s="675">
        <f t="shared" si="103"/>
        <v>1</v>
      </c>
      <c r="I4157" s="1508"/>
      <c r="J4157" s="1509"/>
      <c r="K4157" s="1509"/>
      <c r="L4157" s="1509"/>
      <c r="M4157" s="1509"/>
      <c r="N4157" s="1510"/>
    </row>
    <row r="4158" spans="1:14">
      <c r="A4158" s="1531"/>
      <c r="B4158" s="916" t="s">
        <v>2929</v>
      </c>
      <c r="C4158" s="1192"/>
      <c r="D4158" s="903"/>
      <c r="E4158" s="903"/>
      <c r="F4158" s="350"/>
      <c r="G4158" s="298"/>
      <c r="H4158" s="675"/>
      <c r="I4158" s="1508"/>
      <c r="J4158" s="1509"/>
      <c r="K4158" s="1509"/>
      <c r="L4158" s="1509"/>
      <c r="M4158" s="1509"/>
      <c r="N4158" s="1510"/>
    </row>
    <row r="4159" spans="1:14">
      <c r="A4159" s="1531"/>
      <c r="B4159" s="890" t="s">
        <v>3316</v>
      </c>
      <c r="C4159" s="1193" t="s">
        <v>3037</v>
      </c>
      <c r="D4159" s="903">
        <v>0.9</v>
      </c>
      <c r="E4159" s="903"/>
      <c r="F4159" s="350"/>
      <c r="G4159" s="298"/>
      <c r="H4159" s="675">
        <f t="shared" si="103"/>
        <v>0.9</v>
      </c>
      <c r="I4159" s="1508"/>
      <c r="J4159" s="1509"/>
      <c r="K4159" s="1509"/>
      <c r="L4159" s="1509"/>
      <c r="M4159" s="1509"/>
      <c r="N4159" s="1510"/>
    </row>
    <row r="4160" spans="1:14">
      <c r="A4160" s="1531"/>
      <c r="B4160" s="355" t="s">
        <v>3815</v>
      </c>
      <c r="C4160" s="1193" t="s">
        <v>2647</v>
      </c>
      <c r="D4160" s="903">
        <v>1</v>
      </c>
      <c r="E4160" s="903"/>
      <c r="F4160" s="350"/>
      <c r="G4160" s="298"/>
      <c r="H4160" s="675">
        <f t="shared" si="103"/>
        <v>1</v>
      </c>
      <c r="I4160" s="1508"/>
      <c r="J4160" s="1509"/>
      <c r="K4160" s="1509"/>
      <c r="L4160" s="1509"/>
      <c r="M4160" s="1509"/>
      <c r="N4160" s="1510"/>
    </row>
    <row r="4161" spans="1:14">
      <c r="A4161" s="1702"/>
      <c r="B4161" s="355" t="s">
        <v>3816</v>
      </c>
      <c r="C4161" s="1193" t="s">
        <v>2647</v>
      </c>
      <c r="D4161" s="903">
        <v>1</v>
      </c>
      <c r="E4161" s="903"/>
      <c r="F4161" s="350"/>
      <c r="G4161" s="298"/>
      <c r="H4161" s="675">
        <f t="shared" si="103"/>
        <v>1</v>
      </c>
      <c r="I4161" s="1508"/>
      <c r="J4161" s="1509"/>
      <c r="K4161" s="1509"/>
      <c r="L4161" s="1509"/>
      <c r="M4161" s="1509"/>
      <c r="N4161" s="1510"/>
    </row>
    <row r="4162" spans="1:14">
      <c r="A4162" s="1542" t="s">
        <v>2218</v>
      </c>
      <c r="B4162" s="1542"/>
      <c r="C4162" s="1542"/>
      <c r="D4162" s="1542"/>
      <c r="E4162" s="1542"/>
      <c r="F4162" s="1542"/>
      <c r="G4162" s="1542"/>
      <c r="H4162" s="271">
        <f>SUM(H4137:H4161)</f>
        <v>14</v>
      </c>
      <c r="I4162" s="1508"/>
      <c r="J4162" s="1509"/>
      <c r="K4162" s="1509"/>
      <c r="L4162" s="1509"/>
      <c r="M4162" s="1509"/>
      <c r="N4162" s="1510"/>
    </row>
    <row r="4163" spans="1:14">
      <c r="A4163" s="1538" t="s">
        <v>2219</v>
      </c>
      <c r="B4163" s="1538"/>
      <c r="C4163" s="1538"/>
      <c r="D4163" s="1538"/>
      <c r="E4163" s="1538"/>
      <c r="F4163" s="1538"/>
      <c r="G4163" s="1538"/>
      <c r="H4163" s="271">
        <f>SUM(H4137:H4148)</f>
        <v>5.1999999999999993</v>
      </c>
      <c r="I4163" s="1508"/>
      <c r="J4163" s="1509"/>
      <c r="K4163" s="1509"/>
      <c r="L4163" s="1509"/>
      <c r="M4163" s="1509"/>
      <c r="N4163" s="1510"/>
    </row>
    <row r="4164" spans="1:14" ht="13.9" customHeight="1" thickBot="1">
      <c r="A4164" s="1538" t="s">
        <v>2220</v>
      </c>
      <c r="B4164" s="1538"/>
      <c r="C4164" s="1538"/>
      <c r="D4164" s="1538"/>
      <c r="E4164" s="1538"/>
      <c r="F4164" s="1538"/>
      <c r="G4164" s="1538"/>
      <c r="H4164" s="216">
        <f>H4162-H4163</f>
        <v>8.8000000000000007</v>
      </c>
      <c r="I4164" s="1511"/>
      <c r="J4164" s="1512"/>
      <c r="K4164" s="1512"/>
      <c r="L4164" s="1512"/>
      <c r="M4164" s="1512"/>
      <c r="N4164" s="1513"/>
    </row>
    <row r="4165" spans="1:14" ht="13.9" customHeight="1" thickBot="1">
      <c r="A4165" s="1115"/>
      <c r="B4165" s="889"/>
      <c r="C4165" s="640"/>
      <c r="D4165" s="971"/>
      <c r="E4165" s="1343"/>
      <c r="F4165" s="640"/>
      <c r="G4165" s="640"/>
      <c r="H4165" s="217"/>
      <c r="I4165" s="279"/>
      <c r="J4165" s="279"/>
      <c r="K4165" s="279"/>
      <c r="L4165" s="279"/>
      <c r="M4165" s="279"/>
      <c r="N4165" s="441"/>
    </row>
    <row r="4166" spans="1:14" ht="32.450000000000003" customHeight="1">
      <c r="A4166" s="1085" t="s">
        <v>3401</v>
      </c>
      <c r="B4166" s="1494" t="s">
        <v>1056</v>
      </c>
      <c r="C4166" s="1495"/>
      <c r="D4166" s="1495"/>
      <c r="E4166" s="1495"/>
      <c r="F4166" s="1495"/>
      <c r="G4166" s="1495"/>
      <c r="H4166" s="1495"/>
      <c r="I4166" s="1495"/>
      <c r="J4166" s="1496"/>
      <c r="K4166" s="196" t="s">
        <v>2222</v>
      </c>
      <c r="L4166" s="1497">
        <f>'27ª MEDIÇÃO '!F237</f>
        <v>6.9</v>
      </c>
      <c r="M4166" s="1498"/>
      <c r="N4166" s="197">
        <f>L4166-H4180</f>
        <v>0</v>
      </c>
    </row>
    <row r="4167" spans="1:14">
      <c r="A4167" s="1554"/>
      <c r="B4167" s="1541"/>
      <c r="C4167" s="366"/>
      <c r="D4167" s="367" t="s">
        <v>2183</v>
      </c>
      <c r="E4167" s="1320"/>
      <c r="F4167" s="367"/>
      <c r="G4167" s="367"/>
      <c r="H4167" s="1542" t="s">
        <v>476</v>
      </c>
      <c r="I4167" s="1505"/>
      <c r="J4167" s="1506"/>
      <c r="K4167" s="1506"/>
      <c r="L4167" s="1506"/>
      <c r="M4167" s="1506"/>
      <c r="N4167" s="1507"/>
    </row>
    <row r="4168" spans="1:14">
      <c r="A4168" s="1701"/>
      <c r="B4168" s="1694"/>
      <c r="C4168" s="416" t="s">
        <v>12</v>
      </c>
      <c r="D4168" s="417" t="s">
        <v>3393</v>
      </c>
      <c r="E4168" s="1323"/>
      <c r="F4168" s="417"/>
      <c r="G4168" s="418"/>
      <c r="H4168" s="1503"/>
      <c r="I4168" s="1508"/>
      <c r="J4168" s="1509"/>
      <c r="K4168" s="1509"/>
      <c r="L4168" s="1509"/>
      <c r="M4168" s="1509"/>
      <c r="N4168" s="1510"/>
    </row>
    <row r="4169" spans="1:14">
      <c r="A4169" s="1530" t="s">
        <v>3364</v>
      </c>
      <c r="B4169" s="916" t="s">
        <v>2727</v>
      </c>
      <c r="C4169" s="350"/>
      <c r="D4169" s="904"/>
      <c r="E4169" s="903"/>
      <c r="F4169" s="350"/>
      <c r="G4169" s="298"/>
      <c r="H4169" s="675"/>
      <c r="I4169" s="1508"/>
      <c r="J4169" s="1509"/>
      <c r="K4169" s="1509"/>
      <c r="L4169" s="1509"/>
      <c r="M4169" s="1509"/>
      <c r="N4169" s="1510"/>
    </row>
    <row r="4170" spans="1:14">
      <c r="A4170" s="1531"/>
      <c r="B4170" s="355" t="s">
        <v>3318</v>
      </c>
      <c r="C4170" s="350" t="s">
        <v>3037</v>
      </c>
      <c r="D4170" s="903">
        <v>0.9</v>
      </c>
      <c r="E4170" s="903"/>
      <c r="F4170" s="350"/>
      <c r="G4170" s="298"/>
      <c r="H4170" s="675">
        <f>D4170</f>
        <v>0.9</v>
      </c>
      <c r="I4170" s="1508"/>
      <c r="J4170" s="1509"/>
      <c r="K4170" s="1509"/>
      <c r="L4170" s="1509"/>
      <c r="M4170" s="1509"/>
      <c r="N4170" s="1510"/>
    </row>
    <row r="4171" spans="1:14">
      <c r="A4171" s="1531"/>
      <c r="B4171" s="355" t="s">
        <v>3402</v>
      </c>
      <c r="C4171" s="350" t="s">
        <v>3037</v>
      </c>
      <c r="D4171" s="903">
        <v>0.9</v>
      </c>
      <c r="E4171" s="903"/>
      <c r="F4171" s="350"/>
      <c r="G4171" s="298"/>
      <c r="H4171" s="675">
        <f>D4171</f>
        <v>0.9</v>
      </c>
      <c r="I4171" s="1508"/>
      <c r="J4171" s="1509"/>
      <c r="K4171" s="1509"/>
      <c r="L4171" s="1509"/>
      <c r="M4171" s="1509"/>
      <c r="N4171" s="1510"/>
    </row>
    <row r="4172" spans="1:14">
      <c r="A4172" s="1531"/>
      <c r="B4172" s="355" t="s">
        <v>3403</v>
      </c>
      <c r="C4172" s="350" t="s">
        <v>3037</v>
      </c>
      <c r="D4172" s="903">
        <v>0.9</v>
      </c>
      <c r="E4172" s="903"/>
      <c r="F4172" s="350"/>
      <c r="G4172" s="298"/>
      <c r="H4172" s="675">
        <f>D4172</f>
        <v>0.9</v>
      </c>
      <c r="I4172" s="1508"/>
      <c r="J4172" s="1509"/>
      <c r="K4172" s="1509"/>
      <c r="L4172" s="1509"/>
      <c r="M4172" s="1509"/>
      <c r="N4172" s="1510"/>
    </row>
    <row r="4173" spans="1:14">
      <c r="A4173" s="1531"/>
      <c r="B4173" s="355" t="s">
        <v>3404</v>
      </c>
      <c r="C4173" s="350" t="s">
        <v>2647</v>
      </c>
      <c r="D4173" s="903">
        <v>1</v>
      </c>
      <c r="E4173" s="903"/>
      <c r="F4173" s="350"/>
      <c r="G4173" s="298"/>
      <c r="H4173" s="675">
        <f>D4173</f>
        <v>1</v>
      </c>
      <c r="I4173" s="1508"/>
      <c r="J4173" s="1509"/>
      <c r="K4173" s="1509"/>
      <c r="L4173" s="1509"/>
      <c r="M4173" s="1509"/>
      <c r="N4173" s="1510"/>
    </row>
    <row r="4174" spans="1:14">
      <c r="A4174" s="1531"/>
      <c r="B4174" s="916" t="s">
        <v>2929</v>
      </c>
      <c r="C4174" s="350"/>
      <c r="D4174" s="903"/>
      <c r="E4174" s="903"/>
      <c r="F4174" s="350"/>
      <c r="G4174" s="298"/>
      <c r="H4174" s="675"/>
      <c r="I4174" s="1508"/>
      <c r="J4174" s="1509"/>
      <c r="K4174" s="1509"/>
      <c r="L4174" s="1509"/>
      <c r="M4174" s="1509"/>
      <c r="N4174" s="1510"/>
    </row>
    <row r="4175" spans="1:14">
      <c r="A4175" s="1531"/>
      <c r="B4175" s="355" t="s">
        <v>3405</v>
      </c>
      <c r="C4175" s="350" t="s">
        <v>2646</v>
      </c>
      <c r="D4175" s="903">
        <v>0.6</v>
      </c>
      <c r="E4175" s="903"/>
      <c r="F4175" s="350"/>
      <c r="G4175" s="298"/>
      <c r="H4175" s="675">
        <f>D4175</f>
        <v>0.6</v>
      </c>
      <c r="I4175" s="1508"/>
      <c r="J4175" s="1509"/>
      <c r="K4175" s="1509"/>
      <c r="L4175" s="1509"/>
      <c r="M4175" s="1509"/>
      <c r="N4175" s="1510"/>
    </row>
    <row r="4176" spans="1:14">
      <c r="A4176" s="1531"/>
      <c r="B4176" s="355" t="s">
        <v>3406</v>
      </c>
      <c r="C4176" s="350" t="s">
        <v>3036</v>
      </c>
      <c r="D4176" s="903">
        <v>0.8</v>
      </c>
      <c r="E4176" s="903"/>
      <c r="F4176" s="350"/>
      <c r="G4176" s="298"/>
      <c r="H4176" s="675">
        <f>D4176</f>
        <v>0.8</v>
      </c>
      <c r="I4176" s="1508"/>
      <c r="J4176" s="1509"/>
      <c r="K4176" s="1509"/>
      <c r="L4176" s="1509"/>
      <c r="M4176" s="1509"/>
      <c r="N4176" s="1510"/>
    </row>
    <row r="4177" spans="1:14">
      <c r="A4177" s="1531"/>
      <c r="B4177" s="355" t="s">
        <v>3403</v>
      </c>
      <c r="C4177" s="350" t="s">
        <v>3037</v>
      </c>
      <c r="D4177" s="903">
        <v>0.9</v>
      </c>
      <c r="E4177" s="903"/>
      <c r="F4177" s="350"/>
      <c r="G4177" s="298"/>
      <c r="H4177" s="675">
        <f>D4177</f>
        <v>0.9</v>
      </c>
      <c r="I4177" s="1508"/>
      <c r="J4177" s="1509"/>
      <c r="K4177" s="1509"/>
      <c r="L4177" s="1509"/>
      <c r="M4177" s="1509"/>
      <c r="N4177" s="1510"/>
    </row>
    <row r="4178" spans="1:14">
      <c r="A4178" s="1531"/>
      <c r="B4178" s="355" t="s">
        <v>3402</v>
      </c>
      <c r="C4178" s="350" t="s">
        <v>3037</v>
      </c>
      <c r="D4178" s="903">
        <v>0.9</v>
      </c>
      <c r="E4178" s="903"/>
      <c r="F4178" s="350"/>
      <c r="G4178" s="298"/>
      <c r="H4178" s="675">
        <f>D4178</f>
        <v>0.9</v>
      </c>
      <c r="I4178" s="1508"/>
      <c r="J4178" s="1509"/>
      <c r="K4178" s="1509"/>
      <c r="L4178" s="1509"/>
      <c r="M4178" s="1509"/>
      <c r="N4178" s="1510"/>
    </row>
    <row r="4179" spans="1:14">
      <c r="A4179" s="1531"/>
      <c r="B4179" s="699"/>
      <c r="C4179" s="350"/>
      <c r="D4179" s="904"/>
      <c r="E4179" s="903"/>
      <c r="F4179" s="350"/>
      <c r="G4179" s="298"/>
      <c r="H4179" s="675"/>
      <c r="I4179" s="1508"/>
      <c r="J4179" s="1509"/>
      <c r="K4179" s="1509"/>
      <c r="L4179" s="1509"/>
      <c r="M4179" s="1509"/>
      <c r="N4179" s="1510"/>
    </row>
    <row r="4180" spans="1:14">
      <c r="A4180" s="1542" t="s">
        <v>2218</v>
      </c>
      <c r="B4180" s="1542"/>
      <c r="C4180" s="1542"/>
      <c r="D4180" s="1542"/>
      <c r="E4180" s="1542"/>
      <c r="F4180" s="1542"/>
      <c r="G4180" s="1542"/>
      <c r="H4180" s="271">
        <f>SUM(H4169:H4179)</f>
        <v>6.9</v>
      </c>
      <c r="I4180" s="1508"/>
      <c r="J4180" s="1509"/>
      <c r="K4180" s="1509"/>
      <c r="L4180" s="1509"/>
      <c r="M4180" s="1509"/>
      <c r="N4180" s="1510"/>
    </row>
    <row r="4181" spans="1:14">
      <c r="A4181" s="1538" t="s">
        <v>2219</v>
      </c>
      <c r="B4181" s="1538"/>
      <c r="C4181" s="1538"/>
      <c r="D4181" s="1538"/>
      <c r="E4181" s="1538"/>
      <c r="F4181" s="1538"/>
      <c r="G4181" s="1538"/>
      <c r="H4181" s="271">
        <f>SUM(H4169)</f>
        <v>0</v>
      </c>
      <c r="I4181" s="1508"/>
      <c r="J4181" s="1509"/>
      <c r="K4181" s="1509"/>
      <c r="L4181" s="1509"/>
      <c r="M4181" s="1509"/>
      <c r="N4181" s="1510"/>
    </row>
    <row r="4182" spans="1:14" ht="13.9" customHeight="1" thickBot="1">
      <c r="A4182" s="1538" t="s">
        <v>2220</v>
      </c>
      <c r="B4182" s="1538"/>
      <c r="C4182" s="1538"/>
      <c r="D4182" s="1538"/>
      <c r="E4182" s="1538"/>
      <c r="F4182" s="1538"/>
      <c r="G4182" s="1538"/>
      <c r="H4182" s="216">
        <f>H4180-H4181</f>
        <v>6.9</v>
      </c>
      <c r="I4182" s="1511"/>
      <c r="J4182" s="1512"/>
      <c r="K4182" s="1512"/>
      <c r="L4182" s="1512"/>
      <c r="M4182" s="1512"/>
      <c r="N4182" s="1513"/>
    </row>
    <row r="4183" spans="1:14" ht="13.9" customHeight="1" thickBot="1">
      <c r="A4183" s="1115"/>
      <c r="B4183" s="889"/>
      <c r="C4183" s="640"/>
      <c r="D4183" s="971"/>
      <c r="E4183" s="1343"/>
      <c r="F4183" s="640"/>
      <c r="G4183" s="640"/>
      <c r="H4183" s="217"/>
      <c r="I4183" s="279"/>
      <c r="J4183" s="279"/>
      <c r="K4183" s="279"/>
      <c r="L4183" s="279"/>
      <c r="M4183" s="279"/>
      <c r="N4183" s="441"/>
    </row>
    <row r="4184" spans="1:14" ht="32.450000000000003" customHeight="1">
      <c r="A4184" s="1085" t="s">
        <v>3407</v>
      </c>
      <c r="B4184" s="1494" t="s">
        <v>1059</v>
      </c>
      <c r="C4184" s="1495"/>
      <c r="D4184" s="1495"/>
      <c r="E4184" s="1495"/>
      <c r="F4184" s="1495"/>
      <c r="G4184" s="1495"/>
      <c r="H4184" s="1495"/>
      <c r="I4184" s="1495"/>
      <c r="J4184" s="1496"/>
      <c r="K4184" s="196" t="s">
        <v>2222</v>
      </c>
      <c r="L4184" s="1497">
        <f>'27ª MEDIÇÃO '!F238</f>
        <v>1.8</v>
      </c>
      <c r="M4184" s="1498"/>
      <c r="N4184" s="197">
        <f>L4184-H4191</f>
        <v>0</v>
      </c>
    </row>
    <row r="4185" spans="1:14">
      <c r="A4185" s="1554"/>
      <c r="B4185" s="1541"/>
      <c r="C4185" s="366"/>
      <c r="D4185" s="367" t="s">
        <v>2183</v>
      </c>
      <c r="E4185" s="1320"/>
      <c r="F4185" s="367"/>
      <c r="G4185" s="367"/>
      <c r="H4185" s="1542" t="s">
        <v>476</v>
      </c>
      <c r="I4185" s="1505"/>
      <c r="J4185" s="1506"/>
      <c r="K4185" s="1506"/>
      <c r="L4185" s="1506"/>
      <c r="M4185" s="1506"/>
      <c r="N4185" s="1507"/>
    </row>
    <row r="4186" spans="1:14">
      <c r="A4186" s="1701"/>
      <c r="B4186" s="1694"/>
      <c r="C4186" s="416" t="s">
        <v>12</v>
      </c>
      <c r="D4186" s="417" t="s">
        <v>3393</v>
      </c>
      <c r="E4186" s="1323"/>
      <c r="F4186" s="417"/>
      <c r="G4186" s="418"/>
      <c r="H4186" s="1503"/>
      <c r="I4186" s="1508"/>
      <c r="J4186" s="1509"/>
      <c r="K4186" s="1509"/>
      <c r="L4186" s="1509"/>
      <c r="M4186" s="1509"/>
      <c r="N4186" s="1510"/>
    </row>
    <row r="4187" spans="1:14">
      <c r="A4187" s="1530" t="s">
        <v>3398</v>
      </c>
      <c r="B4187" s="673"/>
      <c r="C4187" s="350"/>
      <c r="D4187" s="904"/>
      <c r="E4187" s="903"/>
      <c r="F4187" s="350"/>
      <c r="G4187" s="298"/>
      <c r="H4187" s="675"/>
      <c r="I4187" s="1508"/>
      <c r="J4187" s="1509"/>
      <c r="K4187" s="1509"/>
      <c r="L4187" s="1509"/>
      <c r="M4187" s="1509"/>
      <c r="N4187" s="1510"/>
    </row>
    <row r="4188" spans="1:14">
      <c r="A4188" s="1531"/>
      <c r="B4188" s="355"/>
      <c r="C4188" s="350"/>
      <c r="D4188" s="903"/>
      <c r="E4188" s="903"/>
      <c r="F4188" s="350"/>
      <c r="G4188" s="298"/>
      <c r="H4188" s="675">
        <v>1.8</v>
      </c>
      <c r="I4188" s="1508"/>
      <c r="J4188" s="1509"/>
      <c r="K4188" s="1509"/>
      <c r="L4188" s="1509"/>
      <c r="M4188" s="1509"/>
      <c r="N4188" s="1510"/>
    </row>
    <row r="4189" spans="1:14">
      <c r="A4189" s="1531"/>
      <c r="B4189" s="355"/>
      <c r="C4189" s="350"/>
      <c r="D4189" s="903"/>
      <c r="E4189" s="903"/>
      <c r="F4189" s="350"/>
      <c r="G4189" s="298"/>
      <c r="H4189" s="675">
        <f>D4189</f>
        <v>0</v>
      </c>
      <c r="I4189" s="1508"/>
      <c r="J4189" s="1509"/>
      <c r="K4189" s="1509"/>
      <c r="L4189" s="1509"/>
      <c r="M4189" s="1509"/>
      <c r="N4189" s="1510"/>
    </row>
    <row r="4190" spans="1:14">
      <c r="A4190" s="1531"/>
      <c r="B4190" s="699"/>
      <c r="C4190" s="350"/>
      <c r="D4190" s="904"/>
      <c r="E4190" s="903"/>
      <c r="F4190" s="350"/>
      <c r="G4190" s="298"/>
      <c r="H4190" s="675"/>
      <c r="I4190" s="1508"/>
      <c r="J4190" s="1509"/>
      <c r="K4190" s="1509"/>
      <c r="L4190" s="1509"/>
      <c r="M4190" s="1509"/>
      <c r="N4190" s="1510"/>
    </row>
    <row r="4191" spans="1:14">
      <c r="A4191" s="1542" t="s">
        <v>2218</v>
      </c>
      <c r="B4191" s="1542"/>
      <c r="C4191" s="1542"/>
      <c r="D4191" s="1542"/>
      <c r="E4191" s="1542"/>
      <c r="F4191" s="1542"/>
      <c r="G4191" s="1542"/>
      <c r="H4191" s="271">
        <f>SUM(H4187:H4190)</f>
        <v>1.8</v>
      </c>
      <c r="I4191" s="1508"/>
      <c r="J4191" s="1509"/>
      <c r="K4191" s="1509"/>
      <c r="L4191" s="1509"/>
      <c r="M4191" s="1509"/>
      <c r="N4191" s="1510"/>
    </row>
    <row r="4192" spans="1:14">
      <c r="A4192" s="1538" t="s">
        <v>2219</v>
      </c>
      <c r="B4192" s="1538"/>
      <c r="C4192" s="1538"/>
      <c r="D4192" s="1538"/>
      <c r="E4192" s="1538"/>
      <c r="F4192" s="1538"/>
      <c r="G4192" s="1538"/>
      <c r="H4192" s="271">
        <f>SUM(H4187)</f>
        <v>0</v>
      </c>
      <c r="I4192" s="1508"/>
      <c r="J4192" s="1509"/>
      <c r="K4192" s="1509"/>
      <c r="L4192" s="1509"/>
      <c r="M4192" s="1509"/>
      <c r="N4192" s="1510"/>
    </row>
    <row r="4193" spans="1:14" ht="13.9" customHeight="1" thickBot="1">
      <c r="A4193" s="1538" t="s">
        <v>2220</v>
      </c>
      <c r="B4193" s="1538"/>
      <c r="C4193" s="1538"/>
      <c r="D4193" s="1538"/>
      <c r="E4193" s="1538"/>
      <c r="F4193" s="1538"/>
      <c r="G4193" s="1538"/>
      <c r="H4193" s="216">
        <v>0</v>
      </c>
      <c r="I4193" s="1511"/>
      <c r="J4193" s="1512"/>
      <c r="K4193" s="1512"/>
      <c r="L4193" s="1512"/>
      <c r="M4193" s="1512"/>
      <c r="N4193" s="1513"/>
    </row>
    <row r="4194" spans="1:14" ht="13.9" customHeight="1" thickBot="1">
      <c r="A4194" s="1115"/>
      <c r="B4194" s="889"/>
      <c r="C4194" s="640"/>
      <c r="D4194" s="971"/>
      <c r="E4194" s="1343"/>
      <c r="F4194" s="640"/>
      <c r="G4194" s="640"/>
      <c r="H4194" s="217"/>
      <c r="I4194" s="279"/>
      <c r="J4194" s="279"/>
      <c r="K4194" s="279"/>
      <c r="L4194" s="279"/>
      <c r="M4194" s="279"/>
      <c r="N4194" s="441"/>
    </row>
    <row r="4195" spans="1:14" ht="32.450000000000003" customHeight="1">
      <c r="A4195" s="1085" t="s">
        <v>3408</v>
      </c>
      <c r="B4195" s="1494" t="s">
        <v>1062</v>
      </c>
      <c r="C4195" s="1495"/>
      <c r="D4195" s="1495"/>
      <c r="E4195" s="1495"/>
      <c r="F4195" s="1495"/>
      <c r="G4195" s="1495"/>
      <c r="H4195" s="1495"/>
      <c r="I4195" s="1495"/>
      <c r="J4195" s="1496"/>
      <c r="K4195" s="196" t="s">
        <v>2222</v>
      </c>
      <c r="L4195" s="1497">
        <f>'27ª MEDIÇÃO '!F239</f>
        <v>0.8</v>
      </c>
      <c r="M4195" s="1498"/>
      <c r="N4195" s="197">
        <f>L4195-H4202</f>
        <v>0</v>
      </c>
    </row>
    <row r="4196" spans="1:14">
      <c r="A4196" s="1554"/>
      <c r="B4196" s="1541"/>
      <c r="C4196" s="366"/>
      <c r="D4196" s="367" t="s">
        <v>2183</v>
      </c>
      <c r="E4196" s="1320"/>
      <c r="F4196" s="367"/>
      <c r="G4196" s="367"/>
      <c r="H4196" s="1542" t="s">
        <v>476</v>
      </c>
      <c r="I4196" s="1505"/>
      <c r="J4196" s="1506"/>
      <c r="K4196" s="1506"/>
      <c r="L4196" s="1506"/>
      <c r="M4196" s="1506"/>
      <c r="N4196" s="1507"/>
    </row>
    <row r="4197" spans="1:14">
      <c r="A4197" s="1701"/>
      <c r="B4197" s="1694"/>
      <c r="C4197" s="416" t="s">
        <v>12</v>
      </c>
      <c r="D4197" s="417" t="s">
        <v>3393</v>
      </c>
      <c r="E4197" s="1323"/>
      <c r="F4197" s="417"/>
      <c r="G4197" s="418"/>
      <c r="H4197" s="1503"/>
      <c r="I4197" s="1508"/>
      <c r="J4197" s="1509"/>
      <c r="K4197" s="1509"/>
      <c r="L4197" s="1509"/>
      <c r="M4197" s="1509"/>
      <c r="N4197" s="1510"/>
    </row>
    <row r="4198" spans="1:14">
      <c r="A4198" s="1530" t="s">
        <v>3569</v>
      </c>
      <c r="B4198" s="673"/>
      <c r="C4198" s="350"/>
      <c r="D4198" s="904"/>
      <c r="E4198" s="903"/>
      <c r="F4198" s="350"/>
      <c r="G4198" s="298"/>
      <c r="H4198" s="675"/>
      <c r="I4198" s="1508"/>
      <c r="J4198" s="1509"/>
      <c r="K4198" s="1509"/>
      <c r="L4198" s="1509"/>
      <c r="M4198" s="1509"/>
      <c r="N4198" s="1510"/>
    </row>
    <row r="4199" spans="1:14">
      <c r="A4199" s="1531"/>
      <c r="B4199" s="355" t="s">
        <v>3036</v>
      </c>
      <c r="C4199" s="350"/>
      <c r="D4199" s="903"/>
      <c r="E4199" s="903"/>
      <c r="F4199" s="350"/>
      <c r="G4199" s="298"/>
      <c r="H4199" s="675">
        <v>0.8</v>
      </c>
      <c r="I4199" s="1508"/>
      <c r="J4199" s="1509"/>
      <c r="K4199" s="1509"/>
      <c r="L4199" s="1509"/>
      <c r="M4199" s="1509"/>
      <c r="N4199" s="1510"/>
    </row>
    <row r="4200" spans="1:14">
      <c r="A4200" s="1531"/>
      <c r="B4200" s="355"/>
      <c r="C4200" s="350"/>
      <c r="D4200" s="903"/>
      <c r="E4200" s="903"/>
      <c r="F4200" s="350"/>
      <c r="G4200" s="298"/>
      <c r="H4200" s="675"/>
      <c r="I4200" s="1508"/>
      <c r="J4200" s="1509"/>
      <c r="K4200" s="1509"/>
      <c r="L4200" s="1509"/>
      <c r="M4200" s="1509"/>
      <c r="N4200" s="1510"/>
    </row>
    <row r="4201" spans="1:14">
      <c r="A4201" s="1531"/>
      <c r="B4201" s="699"/>
      <c r="C4201" s="350"/>
      <c r="D4201" s="904"/>
      <c r="E4201" s="903"/>
      <c r="F4201" s="350"/>
      <c r="G4201" s="298"/>
      <c r="H4201" s="675"/>
      <c r="I4201" s="1508"/>
      <c r="J4201" s="1509"/>
      <c r="K4201" s="1509"/>
      <c r="L4201" s="1509"/>
      <c r="M4201" s="1509"/>
      <c r="N4201" s="1510"/>
    </row>
    <row r="4202" spans="1:14">
      <c r="A4202" s="1542" t="s">
        <v>2218</v>
      </c>
      <c r="B4202" s="1542"/>
      <c r="C4202" s="1542"/>
      <c r="D4202" s="1542"/>
      <c r="E4202" s="1542"/>
      <c r="F4202" s="1542"/>
      <c r="G4202" s="1542"/>
      <c r="H4202" s="271">
        <f>SUM(H4198:H4201)</f>
        <v>0.8</v>
      </c>
      <c r="I4202" s="1508"/>
      <c r="J4202" s="1509"/>
      <c r="K4202" s="1509"/>
      <c r="L4202" s="1509"/>
      <c r="M4202" s="1509"/>
      <c r="N4202" s="1510"/>
    </row>
    <row r="4203" spans="1:14">
      <c r="A4203" s="1538" t="s">
        <v>2219</v>
      </c>
      <c r="B4203" s="1538"/>
      <c r="C4203" s="1538"/>
      <c r="D4203" s="1538"/>
      <c r="E4203" s="1538"/>
      <c r="F4203" s="1538"/>
      <c r="G4203" s="1538"/>
      <c r="H4203" s="271">
        <f>SUM(H4198)</f>
        <v>0</v>
      </c>
      <c r="I4203" s="1508"/>
      <c r="J4203" s="1509"/>
      <c r="K4203" s="1509"/>
      <c r="L4203" s="1509"/>
      <c r="M4203" s="1509"/>
      <c r="N4203" s="1510"/>
    </row>
    <row r="4204" spans="1:14" ht="13.9" customHeight="1" thickBot="1">
      <c r="A4204" s="1538" t="s">
        <v>2220</v>
      </c>
      <c r="B4204" s="1538"/>
      <c r="C4204" s="1538"/>
      <c r="D4204" s="1538"/>
      <c r="E4204" s="1538"/>
      <c r="F4204" s="1538"/>
      <c r="G4204" s="1538"/>
      <c r="H4204" s="216">
        <f>H4202-H4203</f>
        <v>0.8</v>
      </c>
      <c r="I4204" s="1511"/>
      <c r="J4204" s="1512"/>
      <c r="K4204" s="1512"/>
      <c r="L4204" s="1512"/>
      <c r="M4204" s="1512"/>
      <c r="N4204" s="1513"/>
    </row>
    <row r="4205" spans="1:14" ht="13.9" customHeight="1" thickBot="1">
      <c r="A4205" s="1115"/>
      <c r="B4205" s="889"/>
      <c r="C4205" s="640"/>
      <c r="D4205" s="971"/>
      <c r="E4205" s="1343"/>
      <c r="F4205" s="640"/>
      <c r="G4205" s="640"/>
      <c r="H4205" s="217"/>
      <c r="I4205" s="279"/>
      <c r="J4205" s="279"/>
      <c r="K4205" s="279"/>
      <c r="L4205" s="279"/>
      <c r="M4205" s="279"/>
      <c r="N4205" s="441"/>
    </row>
    <row r="4206" spans="1:14" ht="32.450000000000003" customHeight="1">
      <c r="A4206" s="1085" t="s">
        <v>3409</v>
      </c>
      <c r="B4206" s="1494" t="s">
        <v>1065</v>
      </c>
      <c r="C4206" s="1495"/>
      <c r="D4206" s="1495"/>
      <c r="E4206" s="1495"/>
      <c r="F4206" s="1495"/>
      <c r="G4206" s="1495"/>
      <c r="H4206" s="1495"/>
      <c r="I4206" s="1495"/>
      <c r="J4206" s="1496"/>
      <c r="K4206" s="196" t="s">
        <v>2222</v>
      </c>
      <c r="L4206" s="1497">
        <f>'27ª MEDIÇÃO '!F240</f>
        <v>101.88</v>
      </c>
      <c r="M4206" s="1498"/>
      <c r="N4206" s="197">
        <f>L4206-H4244</f>
        <v>0</v>
      </c>
    </row>
    <row r="4207" spans="1:14">
      <c r="A4207" s="1554"/>
      <c r="B4207" s="1541"/>
      <c r="C4207" s="366"/>
      <c r="D4207" s="367" t="s">
        <v>2183</v>
      </c>
      <c r="E4207" s="1320"/>
      <c r="F4207" s="367"/>
      <c r="G4207" s="367"/>
      <c r="H4207" s="1542" t="s">
        <v>476</v>
      </c>
      <c r="I4207" s="1505"/>
      <c r="J4207" s="1506"/>
      <c r="K4207" s="1506"/>
      <c r="L4207" s="1506"/>
      <c r="M4207" s="1506"/>
      <c r="N4207" s="1507"/>
    </row>
    <row r="4208" spans="1:14">
      <c r="A4208" s="1701"/>
      <c r="B4208" s="1694"/>
      <c r="C4208" s="416" t="s">
        <v>12</v>
      </c>
      <c r="D4208" s="417" t="s">
        <v>3393</v>
      </c>
      <c r="E4208" s="1323"/>
      <c r="F4208" s="417"/>
      <c r="G4208" s="418" t="s">
        <v>3410</v>
      </c>
      <c r="H4208" s="1503"/>
      <c r="I4208" s="1508"/>
      <c r="J4208" s="1509"/>
      <c r="K4208" s="1509"/>
      <c r="L4208" s="1509"/>
      <c r="M4208" s="1509"/>
      <c r="N4208" s="1510"/>
    </row>
    <row r="4209" spans="1:14">
      <c r="A4209" s="1530" t="s">
        <v>3364</v>
      </c>
      <c r="B4209" s="916" t="s">
        <v>2727</v>
      </c>
      <c r="C4209" s="350"/>
      <c r="D4209" s="904"/>
      <c r="E4209" s="903"/>
      <c r="F4209" s="350"/>
      <c r="G4209" s="903"/>
      <c r="H4209" s="675"/>
      <c r="I4209" s="1508"/>
      <c r="J4209" s="1509"/>
      <c r="K4209" s="1509"/>
      <c r="L4209" s="1509"/>
      <c r="M4209" s="1509"/>
      <c r="N4209" s="1510"/>
    </row>
    <row r="4210" spans="1:14">
      <c r="A4210" s="1531"/>
      <c r="B4210" s="355" t="s">
        <v>3041</v>
      </c>
      <c r="C4210" s="350"/>
      <c r="D4210" s="903">
        <v>1</v>
      </c>
      <c r="E4210" s="903"/>
      <c r="F4210" s="350"/>
      <c r="G4210" s="903">
        <v>2</v>
      </c>
      <c r="H4210" s="675">
        <f t="shared" ref="H4210:H4215" si="104">D4210*G4210</f>
        <v>2</v>
      </c>
      <c r="I4210" s="1508"/>
      <c r="J4210" s="1509"/>
      <c r="K4210" s="1509"/>
      <c r="L4210" s="1509"/>
      <c r="M4210" s="1509"/>
      <c r="N4210" s="1510"/>
    </row>
    <row r="4211" spans="1:14">
      <c r="A4211" s="1531"/>
      <c r="B4211" s="355" t="s">
        <v>3042</v>
      </c>
      <c r="C4211" s="350"/>
      <c r="D4211" s="903">
        <v>1.6</v>
      </c>
      <c r="E4211" s="903"/>
      <c r="F4211" s="350"/>
      <c r="G4211" s="903">
        <v>1</v>
      </c>
      <c r="H4211" s="675">
        <f t="shared" si="104"/>
        <v>1.6</v>
      </c>
      <c r="I4211" s="1508"/>
      <c r="J4211" s="1509"/>
      <c r="K4211" s="1509"/>
      <c r="L4211" s="1509"/>
      <c r="M4211" s="1509"/>
      <c r="N4211" s="1510"/>
    </row>
    <row r="4212" spans="1:14">
      <c r="A4212" s="1531"/>
      <c r="B4212" s="355" t="s">
        <v>2854</v>
      </c>
      <c r="C4212" s="350"/>
      <c r="D4212" s="903">
        <v>0.8</v>
      </c>
      <c r="E4212" s="903"/>
      <c r="F4212" s="350"/>
      <c r="G4212" s="903">
        <v>5</v>
      </c>
      <c r="H4212" s="675">
        <f t="shared" si="104"/>
        <v>4</v>
      </c>
      <c r="I4212" s="1508"/>
      <c r="J4212" s="1509"/>
      <c r="K4212" s="1509"/>
      <c r="L4212" s="1509"/>
      <c r="M4212" s="1509"/>
      <c r="N4212" s="1510"/>
    </row>
    <row r="4213" spans="1:14">
      <c r="A4213" s="1531"/>
      <c r="B4213" s="355" t="s">
        <v>2855</v>
      </c>
      <c r="C4213" s="350"/>
      <c r="D4213" s="903">
        <v>1.5</v>
      </c>
      <c r="E4213" s="903"/>
      <c r="F4213" s="350"/>
      <c r="G4213" s="903">
        <v>2</v>
      </c>
      <c r="H4213" s="675">
        <f t="shared" si="104"/>
        <v>3</v>
      </c>
      <c r="I4213" s="1508"/>
      <c r="J4213" s="1509"/>
      <c r="K4213" s="1509"/>
      <c r="L4213" s="1509"/>
      <c r="M4213" s="1509"/>
      <c r="N4213" s="1510"/>
    </row>
    <row r="4214" spans="1:14">
      <c r="A4214" s="1531"/>
      <c r="B4214" s="355" t="s">
        <v>2856</v>
      </c>
      <c r="C4214" s="350"/>
      <c r="D4214" s="903">
        <v>2</v>
      </c>
      <c r="E4214" s="903"/>
      <c r="F4214" s="350"/>
      <c r="G4214" s="903">
        <v>2</v>
      </c>
      <c r="H4214" s="675">
        <f t="shared" si="104"/>
        <v>4</v>
      </c>
      <c r="I4214" s="1508"/>
      <c r="J4214" s="1509"/>
      <c r="K4214" s="1509"/>
      <c r="L4214" s="1509"/>
      <c r="M4214" s="1509"/>
      <c r="N4214" s="1510"/>
    </row>
    <row r="4215" spans="1:14">
      <c r="A4215" s="1531"/>
      <c r="B4215" s="355" t="s">
        <v>3228</v>
      </c>
      <c r="C4215" s="350"/>
      <c r="D4215" s="903">
        <v>3</v>
      </c>
      <c r="E4215" s="903"/>
      <c r="F4215" s="350"/>
      <c r="G4215" s="903">
        <v>1</v>
      </c>
      <c r="H4215" s="675">
        <f t="shared" si="104"/>
        <v>3</v>
      </c>
      <c r="I4215" s="1508"/>
      <c r="J4215" s="1509"/>
      <c r="K4215" s="1509"/>
      <c r="L4215" s="1509"/>
      <c r="M4215" s="1509"/>
      <c r="N4215" s="1510"/>
    </row>
    <row r="4216" spans="1:14">
      <c r="A4216" s="1531"/>
      <c r="B4216" s="916" t="s">
        <v>2929</v>
      </c>
      <c r="C4216" s="350"/>
      <c r="D4216" s="903"/>
      <c r="E4216" s="903"/>
      <c r="F4216" s="350"/>
      <c r="G4216" s="903"/>
      <c r="H4216" s="675"/>
      <c r="I4216" s="1508"/>
      <c r="J4216" s="1509"/>
      <c r="K4216" s="1509"/>
      <c r="L4216" s="1509"/>
      <c r="M4216" s="1509"/>
      <c r="N4216" s="1510"/>
    </row>
    <row r="4217" spans="1:14">
      <c r="A4217" s="1531"/>
      <c r="B4217" s="355" t="s">
        <v>2396</v>
      </c>
      <c r="C4217" s="350"/>
      <c r="D4217" s="903">
        <v>11.4</v>
      </c>
      <c r="E4217" s="903"/>
      <c r="F4217" s="350"/>
      <c r="G4217" s="903">
        <v>2</v>
      </c>
      <c r="H4217" s="675">
        <f>D4217*G4217</f>
        <v>22.8</v>
      </c>
      <c r="I4217" s="1508"/>
      <c r="J4217" s="1509"/>
      <c r="K4217" s="1509"/>
      <c r="L4217" s="1509"/>
      <c r="M4217" s="1509"/>
      <c r="N4217" s="1510"/>
    </row>
    <row r="4218" spans="1:14">
      <c r="A4218" s="1531"/>
      <c r="B4218" s="355" t="s">
        <v>2252</v>
      </c>
      <c r="C4218" s="350"/>
      <c r="D4218" s="903">
        <v>2</v>
      </c>
      <c r="E4218" s="903"/>
      <c r="F4218" s="350"/>
      <c r="G4218" s="903">
        <v>2</v>
      </c>
      <c r="H4218" s="675">
        <f>D4218*G4218</f>
        <v>4</v>
      </c>
      <c r="I4218" s="1508"/>
      <c r="J4218" s="1509"/>
      <c r="K4218" s="1509"/>
      <c r="L4218" s="1509"/>
      <c r="M4218" s="1509"/>
      <c r="N4218" s="1510"/>
    </row>
    <row r="4219" spans="1:14">
      <c r="A4219" s="1531"/>
      <c r="B4219" s="355" t="s">
        <v>2258</v>
      </c>
      <c r="C4219" s="350"/>
      <c r="D4219" s="903">
        <v>0.55000000000000004</v>
      </c>
      <c r="E4219" s="903"/>
      <c r="F4219" s="350"/>
      <c r="G4219" s="903">
        <v>2</v>
      </c>
      <c r="H4219" s="675">
        <f>D4219*G4219</f>
        <v>1.1000000000000001</v>
      </c>
      <c r="I4219" s="1508"/>
      <c r="J4219" s="1509"/>
      <c r="K4219" s="1509"/>
      <c r="L4219" s="1509"/>
      <c r="M4219" s="1509"/>
      <c r="N4219" s="1510"/>
    </row>
    <row r="4220" spans="1:14">
      <c r="A4220" s="1531"/>
      <c r="B4220" s="355" t="s">
        <v>2854</v>
      </c>
      <c r="C4220" s="350"/>
      <c r="D4220" s="903">
        <v>0.8</v>
      </c>
      <c r="E4220" s="903"/>
      <c r="F4220" s="350"/>
      <c r="G4220" s="903">
        <v>1</v>
      </c>
      <c r="H4220" s="675">
        <f>D4220*G4220</f>
        <v>0.8</v>
      </c>
      <c r="I4220" s="1508"/>
      <c r="J4220" s="1509"/>
      <c r="K4220" s="1509"/>
      <c r="L4220" s="1509"/>
      <c r="M4220" s="1509"/>
      <c r="N4220" s="1510"/>
    </row>
    <row r="4221" spans="1:14">
      <c r="A4221" s="1531"/>
      <c r="B4221" s="355" t="s">
        <v>3050</v>
      </c>
      <c r="C4221" s="350"/>
      <c r="D4221" s="903">
        <v>0.8</v>
      </c>
      <c r="E4221" s="903"/>
      <c r="F4221" s="350"/>
      <c r="G4221" s="903">
        <v>1</v>
      </c>
      <c r="H4221" s="675">
        <f>D4221*G4221</f>
        <v>0.8</v>
      </c>
      <c r="I4221" s="1508"/>
      <c r="J4221" s="1509"/>
      <c r="K4221" s="1509"/>
      <c r="L4221" s="1509"/>
      <c r="M4221" s="1509"/>
      <c r="N4221" s="1510"/>
    </row>
    <row r="4222" spans="1:14">
      <c r="A4222" s="1531"/>
      <c r="B4222" s="913"/>
      <c r="C4222" s="693"/>
      <c r="D4222" s="984"/>
      <c r="E4222" s="993"/>
      <c r="F4222" s="693"/>
      <c r="G4222" s="993"/>
      <c r="H4222" s="915"/>
      <c r="I4222" s="1508"/>
      <c r="J4222" s="1509"/>
      <c r="K4222" s="1509"/>
      <c r="L4222" s="1509"/>
      <c r="M4222" s="1509"/>
      <c r="N4222" s="1510"/>
    </row>
    <row r="4223" spans="1:14">
      <c r="A4223" s="1530" t="s">
        <v>3428</v>
      </c>
      <c r="B4223" s="916" t="s">
        <v>2727</v>
      </c>
      <c r="C4223" s="346"/>
      <c r="D4223" s="614"/>
      <c r="E4223" s="531"/>
      <c r="F4223" s="346"/>
      <c r="G4223" s="531"/>
      <c r="H4223" s="698"/>
      <c r="I4223" s="1508"/>
      <c r="J4223" s="1509"/>
      <c r="K4223" s="1509"/>
      <c r="L4223" s="1509"/>
      <c r="M4223" s="1509"/>
      <c r="N4223" s="1510"/>
    </row>
    <row r="4224" spans="1:14">
      <c r="A4224" s="1531"/>
      <c r="B4224" s="355" t="s">
        <v>2853</v>
      </c>
      <c r="C4224" s="350"/>
      <c r="D4224" s="903">
        <v>0.9</v>
      </c>
      <c r="E4224" s="903"/>
      <c r="F4224" s="350"/>
      <c r="G4224" s="903">
        <v>2</v>
      </c>
      <c r="H4224" s="675">
        <f>D4224*G4224</f>
        <v>1.8</v>
      </c>
      <c r="I4224" s="1508"/>
      <c r="J4224" s="1509"/>
      <c r="K4224" s="1509"/>
      <c r="L4224" s="1509"/>
      <c r="M4224" s="1509"/>
      <c r="N4224" s="1510"/>
    </row>
    <row r="4225" spans="1:14">
      <c r="A4225" s="1702"/>
      <c r="B4225" s="700"/>
      <c r="C4225" s="701"/>
      <c r="D4225" s="983"/>
      <c r="E4225" s="994"/>
      <c r="F4225" s="701"/>
      <c r="G4225" s="994"/>
      <c r="H4225" s="679"/>
      <c r="I4225" s="1508"/>
      <c r="J4225" s="1509"/>
      <c r="K4225" s="1509"/>
      <c r="L4225" s="1509"/>
      <c r="M4225" s="1509"/>
      <c r="N4225" s="1510"/>
    </row>
    <row r="4226" spans="1:14">
      <c r="A4226" s="1531" t="s">
        <v>3521</v>
      </c>
      <c r="B4226" s="917" t="s">
        <v>2727</v>
      </c>
      <c r="C4226" s="350"/>
      <c r="D4226" s="904"/>
      <c r="E4226" s="903"/>
      <c r="F4226" s="350"/>
      <c r="G4226" s="903"/>
      <c r="H4226" s="962"/>
      <c r="I4226" s="1508"/>
      <c r="J4226" s="1509"/>
      <c r="K4226" s="1509"/>
      <c r="L4226" s="1509"/>
      <c r="M4226" s="1509"/>
      <c r="N4226" s="1510"/>
    </row>
    <row r="4227" spans="1:14">
      <c r="A4227" s="1531"/>
      <c r="B4227" s="355" t="s">
        <v>3227</v>
      </c>
      <c r="C4227" s="350"/>
      <c r="D4227" s="903">
        <v>8.8000000000000007</v>
      </c>
      <c r="E4227" s="903"/>
      <c r="F4227" s="350"/>
      <c r="G4227" s="903">
        <v>1</v>
      </c>
      <c r="H4227" s="675">
        <f>D4227*G4227</f>
        <v>8.8000000000000007</v>
      </c>
      <c r="I4227" s="1508"/>
      <c r="J4227" s="1509"/>
      <c r="K4227" s="1509"/>
      <c r="L4227" s="1509"/>
      <c r="M4227" s="1509"/>
      <c r="N4227" s="1510"/>
    </row>
    <row r="4228" spans="1:14">
      <c r="A4228" s="1531"/>
      <c r="B4228" s="355" t="s">
        <v>2262</v>
      </c>
      <c r="C4228" s="350"/>
      <c r="D4228" s="903">
        <v>1</v>
      </c>
      <c r="E4228" s="903"/>
      <c r="F4228" s="350"/>
      <c r="G4228" s="903">
        <v>3</v>
      </c>
      <c r="H4228" s="675">
        <f>D4228*G4228</f>
        <v>3</v>
      </c>
      <c r="I4228" s="1508"/>
      <c r="J4228" s="1509"/>
      <c r="K4228" s="1509"/>
      <c r="L4228" s="1509"/>
      <c r="M4228" s="1509"/>
      <c r="N4228" s="1510"/>
    </row>
    <row r="4229" spans="1:14">
      <c r="A4229" s="1531"/>
      <c r="B4229" s="777" t="s">
        <v>2855</v>
      </c>
      <c r="C4229" s="350"/>
      <c r="D4229" s="903">
        <v>1.5</v>
      </c>
      <c r="E4229" s="903"/>
      <c r="F4229" s="350"/>
      <c r="G4229" s="903">
        <v>1</v>
      </c>
      <c r="H4229" s="675">
        <f>D4229*G4229</f>
        <v>1.5</v>
      </c>
      <c r="I4229" s="1508"/>
      <c r="J4229" s="1509"/>
      <c r="K4229" s="1509"/>
      <c r="L4229" s="1509"/>
      <c r="M4229" s="1509"/>
      <c r="N4229" s="1510"/>
    </row>
    <row r="4230" spans="1:14">
      <c r="A4230" s="1531"/>
      <c r="B4230" s="777" t="s">
        <v>2856</v>
      </c>
      <c r="C4230" s="350"/>
      <c r="D4230" s="903">
        <v>2</v>
      </c>
      <c r="E4230" s="903"/>
      <c r="F4230" s="350"/>
      <c r="G4230" s="903">
        <v>2</v>
      </c>
      <c r="H4230" s="675">
        <f>D4230*G4230</f>
        <v>4</v>
      </c>
      <c r="I4230" s="1508"/>
      <c r="J4230" s="1509"/>
      <c r="K4230" s="1509"/>
      <c r="L4230" s="1509"/>
      <c r="M4230" s="1509"/>
      <c r="N4230" s="1510"/>
    </row>
    <row r="4231" spans="1:14">
      <c r="A4231" s="1531"/>
      <c r="B4231" s="916" t="s">
        <v>2929</v>
      </c>
      <c r="C4231" s="350"/>
      <c r="D4231" s="903"/>
      <c r="E4231" s="903"/>
      <c r="F4231" s="350"/>
      <c r="G4231" s="903"/>
      <c r="H4231" s="675"/>
      <c r="I4231" s="1508"/>
      <c r="J4231" s="1509"/>
      <c r="K4231" s="1509"/>
      <c r="L4231" s="1509"/>
      <c r="M4231" s="1509"/>
      <c r="N4231" s="1510"/>
    </row>
    <row r="4232" spans="1:14">
      <c r="A4232" s="1531"/>
      <c r="B4232" s="355" t="s">
        <v>3529</v>
      </c>
      <c r="C4232" s="350"/>
      <c r="D4232" s="903">
        <v>0.9</v>
      </c>
      <c r="E4232" s="903"/>
      <c r="F4232" s="350"/>
      <c r="G4232" s="903">
        <v>3</v>
      </c>
      <c r="H4232" s="675">
        <f>D4232*G4232</f>
        <v>2.7</v>
      </c>
      <c r="I4232" s="1508"/>
      <c r="J4232" s="1509"/>
      <c r="K4232" s="1509"/>
      <c r="L4232" s="1509"/>
      <c r="M4232" s="1509"/>
      <c r="N4232" s="1510"/>
    </row>
    <row r="4233" spans="1:14">
      <c r="A4233" s="1531"/>
      <c r="B4233" s="355" t="s">
        <v>2262</v>
      </c>
      <c r="C4233" s="350"/>
      <c r="D4233" s="903">
        <v>1</v>
      </c>
      <c r="E4233" s="903"/>
      <c r="F4233" s="350"/>
      <c r="G4233" s="903">
        <v>9</v>
      </c>
      <c r="H4233" s="675">
        <f>D4233*G4233</f>
        <v>9</v>
      </c>
      <c r="I4233" s="1508"/>
      <c r="J4233" s="1509"/>
      <c r="K4233" s="1509"/>
      <c r="L4233" s="1509"/>
      <c r="M4233" s="1509"/>
      <c r="N4233" s="1510"/>
    </row>
    <row r="4234" spans="1:14">
      <c r="A4234" s="1531"/>
      <c r="B4234" s="355" t="s">
        <v>3530</v>
      </c>
      <c r="C4234" s="350"/>
      <c r="D4234" s="903">
        <v>2</v>
      </c>
      <c r="E4234" s="903"/>
      <c r="F4234" s="350"/>
      <c r="G4234" s="903">
        <v>1</v>
      </c>
      <c r="H4234" s="675">
        <f>D4234*G4234</f>
        <v>2</v>
      </c>
      <c r="I4234" s="1508"/>
      <c r="J4234" s="1509"/>
      <c r="K4234" s="1509"/>
      <c r="L4234" s="1509"/>
      <c r="M4234" s="1509"/>
      <c r="N4234" s="1510"/>
    </row>
    <row r="4235" spans="1:14">
      <c r="A4235" s="1531"/>
      <c r="B4235" s="777" t="s">
        <v>2854</v>
      </c>
      <c r="C4235" s="350"/>
      <c r="D4235" s="903">
        <v>0.8</v>
      </c>
      <c r="E4235" s="903"/>
      <c r="F4235" s="350"/>
      <c r="G4235" s="903">
        <v>2</v>
      </c>
      <c r="H4235" s="675">
        <f>D4235*G4235</f>
        <v>1.6</v>
      </c>
      <c r="I4235" s="1508"/>
      <c r="J4235" s="1509"/>
      <c r="K4235" s="1509"/>
      <c r="L4235" s="1509"/>
      <c r="M4235" s="1509"/>
      <c r="N4235" s="1510"/>
    </row>
    <row r="4236" spans="1:14">
      <c r="A4236" s="1531"/>
      <c r="B4236" s="913"/>
      <c r="C4236" s="693"/>
      <c r="D4236" s="984"/>
      <c r="E4236" s="993"/>
      <c r="F4236" s="693"/>
      <c r="G4236" s="993"/>
      <c r="H4236" s="915"/>
      <c r="I4236" s="1508"/>
      <c r="J4236" s="1509"/>
      <c r="K4236" s="1509"/>
      <c r="L4236" s="1509"/>
      <c r="M4236" s="1509"/>
      <c r="N4236" s="1510"/>
    </row>
    <row r="4237" spans="1:14">
      <c r="A4237" s="1530" t="s">
        <v>3569</v>
      </c>
      <c r="B4237" s="916" t="s">
        <v>2929</v>
      </c>
      <c r="C4237" s="346"/>
      <c r="D4237" s="531"/>
      <c r="E4237" s="531"/>
      <c r="F4237" s="346"/>
      <c r="G4237" s="531"/>
      <c r="H4237" s="698"/>
      <c r="I4237" s="1508"/>
      <c r="J4237" s="1509"/>
      <c r="K4237" s="1509"/>
      <c r="L4237" s="1509"/>
      <c r="M4237" s="1509"/>
      <c r="N4237" s="1510"/>
    </row>
    <row r="4238" spans="1:14">
      <c r="A4238" s="1531"/>
      <c r="B4238" s="355" t="s">
        <v>2396</v>
      </c>
      <c r="C4238" s="350"/>
      <c r="D4238" s="903">
        <v>11.4</v>
      </c>
      <c r="E4238" s="903"/>
      <c r="F4238" s="350"/>
      <c r="G4238" s="903">
        <v>1</v>
      </c>
      <c r="H4238" s="675">
        <f>D4238*G4238</f>
        <v>11.4</v>
      </c>
      <c r="I4238" s="1508"/>
      <c r="J4238" s="1509"/>
      <c r="K4238" s="1509"/>
      <c r="L4238" s="1509"/>
      <c r="M4238" s="1509"/>
      <c r="N4238" s="1510"/>
    </row>
    <row r="4239" spans="1:14">
      <c r="A4239" s="1531"/>
      <c r="B4239" s="777" t="s">
        <v>2395</v>
      </c>
      <c r="C4239" s="350"/>
      <c r="D4239" s="903">
        <v>1.8</v>
      </c>
      <c r="E4239" s="903"/>
      <c r="F4239" s="350"/>
      <c r="G4239" s="903">
        <v>2</v>
      </c>
      <c r="H4239" s="675">
        <f>D4239*G4239</f>
        <v>3.6</v>
      </c>
      <c r="I4239" s="1508"/>
      <c r="J4239" s="1509"/>
      <c r="K4239" s="1509"/>
      <c r="L4239" s="1509"/>
      <c r="M4239" s="1509"/>
      <c r="N4239" s="1510"/>
    </row>
    <row r="4240" spans="1:14">
      <c r="A4240" s="1702"/>
      <c r="B4240" s="700"/>
      <c r="C4240" s="701"/>
      <c r="D4240" s="983"/>
      <c r="E4240" s="994"/>
      <c r="F4240" s="701"/>
      <c r="G4240" s="994"/>
      <c r="H4240" s="679"/>
      <c r="I4240" s="1508"/>
      <c r="J4240" s="1509"/>
      <c r="K4240" s="1509"/>
      <c r="L4240" s="1509"/>
      <c r="M4240" s="1509"/>
      <c r="N4240" s="1510"/>
    </row>
    <row r="4241" spans="1:14">
      <c r="A4241" s="1530" t="s">
        <v>3620</v>
      </c>
      <c r="B4241" s="916"/>
      <c r="C4241" s="346"/>
      <c r="D4241" s="531"/>
      <c r="E4241" s="531"/>
      <c r="F4241" s="346"/>
      <c r="G4241" s="531"/>
      <c r="H4241" s="698"/>
      <c r="I4241" s="1508"/>
      <c r="J4241" s="1509"/>
      <c r="K4241" s="1509"/>
      <c r="L4241" s="1509"/>
      <c r="M4241" s="1509"/>
      <c r="N4241" s="1510"/>
    </row>
    <row r="4242" spans="1:14">
      <c r="A4242" s="1531"/>
      <c r="B4242" s="355" t="s">
        <v>3167</v>
      </c>
      <c r="C4242" s="350"/>
      <c r="D4242" s="903"/>
      <c r="E4242" s="903"/>
      <c r="F4242" s="350"/>
      <c r="G4242" s="903"/>
      <c r="H4242" s="675">
        <v>5.38</v>
      </c>
      <c r="I4242" s="1508"/>
      <c r="J4242" s="1509"/>
      <c r="K4242" s="1509"/>
      <c r="L4242" s="1509"/>
      <c r="M4242" s="1509"/>
      <c r="N4242" s="1510"/>
    </row>
    <row r="4243" spans="1:14">
      <c r="A4243" s="1702"/>
      <c r="B4243" s="700"/>
      <c r="C4243" s="701"/>
      <c r="D4243" s="983"/>
      <c r="E4243" s="994"/>
      <c r="F4243" s="701"/>
      <c r="G4243" s="994"/>
      <c r="H4243" s="679"/>
      <c r="I4243" s="1508"/>
      <c r="J4243" s="1509"/>
      <c r="K4243" s="1509"/>
      <c r="L4243" s="1509"/>
      <c r="M4243" s="1509"/>
      <c r="N4243" s="1510"/>
    </row>
    <row r="4244" spans="1:14">
      <c r="A4244" s="1542" t="s">
        <v>2218</v>
      </c>
      <c r="B4244" s="1542"/>
      <c r="C4244" s="1542"/>
      <c r="D4244" s="1542"/>
      <c r="E4244" s="1542"/>
      <c r="F4244" s="1542"/>
      <c r="G4244" s="1542"/>
      <c r="H4244" s="271">
        <f>SUM(H4209:H4243)</f>
        <v>101.88</v>
      </c>
      <c r="I4244" s="1508"/>
      <c r="J4244" s="1509"/>
      <c r="K4244" s="1509"/>
      <c r="L4244" s="1509"/>
      <c r="M4244" s="1509"/>
      <c r="N4244" s="1510"/>
    </row>
    <row r="4245" spans="1:14">
      <c r="A4245" s="1538" t="s">
        <v>2219</v>
      </c>
      <c r="B4245" s="1538"/>
      <c r="C4245" s="1538"/>
      <c r="D4245" s="1538"/>
      <c r="E4245" s="1538"/>
      <c r="F4245" s="1538"/>
      <c r="G4245" s="1538"/>
      <c r="H4245" s="271">
        <f>SUM(H4209:H4240)</f>
        <v>96.5</v>
      </c>
      <c r="I4245" s="1508"/>
      <c r="J4245" s="1509"/>
      <c r="K4245" s="1509"/>
      <c r="L4245" s="1509"/>
      <c r="M4245" s="1509"/>
      <c r="N4245" s="1510"/>
    </row>
    <row r="4246" spans="1:14" ht="13.9" customHeight="1" thickBot="1">
      <c r="A4246" s="1538" t="s">
        <v>2220</v>
      </c>
      <c r="B4246" s="1538"/>
      <c r="C4246" s="1538"/>
      <c r="D4246" s="1538"/>
      <c r="E4246" s="1538"/>
      <c r="F4246" s="1538"/>
      <c r="G4246" s="1538"/>
      <c r="H4246" s="216">
        <f>H4244-H4245</f>
        <v>5.3799999999999955</v>
      </c>
      <c r="I4246" s="1511"/>
      <c r="J4246" s="1512"/>
      <c r="K4246" s="1512"/>
      <c r="L4246" s="1512"/>
      <c r="M4246" s="1512"/>
      <c r="N4246" s="1513"/>
    </row>
    <row r="4247" spans="1:14" ht="13.9" customHeight="1">
      <c r="A4247" s="1115"/>
      <c r="B4247" s="889"/>
      <c r="C4247" s="640"/>
      <c r="D4247" s="640"/>
      <c r="E4247" s="1343"/>
      <c r="F4247" s="640"/>
      <c r="G4247" s="640"/>
      <c r="H4247" s="217"/>
      <c r="I4247" s="279"/>
      <c r="J4247" s="279"/>
      <c r="K4247" s="279"/>
      <c r="L4247" s="279"/>
      <c r="M4247" s="279"/>
      <c r="N4247" s="441"/>
    </row>
    <row r="4248" spans="1:14" ht="13.9" customHeight="1" thickBot="1">
      <c r="A4248" s="1115"/>
      <c r="B4248" s="889"/>
      <c r="C4248" s="640"/>
      <c r="D4248" s="971"/>
      <c r="E4248" s="1343"/>
      <c r="F4248" s="640"/>
      <c r="G4248" s="640"/>
      <c r="H4248" s="217"/>
      <c r="I4248" s="279"/>
      <c r="J4248" s="279"/>
      <c r="K4248" s="279"/>
      <c r="L4248" s="279"/>
      <c r="M4248" s="279"/>
      <c r="N4248" s="441"/>
    </row>
    <row r="4249" spans="1:14" ht="18.600000000000001" customHeight="1" thickBot="1">
      <c r="A4249" s="1085" t="s">
        <v>3872</v>
      </c>
      <c r="B4249" s="1494" t="s">
        <v>3873</v>
      </c>
      <c r="C4249" s="1495"/>
      <c r="D4249" s="1495"/>
      <c r="E4249" s="1495"/>
      <c r="F4249" s="1495"/>
      <c r="G4249" s="1495"/>
      <c r="H4249" s="1495"/>
      <c r="I4249" s="1495"/>
      <c r="J4249" s="1496"/>
      <c r="K4249" s="196"/>
      <c r="L4249" s="1497"/>
      <c r="M4249" s="1498"/>
      <c r="N4249" s="197"/>
    </row>
    <row r="4250" spans="1:14">
      <c r="A4250" s="1085" t="s">
        <v>3874</v>
      </c>
      <c r="B4250" s="1494" t="s">
        <v>404</v>
      </c>
      <c r="C4250" s="1495"/>
      <c r="D4250" s="1495"/>
      <c r="E4250" s="1495"/>
      <c r="F4250" s="1495"/>
      <c r="G4250" s="1495"/>
      <c r="H4250" s="1495"/>
      <c r="I4250" s="1495"/>
      <c r="J4250" s="1496"/>
      <c r="K4250" s="196" t="s">
        <v>2222</v>
      </c>
      <c r="L4250" s="1497">
        <f>'27ª MEDIÇÃO '!F242</f>
        <v>28.05</v>
      </c>
      <c r="M4250" s="1498"/>
      <c r="N4250" s="197">
        <f>L4250-H4256</f>
        <v>0.31000000000000227</v>
      </c>
    </row>
    <row r="4251" spans="1:14">
      <c r="A4251" s="1554"/>
      <c r="B4251" s="1541"/>
      <c r="C4251" s="366"/>
      <c r="D4251" s="367" t="s">
        <v>2183</v>
      </c>
      <c r="E4251" s="1320"/>
      <c r="F4251" s="367"/>
      <c r="G4251" s="367"/>
      <c r="H4251" s="1542" t="s">
        <v>476</v>
      </c>
      <c r="I4251" s="1505"/>
      <c r="J4251" s="1506"/>
      <c r="K4251" s="1506"/>
      <c r="L4251" s="1506"/>
      <c r="M4251" s="1506"/>
      <c r="N4251" s="1507"/>
    </row>
    <row r="4252" spans="1:14">
      <c r="A4252" s="1701"/>
      <c r="B4252" s="1694"/>
      <c r="C4252" s="416" t="s">
        <v>12</v>
      </c>
      <c r="D4252" s="417" t="s">
        <v>3393</v>
      </c>
      <c r="E4252" s="1323"/>
      <c r="F4252" s="417"/>
      <c r="G4252" s="418"/>
      <c r="H4252" s="1503"/>
      <c r="I4252" s="1508"/>
      <c r="J4252" s="1509"/>
      <c r="K4252" s="1509"/>
      <c r="L4252" s="1509"/>
      <c r="M4252" s="1509"/>
      <c r="N4252" s="1510"/>
    </row>
    <row r="4253" spans="1:14">
      <c r="A4253" s="1198" t="s">
        <v>3878</v>
      </c>
      <c r="B4253" s="916" t="s">
        <v>3879</v>
      </c>
      <c r="C4253" s="350">
        <v>27.74</v>
      </c>
      <c r="D4253" s="904"/>
      <c r="E4253" s="903"/>
      <c r="F4253" s="350"/>
      <c r="G4253" s="298"/>
      <c r="H4253" s="675">
        <f>C4253</f>
        <v>27.74</v>
      </c>
      <c r="I4253" s="1508"/>
      <c r="J4253" s="1509"/>
      <c r="K4253" s="1509"/>
      <c r="L4253" s="1509"/>
      <c r="M4253" s="1509"/>
      <c r="N4253" s="1510"/>
    </row>
    <row r="4254" spans="1:14">
      <c r="A4254" s="1140"/>
      <c r="B4254" s="355"/>
      <c r="C4254" s="350"/>
      <c r="D4254" s="903"/>
      <c r="E4254" s="903"/>
      <c r="F4254" s="350"/>
      <c r="G4254" s="298"/>
      <c r="H4254" s="675">
        <f>D4254</f>
        <v>0</v>
      </c>
      <c r="I4254" s="1508"/>
      <c r="J4254" s="1509"/>
      <c r="K4254" s="1509"/>
      <c r="L4254" s="1509"/>
      <c r="M4254" s="1509"/>
      <c r="N4254" s="1510"/>
    </row>
    <row r="4255" spans="1:14">
      <c r="A4255" s="1140"/>
      <c r="B4255" s="699"/>
      <c r="C4255" s="350"/>
      <c r="D4255" s="904"/>
      <c r="E4255" s="903"/>
      <c r="F4255" s="350"/>
      <c r="G4255" s="298"/>
      <c r="H4255" s="675"/>
      <c r="I4255" s="1508"/>
      <c r="J4255" s="1509"/>
      <c r="K4255" s="1509"/>
      <c r="L4255" s="1509"/>
      <c r="M4255" s="1509"/>
      <c r="N4255" s="1510"/>
    </row>
    <row r="4256" spans="1:14">
      <c r="A4256" s="1542" t="s">
        <v>2218</v>
      </c>
      <c r="B4256" s="1542"/>
      <c r="C4256" s="1542"/>
      <c r="D4256" s="1542"/>
      <c r="E4256" s="1542"/>
      <c r="F4256" s="1542"/>
      <c r="G4256" s="1542"/>
      <c r="H4256" s="271">
        <f>SUM(H4253:H4255)</f>
        <v>27.74</v>
      </c>
      <c r="I4256" s="1508"/>
      <c r="J4256" s="1509"/>
      <c r="K4256" s="1509"/>
      <c r="L4256" s="1509"/>
      <c r="M4256" s="1509"/>
      <c r="N4256" s="1510"/>
    </row>
    <row r="4257" spans="1:14">
      <c r="A4257" s="1538" t="s">
        <v>2219</v>
      </c>
      <c r="B4257" s="1538"/>
      <c r="C4257" s="1538"/>
      <c r="D4257" s="1538"/>
      <c r="E4257" s="1538"/>
      <c r="F4257" s="1538"/>
      <c r="G4257" s="1538"/>
      <c r="H4257" s="271">
        <v>0</v>
      </c>
      <c r="I4257" s="1508"/>
      <c r="J4257" s="1509"/>
      <c r="K4257" s="1509"/>
      <c r="L4257" s="1509"/>
      <c r="M4257" s="1509"/>
      <c r="N4257" s="1510"/>
    </row>
    <row r="4258" spans="1:14" ht="13.9" customHeight="1" thickBot="1">
      <c r="A4258" s="1538" t="s">
        <v>2220</v>
      </c>
      <c r="B4258" s="1538"/>
      <c r="C4258" s="1538"/>
      <c r="D4258" s="1538"/>
      <c r="E4258" s="1538"/>
      <c r="F4258" s="1538"/>
      <c r="G4258" s="1538"/>
      <c r="H4258" s="216">
        <f>H4256-H4257</f>
        <v>27.74</v>
      </c>
      <c r="I4258" s="1511"/>
      <c r="J4258" s="1512"/>
      <c r="K4258" s="1512"/>
      <c r="L4258" s="1512"/>
      <c r="M4258" s="1512"/>
      <c r="N4258" s="1513"/>
    </row>
    <row r="4259" spans="1:14">
      <c r="A4259" s="1085" t="s">
        <v>3875</v>
      </c>
      <c r="B4259" s="1494" t="s">
        <v>1071</v>
      </c>
      <c r="C4259" s="1495"/>
      <c r="D4259" s="1495"/>
      <c r="E4259" s="1495"/>
      <c r="F4259" s="1495"/>
      <c r="G4259" s="1495"/>
      <c r="H4259" s="1495"/>
      <c r="I4259" s="1495"/>
      <c r="J4259" s="1496"/>
      <c r="K4259" s="196" t="s">
        <v>2222</v>
      </c>
      <c r="L4259" s="1497">
        <f>'27ª MEDIÇÃO '!F243</f>
        <v>28.05</v>
      </c>
      <c r="M4259" s="1498"/>
      <c r="N4259" s="197">
        <f>L4259-H4265</f>
        <v>0</v>
      </c>
    </row>
    <row r="4260" spans="1:14">
      <c r="A4260" s="1554"/>
      <c r="B4260" s="1541"/>
      <c r="C4260" s="366"/>
      <c r="D4260" s="367" t="s">
        <v>2183</v>
      </c>
      <c r="E4260" s="1320"/>
      <c r="F4260" s="367"/>
      <c r="G4260" s="367"/>
      <c r="H4260" s="1542" t="s">
        <v>476</v>
      </c>
      <c r="I4260" s="1505"/>
      <c r="J4260" s="1506"/>
      <c r="K4260" s="1506"/>
      <c r="L4260" s="1506"/>
      <c r="M4260" s="1506"/>
      <c r="N4260" s="1507"/>
    </row>
    <row r="4261" spans="1:14">
      <c r="A4261" s="1701"/>
      <c r="B4261" s="1694"/>
      <c r="C4261" s="416" t="s">
        <v>12</v>
      </c>
      <c r="D4261" s="417" t="s">
        <v>3393</v>
      </c>
      <c r="E4261" s="1323"/>
      <c r="F4261" s="417"/>
      <c r="G4261" s="418"/>
      <c r="H4261" s="1503"/>
      <c r="I4261" s="1508"/>
      <c r="J4261" s="1509"/>
      <c r="K4261" s="1509"/>
      <c r="L4261" s="1509"/>
      <c r="M4261" s="1509"/>
      <c r="N4261" s="1510"/>
    </row>
    <row r="4262" spans="1:14">
      <c r="A4262" s="1198" t="s">
        <v>3878</v>
      </c>
      <c r="B4262" s="916" t="s">
        <v>3879</v>
      </c>
      <c r="C4262" s="350">
        <v>19</v>
      </c>
      <c r="D4262" s="904"/>
      <c r="E4262" s="903"/>
      <c r="F4262" s="350"/>
      <c r="G4262" s="298"/>
      <c r="H4262" s="675">
        <f>C4262</f>
        <v>19</v>
      </c>
      <c r="I4262" s="1508"/>
      <c r="J4262" s="1509"/>
      <c r="K4262" s="1509"/>
      <c r="L4262" s="1509"/>
      <c r="M4262" s="1509"/>
      <c r="N4262" s="1510"/>
    </row>
    <row r="4263" spans="1:14">
      <c r="A4263" s="1198" t="s">
        <v>3992</v>
      </c>
      <c r="B4263" s="916" t="s">
        <v>3879</v>
      </c>
      <c r="C4263" s="350">
        <v>9.0500000000000007</v>
      </c>
      <c r="D4263" s="904"/>
      <c r="E4263" s="903"/>
      <c r="F4263" s="350"/>
      <c r="G4263" s="298"/>
      <c r="H4263" s="675">
        <f>C4263</f>
        <v>9.0500000000000007</v>
      </c>
      <c r="I4263" s="1508"/>
      <c r="J4263" s="1509"/>
      <c r="K4263" s="1509"/>
      <c r="L4263" s="1509"/>
      <c r="M4263" s="1509"/>
      <c r="N4263" s="1510"/>
    </row>
    <row r="4264" spans="1:14">
      <c r="A4264" s="1198"/>
      <c r="B4264" s="916"/>
      <c r="C4264" s="350"/>
      <c r="D4264" s="904"/>
      <c r="E4264" s="903"/>
      <c r="F4264" s="350"/>
      <c r="G4264" s="298"/>
      <c r="H4264" s="675"/>
      <c r="I4264" s="1508"/>
      <c r="J4264" s="1509"/>
      <c r="K4264" s="1509"/>
      <c r="L4264" s="1509"/>
      <c r="M4264" s="1509"/>
      <c r="N4264" s="1510"/>
    </row>
    <row r="4265" spans="1:14">
      <c r="A4265" s="1542" t="s">
        <v>2218</v>
      </c>
      <c r="B4265" s="1542"/>
      <c r="C4265" s="1542"/>
      <c r="D4265" s="1542"/>
      <c r="E4265" s="1542"/>
      <c r="F4265" s="1542"/>
      <c r="G4265" s="1542"/>
      <c r="H4265" s="271">
        <f>SUM(H4262:H4264)</f>
        <v>28.05</v>
      </c>
      <c r="I4265" s="1508"/>
      <c r="J4265" s="1509"/>
      <c r="K4265" s="1509"/>
      <c r="L4265" s="1509"/>
      <c r="M4265" s="1509"/>
      <c r="N4265" s="1510"/>
    </row>
    <row r="4266" spans="1:14">
      <c r="A4266" s="1538" t="s">
        <v>2219</v>
      </c>
      <c r="B4266" s="1538"/>
      <c r="C4266" s="1538"/>
      <c r="D4266" s="1538"/>
      <c r="E4266" s="1538"/>
      <c r="F4266" s="1538"/>
      <c r="G4266" s="1538"/>
      <c r="H4266" s="271">
        <v>0</v>
      </c>
      <c r="I4266" s="1508"/>
      <c r="J4266" s="1509"/>
      <c r="K4266" s="1509"/>
      <c r="L4266" s="1509"/>
      <c r="M4266" s="1509"/>
      <c r="N4266" s="1510"/>
    </row>
    <row r="4267" spans="1:14" ht="13.9" customHeight="1" thickBot="1">
      <c r="A4267" s="1538" t="s">
        <v>2220</v>
      </c>
      <c r="B4267" s="1538"/>
      <c r="C4267" s="1538"/>
      <c r="D4267" s="1538"/>
      <c r="E4267" s="1538"/>
      <c r="F4267" s="1538"/>
      <c r="G4267" s="1538"/>
      <c r="H4267" s="216">
        <f>H4265-H4266</f>
        <v>28.05</v>
      </c>
      <c r="I4267" s="1511"/>
      <c r="J4267" s="1512"/>
      <c r="K4267" s="1512"/>
      <c r="L4267" s="1512"/>
      <c r="M4267" s="1512"/>
      <c r="N4267" s="1513"/>
    </row>
    <row r="4268" spans="1:14" ht="13.9" customHeight="1">
      <c r="A4268" s="1115"/>
      <c r="B4268" s="889"/>
      <c r="C4268" s="640"/>
      <c r="D4268" s="971"/>
      <c r="E4268" s="1343"/>
      <c r="F4268" s="640"/>
      <c r="G4268" s="640"/>
      <c r="H4268" s="217"/>
      <c r="I4268" s="279"/>
      <c r="J4268" s="279"/>
      <c r="K4268" s="279"/>
      <c r="L4268" s="279"/>
      <c r="M4268" s="279"/>
      <c r="N4268" s="441"/>
    </row>
    <row r="4269" spans="1:14" ht="13.9" customHeight="1" thickBot="1">
      <c r="A4269" s="1115"/>
      <c r="B4269" s="889"/>
      <c r="C4269" s="640"/>
      <c r="D4269" s="971"/>
      <c r="E4269" s="1343"/>
      <c r="F4269" s="640"/>
      <c r="G4269" s="640"/>
      <c r="H4269" s="217"/>
      <c r="I4269" s="279"/>
      <c r="J4269" s="279"/>
      <c r="K4269" s="279"/>
      <c r="L4269" s="279"/>
      <c r="M4269" s="279"/>
      <c r="N4269" s="441"/>
    </row>
    <row r="4270" spans="1:14" ht="32.450000000000003" customHeight="1">
      <c r="A4270" s="1085" t="s">
        <v>3876</v>
      </c>
      <c r="B4270" s="1494" t="s">
        <v>1074</v>
      </c>
      <c r="C4270" s="1495"/>
      <c r="D4270" s="1495"/>
      <c r="E4270" s="1495"/>
      <c r="F4270" s="1495"/>
      <c r="G4270" s="1495"/>
      <c r="H4270" s="1495"/>
      <c r="I4270" s="1495"/>
      <c r="J4270" s="1496"/>
      <c r="K4270" s="196" t="s">
        <v>2222</v>
      </c>
      <c r="L4270" s="1497">
        <f>'27ª MEDIÇÃO '!F244</f>
        <v>28.05</v>
      </c>
      <c r="M4270" s="1498"/>
      <c r="N4270" s="197">
        <f>L4270-H4276</f>
        <v>0</v>
      </c>
    </row>
    <row r="4271" spans="1:14">
      <c r="A4271" s="1554"/>
      <c r="B4271" s="1541"/>
      <c r="C4271" s="366"/>
      <c r="D4271" s="367" t="s">
        <v>2183</v>
      </c>
      <c r="E4271" s="1320"/>
      <c r="F4271" s="367"/>
      <c r="G4271" s="367"/>
      <c r="H4271" s="1542" t="s">
        <v>476</v>
      </c>
      <c r="I4271" s="1505"/>
      <c r="J4271" s="1506"/>
      <c r="K4271" s="1506"/>
      <c r="L4271" s="1506"/>
      <c r="M4271" s="1506"/>
      <c r="N4271" s="1507"/>
    </row>
    <row r="4272" spans="1:14">
      <c r="A4272" s="1701"/>
      <c r="B4272" s="1694"/>
      <c r="C4272" s="416" t="s">
        <v>12</v>
      </c>
      <c r="D4272" s="417" t="s">
        <v>3393</v>
      </c>
      <c r="E4272" s="1323"/>
      <c r="F4272" s="417"/>
      <c r="G4272" s="418"/>
      <c r="H4272" s="1503"/>
      <c r="I4272" s="1508"/>
      <c r="J4272" s="1509"/>
      <c r="K4272" s="1509"/>
      <c r="L4272" s="1509"/>
      <c r="M4272" s="1509"/>
      <c r="N4272" s="1510"/>
    </row>
    <row r="4273" spans="1:14">
      <c r="A4273" s="1198" t="s">
        <v>3878</v>
      </c>
      <c r="B4273" s="916" t="s">
        <v>3879</v>
      </c>
      <c r="C4273" s="350">
        <v>19</v>
      </c>
      <c r="D4273" s="904"/>
      <c r="E4273" s="903"/>
      <c r="F4273" s="350"/>
      <c r="G4273" s="298"/>
      <c r="H4273" s="675">
        <f>C4273</f>
        <v>19</v>
      </c>
      <c r="I4273" s="1508"/>
      <c r="J4273" s="1509"/>
      <c r="K4273" s="1509"/>
      <c r="L4273" s="1509"/>
      <c r="M4273" s="1509"/>
      <c r="N4273" s="1510"/>
    </row>
    <row r="4274" spans="1:14">
      <c r="A4274" s="1198" t="s">
        <v>3992</v>
      </c>
      <c r="B4274" s="916" t="s">
        <v>3879</v>
      </c>
      <c r="C4274" s="350">
        <v>9.0500000000000007</v>
      </c>
      <c r="D4274" s="904"/>
      <c r="E4274" s="903"/>
      <c r="F4274" s="350"/>
      <c r="G4274" s="298"/>
      <c r="H4274" s="675">
        <f>C4274</f>
        <v>9.0500000000000007</v>
      </c>
      <c r="I4274" s="1508"/>
      <c r="J4274" s="1509"/>
      <c r="K4274" s="1509"/>
      <c r="L4274" s="1509"/>
      <c r="M4274" s="1509"/>
      <c r="N4274" s="1510"/>
    </row>
    <row r="4275" spans="1:14">
      <c r="A4275" s="1140"/>
      <c r="B4275" s="699"/>
      <c r="C4275" s="350"/>
      <c r="D4275" s="904"/>
      <c r="E4275" s="903"/>
      <c r="F4275" s="350"/>
      <c r="G4275" s="298"/>
      <c r="H4275" s="675"/>
      <c r="I4275" s="1508"/>
      <c r="J4275" s="1509"/>
      <c r="K4275" s="1509"/>
      <c r="L4275" s="1509"/>
      <c r="M4275" s="1509"/>
      <c r="N4275" s="1510"/>
    </row>
    <row r="4276" spans="1:14">
      <c r="A4276" s="1542" t="s">
        <v>2218</v>
      </c>
      <c r="B4276" s="1542"/>
      <c r="C4276" s="1542"/>
      <c r="D4276" s="1542"/>
      <c r="E4276" s="1542"/>
      <c r="F4276" s="1542"/>
      <c r="G4276" s="1542"/>
      <c r="H4276" s="271">
        <f>SUM(H4273:H4275)</f>
        <v>28.05</v>
      </c>
      <c r="I4276" s="1508"/>
      <c r="J4276" s="1509"/>
      <c r="K4276" s="1509"/>
      <c r="L4276" s="1509"/>
      <c r="M4276" s="1509"/>
      <c r="N4276" s="1510"/>
    </row>
    <row r="4277" spans="1:14">
      <c r="A4277" s="1538" t="s">
        <v>2219</v>
      </c>
      <c r="B4277" s="1538"/>
      <c r="C4277" s="1538"/>
      <c r="D4277" s="1538"/>
      <c r="E4277" s="1538"/>
      <c r="F4277" s="1538"/>
      <c r="G4277" s="1538"/>
      <c r="H4277" s="271">
        <f>SUM(H4273:H4275)</f>
        <v>28.05</v>
      </c>
      <c r="I4277" s="1508"/>
      <c r="J4277" s="1509"/>
      <c r="K4277" s="1509"/>
      <c r="L4277" s="1509"/>
      <c r="M4277" s="1509"/>
      <c r="N4277" s="1510"/>
    </row>
    <row r="4278" spans="1:14" ht="13.9" customHeight="1" thickBot="1">
      <c r="A4278" s="1538" t="s">
        <v>2220</v>
      </c>
      <c r="B4278" s="1538"/>
      <c r="C4278" s="1538"/>
      <c r="D4278" s="1538"/>
      <c r="E4278" s="1538"/>
      <c r="F4278" s="1538"/>
      <c r="G4278" s="1538"/>
      <c r="H4278" s="216">
        <f>H4276-H4277</f>
        <v>0</v>
      </c>
      <c r="I4278" s="1511"/>
      <c r="J4278" s="1512"/>
      <c r="K4278" s="1512"/>
      <c r="L4278" s="1512"/>
      <c r="M4278" s="1512"/>
      <c r="N4278" s="1513"/>
    </row>
    <row r="4279" spans="1:14" ht="13.9" customHeight="1">
      <c r="A4279" s="1115"/>
      <c r="B4279" s="889"/>
      <c r="C4279" s="640"/>
      <c r="D4279" s="971"/>
      <c r="E4279" s="1343"/>
      <c r="F4279" s="640"/>
      <c r="G4279" s="640"/>
      <c r="H4279" s="217"/>
      <c r="I4279" s="279"/>
      <c r="J4279" s="279"/>
      <c r="K4279" s="279"/>
      <c r="L4279" s="279"/>
      <c r="M4279" s="279"/>
      <c r="N4279" s="441"/>
    </row>
    <row r="4280" spans="1:14" ht="13.9" customHeight="1" thickBot="1">
      <c r="A4280" s="1115"/>
      <c r="B4280" s="889"/>
      <c r="C4280" s="640"/>
      <c r="D4280" s="971"/>
      <c r="E4280" s="1343"/>
      <c r="F4280" s="640"/>
      <c r="G4280" s="640"/>
      <c r="H4280" s="217"/>
      <c r="I4280" s="279"/>
      <c r="J4280" s="279"/>
      <c r="K4280" s="279"/>
      <c r="L4280" s="279"/>
      <c r="M4280" s="279"/>
      <c r="N4280" s="441"/>
    </row>
    <row r="4281" spans="1:14">
      <c r="A4281" s="1085" t="s">
        <v>3877</v>
      </c>
      <c r="B4281" s="1494" t="s">
        <v>1077</v>
      </c>
      <c r="C4281" s="1495"/>
      <c r="D4281" s="1495"/>
      <c r="E4281" s="1495"/>
      <c r="F4281" s="1495"/>
      <c r="G4281" s="1495"/>
      <c r="H4281" s="1495"/>
      <c r="I4281" s="1495"/>
      <c r="J4281" s="1496"/>
      <c r="K4281" s="196" t="s">
        <v>2222</v>
      </c>
      <c r="L4281" s="1497">
        <f>'27ª MEDIÇÃO '!F245</f>
        <v>1.06</v>
      </c>
      <c r="M4281" s="1498"/>
      <c r="N4281" s="197">
        <f>L4281-H4290</f>
        <v>0</v>
      </c>
    </row>
    <row r="4282" spans="1:14">
      <c r="A4282" s="1554"/>
      <c r="B4282" s="1541"/>
      <c r="C4282" s="366"/>
      <c r="D4282" s="367" t="s">
        <v>2183</v>
      </c>
      <c r="E4282" s="1320"/>
      <c r="F4282" s="367"/>
      <c r="G4282" s="367"/>
      <c r="H4282" s="1542" t="s">
        <v>476</v>
      </c>
      <c r="I4282" s="1505"/>
      <c r="J4282" s="1506"/>
      <c r="K4282" s="1506"/>
      <c r="L4282" s="1506"/>
      <c r="M4282" s="1506"/>
      <c r="N4282" s="1507"/>
    </row>
    <row r="4283" spans="1:14">
      <c r="A4283" s="1701"/>
      <c r="B4283" s="1694"/>
      <c r="C4283" s="416" t="s">
        <v>12</v>
      </c>
      <c r="D4283" s="417" t="s">
        <v>3393</v>
      </c>
      <c r="E4283" s="1323"/>
      <c r="F4283" s="417"/>
      <c r="G4283" s="418"/>
      <c r="H4283" s="1503"/>
      <c r="I4283" s="1508"/>
      <c r="J4283" s="1509"/>
      <c r="K4283" s="1509"/>
      <c r="L4283" s="1509"/>
      <c r="M4283" s="1509"/>
      <c r="N4283" s="1510"/>
    </row>
    <row r="4284" spans="1:14">
      <c r="A4284" s="1530" t="s">
        <v>4091</v>
      </c>
      <c r="B4284" s="916" t="s">
        <v>2727</v>
      </c>
      <c r="C4284" s="350"/>
      <c r="D4284" s="904"/>
      <c r="E4284" s="903"/>
      <c r="F4284" s="350"/>
      <c r="G4284" s="298"/>
      <c r="H4284" s="675"/>
      <c r="I4284" s="1508"/>
      <c r="J4284" s="1509"/>
      <c r="K4284" s="1509"/>
      <c r="L4284" s="1509"/>
      <c r="M4284" s="1509"/>
      <c r="N4284" s="1510"/>
    </row>
    <row r="4285" spans="1:14">
      <c r="A4285" s="1531"/>
      <c r="B4285" s="355" t="s">
        <v>4092</v>
      </c>
      <c r="C4285" s="350"/>
      <c r="D4285" s="903">
        <v>1.06</v>
      </c>
      <c r="E4285" s="903"/>
      <c r="F4285" s="350"/>
      <c r="G4285" s="298"/>
      <c r="H4285" s="675">
        <f>D4285</f>
        <v>1.06</v>
      </c>
      <c r="I4285" s="1508"/>
      <c r="J4285" s="1509"/>
      <c r="K4285" s="1509"/>
      <c r="L4285" s="1509"/>
      <c r="M4285" s="1509"/>
      <c r="N4285" s="1510"/>
    </row>
    <row r="4286" spans="1:14">
      <c r="A4286" s="1531"/>
      <c r="B4286" s="699"/>
      <c r="C4286" s="350"/>
      <c r="D4286" s="904"/>
      <c r="E4286" s="903"/>
      <c r="F4286" s="350"/>
      <c r="G4286" s="298"/>
      <c r="H4286" s="675"/>
      <c r="I4286" s="1508"/>
      <c r="J4286" s="1509"/>
      <c r="K4286" s="1509"/>
      <c r="L4286" s="1509"/>
      <c r="M4286" s="1509"/>
      <c r="N4286" s="1510"/>
    </row>
    <row r="4287" spans="1:14">
      <c r="A4287" s="1530"/>
      <c r="B4287" s="916"/>
      <c r="C4287" s="350"/>
      <c r="D4287" s="904"/>
      <c r="E4287" s="903"/>
      <c r="F4287" s="350"/>
      <c r="G4287" s="298"/>
      <c r="H4287" s="675"/>
      <c r="I4287" s="1508"/>
      <c r="J4287" s="1509"/>
      <c r="K4287" s="1509"/>
      <c r="L4287" s="1509"/>
      <c r="M4287" s="1509"/>
      <c r="N4287" s="1510"/>
    </row>
    <row r="4288" spans="1:14">
      <c r="A4288" s="1531"/>
      <c r="B4288" s="355"/>
      <c r="C4288" s="350"/>
      <c r="D4288" s="903"/>
      <c r="E4288" s="903"/>
      <c r="F4288" s="350"/>
      <c r="G4288" s="298"/>
      <c r="H4288" s="675">
        <f>D4288</f>
        <v>0</v>
      </c>
      <c r="I4288" s="1508"/>
      <c r="J4288" s="1509"/>
      <c r="K4288" s="1509"/>
      <c r="L4288" s="1509"/>
      <c r="M4288" s="1509"/>
      <c r="N4288" s="1510"/>
    </row>
    <row r="4289" spans="1:14">
      <c r="A4289" s="1531"/>
      <c r="B4289" s="699"/>
      <c r="C4289" s="350"/>
      <c r="D4289" s="904"/>
      <c r="E4289" s="903"/>
      <c r="F4289" s="350"/>
      <c r="G4289" s="298"/>
      <c r="H4289" s="675"/>
      <c r="I4289" s="1508"/>
      <c r="J4289" s="1509"/>
      <c r="K4289" s="1509"/>
      <c r="L4289" s="1509"/>
      <c r="M4289" s="1509"/>
      <c r="N4289" s="1510"/>
    </row>
    <row r="4290" spans="1:14">
      <c r="A4290" s="1542" t="s">
        <v>2218</v>
      </c>
      <c r="B4290" s="1542"/>
      <c r="C4290" s="1542"/>
      <c r="D4290" s="1542"/>
      <c r="E4290" s="1542"/>
      <c r="F4290" s="1542"/>
      <c r="G4290" s="1542"/>
      <c r="H4290" s="271">
        <f>SUM(H4284:H4289)</f>
        <v>1.06</v>
      </c>
      <c r="I4290" s="1508"/>
      <c r="J4290" s="1509"/>
      <c r="K4290" s="1509"/>
      <c r="L4290" s="1509"/>
      <c r="M4290" s="1509"/>
      <c r="N4290" s="1510"/>
    </row>
    <row r="4291" spans="1:14">
      <c r="A4291" s="1538" t="s">
        <v>2219</v>
      </c>
      <c r="B4291" s="1538"/>
      <c r="C4291" s="1538"/>
      <c r="D4291" s="1538"/>
      <c r="E4291" s="1538"/>
      <c r="F4291" s="1538"/>
      <c r="G4291" s="1538"/>
      <c r="H4291" s="271">
        <v>0</v>
      </c>
      <c r="I4291" s="1508"/>
      <c r="J4291" s="1509"/>
      <c r="K4291" s="1509"/>
      <c r="L4291" s="1509"/>
      <c r="M4291" s="1509"/>
      <c r="N4291" s="1510"/>
    </row>
    <row r="4292" spans="1:14" ht="13.9" customHeight="1" thickBot="1">
      <c r="A4292" s="1538" t="s">
        <v>2220</v>
      </c>
      <c r="B4292" s="1538"/>
      <c r="C4292" s="1538"/>
      <c r="D4292" s="1538"/>
      <c r="E4292" s="1538"/>
      <c r="F4292" s="1538"/>
      <c r="G4292" s="1538"/>
      <c r="H4292" s="216">
        <f>H4290-H4291</f>
        <v>1.06</v>
      </c>
      <c r="I4292" s="1511"/>
      <c r="J4292" s="1512"/>
      <c r="K4292" s="1512"/>
      <c r="L4292" s="1512"/>
      <c r="M4292" s="1512"/>
      <c r="N4292" s="1513"/>
    </row>
    <row r="4293" spans="1:14" ht="13.9" customHeight="1" thickBot="1">
      <c r="A4293" s="1085" t="s">
        <v>3880</v>
      </c>
      <c r="B4293" s="1494" t="s">
        <v>1079</v>
      </c>
      <c r="C4293" s="1495"/>
      <c r="D4293" s="1495"/>
      <c r="E4293" s="1495"/>
      <c r="F4293" s="1495"/>
      <c r="G4293" s="1495"/>
      <c r="H4293" s="1495"/>
      <c r="I4293" s="1495"/>
      <c r="J4293" s="1496"/>
      <c r="K4293" s="279"/>
      <c r="L4293" s="279"/>
      <c r="M4293" s="279"/>
      <c r="N4293" s="441"/>
    </row>
    <row r="4294" spans="1:14" ht="24.75" customHeight="1">
      <c r="A4294" s="1085" t="s">
        <v>3881</v>
      </c>
      <c r="B4294" s="1494" t="s">
        <v>1082</v>
      </c>
      <c r="C4294" s="1495"/>
      <c r="D4294" s="1495"/>
      <c r="E4294" s="1495"/>
      <c r="F4294" s="1495"/>
      <c r="G4294" s="1495"/>
      <c r="H4294" s="1495"/>
      <c r="I4294" s="1495"/>
      <c r="J4294" s="1496"/>
      <c r="K4294" s="196" t="s">
        <v>2222</v>
      </c>
      <c r="L4294" s="1497">
        <v>48.5</v>
      </c>
      <c r="M4294" s="1498"/>
      <c r="N4294" s="197">
        <f>L4294-H4303</f>
        <v>0</v>
      </c>
    </row>
    <row r="4295" spans="1:14">
      <c r="A4295" s="1554"/>
      <c r="B4295" s="1541"/>
      <c r="C4295" s="366"/>
      <c r="D4295" s="367" t="s">
        <v>2183</v>
      </c>
      <c r="E4295" s="1320"/>
      <c r="F4295" s="367"/>
      <c r="G4295" s="367"/>
      <c r="H4295" s="1542" t="s">
        <v>476</v>
      </c>
      <c r="I4295" s="1505"/>
      <c r="J4295" s="1506"/>
      <c r="K4295" s="1506"/>
      <c r="L4295" s="1506"/>
      <c r="M4295" s="1506"/>
      <c r="N4295" s="1507"/>
    </row>
    <row r="4296" spans="1:14">
      <c r="A4296" s="1701"/>
      <c r="B4296" s="1694"/>
      <c r="C4296" s="416" t="s">
        <v>12</v>
      </c>
      <c r="D4296" s="417" t="s">
        <v>3393</v>
      </c>
      <c r="E4296" s="1323"/>
      <c r="F4296" s="417"/>
      <c r="G4296" s="418"/>
      <c r="H4296" s="1503"/>
      <c r="I4296" s="1508"/>
      <c r="J4296" s="1509"/>
      <c r="K4296" s="1509"/>
      <c r="L4296" s="1509"/>
      <c r="M4296" s="1509"/>
      <c r="N4296" s="1510"/>
    </row>
    <row r="4297" spans="1:14">
      <c r="A4297" s="1530" t="s">
        <v>4003</v>
      </c>
      <c r="B4297" s="916" t="s">
        <v>2727</v>
      </c>
      <c r="C4297" s="350"/>
      <c r="D4297" s="904"/>
      <c r="E4297" s="903"/>
      <c r="F4297" s="350"/>
      <c r="G4297" s="298"/>
      <c r="H4297" s="675">
        <v>0</v>
      </c>
      <c r="I4297" s="1508"/>
      <c r="J4297" s="1509"/>
      <c r="K4297" s="1509"/>
      <c r="L4297" s="1509"/>
      <c r="M4297" s="1509"/>
      <c r="N4297" s="1510"/>
    </row>
    <row r="4298" spans="1:14">
      <c r="A4298" s="1531"/>
      <c r="B4298" s="355" t="s">
        <v>4005</v>
      </c>
      <c r="C4298" s="350"/>
      <c r="D4298" s="903">
        <v>48.5</v>
      </c>
      <c r="E4298" s="903"/>
      <c r="F4298" s="350"/>
      <c r="G4298" s="298"/>
      <c r="H4298" s="675">
        <f>D4298</f>
        <v>48.5</v>
      </c>
      <c r="I4298" s="1508"/>
      <c r="J4298" s="1509"/>
      <c r="K4298" s="1509"/>
      <c r="L4298" s="1509"/>
      <c r="M4298" s="1509"/>
      <c r="N4298" s="1510"/>
    </row>
    <row r="4299" spans="1:14" ht="15" customHeight="1">
      <c r="A4299" s="1531"/>
      <c r="B4299" s="699"/>
      <c r="C4299" s="350"/>
      <c r="D4299" s="904"/>
      <c r="E4299" s="903"/>
      <c r="F4299" s="350"/>
      <c r="G4299" s="298"/>
      <c r="H4299" s="675"/>
      <c r="I4299" s="1508"/>
      <c r="J4299" s="1509"/>
      <c r="K4299" s="1509"/>
      <c r="L4299" s="1509"/>
      <c r="M4299" s="1509"/>
      <c r="N4299" s="1510"/>
    </row>
    <row r="4300" spans="1:14">
      <c r="A4300" s="1530"/>
      <c r="B4300" s="916"/>
      <c r="C4300" s="350"/>
      <c r="D4300" s="904"/>
      <c r="E4300" s="903"/>
      <c r="F4300" s="350"/>
      <c r="G4300" s="298"/>
      <c r="H4300" s="675"/>
      <c r="I4300" s="1508"/>
      <c r="J4300" s="1509"/>
      <c r="K4300" s="1509"/>
      <c r="L4300" s="1509"/>
      <c r="M4300" s="1509"/>
      <c r="N4300" s="1510"/>
    </row>
    <row r="4301" spans="1:14">
      <c r="A4301" s="1531"/>
      <c r="B4301" s="355"/>
      <c r="C4301" s="350"/>
      <c r="D4301" s="903"/>
      <c r="E4301" s="903"/>
      <c r="F4301" s="350"/>
      <c r="G4301" s="298"/>
      <c r="H4301" s="675"/>
      <c r="I4301" s="1508"/>
      <c r="J4301" s="1509"/>
      <c r="K4301" s="1509"/>
      <c r="L4301" s="1509"/>
      <c r="M4301" s="1509"/>
      <c r="N4301" s="1510"/>
    </row>
    <row r="4302" spans="1:14">
      <c r="A4302" s="1531"/>
      <c r="B4302" s="699"/>
      <c r="C4302" s="350"/>
      <c r="D4302" s="904"/>
      <c r="E4302" s="903"/>
      <c r="F4302" s="350"/>
      <c r="G4302" s="298"/>
      <c r="H4302" s="675"/>
      <c r="I4302" s="1508"/>
      <c r="J4302" s="1509"/>
      <c r="K4302" s="1509"/>
      <c r="L4302" s="1509"/>
      <c r="M4302" s="1509"/>
      <c r="N4302" s="1510"/>
    </row>
    <row r="4303" spans="1:14">
      <c r="A4303" s="1542" t="s">
        <v>2218</v>
      </c>
      <c r="B4303" s="1542"/>
      <c r="C4303" s="1542"/>
      <c r="D4303" s="1542"/>
      <c r="E4303" s="1542"/>
      <c r="F4303" s="1542"/>
      <c r="G4303" s="1542"/>
      <c r="H4303" s="271">
        <f>SUM(H4297:H4302)</f>
        <v>48.5</v>
      </c>
      <c r="I4303" s="1508"/>
      <c r="J4303" s="1509"/>
      <c r="K4303" s="1509"/>
      <c r="L4303" s="1509"/>
      <c r="M4303" s="1509"/>
      <c r="N4303" s="1510"/>
    </row>
    <row r="4304" spans="1:14">
      <c r="A4304" s="1538" t="s">
        <v>2219</v>
      </c>
      <c r="B4304" s="1538"/>
      <c r="C4304" s="1538"/>
      <c r="D4304" s="1538"/>
      <c r="E4304" s="1538"/>
      <c r="F4304" s="1538"/>
      <c r="G4304" s="1538"/>
      <c r="H4304" s="271">
        <f>SUM(H4297)</f>
        <v>0</v>
      </c>
      <c r="I4304" s="1508"/>
      <c r="J4304" s="1509"/>
      <c r="K4304" s="1509"/>
      <c r="L4304" s="1509"/>
      <c r="M4304" s="1509"/>
      <c r="N4304" s="1510"/>
    </row>
    <row r="4305" spans="1:14" ht="13.9" customHeight="1" thickBot="1">
      <c r="A4305" s="1538" t="s">
        <v>2220</v>
      </c>
      <c r="B4305" s="1538"/>
      <c r="C4305" s="1538"/>
      <c r="D4305" s="1538"/>
      <c r="E4305" s="1538"/>
      <c r="F4305" s="1538"/>
      <c r="G4305" s="1538"/>
      <c r="H4305" s="216">
        <f>H4303-H4304</f>
        <v>48.5</v>
      </c>
      <c r="I4305" s="1511"/>
      <c r="J4305" s="1512"/>
      <c r="K4305" s="1512"/>
      <c r="L4305" s="1512"/>
      <c r="M4305" s="1512"/>
      <c r="N4305" s="1513"/>
    </row>
    <row r="4306" spans="1:14" ht="13.9" customHeight="1" thickBot="1">
      <c r="A4306" s="1115"/>
      <c r="B4306" s="889"/>
      <c r="C4306" s="640"/>
      <c r="D4306" s="971"/>
      <c r="E4306" s="1343"/>
      <c r="F4306" s="640"/>
      <c r="G4306" s="640"/>
      <c r="H4306" s="217"/>
      <c r="I4306" s="279"/>
      <c r="J4306" s="279"/>
      <c r="K4306" s="279"/>
      <c r="L4306" s="279"/>
      <c r="M4306" s="279"/>
      <c r="N4306" s="441"/>
    </row>
    <row r="4307" spans="1:14">
      <c r="A4307" s="1085" t="s">
        <v>3882</v>
      </c>
      <c r="B4307" s="1494" t="s">
        <v>1085</v>
      </c>
      <c r="C4307" s="1495"/>
      <c r="D4307" s="1495"/>
      <c r="E4307" s="1495"/>
      <c r="F4307" s="1495"/>
      <c r="G4307" s="1495"/>
      <c r="H4307" s="1495"/>
      <c r="I4307" s="1495"/>
      <c r="J4307" s="1496"/>
      <c r="K4307" s="196" t="s">
        <v>2222</v>
      </c>
      <c r="L4307" s="1497">
        <f>'27ª MEDIÇÃO '!F248</f>
        <v>48.5</v>
      </c>
      <c r="M4307" s="1498"/>
      <c r="N4307" s="197">
        <f>L4307-H4316</f>
        <v>0</v>
      </c>
    </row>
    <row r="4308" spans="1:14">
      <c r="A4308" s="1554"/>
      <c r="B4308" s="1541"/>
      <c r="C4308" s="366"/>
      <c r="D4308" s="367" t="s">
        <v>2183</v>
      </c>
      <c r="E4308" s="1320"/>
      <c r="F4308" s="367"/>
      <c r="G4308" s="367"/>
      <c r="H4308" s="1542" t="s">
        <v>476</v>
      </c>
      <c r="I4308" s="1505"/>
      <c r="J4308" s="1506"/>
      <c r="K4308" s="1506"/>
      <c r="L4308" s="1506"/>
      <c r="M4308" s="1506"/>
      <c r="N4308" s="1507"/>
    </row>
    <row r="4309" spans="1:14">
      <c r="A4309" s="1701"/>
      <c r="B4309" s="1694"/>
      <c r="C4309" s="416" t="s">
        <v>12</v>
      </c>
      <c r="D4309" s="417" t="s">
        <v>3393</v>
      </c>
      <c r="E4309" s="1323"/>
      <c r="F4309" s="417"/>
      <c r="G4309" s="418"/>
      <c r="H4309" s="1503"/>
      <c r="I4309" s="1508"/>
      <c r="J4309" s="1509"/>
      <c r="K4309" s="1509"/>
      <c r="L4309" s="1509"/>
      <c r="M4309" s="1509"/>
      <c r="N4309" s="1510"/>
    </row>
    <row r="4310" spans="1:14">
      <c r="A4310" s="1530" t="s">
        <v>4143</v>
      </c>
      <c r="B4310" s="916" t="s">
        <v>2727</v>
      </c>
      <c r="C4310" s="350"/>
      <c r="D4310" s="904"/>
      <c r="E4310" s="903"/>
      <c r="F4310" s="350"/>
      <c r="G4310" s="298"/>
      <c r="H4310" s="675"/>
      <c r="I4310" s="1508"/>
      <c r="J4310" s="1509"/>
      <c r="K4310" s="1509"/>
      <c r="L4310" s="1509"/>
      <c r="M4310" s="1509"/>
      <c r="N4310" s="1510"/>
    </row>
    <row r="4311" spans="1:14">
      <c r="A4311" s="1531"/>
      <c r="B4311" s="355" t="s">
        <v>4005</v>
      </c>
      <c r="C4311" s="350"/>
      <c r="D4311" s="903">
        <v>48.5</v>
      </c>
      <c r="E4311" s="903"/>
      <c r="F4311" s="350"/>
      <c r="G4311" s="298"/>
      <c r="H4311" s="675">
        <f>D4311</f>
        <v>48.5</v>
      </c>
      <c r="I4311" s="1508"/>
      <c r="J4311" s="1509"/>
      <c r="K4311" s="1509"/>
      <c r="L4311" s="1509"/>
      <c r="M4311" s="1509"/>
      <c r="N4311" s="1510"/>
    </row>
    <row r="4312" spans="1:14">
      <c r="A4312" s="1531"/>
      <c r="B4312" s="699"/>
      <c r="C4312" s="350"/>
      <c r="D4312" s="904"/>
      <c r="E4312" s="903"/>
      <c r="F4312" s="350"/>
      <c r="G4312" s="298"/>
      <c r="H4312" s="675"/>
      <c r="I4312" s="1508"/>
      <c r="J4312" s="1509"/>
      <c r="K4312" s="1509"/>
      <c r="L4312" s="1509"/>
      <c r="M4312" s="1509"/>
      <c r="N4312" s="1510"/>
    </row>
    <row r="4313" spans="1:14">
      <c r="A4313" s="1530"/>
      <c r="B4313" s="916"/>
      <c r="C4313" s="350"/>
      <c r="D4313" s="904"/>
      <c r="E4313" s="903"/>
      <c r="F4313" s="350"/>
      <c r="G4313" s="298"/>
      <c r="H4313" s="675"/>
      <c r="I4313" s="1508"/>
      <c r="J4313" s="1509"/>
      <c r="K4313" s="1509"/>
      <c r="L4313" s="1509"/>
      <c r="M4313" s="1509"/>
      <c r="N4313" s="1510"/>
    </row>
    <row r="4314" spans="1:14">
      <c r="A4314" s="1531"/>
      <c r="B4314" s="355"/>
      <c r="C4314" s="350"/>
      <c r="D4314" s="903"/>
      <c r="E4314" s="903"/>
      <c r="F4314" s="350"/>
      <c r="G4314" s="298"/>
      <c r="H4314" s="675">
        <f>D4314</f>
        <v>0</v>
      </c>
      <c r="I4314" s="1508"/>
      <c r="J4314" s="1509"/>
      <c r="K4314" s="1509"/>
      <c r="L4314" s="1509"/>
      <c r="M4314" s="1509"/>
      <c r="N4314" s="1510"/>
    </row>
    <row r="4315" spans="1:14">
      <c r="A4315" s="1531"/>
      <c r="B4315" s="699"/>
      <c r="C4315" s="350"/>
      <c r="D4315" s="904"/>
      <c r="E4315" s="903"/>
      <c r="F4315" s="350"/>
      <c r="G4315" s="298"/>
      <c r="H4315" s="675"/>
      <c r="I4315" s="1508"/>
      <c r="J4315" s="1509"/>
      <c r="K4315" s="1509"/>
      <c r="L4315" s="1509"/>
      <c r="M4315" s="1509"/>
      <c r="N4315" s="1510"/>
    </row>
    <row r="4316" spans="1:14">
      <c r="A4316" s="1542" t="s">
        <v>2218</v>
      </c>
      <c r="B4316" s="1542"/>
      <c r="C4316" s="1542"/>
      <c r="D4316" s="1542"/>
      <c r="E4316" s="1542"/>
      <c r="F4316" s="1542"/>
      <c r="G4316" s="1542"/>
      <c r="H4316" s="271">
        <f>SUM(H4310:H4315)</f>
        <v>48.5</v>
      </c>
      <c r="I4316" s="1508"/>
      <c r="J4316" s="1509"/>
      <c r="K4316" s="1509"/>
      <c r="L4316" s="1509"/>
      <c r="M4316" s="1509"/>
      <c r="N4316" s="1510"/>
    </row>
    <row r="4317" spans="1:14">
      <c r="A4317" s="1538" t="s">
        <v>2219</v>
      </c>
      <c r="B4317" s="1538"/>
      <c r="C4317" s="1538"/>
      <c r="D4317" s="1538"/>
      <c r="E4317" s="1538"/>
      <c r="F4317" s="1538"/>
      <c r="G4317" s="1538"/>
      <c r="H4317" s="271">
        <f>SUM(H4310:H4312)</f>
        <v>48.5</v>
      </c>
      <c r="I4317" s="1508"/>
      <c r="J4317" s="1509"/>
      <c r="K4317" s="1509"/>
      <c r="L4317" s="1509"/>
      <c r="M4317" s="1509"/>
      <c r="N4317" s="1510"/>
    </row>
    <row r="4318" spans="1:14" ht="13.9" customHeight="1" thickBot="1">
      <c r="A4318" s="1538" t="s">
        <v>2220</v>
      </c>
      <c r="B4318" s="1538"/>
      <c r="C4318" s="1538"/>
      <c r="D4318" s="1538"/>
      <c r="E4318" s="1538"/>
      <c r="F4318" s="1538"/>
      <c r="G4318" s="1538"/>
      <c r="H4318" s="216">
        <f>H4316-H4317</f>
        <v>0</v>
      </c>
      <c r="I4318" s="1511"/>
      <c r="J4318" s="1512"/>
      <c r="K4318" s="1512"/>
      <c r="L4318" s="1512"/>
      <c r="M4318" s="1512"/>
      <c r="N4318" s="1513"/>
    </row>
    <row r="4319" spans="1:14" ht="13.9" customHeight="1" thickBot="1">
      <c r="A4319" s="1115"/>
      <c r="B4319" s="889"/>
      <c r="C4319" s="640"/>
      <c r="D4319" s="971"/>
      <c r="E4319" s="1343"/>
      <c r="F4319" s="640"/>
      <c r="G4319" s="640"/>
      <c r="H4319" s="217"/>
      <c r="I4319" s="279"/>
      <c r="J4319" s="279"/>
      <c r="K4319" s="279"/>
      <c r="L4319" s="279"/>
      <c r="M4319" s="279"/>
      <c r="N4319" s="441"/>
    </row>
    <row r="4320" spans="1:14" ht="18.600000000000001" customHeight="1" thickBot="1">
      <c r="A4320" s="1085" t="s">
        <v>3411</v>
      </c>
      <c r="B4320" s="1494" t="s">
        <v>1087</v>
      </c>
      <c r="C4320" s="1495"/>
      <c r="D4320" s="1495"/>
      <c r="E4320" s="1495"/>
      <c r="F4320" s="1495"/>
      <c r="G4320" s="1495"/>
      <c r="H4320" s="1495"/>
      <c r="I4320" s="1495"/>
      <c r="J4320" s="1496"/>
      <c r="K4320" s="196"/>
      <c r="L4320" s="1497"/>
      <c r="M4320" s="1498"/>
      <c r="N4320" s="197"/>
    </row>
    <row r="4321" spans="1:14" ht="24" customHeight="1">
      <c r="A4321" s="1085" t="s">
        <v>3883</v>
      </c>
      <c r="B4321" s="1494" t="s">
        <v>1042</v>
      </c>
      <c r="C4321" s="1495"/>
      <c r="D4321" s="1495"/>
      <c r="E4321" s="1495"/>
      <c r="F4321" s="1495"/>
      <c r="G4321" s="1495"/>
      <c r="H4321" s="1495"/>
      <c r="I4321" s="1495"/>
      <c r="J4321" s="1496"/>
      <c r="K4321" s="196" t="s">
        <v>2222</v>
      </c>
      <c r="L4321" s="1497">
        <f>'27ª MEDIÇÃO '!F250</f>
        <v>28.05</v>
      </c>
      <c r="M4321" s="1498"/>
      <c r="N4321" s="197">
        <f>L4321-H4331</f>
        <v>0</v>
      </c>
    </row>
    <row r="4322" spans="1:14">
      <c r="A4322" s="1554"/>
      <c r="B4322" s="1541"/>
      <c r="C4322" s="366"/>
      <c r="D4322" s="367" t="s">
        <v>2183</v>
      </c>
      <c r="E4322" s="1320"/>
      <c r="F4322" s="367"/>
      <c r="G4322" s="367"/>
      <c r="H4322" s="1542" t="s">
        <v>476</v>
      </c>
      <c r="I4322" s="1505"/>
      <c r="J4322" s="1506"/>
      <c r="K4322" s="1506"/>
      <c r="L4322" s="1506"/>
      <c r="M4322" s="1506"/>
      <c r="N4322" s="1507"/>
    </row>
    <row r="4323" spans="1:14">
      <c r="A4323" s="1701"/>
      <c r="B4323" s="1694"/>
      <c r="C4323" s="416" t="s">
        <v>12</v>
      </c>
      <c r="D4323" s="417" t="s">
        <v>3393</v>
      </c>
      <c r="E4323" s="1323"/>
      <c r="F4323" s="417"/>
      <c r="G4323" s="418"/>
      <c r="H4323" s="1503"/>
      <c r="I4323" s="1508"/>
      <c r="J4323" s="1509"/>
      <c r="K4323" s="1509"/>
      <c r="L4323" s="1509"/>
      <c r="M4323" s="1509"/>
      <c r="N4323" s="1510"/>
    </row>
    <row r="4324" spans="1:14">
      <c r="A4324" s="1530" t="s">
        <v>4003</v>
      </c>
      <c r="B4324" s="916" t="s">
        <v>2727</v>
      </c>
      <c r="C4324" s="350"/>
      <c r="D4324" s="904"/>
      <c r="E4324" s="903"/>
      <c r="F4324" s="350"/>
      <c r="G4324" s="298"/>
      <c r="H4324" s="675"/>
      <c r="I4324" s="1508"/>
      <c r="J4324" s="1509"/>
      <c r="K4324" s="1509"/>
      <c r="L4324" s="1509"/>
      <c r="M4324" s="1509"/>
      <c r="N4324" s="1510"/>
    </row>
    <row r="4325" spans="1:14">
      <c r="A4325" s="1531"/>
      <c r="B4325" s="699" t="s">
        <v>4006</v>
      </c>
      <c r="C4325" s="350"/>
      <c r="D4325" s="903">
        <v>0.31</v>
      </c>
      <c r="E4325" s="903"/>
      <c r="F4325" s="350"/>
      <c r="G4325" s="298"/>
      <c r="H4325" s="675">
        <f>D4325</f>
        <v>0.31</v>
      </c>
      <c r="I4325" s="1508"/>
      <c r="J4325" s="1509"/>
      <c r="K4325" s="1509"/>
      <c r="L4325" s="1509"/>
      <c r="M4325" s="1509"/>
      <c r="N4325" s="1510"/>
    </row>
    <row r="4326" spans="1:14">
      <c r="A4326" s="1531"/>
      <c r="B4326" s="699" t="s">
        <v>3879</v>
      </c>
      <c r="C4326" s="350"/>
      <c r="D4326" s="903">
        <v>27.74</v>
      </c>
      <c r="E4326" s="903"/>
      <c r="F4326" s="350"/>
      <c r="G4326" s="298"/>
      <c r="H4326" s="675">
        <f>D4326</f>
        <v>27.74</v>
      </c>
      <c r="I4326" s="1508"/>
      <c r="J4326" s="1509"/>
      <c r="K4326" s="1509"/>
      <c r="L4326" s="1509"/>
      <c r="M4326" s="1509"/>
      <c r="N4326" s="1510"/>
    </row>
    <row r="4327" spans="1:14">
      <c r="A4327" s="1531"/>
      <c r="B4327" s="699"/>
      <c r="C4327" s="350"/>
      <c r="D4327" s="904"/>
      <c r="E4327" s="903"/>
      <c r="F4327" s="350"/>
      <c r="G4327" s="298"/>
      <c r="H4327" s="675"/>
      <c r="I4327" s="1508"/>
      <c r="J4327" s="1509"/>
      <c r="K4327" s="1509"/>
      <c r="L4327" s="1509"/>
      <c r="M4327" s="1509"/>
      <c r="N4327" s="1510"/>
    </row>
    <row r="4328" spans="1:14">
      <c r="A4328" s="1530"/>
      <c r="B4328" s="916"/>
      <c r="C4328" s="350"/>
      <c r="D4328" s="904"/>
      <c r="E4328" s="903"/>
      <c r="F4328" s="350"/>
      <c r="G4328" s="298"/>
      <c r="H4328" s="675"/>
      <c r="I4328" s="1508"/>
      <c r="J4328" s="1509"/>
      <c r="K4328" s="1509"/>
      <c r="L4328" s="1509"/>
      <c r="M4328" s="1509"/>
      <c r="N4328" s="1510"/>
    </row>
    <row r="4329" spans="1:14">
      <c r="A4329" s="1531"/>
      <c r="B4329" s="355"/>
      <c r="C4329" s="350"/>
      <c r="D4329" s="903"/>
      <c r="E4329" s="903"/>
      <c r="F4329" s="350"/>
      <c r="G4329" s="298"/>
      <c r="H4329" s="675">
        <f>D4329</f>
        <v>0</v>
      </c>
      <c r="I4329" s="1508"/>
      <c r="J4329" s="1509"/>
      <c r="K4329" s="1509"/>
      <c r="L4329" s="1509"/>
      <c r="M4329" s="1509"/>
      <c r="N4329" s="1510"/>
    </row>
    <row r="4330" spans="1:14">
      <c r="A4330" s="1531"/>
      <c r="B4330" s="699"/>
      <c r="C4330" s="350"/>
      <c r="D4330" s="904"/>
      <c r="E4330" s="903"/>
      <c r="F4330" s="350"/>
      <c r="G4330" s="298"/>
      <c r="H4330" s="675"/>
      <c r="I4330" s="1508"/>
      <c r="J4330" s="1509"/>
      <c r="K4330" s="1509"/>
      <c r="L4330" s="1509"/>
      <c r="M4330" s="1509"/>
      <c r="N4330" s="1510"/>
    </row>
    <row r="4331" spans="1:14">
      <c r="A4331" s="1542" t="s">
        <v>2218</v>
      </c>
      <c r="B4331" s="1542"/>
      <c r="C4331" s="1542"/>
      <c r="D4331" s="1542"/>
      <c r="E4331" s="1542"/>
      <c r="F4331" s="1542"/>
      <c r="G4331" s="1542"/>
      <c r="H4331" s="271">
        <f>SUM(H4324:H4330)</f>
        <v>28.049999999999997</v>
      </c>
      <c r="I4331" s="1508"/>
      <c r="J4331" s="1509"/>
      <c r="K4331" s="1509"/>
      <c r="L4331" s="1509"/>
      <c r="M4331" s="1509"/>
      <c r="N4331" s="1510"/>
    </row>
    <row r="4332" spans="1:14">
      <c r="A4332" s="1538" t="s">
        <v>2219</v>
      </c>
      <c r="B4332" s="1538"/>
      <c r="C4332" s="1538"/>
      <c r="D4332" s="1538"/>
      <c r="E4332" s="1538"/>
      <c r="F4332" s="1538"/>
      <c r="G4332" s="1538"/>
      <c r="H4332" s="271">
        <f>SUM(H4324)</f>
        <v>0</v>
      </c>
      <c r="I4332" s="1508"/>
      <c r="J4332" s="1509"/>
      <c r="K4332" s="1509"/>
      <c r="L4332" s="1509"/>
      <c r="M4332" s="1509"/>
      <c r="N4332" s="1510"/>
    </row>
    <row r="4333" spans="1:14" ht="13.9" customHeight="1" thickBot="1">
      <c r="A4333" s="1538" t="s">
        <v>2220</v>
      </c>
      <c r="B4333" s="1538"/>
      <c r="C4333" s="1538"/>
      <c r="D4333" s="1538"/>
      <c r="E4333" s="1538"/>
      <c r="F4333" s="1538"/>
      <c r="G4333" s="1538"/>
      <c r="H4333" s="216">
        <f>H4331-H4332</f>
        <v>28.049999999999997</v>
      </c>
      <c r="I4333" s="1511"/>
      <c r="J4333" s="1512"/>
      <c r="K4333" s="1512"/>
      <c r="L4333" s="1512"/>
      <c r="M4333" s="1512"/>
      <c r="N4333" s="1513"/>
    </row>
    <row r="4334" spans="1:14" ht="13.9" customHeight="1" thickBot="1">
      <c r="A4334" s="1115"/>
      <c r="B4334" s="889"/>
      <c r="C4334" s="640"/>
      <c r="D4334" s="971"/>
      <c r="E4334" s="1343"/>
      <c r="F4334" s="640"/>
      <c r="G4334" s="640"/>
      <c r="H4334" s="217"/>
      <c r="I4334" s="279"/>
      <c r="J4334" s="279"/>
      <c r="K4334" s="279"/>
      <c r="L4334" s="279"/>
      <c r="M4334" s="279"/>
      <c r="N4334" s="441"/>
    </row>
    <row r="4335" spans="1:14" ht="24" customHeight="1">
      <c r="A4335" s="1085" t="s">
        <v>3884</v>
      </c>
      <c r="B4335" s="1494" t="s">
        <v>1091</v>
      </c>
      <c r="C4335" s="1495"/>
      <c r="D4335" s="1495"/>
      <c r="E4335" s="1495"/>
      <c r="F4335" s="1495"/>
      <c r="G4335" s="1495"/>
      <c r="H4335" s="1495"/>
      <c r="I4335" s="1495"/>
      <c r="J4335" s="1496"/>
      <c r="K4335" s="196" t="s">
        <v>2222</v>
      </c>
      <c r="L4335" s="1497">
        <f>'27ª MEDIÇÃO '!F251</f>
        <v>155.18</v>
      </c>
      <c r="M4335" s="1498"/>
      <c r="N4335" s="197">
        <f>L4335-H4341</f>
        <v>0</v>
      </c>
    </row>
    <row r="4336" spans="1:14">
      <c r="A4336" s="1554"/>
      <c r="B4336" s="1541"/>
      <c r="C4336" s="366"/>
      <c r="D4336" s="367" t="s">
        <v>2183</v>
      </c>
      <c r="E4336" s="1320"/>
      <c r="F4336" s="367"/>
      <c r="G4336" s="367"/>
      <c r="H4336" s="1542" t="s">
        <v>476</v>
      </c>
      <c r="I4336" s="1505"/>
      <c r="J4336" s="1506"/>
      <c r="K4336" s="1506"/>
      <c r="L4336" s="1506"/>
      <c r="M4336" s="1506"/>
      <c r="N4336" s="1507"/>
    </row>
    <row r="4337" spans="1:14">
      <c r="A4337" s="1701"/>
      <c r="B4337" s="1694"/>
      <c r="C4337" s="416" t="s">
        <v>12</v>
      </c>
      <c r="D4337" s="417" t="s">
        <v>3393</v>
      </c>
      <c r="E4337" s="1323"/>
      <c r="F4337" s="417"/>
      <c r="G4337" s="418"/>
      <c r="H4337" s="1503"/>
      <c r="I4337" s="1508"/>
      <c r="J4337" s="1509"/>
      <c r="K4337" s="1509"/>
      <c r="L4337" s="1509"/>
      <c r="M4337" s="1509"/>
      <c r="N4337" s="1510"/>
    </row>
    <row r="4338" spans="1:14">
      <c r="A4338" s="1198" t="s">
        <v>3850</v>
      </c>
      <c r="B4338" s="916" t="s">
        <v>3879</v>
      </c>
      <c r="C4338" s="350">
        <v>69</v>
      </c>
      <c r="D4338" s="904"/>
      <c r="E4338" s="903"/>
      <c r="F4338" s="350"/>
      <c r="G4338" s="298"/>
      <c r="H4338" s="675">
        <f>C4338</f>
        <v>69</v>
      </c>
      <c r="I4338" s="1508"/>
      <c r="J4338" s="1509"/>
      <c r="K4338" s="1509"/>
      <c r="L4338" s="1509"/>
      <c r="M4338" s="1509"/>
      <c r="N4338" s="1510"/>
    </row>
    <row r="4339" spans="1:14">
      <c r="A4339" s="1140" t="s">
        <v>3937</v>
      </c>
      <c r="B4339" s="916" t="s">
        <v>3879</v>
      </c>
      <c r="C4339" s="350">
        <v>9.1300000000000008</v>
      </c>
      <c r="D4339" s="903"/>
      <c r="E4339" s="903"/>
      <c r="F4339" s="350"/>
      <c r="G4339" s="298"/>
      <c r="H4339" s="675">
        <f>C4339</f>
        <v>9.1300000000000008</v>
      </c>
      <c r="I4339" s="1508"/>
      <c r="J4339" s="1509"/>
      <c r="K4339" s="1509"/>
      <c r="L4339" s="1509"/>
      <c r="M4339" s="1509"/>
      <c r="N4339" s="1510"/>
    </row>
    <row r="4340" spans="1:14">
      <c r="A4340" s="1140" t="s">
        <v>3981</v>
      </c>
      <c r="B4340" s="916" t="s">
        <v>3879</v>
      </c>
      <c r="C4340" s="350">
        <v>77.05</v>
      </c>
      <c r="D4340" s="904"/>
      <c r="E4340" s="903"/>
      <c r="F4340" s="350"/>
      <c r="G4340" s="298"/>
      <c r="H4340" s="675">
        <v>77.05</v>
      </c>
      <c r="I4340" s="1508"/>
      <c r="J4340" s="1509"/>
      <c r="K4340" s="1509"/>
      <c r="L4340" s="1509"/>
      <c r="M4340" s="1509"/>
      <c r="N4340" s="1510"/>
    </row>
    <row r="4341" spans="1:14">
      <c r="A4341" s="1542" t="s">
        <v>2218</v>
      </c>
      <c r="B4341" s="1542"/>
      <c r="C4341" s="1542"/>
      <c r="D4341" s="1542"/>
      <c r="E4341" s="1542"/>
      <c r="F4341" s="1542"/>
      <c r="G4341" s="1542"/>
      <c r="H4341" s="271">
        <f>SUM(H4338:H4340)</f>
        <v>155.18</v>
      </c>
      <c r="I4341" s="1508"/>
      <c r="J4341" s="1509"/>
      <c r="K4341" s="1509"/>
      <c r="L4341" s="1509"/>
      <c r="M4341" s="1509"/>
      <c r="N4341" s="1510"/>
    </row>
    <row r="4342" spans="1:14">
      <c r="A4342" s="1538" t="s">
        <v>2219</v>
      </c>
      <c r="B4342" s="1538"/>
      <c r="C4342" s="1538"/>
      <c r="D4342" s="1538"/>
      <c r="E4342" s="1538"/>
      <c r="F4342" s="1538"/>
      <c r="G4342" s="1538"/>
      <c r="H4342" s="271">
        <f>SUM(H4338:H4340)</f>
        <v>155.18</v>
      </c>
      <c r="I4342" s="1508"/>
      <c r="J4342" s="1509"/>
      <c r="K4342" s="1509"/>
      <c r="L4342" s="1509"/>
      <c r="M4342" s="1509"/>
      <c r="N4342" s="1510"/>
    </row>
    <row r="4343" spans="1:14" ht="13.9" customHeight="1" thickBot="1">
      <c r="A4343" s="1538" t="s">
        <v>2220</v>
      </c>
      <c r="B4343" s="1538"/>
      <c r="C4343" s="1538"/>
      <c r="D4343" s="1538"/>
      <c r="E4343" s="1538"/>
      <c r="F4343" s="1538"/>
      <c r="G4343" s="1538"/>
      <c r="H4343" s="216">
        <f>H4341-H4342</f>
        <v>0</v>
      </c>
      <c r="I4343" s="1511"/>
      <c r="J4343" s="1512"/>
      <c r="K4343" s="1512"/>
      <c r="L4343" s="1512"/>
      <c r="M4343" s="1512"/>
      <c r="N4343" s="1513"/>
    </row>
    <row r="4344" spans="1:14" ht="13.9" customHeight="1" thickBot="1">
      <c r="A4344" s="1115"/>
      <c r="B4344" s="889"/>
      <c r="C4344" s="640"/>
      <c r="D4344" s="971"/>
      <c r="E4344" s="1343"/>
      <c r="F4344" s="640"/>
      <c r="G4344" s="640"/>
      <c r="H4344" s="217"/>
      <c r="I4344" s="279"/>
      <c r="J4344" s="279"/>
      <c r="K4344" s="279"/>
      <c r="L4344" s="279"/>
      <c r="M4344" s="279"/>
      <c r="N4344" s="441"/>
    </row>
    <row r="4345" spans="1:14" ht="31.9" customHeight="1">
      <c r="A4345" s="1085" t="s">
        <v>3412</v>
      </c>
      <c r="B4345" s="1494" t="s">
        <v>455</v>
      </c>
      <c r="C4345" s="1495"/>
      <c r="D4345" s="1495"/>
      <c r="E4345" s="1495"/>
      <c r="F4345" s="1495"/>
      <c r="G4345" s="1495"/>
      <c r="H4345" s="1495"/>
      <c r="I4345" s="1495"/>
      <c r="J4345" s="1496"/>
      <c r="K4345" s="196" t="s">
        <v>2222</v>
      </c>
      <c r="L4345" s="1497">
        <f>'27ª MEDIÇÃO '!F252</f>
        <v>256.72000000000003</v>
      </c>
      <c r="M4345" s="1498"/>
      <c r="N4345" s="197">
        <f>L4345-H4356</f>
        <v>0</v>
      </c>
    </row>
    <row r="4346" spans="1:14" ht="15" customHeight="1">
      <c r="A4346" s="1554"/>
      <c r="B4346" s="1541"/>
      <c r="C4346" s="366"/>
      <c r="D4346" s="367" t="s">
        <v>2183</v>
      </c>
      <c r="E4346" s="1320"/>
      <c r="F4346" s="367"/>
      <c r="G4346" s="367"/>
      <c r="H4346" s="1542" t="s">
        <v>476</v>
      </c>
      <c r="I4346" s="1505"/>
      <c r="J4346" s="1506"/>
      <c r="K4346" s="1506"/>
      <c r="L4346" s="1506"/>
      <c r="M4346" s="1506"/>
      <c r="N4346" s="1507"/>
    </row>
    <row r="4347" spans="1:14" ht="15" customHeight="1">
      <c r="A4347" s="1701"/>
      <c r="B4347" s="1694"/>
      <c r="C4347" s="416" t="s">
        <v>12</v>
      </c>
      <c r="D4347" s="417" t="s">
        <v>3393</v>
      </c>
      <c r="E4347" s="1323"/>
      <c r="F4347" s="417"/>
      <c r="G4347" s="418"/>
      <c r="H4347" s="1503"/>
      <c r="I4347" s="1508"/>
      <c r="J4347" s="1509"/>
      <c r="K4347" s="1509"/>
      <c r="L4347" s="1509"/>
      <c r="M4347" s="1509"/>
      <c r="N4347" s="1510"/>
    </row>
    <row r="4348" spans="1:14">
      <c r="A4348" s="1530" t="s">
        <v>3364</v>
      </c>
      <c r="B4348" s="916" t="s">
        <v>2727</v>
      </c>
      <c r="C4348" s="350"/>
      <c r="D4348" s="904"/>
      <c r="E4348" s="903"/>
      <c r="F4348" s="350"/>
      <c r="G4348" s="298"/>
      <c r="H4348" s="675"/>
      <c r="I4348" s="1508"/>
      <c r="J4348" s="1509"/>
      <c r="K4348" s="1509"/>
      <c r="L4348" s="1509"/>
      <c r="M4348" s="1509"/>
      <c r="N4348" s="1510"/>
    </row>
    <row r="4349" spans="1:14" ht="15" customHeight="1">
      <c r="A4349" s="1531"/>
      <c r="B4349" s="355" t="s">
        <v>3413</v>
      </c>
      <c r="C4349" s="350"/>
      <c r="D4349" s="903">
        <v>31.32</v>
      </c>
      <c r="E4349" s="903"/>
      <c r="F4349" s="350"/>
      <c r="G4349" s="298"/>
      <c r="H4349" s="675">
        <f>D4349</f>
        <v>31.32</v>
      </c>
      <c r="I4349" s="1508"/>
      <c r="J4349" s="1509"/>
      <c r="K4349" s="1509"/>
      <c r="L4349" s="1509"/>
      <c r="M4349" s="1509"/>
      <c r="N4349" s="1510"/>
    </row>
    <row r="4350" spans="1:14" ht="15" customHeight="1">
      <c r="A4350" s="1531"/>
      <c r="B4350" s="699"/>
      <c r="C4350" s="350"/>
      <c r="D4350" s="904"/>
      <c r="E4350" s="903"/>
      <c r="F4350" s="350"/>
      <c r="G4350" s="298"/>
      <c r="H4350" s="675"/>
      <c r="I4350" s="1508"/>
      <c r="J4350" s="1509"/>
      <c r="K4350" s="1509"/>
      <c r="L4350" s="1509"/>
      <c r="M4350" s="1509"/>
      <c r="N4350" s="1510"/>
    </row>
    <row r="4351" spans="1:14" ht="15" customHeight="1">
      <c r="A4351" s="1530" t="s">
        <v>3428</v>
      </c>
      <c r="B4351" s="916" t="s">
        <v>2727</v>
      </c>
      <c r="C4351" s="350"/>
      <c r="D4351" s="904"/>
      <c r="E4351" s="903"/>
      <c r="F4351" s="350"/>
      <c r="G4351" s="298"/>
      <c r="H4351" s="675"/>
      <c r="I4351" s="1508"/>
      <c r="J4351" s="1509"/>
      <c r="K4351" s="1509"/>
      <c r="L4351" s="1509"/>
      <c r="M4351" s="1509"/>
      <c r="N4351" s="1510"/>
    </row>
    <row r="4352" spans="1:14" ht="15" customHeight="1">
      <c r="A4352" s="1531"/>
      <c r="B4352" s="355" t="s">
        <v>3434</v>
      </c>
      <c r="C4352" s="350"/>
      <c r="D4352" s="903">
        <v>53.91</v>
      </c>
      <c r="E4352" s="903"/>
      <c r="F4352" s="350"/>
      <c r="G4352" s="298"/>
      <c r="H4352" s="675">
        <f>D4352</f>
        <v>53.91</v>
      </c>
      <c r="I4352" s="1508"/>
      <c r="J4352" s="1509"/>
      <c r="K4352" s="1509"/>
      <c r="L4352" s="1509"/>
      <c r="M4352" s="1509"/>
      <c r="N4352" s="1510"/>
    </row>
    <row r="4353" spans="1:14" ht="15" customHeight="1">
      <c r="A4353" s="1140" t="s">
        <v>3892</v>
      </c>
      <c r="B4353" s="777" t="s">
        <v>3901</v>
      </c>
      <c r="C4353" s="350"/>
      <c r="D4353" s="903">
        <v>171.49</v>
      </c>
      <c r="E4353" s="903"/>
      <c r="F4353" s="350"/>
      <c r="G4353" s="298"/>
      <c r="H4353" s="675">
        <f>D4353</f>
        <v>171.49</v>
      </c>
      <c r="I4353" s="1508"/>
      <c r="J4353" s="1509"/>
      <c r="K4353" s="1509"/>
      <c r="L4353" s="1509"/>
      <c r="M4353" s="1509"/>
      <c r="N4353" s="1510"/>
    </row>
    <row r="4354" spans="1:14" ht="15" customHeight="1">
      <c r="A4354" s="1140"/>
      <c r="B4354" s="777"/>
      <c r="C4354" s="350"/>
      <c r="D4354" s="903"/>
      <c r="E4354" s="903"/>
      <c r="F4354" s="350"/>
      <c r="G4354" s="298"/>
      <c r="H4354" s="675"/>
      <c r="I4354" s="1508"/>
      <c r="J4354" s="1509"/>
      <c r="K4354" s="1509"/>
      <c r="L4354" s="1509"/>
      <c r="M4354" s="1509"/>
      <c r="N4354" s="1510"/>
    </row>
    <row r="4355" spans="1:14" ht="15" customHeight="1">
      <c r="A4355" s="1140"/>
      <c r="B4355" s="699"/>
      <c r="C4355" s="350"/>
      <c r="D4355" s="904"/>
      <c r="E4355" s="903"/>
      <c r="F4355" s="350"/>
      <c r="G4355" s="298"/>
      <c r="H4355" s="675"/>
      <c r="I4355" s="1508"/>
      <c r="J4355" s="1509"/>
      <c r="K4355" s="1509"/>
      <c r="L4355" s="1509"/>
      <c r="M4355" s="1509"/>
      <c r="N4355" s="1510"/>
    </row>
    <row r="4356" spans="1:14" ht="38.450000000000003" customHeight="1">
      <c r="A4356" s="1542" t="s">
        <v>2218</v>
      </c>
      <c r="B4356" s="1542"/>
      <c r="C4356" s="1542"/>
      <c r="D4356" s="1542"/>
      <c r="E4356" s="1542"/>
      <c r="F4356" s="1542"/>
      <c r="G4356" s="1542"/>
      <c r="H4356" s="271">
        <f>SUM(H4348:H4355)</f>
        <v>256.72000000000003</v>
      </c>
      <c r="I4356" s="1508"/>
      <c r="J4356" s="1509"/>
      <c r="K4356" s="1509"/>
      <c r="L4356" s="1509"/>
      <c r="M4356" s="1509"/>
      <c r="N4356" s="1510"/>
    </row>
    <row r="4357" spans="1:14" ht="15.75" customHeight="1">
      <c r="A4357" s="1538" t="s">
        <v>2219</v>
      </c>
      <c r="B4357" s="1538"/>
      <c r="C4357" s="1538"/>
      <c r="D4357" s="1538"/>
      <c r="E4357" s="1538"/>
      <c r="F4357" s="1538"/>
      <c r="G4357" s="1538"/>
      <c r="H4357" s="271">
        <f>SUM(H4348:H4350)</f>
        <v>31.32</v>
      </c>
      <c r="I4357" s="1508"/>
      <c r="J4357" s="1509"/>
      <c r="K4357" s="1509"/>
      <c r="L4357" s="1509"/>
      <c r="M4357" s="1509"/>
      <c r="N4357" s="1510"/>
    </row>
    <row r="4358" spans="1:14" ht="15" customHeight="1" thickBot="1">
      <c r="A4358" s="1538" t="s">
        <v>2220</v>
      </c>
      <c r="B4358" s="1538"/>
      <c r="C4358" s="1538"/>
      <c r="D4358" s="1538"/>
      <c r="E4358" s="1538"/>
      <c r="F4358" s="1538"/>
      <c r="G4358" s="1538"/>
      <c r="H4358" s="216">
        <f>H4356-H4357</f>
        <v>225.40000000000003</v>
      </c>
      <c r="I4358" s="1511"/>
      <c r="J4358" s="1512"/>
      <c r="K4358" s="1512"/>
      <c r="L4358" s="1512"/>
      <c r="M4358" s="1512"/>
      <c r="N4358" s="1513"/>
    </row>
    <row r="4359" spans="1:14" ht="15.75" thickBot="1">
      <c r="A4359" s="1115"/>
      <c r="B4359" s="889"/>
      <c r="C4359" s="640"/>
      <c r="D4359" s="971"/>
      <c r="E4359" s="1343"/>
      <c r="F4359" s="640"/>
      <c r="G4359" s="640"/>
      <c r="H4359" s="217"/>
      <c r="I4359" s="279"/>
      <c r="J4359" s="279"/>
      <c r="K4359" s="279"/>
      <c r="L4359" s="279"/>
      <c r="M4359" s="279"/>
      <c r="N4359" s="441"/>
    </row>
    <row r="4360" spans="1:14" ht="44.45" customHeight="1" thickBot="1">
      <c r="A4360" s="1085" t="s">
        <v>3414</v>
      </c>
      <c r="B4360" s="1494" t="s">
        <v>3415</v>
      </c>
      <c r="C4360" s="1495"/>
      <c r="D4360" s="1495"/>
      <c r="E4360" s="1495"/>
      <c r="F4360" s="1495"/>
      <c r="G4360" s="1495"/>
      <c r="H4360" s="1495"/>
      <c r="I4360" s="1495"/>
      <c r="J4360" s="1496"/>
      <c r="K4360" s="196"/>
      <c r="L4360" s="1497"/>
      <c r="M4360" s="1498"/>
      <c r="N4360" s="197"/>
    </row>
    <row r="4361" spans="1:14" ht="31.9" customHeight="1">
      <c r="A4361" s="1085" t="s">
        <v>4093</v>
      </c>
      <c r="B4361" s="1494" t="str">
        <f>'27ª MEDIÇÃO '!C254</f>
        <v>Tratamento de junta de dilatação, com tarugo de polietileno e 0,5x1,0cm de aplicação de mastique elástico Sikaflex 1A, conforme detalhe de projeto</v>
      </c>
      <c r="C4361" s="1495"/>
      <c r="D4361" s="1495"/>
      <c r="E4361" s="1495"/>
      <c r="F4361" s="1495"/>
      <c r="G4361" s="1495"/>
      <c r="H4361" s="1495"/>
      <c r="I4361" s="1495"/>
      <c r="J4361" s="1496"/>
      <c r="K4361" s="196" t="s">
        <v>2222</v>
      </c>
      <c r="L4361" s="1497">
        <f>'27ª MEDIÇÃO '!F254</f>
        <v>3.3</v>
      </c>
      <c r="M4361" s="1498"/>
      <c r="N4361" s="197">
        <f>L4361-H4369</f>
        <v>0</v>
      </c>
    </row>
    <row r="4362" spans="1:14" ht="15" customHeight="1">
      <c r="A4362" s="1554"/>
      <c r="B4362" s="1541"/>
      <c r="C4362" s="366"/>
      <c r="D4362" s="367" t="s">
        <v>2183</v>
      </c>
      <c r="E4362" s="1320"/>
      <c r="F4362" s="367"/>
      <c r="G4362" s="367"/>
      <c r="H4362" s="1542" t="s">
        <v>476</v>
      </c>
      <c r="I4362" s="1505"/>
      <c r="J4362" s="1506"/>
      <c r="K4362" s="1506"/>
      <c r="L4362" s="1506"/>
      <c r="M4362" s="1506"/>
      <c r="N4362" s="1507"/>
    </row>
    <row r="4363" spans="1:14" ht="15" customHeight="1">
      <c r="A4363" s="1701"/>
      <c r="B4363" s="1694"/>
      <c r="C4363" s="416" t="s">
        <v>4097</v>
      </c>
      <c r="D4363" s="1323" t="s">
        <v>2945</v>
      </c>
      <c r="E4363" s="1323"/>
      <c r="F4363" s="417"/>
      <c r="G4363" s="418"/>
      <c r="H4363" s="1503"/>
      <c r="I4363" s="1508"/>
      <c r="J4363" s="1509"/>
      <c r="K4363" s="1509"/>
      <c r="L4363" s="1509"/>
      <c r="M4363" s="1509"/>
      <c r="N4363" s="1510"/>
    </row>
    <row r="4364" spans="1:14">
      <c r="A4364" s="1530" t="s">
        <v>4080</v>
      </c>
      <c r="B4364" s="916" t="s">
        <v>2727</v>
      </c>
      <c r="C4364" s="350"/>
      <c r="D4364" s="904"/>
      <c r="E4364" s="903"/>
      <c r="F4364" s="350"/>
      <c r="G4364" s="298"/>
      <c r="H4364" s="675"/>
      <c r="I4364" s="1508"/>
      <c r="J4364" s="1509"/>
      <c r="K4364" s="1509"/>
      <c r="L4364" s="1509"/>
      <c r="M4364" s="1509"/>
      <c r="N4364" s="1510"/>
    </row>
    <row r="4365" spans="1:14" ht="48.75" customHeight="1">
      <c r="A4365" s="1531"/>
      <c r="B4365" s="1389" t="s">
        <v>4094</v>
      </c>
      <c r="C4365" s="350">
        <v>0.2</v>
      </c>
      <c r="D4365" s="903">
        <v>0.4</v>
      </c>
      <c r="E4365" s="903"/>
      <c r="F4365" s="350"/>
      <c r="G4365" s="298"/>
      <c r="H4365" s="675">
        <v>1</v>
      </c>
      <c r="I4365" s="1508"/>
      <c r="J4365" s="1509"/>
      <c r="K4365" s="1509"/>
      <c r="L4365" s="1509"/>
      <c r="M4365" s="1509"/>
      <c r="N4365" s="1510"/>
    </row>
    <row r="4366" spans="1:14" ht="25.5" customHeight="1">
      <c r="A4366" s="1531"/>
      <c r="B4366" s="1390" t="s">
        <v>4095</v>
      </c>
      <c r="C4366" s="350">
        <v>0.2</v>
      </c>
      <c r="D4366" s="903">
        <v>0.4</v>
      </c>
      <c r="E4366" s="903"/>
      <c r="F4366" s="350"/>
      <c r="G4366" s="298"/>
      <c r="H4366" s="675">
        <v>1</v>
      </c>
      <c r="I4366" s="1508"/>
      <c r="J4366" s="1509"/>
      <c r="K4366" s="1509"/>
      <c r="L4366" s="1509"/>
      <c r="M4366" s="1509"/>
      <c r="N4366" s="1510"/>
    </row>
    <row r="4367" spans="1:14" ht="33" customHeight="1">
      <c r="A4367" s="1531"/>
      <c r="B4367" s="777" t="s">
        <v>4096</v>
      </c>
      <c r="C4367" s="350">
        <v>0.3</v>
      </c>
      <c r="D4367" s="903">
        <v>0.5</v>
      </c>
      <c r="E4367" s="903"/>
      <c r="F4367" s="350"/>
      <c r="G4367" s="298"/>
      <c r="H4367" s="675">
        <v>1.3</v>
      </c>
      <c r="I4367" s="1508"/>
      <c r="J4367" s="1509"/>
      <c r="K4367" s="1509"/>
      <c r="L4367" s="1509"/>
      <c r="M4367" s="1509"/>
      <c r="N4367" s="1510"/>
    </row>
    <row r="4368" spans="1:14" ht="15" customHeight="1">
      <c r="A4368" s="1702"/>
      <c r="B4368" s="699"/>
      <c r="C4368" s="350"/>
      <c r="D4368" s="904"/>
      <c r="E4368" s="903"/>
      <c r="F4368" s="350"/>
      <c r="G4368" s="298"/>
      <c r="H4368" s="675"/>
      <c r="I4368" s="1508"/>
      <c r="J4368" s="1509"/>
      <c r="K4368" s="1509"/>
      <c r="L4368" s="1509"/>
      <c r="M4368" s="1509"/>
      <c r="N4368" s="1510"/>
    </row>
    <row r="4369" spans="1:14" ht="38.450000000000003" customHeight="1">
      <c r="A4369" s="1542" t="s">
        <v>2218</v>
      </c>
      <c r="B4369" s="1542"/>
      <c r="C4369" s="1542"/>
      <c r="D4369" s="1542"/>
      <c r="E4369" s="1542"/>
      <c r="F4369" s="1542"/>
      <c r="G4369" s="1542"/>
      <c r="H4369" s="271">
        <f>SUM(H4364:H4368)</f>
        <v>3.3</v>
      </c>
      <c r="I4369" s="1508"/>
      <c r="J4369" s="1509"/>
      <c r="K4369" s="1509"/>
      <c r="L4369" s="1509"/>
      <c r="M4369" s="1509"/>
      <c r="N4369" s="1510"/>
    </row>
    <row r="4370" spans="1:14" ht="15.75" customHeight="1">
      <c r="A4370" s="1538" t="s">
        <v>2219</v>
      </c>
      <c r="B4370" s="1538"/>
      <c r="C4370" s="1538"/>
      <c r="D4370" s="1538"/>
      <c r="E4370" s="1538"/>
      <c r="F4370" s="1538"/>
      <c r="G4370" s="1538"/>
      <c r="H4370" s="271">
        <f>SUM(H4364)</f>
        <v>0</v>
      </c>
      <c r="I4370" s="1508"/>
      <c r="J4370" s="1509"/>
      <c r="K4370" s="1509"/>
      <c r="L4370" s="1509"/>
      <c r="M4370" s="1509"/>
      <c r="N4370" s="1510"/>
    </row>
    <row r="4371" spans="1:14" ht="15" customHeight="1" thickBot="1">
      <c r="A4371" s="1538" t="s">
        <v>2220</v>
      </c>
      <c r="B4371" s="1538"/>
      <c r="C4371" s="1538"/>
      <c r="D4371" s="1538"/>
      <c r="E4371" s="1538"/>
      <c r="F4371" s="1538"/>
      <c r="G4371" s="1538"/>
      <c r="H4371" s="216">
        <f>H4369-H4370</f>
        <v>3.3</v>
      </c>
      <c r="I4371" s="1511"/>
      <c r="J4371" s="1512"/>
      <c r="K4371" s="1512"/>
      <c r="L4371" s="1512"/>
      <c r="M4371" s="1512"/>
      <c r="N4371" s="1513"/>
    </row>
    <row r="4372" spans="1:14" ht="15.75" thickBot="1">
      <c r="A4372" s="1115"/>
      <c r="B4372" s="889"/>
      <c r="C4372" s="640"/>
      <c r="D4372" s="971"/>
      <c r="E4372" s="1343"/>
      <c r="F4372" s="640"/>
      <c r="G4372" s="640"/>
      <c r="H4372" s="217"/>
      <c r="I4372" s="279"/>
      <c r="J4372" s="279"/>
      <c r="K4372" s="279"/>
      <c r="L4372" s="279"/>
      <c r="M4372" s="279"/>
      <c r="N4372" s="441"/>
    </row>
    <row r="4373" spans="1:14">
      <c r="A4373" s="1085" t="s">
        <v>2916</v>
      </c>
      <c r="B4373" s="1494" t="s">
        <v>1100</v>
      </c>
      <c r="C4373" s="1495"/>
      <c r="D4373" s="1495"/>
      <c r="E4373" s="1495"/>
      <c r="F4373" s="1495"/>
      <c r="G4373" s="1495"/>
      <c r="H4373" s="1495"/>
      <c r="I4373" s="1495"/>
      <c r="J4373" s="1496"/>
      <c r="K4373" s="196" t="s">
        <v>2222</v>
      </c>
      <c r="L4373" s="1497">
        <f>'27ª MEDIÇÃO '!F255</f>
        <v>59.82</v>
      </c>
      <c r="M4373" s="1498"/>
      <c r="N4373" s="197">
        <f>L4373-H4390</f>
        <v>-1.2999999999998124E-2</v>
      </c>
    </row>
    <row r="4374" spans="1:14">
      <c r="A4374" s="1554"/>
      <c r="B4374" s="1541"/>
      <c r="C4374" s="366"/>
      <c r="D4374" s="367" t="s">
        <v>2183</v>
      </c>
      <c r="E4374" s="1320" t="s">
        <v>2184</v>
      </c>
      <c r="F4374" s="367" t="s">
        <v>2185</v>
      </c>
      <c r="G4374" s="367" t="s">
        <v>2186</v>
      </c>
      <c r="H4374" s="1730" t="s">
        <v>476</v>
      </c>
      <c r="I4374" s="1506"/>
      <c r="J4374" s="1506"/>
      <c r="K4374" s="1506"/>
      <c r="L4374" s="1506"/>
      <c r="M4374" s="1506"/>
      <c r="N4374" s="1507"/>
    </row>
    <row r="4375" spans="1:14">
      <c r="A4375" s="1554"/>
      <c r="B4375" s="1694"/>
      <c r="C4375" s="416" t="s">
        <v>12</v>
      </c>
      <c r="D4375" s="417" t="s">
        <v>2187</v>
      </c>
      <c r="E4375" s="1323" t="s">
        <v>2923</v>
      </c>
      <c r="F4375" s="417" t="s">
        <v>2649</v>
      </c>
      <c r="G4375" s="418" t="s">
        <v>2709</v>
      </c>
      <c r="H4375" s="1873"/>
      <c r="I4375" s="1509"/>
      <c r="J4375" s="1509"/>
      <c r="K4375" s="1509"/>
      <c r="L4375" s="1509"/>
      <c r="M4375" s="1509"/>
      <c r="N4375" s="1510"/>
    </row>
    <row r="4376" spans="1:14" ht="25.5">
      <c r="A4376" s="1667" t="s">
        <v>2895</v>
      </c>
      <c r="B4376" s="704" t="s">
        <v>2922</v>
      </c>
      <c r="C4376" s="705"/>
      <c r="D4376" s="706"/>
      <c r="E4376" s="706"/>
      <c r="F4376" s="706"/>
      <c r="G4376" s="706"/>
      <c r="H4376" s="707"/>
      <c r="I4376" s="1509"/>
      <c r="J4376" s="1509"/>
      <c r="K4376" s="1509"/>
      <c r="L4376" s="1509"/>
      <c r="M4376" s="1509"/>
      <c r="N4376" s="1510"/>
    </row>
    <row r="4377" spans="1:14">
      <c r="A4377" s="1668"/>
      <c r="B4377" s="708" t="s">
        <v>2917</v>
      </c>
      <c r="C4377" s="709"/>
      <c r="D4377" s="710">
        <v>9.6</v>
      </c>
      <c r="E4377" s="1356">
        <v>0.5</v>
      </c>
      <c r="F4377" s="100"/>
      <c r="G4377" s="710">
        <v>1</v>
      </c>
      <c r="H4377" s="711">
        <f>D4377*E4377*G4377</f>
        <v>4.8</v>
      </c>
      <c r="I4377" s="1509"/>
      <c r="J4377" s="1509"/>
      <c r="K4377" s="1509"/>
      <c r="L4377" s="1509"/>
      <c r="M4377" s="1509"/>
      <c r="N4377" s="1510"/>
    </row>
    <row r="4378" spans="1:14">
      <c r="A4378" s="1668"/>
      <c r="B4378" s="708" t="s">
        <v>2918</v>
      </c>
      <c r="C4378" s="709"/>
      <c r="D4378" s="710">
        <v>9.3699999999999992</v>
      </c>
      <c r="E4378" s="1356">
        <v>0.5</v>
      </c>
      <c r="F4378" s="712"/>
      <c r="G4378" s="710">
        <v>1</v>
      </c>
      <c r="H4378" s="711">
        <f>D4378*E4378*G4378</f>
        <v>4.6849999999999996</v>
      </c>
      <c r="I4378" s="1509"/>
      <c r="J4378" s="1509"/>
      <c r="K4378" s="1509"/>
      <c r="L4378" s="1509"/>
      <c r="M4378" s="1509"/>
      <c r="N4378" s="1510"/>
    </row>
    <row r="4379" spans="1:14" ht="38.450000000000003" customHeight="1">
      <c r="A4379" s="1668"/>
      <c r="B4379" s="708" t="s">
        <v>2919</v>
      </c>
      <c r="C4379" s="709"/>
      <c r="D4379" s="710">
        <v>17.079999999999998</v>
      </c>
      <c r="E4379" s="1356">
        <v>0.5</v>
      </c>
      <c r="F4379" s="712"/>
      <c r="G4379" s="710">
        <v>1</v>
      </c>
      <c r="H4379" s="711">
        <f>D4379*E4379*G4379</f>
        <v>8.5399999999999991</v>
      </c>
      <c r="I4379" s="1509"/>
      <c r="J4379" s="1509"/>
      <c r="K4379" s="1509"/>
      <c r="L4379" s="1509"/>
      <c r="M4379" s="1509"/>
      <c r="N4379" s="1510"/>
    </row>
    <row r="4380" spans="1:14">
      <c r="A4380" s="1668"/>
      <c r="B4380" s="708" t="s">
        <v>2920</v>
      </c>
      <c r="C4380" s="709"/>
      <c r="D4380" s="710">
        <v>3.1</v>
      </c>
      <c r="E4380" s="1356">
        <v>0.5</v>
      </c>
      <c r="F4380" s="712"/>
      <c r="G4380" s="710">
        <v>1</v>
      </c>
      <c r="H4380" s="711">
        <f>D4380*E4380*G4380</f>
        <v>1.55</v>
      </c>
      <c r="I4380" s="1509"/>
      <c r="J4380" s="1509"/>
      <c r="K4380" s="1509"/>
      <c r="L4380" s="1509"/>
      <c r="M4380" s="1509"/>
      <c r="N4380" s="1510"/>
    </row>
    <row r="4381" spans="1:14">
      <c r="A4381" s="1668"/>
      <c r="B4381" s="713" t="s">
        <v>2921</v>
      </c>
      <c r="C4381" s="714"/>
      <c r="D4381" s="715">
        <v>18.100000000000001</v>
      </c>
      <c r="E4381" s="1357">
        <v>0.5</v>
      </c>
      <c r="F4381" s="716"/>
      <c r="G4381" s="715">
        <v>1</v>
      </c>
      <c r="H4381" s="717">
        <f>D4381*E4381*G4381</f>
        <v>9.0500000000000007</v>
      </c>
      <c r="I4381" s="1509"/>
      <c r="J4381" s="1509"/>
      <c r="K4381" s="1509"/>
      <c r="L4381" s="1509"/>
      <c r="M4381" s="1509"/>
      <c r="N4381" s="1510"/>
    </row>
    <row r="4382" spans="1:14" ht="41.45" customHeight="1">
      <c r="A4382" s="1667" t="s">
        <v>2997</v>
      </c>
      <c r="B4382" s="718" t="s">
        <v>3115</v>
      </c>
      <c r="C4382" s="719"/>
      <c r="D4382" s="720"/>
      <c r="E4382" s="1358">
        <v>0.2</v>
      </c>
      <c r="F4382" s="721">
        <f>5.32-1.91</f>
        <v>3.41</v>
      </c>
      <c r="G4382" s="721">
        <v>2</v>
      </c>
      <c r="H4382" s="722">
        <v>1.36</v>
      </c>
      <c r="I4382" s="1509"/>
      <c r="J4382" s="1509"/>
      <c r="K4382" s="1509"/>
      <c r="L4382" s="1509"/>
      <c r="M4382" s="1509"/>
      <c r="N4382" s="1510"/>
    </row>
    <row r="4383" spans="1:14" ht="30">
      <c r="A4383" s="1668"/>
      <c r="B4383" s="501" t="s">
        <v>3116</v>
      </c>
      <c r="C4383" s="723"/>
      <c r="E4383" s="1359">
        <v>0.3</v>
      </c>
      <c r="F4383" s="724">
        <f>6.42-1.91</f>
        <v>4.51</v>
      </c>
      <c r="G4383" s="724">
        <v>1</v>
      </c>
      <c r="H4383" s="725">
        <v>1.35</v>
      </c>
      <c r="I4383" s="1509"/>
      <c r="J4383" s="1509"/>
      <c r="K4383" s="1509"/>
      <c r="L4383" s="1509"/>
      <c r="M4383" s="1509"/>
      <c r="N4383" s="1510"/>
    </row>
    <row r="4384" spans="1:14" ht="45">
      <c r="A4384" s="1668"/>
      <c r="B4384" s="501" t="s">
        <v>3117</v>
      </c>
      <c r="C4384" s="723"/>
      <c r="E4384" s="1359">
        <v>0.2</v>
      </c>
      <c r="F4384" s="724">
        <f>6.42-1.91</f>
        <v>4.51</v>
      </c>
      <c r="G4384" s="724">
        <v>2</v>
      </c>
      <c r="H4384" s="725">
        <v>1.8</v>
      </c>
      <c r="I4384" s="1509"/>
      <c r="J4384" s="1509"/>
      <c r="K4384" s="1509"/>
      <c r="L4384" s="1509"/>
      <c r="M4384" s="1509"/>
      <c r="N4384" s="1510"/>
    </row>
    <row r="4385" spans="1:14" ht="45">
      <c r="A4385" s="1668"/>
      <c r="B4385" s="501" t="s">
        <v>3118</v>
      </c>
      <c r="C4385" s="723"/>
      <c r="E4385" s="1359">
        <v>0.2</v>
      </c>
      <c r="F4385" s="724">
        <f>8.76-1.91</f>
        <v>6.85</v>
      </c>
      <c r="G4385" s="724">
        <v>2</v>
      </c>
      <c r="H4385" s="725">
        <f>E4385*F4385*G4385</f>
        <v>2.74</v>
      </c>
      <c r="I4385" s="1509"/>
      <c r="J4385" s="1509"/>
      <c r="K4385" s="1509"/>
      <c r="L4385" s="1509"/>
      <c r="M4385" s="1509"/>
      <c r="N4385" s="1510"/>
    </row>
    <row r="4386" spans="1:14" ht="30">
      <c r="A4386" s="1668"/>
      <c r="B4386" s="501" t="s">
        <v>3119</v>
      </c>
      <c r="C4386" s="723"/>
      <c r="E4386" s="1359">
        <v>0.2</v>
      </c>
      <c r="F4386" s="724">
        <f>5.32-1.91</f>
        <v>3.41</v>
      </c>
      <c r="G4386" s="724">
        <v>2</v>
      </c>
      <c r="H4386" s="725">
        <f>E4386*F4386*G4386*2</f>
        <v>2.7280000000000002</v>
      </c>
      <c r="I4386" s="1509"/>
      <c r="J4386" s="1509"/>
      <c r="K4386" s="1509"/>
      <c r="L4386" s="1509"/>
      <c r="M4386" s="1509"/>
      <c r="N4386" s="1510"/>
    </row>
    <row r="4387" spans="1:14" ht="30">
      <c r="A4387" s="1668"/>
      <c r="B4387" s="501" t="s">
        <v>3120</v>
      </c>
      <c r="C4387" s="723"/>
      <c r="E4387" s="1359">
        <v>0.2</v>
      </c>
      <c r="F4387" s="724">
        <f>8.76-1.91</f>
        <v>6.85</v>
      </c>
      <c r="G4387" s="724">
        <v>4</v>
      </c>
      <c r="H4387" s="725">
        <f>E4387*F4387*G4387</f>
        <v>5.48</v>
      </c>
      <c r="I4387" s="1509"/>
      <c r="J4387" s="1509"/>
      <c r="K4387" s="1509"/>
      <c r="L4387" s="1509"/>
      <c r="M4387" s="1509"/>
      <c r="N4387" s="1510"/>
    </row>
    <row r="4388" spans="1:14" ht="30">
      <c r="A4388" s="1668"/>
      <c r="B4388" s="501" t="s">
        <v>3121</v>
      </c>
      <c r="D4388" s="724">
        <v>18.100000000000001</v>
      </c>
      <c r="E4388" s="1360">
        <v>0.5</v>
      </c>
      <c r="F4388" s="3"/>
      <c r="G4388" s="724">
        <v>1</v>
      </c>
      <c r="H4388" s="725">
        <f>E4388*D4388*G4388</f>
        <v>9.0500000000000007</v>
      </c>
      <c r="I4388" s="1509"/>
      <c r="J4388" s="1509"/>
      <c r="K4388" s="1509"/>
      <c r="L4388" s="1509"/>
      <c r="M4388" s="1509"/>
      <c r="N4388" s="1510"/>
    </row>
    <row r="4389" spans="1:14" ht="60">
      <c r="A4389" s="1668"/>
      <c r="B4389" s="501" t="s">
        <v>3122</v>
      </c>
      <c r="D4389" s="724">
        <v>6.7</v>
      </c>
      <c r="E4389" s="1359">
        <v>0.5</v>
      </c>
      <c r="F4389" s="3"/>
      <c r="G4389" s="724">
        <v>2</v>
      </c>
      <c r="H4389" s="725">
        <f>E4389*D4389*G4389</f>
        <v>6.7</v>
      </c>
      <c r="I4389" s="1509"/>
      <c r="J4389" s="1509"/>
      <c r="K4389" s="1509"/>
      <c r="L4389" s="1509"/>
      <c r="M4389" s="1509"/>
      <c r="N4389" s="1510"/>
    </row>
    <row r="4390" spans="1:14">
      <c r="A4390" s="1542" t="s">
        <v>2218</v>
      </c>
      <c r="B4390" s="1542"/>
      <c r="C4390" s="1542"/>
      <c r="D4390" s="1542"/>
      <c r="E4390" s="1542"/>
      <c r="F4390" s="1542"/>
      <c r="G4390" s="1542"/>
      <c r="H4390" s="271">
        <f>SUM(H4376:H4389)</f>
        <v>59.832999999999998</v>
      </c>
      <c r="I4390" s="1509"/>
      <c r="J4390" s="1509"/>
      <c r="K4390" s="1509"/>
      <c r="L4390" s="1509"/>
      <c r="M4390" s="1509"/>
      <c r="N4390" s="1510"/>
    </row>
    <row r="4391" spans="1:14">
      <c r="A4391" s="1538" t="s">
        <v>2219</v>
      </c>
      <c r="B4391" s="1538"/>
      <c r="C4391" s="1538"/>
      <c r="D4391" s="1538"/>
      <c r="E4391" s="1538"/>
      <c r="F4391" s="1538"/>
      <c r="G4391" s="1538"/>
      <c r="H4391" s="320">
        <f>SUM(H4376:H4381)</f>
        <v>28.625</v>
      </c>
      <c r="I4391" s="1509"/>
      <c r="J4391" s="1509"/>
      <c r="K4391" s="1509"/>
      <c r="L4391" s="1509"/>
      <c r="M4391" s="1509"/>
      <c r="N4391" s="1510"/>
    </row>
    <row r="4392" spans="1:14" ht="15.75" thickBot="1">
      <c r="A4392" s="1520" t="s">
        <v>2220</v>
      </c>
      <c r="B4392" s="1521"/>
      <c r="C4392" s="1521"/>
      <c r="D4392" s="1521"/>
      <c r="E4392" s="1521"/>
      <c r="F4392" s="1521"/>
      <c r="G4392" s="1522"/>
      <c r="H4392" s="216">
        <v>31.2</v>
      </c>
      <c r="I4392" s="1512"/>
      <c r="J4392" s="1512"/>
      <c r="K4392" s="1512"/>
      <c r="L4392" s="1512"/>
      <c r="M4392" s="1512"/>
      <c r="N4392" s="1513"/>
    </row>
    <row r="4393" spans="1:14">
      <c r="A4393" s="1085" t="s">
        <v>2924</v>
      </c>
      <c r="B4393" s="1494" t="s">
        <v>1103</v>
      </c>
      <c r="C4393" s="1495"/>
      <c r="D4393" s="1495"/>
      <c r="E4393" s="1495"/>
      <c r="F4393" s="1495"/>
      <c r="G4393" s="1495"/>
      <c r="H4393" s="1495"/>
      <c r="I4393" s="1495"/>
      <c r="J4393" s="1496"/>
      <c r="K4393" s="196" t="s">
        <v>44</v>
      </c>
      <c r="L4393" s="1497">
        <f>'27ª MEDIÇÃO '!F256</f>
        <v>308.25</v>
      </c>
      <c r="M4393" s="1498"/>
      <c r="N4393" s="197">
        <f>L4393-H4416</f>
        <v>3.5049999999999955</v>
      </c>
    </row>
    <row r="4394" spans="1:14">
      <c r="A4394" s="1554"/>
      <c r="B4394" s="1541"/>
      <c r="C4394" s="366"/>
      <c r="D4394" s="367" t="s">
        <v>2183</v>
      </c>
      <c r="E4394" s="1320" t="s">
        <v>2184</v>
      </c>
      <c r="F4394" s="367" t="s">
        <v>2185</v>
      </c>
      <c r="G4394" s="367" t="s">
        <v>2186</v>
      </c>
      <c r="H4394" s="1542" t="s">
        <v>476</v>
      </c>
      <c r="I4394" s="1506"/>
      <c r="J4394" s="1506"/>
      <c r="K4394" s="1506"/>
      <c r="L4394" s="1506"/>
      <c r="M4394" s="1506"/>
      <c r="N4394" s="1507"/>
    </row>
    <row r="4395" spans="1:14">
      <c r="A4395" s="1554"/>
      <c r="B4395" s="1694"/>
      <c r="C4395" s="416" t="s">
        <v>44</v>
      </c>
      <c r="D4395" s="417" t="s">
        <v>2187</v>
      </c>
      <c r="E4395" s="1323" t="s">
        <v>2923</v>
      </c>
      <c r="F4395" s="417" t="s">
        <v>2928</v>
      </c>
      <c r="G4395" s="418" t="s">
        <v>2627</v>
      </c>
      <c r="H4395" s="1503"/>
      <c r="I4395" s="1509"/>
      <c r="J4395" s="1509"/>
      <c r="K4395" s="1509"/>
      <c r="L4395" s="1509"/>
      <c r="M4395" s="1509"/>
      <c r="N4395" s="1510"/>
    </row>
    <row r="4396" spans="1:14" ht="38.25">
      <c r="A4396" s="1698" t="s">
        <v>2895</v>
      </c>
      <c r="B4396" s="726" t="s">
        <v>2925</v>
      </c>
      <c r="C4396" s="705"/>
      <c r="D4396" s="986"/>
      <c r="E4396" s="705"/>
      <c r="F4396" s="706"/>
      <c r="G4396" s="706"/>
      <c r="H4396" s="727"/>
      <c r="I4396" s="1509"/>
      <c r="J4396" s="1509"/>
      <c r="K4396" s="1509"/>
      <c r="L4396" s="1509"/>
      <c r="M4396" s="1509"/>
      <c r="N4396" s="1510"/>
    </row>
    <row r="4397" spans="1:14">
      <c r="A4397" s="1699"/>
      <c r="B4397" s="728" t="s">
        <v>2914</v>
      </c>
      <c r="C4397" s="729"/>
      <c r="D4397" s="987"/>
      <c r="E4397" s="729"/>
      <c r="F4397" s="730"/>
      <c r="G4397" s="710"/>
      <c r="H4397" s="731"/>
      <c r="I4397" s="1509"/>
      <c r="J4397" s="1509"/>
      <c r="K4397" s="1509"/>
      <c r="L4397" s="1509"/>
      <c r="M4397" s="1509"/>
      <c r="N4397" s="1510"/>
    </row>
    <row r="4398" spans="1:14">
      <c r="A4398" s="1699"/>
      <c r="B4398" s="708" t="s">
        <v>2926</v>
      </c>
      <c r="C4398" s="709"/>
      <c r="D4398" s="988">
        <v>80.97</v>
      </c>
      <c r="E4398" s="709"/>
      <c r="F4398" s="733">
        <v>0.5</v>
      </c>
      <c r="G4398" s="732">
        <v>1</v>
      </c>
      <c r="H4398" s="731">
        <f t="shared" ref="H4398:H4404" si="105">D4398*F4398*G4398</f>
        <v>40.484999999999999</v>
      </c>
      <c r="I4398" s="1509"/>
      <c r="J4398" s="1509"/>
      <c r="K4398" s="1509"/>
      <c r="L4398" s="1509"/>
      <c r="M4398" s="1509"/>
      <c r="N4398" s="1510"/>
    </row>
    <row r="4399" spans="1:14">
      <c r="A4399" s="1699"/>
      <c r="B4399" s="708" t="s">
        <v>2927</v>
      </c>
      <c r="C4399" s="709"/>
      <c r="D4399" s="988">
        <v>42.7</v>
      </c>
      <c r="E4399" s="709"/>
      <c r="F4399" s="733">
        <v>0.5</v>
      </c>
      <c r="G4399" s="732">
        <v>1</v>
      </c>
      <c r="H4399" s="731">
        <f t="shared" si="105"/>
        <v>21.35</v>
      </c>
      <c r="I4399" s="1509"/>
      <c r="J4399" s="1509"/>
      <c r="K4399" s="1509"/>
      <c r="L4399" s="1509"/>
      <c r="M4399" s="1509"/>
      <c r="N4399" s="1510"/>
    </row>
    <row r="4400" spans="1:14">
      <c r="A4400" s="1699"/>
      <c r="B4400" s="708"/>
      <c r="C4400" s="709"/>
      <c r="D4400" s="988">
        <v>13.59</v>
      </c>
      <c r="E4400" s="709"/>
      <c r="F4400" s="733">
        <v>0.5</v>
      </c>
      <c r="G4400" s="732">
        <v>1</v>
      </c>
      <c r="H4400" s="731">
        <f t="shared" si="105"/>
        <v>6.7949999999999999</v>
      </c>
      <c r="I4400" s="1509"/>
      <c r="J4400" s="1509"/>
      <c r="K4400" s="1509"/>
      <c r="L4400" s="1509"/>
      <c r="M4400" s="1509"/>
      <c r="N4400" s="1510"/>
    </row>
    <row r="4401" spans="1:14">
      <c r="A4401" s="1699"/>
      <c r="B4401" s="708"/>
      <c r="C4401" s="709"/>
      <c r="D4401" s="988">
        <v>10.55</v>
      </c>
      <c r="E4401" s="709"/>
      <c r="F4401" s="733">
        <v>0.5</v>
      </c>
      <c r="G4401" s="732">
        <v>1</v>
      </c>
      <c r="H4401" s="731">
        <f t="shared" si="105"/>
        <v>5.2750000000000004</v>
      </c>
      <c r="I4401" s="1509"/>
      <c r="J4401" s="1509"/>
      <c r="K4401" s="1509"/>
      <c r="L4401" s="1509"/>
      <c r="M4401" s="1509"/>
      <c r="N4401" s="1510"/>
    </row>
    <row r="4402" spans="1:14">
      <c r="A4402" s="1699"/>
      <c r="B4402" s="708"/>
      <c r="C4402" s="709"/>
      <c r="D4402" s="988">
        <v>3.76</v>
      </c>
      <c r="E4402" s="709"/>
      <c r="F4402" s="733">
        <v>0.5</v>
      </c>
      <c r="G4402" s="732">
        <v>1</v>
      </c>
      <c r="H4402" s="731">
        <f t="shared" si="105"/>
        <v>1.88</v>
      </c>
      <c r="I4402" s="1509"/>
      <c r="J4402" s="1509"/>
      <c r="K4402" s="1509"/>
      <c r="L4402" s="1509"/>
      <c r="M4402" s="1509"/>
      <c r="N4402" s="1510"/>
    </row>
    <row r="4403" spans="1:14">
      <c r="A4403" s="1699"/>
      <c r="B4403" s="708"/>
      <c r="C4403" s="709"/>
      <c r="D4403" s="988">
        <v>4.0199999999999996</v>
      </c>
      <c r="E4403" s="709"/>
      <c r="F4403" s="733">
        <v>0.5</v>
      </c>
      <c r="G4403" s="732">
        <v>1</v>
      </c>
      <c r="H4403" s="731">
        <f t="shared" si="105"/>
        <v>2.0099999999999998</v>
      </c>
      <c r="I4403" s="1509"/>
      <c r="J4403" s="1509"/>
      <c r="K4403" s="1509"/>
      <c r="L4403" s="1509"/>
      <c r="M4403" s="1509"/>
      <c r="N4403" s="1510"/>
    </row>
    <row r="4404" spans="1:14">
      <c r="A4404" s="1699"/>
      <c r="B4404" s="708"/>
      <c r="C4404" s="709"/>
      <c r="D4404" s="988">
        <v>13.88</v>
      </c>
      <c r="E4404" s="709"/>
      <c r="F4404" s="733">
        <v>0.5</v>
      </c>
      <c r="G4404" s="732">
        <v>1</v>
      </c>
      <c r="H4404" s="731">
        <f t="shared" si="105"/>
        <v>6.94</v>
      </c>
      <c r="I4404" s="1509"/>
      <c r="J4404" s="1509"/>
      <c r="K4404" s="1509"/>
      <c r="L4404" s="1509"/>
      <c r="M4404" s="1509"/>
      <c r="N4404" s="1510"/>
    </row>
    <row r="4405" spans="1:14">
      <c r="A4405" s="1699"/>
      <c r="B4405" s="728" t="s">
        <v>2727</v>
      </c>
      <c r="C4405" s="729"/>
      <c r="D4405" s="989"/>
      <c r="E4405" s="729"/>
      <c r="F4405" s="712"/>
      <c r="G4405" s="734"/>
      <c r="H4405" s="731"/>
      <c r="I4405" s="1509"/>
      <c r="J4405" s="1509"/>
      <c r="K4405" s="1509"/>
      <c r="L4405" s="1509"/>
      <c r="M4405" s="1509"/>
      <c r="N4405" s="1510"/>
    </row>
    <row r="4406" spans="1:14" ht="38.450000000000003" customHeight="1">
      <c r="A4406" s="1699"/>
      <c r="B4406" s="708" t="s">
        <v>2926</v>
      </c>
      <c r="C4406" s="709"/>
      <c r="D4406" s="988">
        <v>83.57</v>
      </c>
      <c r="E4406" s="709"/>
      <c r="F4406" s="733">
        <v>0.5</v>
      </c>
      <c r="G4406" s="732">
        <v>1</v>
      </c>
      <c r="H4406" s="731">
        <f>D4406*F4406*G4406</f>
        <v>41.784999999999997</v>
      </c>
      <c r="I4406" s="1509"/>
      <c r="J4406" s="1509"/>
      <c r="K4406" s="1509"/>
      <c r="L4406" s="1509"/>
      <c r="M4406" s="1509"/>
      <c r="N4406" s="1510"/>
    </row>
    <row r="4407" spans="1:14">
      <c r="A4407" s="1699"/>
      <c r="B4407" s="708" t="s">
        <v>2927</v>
      </c>
      <c r="C4407" s="709"/>
      <c r="D4407" s="988">
        <v>12.62</v>
      </c>
      <c r="E4407" s="709"/>
      <c r="F4407" s="733">
        <v>0.5</v>
      </c>
      <c r="G4407" s="732">
        <v>1</v>
      </c>
      <c r="H4407" s="731">
        <f>D4407*F4407*G4407</f>
        <v>6.31</v>
      </c>
      <c r="I4407" s="1509"/>
      <c r="J4407" s="1509"/>
      <c r="K4407" s="1509"/>
      <c r="L4407" s="1509"/>
      <c r="M4407" s="1509"/>
      <c r="N4407" s="1510"/>
    </row>
    <row r="4408" spans="1:14">
      <c r="A4408" s="1699"/>
      <c r="B4408" s="708"/>
      <c r="C4408" s="709"/>
      <c r="D4408" s="988">
        <v>5.83</v>
      </c>
      <c r="E4408" s="709"/>
      <c r="F4408" s="733">
        <v>0.5</v>
      </c>
      <c r="G4408" s="732">
        <v>1</v>
      </c>
      <c r="H4408" s="731">
        <f>D4408*F4408*G4408</f>
        <v>2.915</v>
      </c>
      <c r="I4408" s="1509"/>
      <c r="J4408" s="1509"/>
      <c r="K4408" s="1509"/>
      <c r="L4408" s="1509"/>
      <c r="M4408" s="1509"/>
      <c r="N4408" s="1510"/>
    </row>
    <row r="4409" spans="1:14">
      <c r="A4409" s="1700"/>
      <c r="B4409" s="735"/>
      <c r="C4409" s="736"/>
      <c r="D4409" s="990">
        <v>11.34</v>
      </c>
      <c r="E4409" s="736"/>
      <c r="F4409" s="738">
        <v>0.5</v>
      </c>
      <c r="G4409" s="737">
        <v>1</v>
      </c>
      <c r="H4409" s="739">
        <f>D4409*F4409*G4409</f>
        <v>5.67</v>
      </c>
      <c r="I4409" s="1509"/>
      <c r="J4409" s="1509"/>
      <c r="K4409" s="1509"/>
      <c r="L4409" s="1509"/>
      <c r="M4409" s="1509"/>
      <c r="N4409" s="1510"/>
    </row>
    <row r="4410" spans="1:14">
      <c r="A4410" s="1699" t="s">
        <v>3620</v>
      </c>
      <c r="B4410" s="728" t="s">
        <v>2727</v>
      </c>
      <c r="C4410" s="729"/>
      <c r="D4410" s="987"/>
      <c r="E4410" s="729"/>
      <c r="F4410" s="730"/>
      <c r="G4410" s="710"/>
      <c r="H4410" s="731"/>
      <c r="I4410" s="1509"/>
      <c r="J4410" s="1509"/>
      <c r="K4410" s="1509"/>
      <c r="L4410" s="1509"/>
      <c r="M4410" s="1509"/>
      <c r="N4410" s="1510"/>
    </row>
    <row r="4411" spans="1:14">
      <c r="A4411" s="1699"/>
      <c r="B4411" s="708" t="s">
        <v>2926</v>
      </c>
      <c r="C4411" s="709"/>
      <c r="D4411" s="988">
        <v>63.5</v>
      </c>
      <c r="E4411" s="709"/>
      <c r="F4411" s="733"/>
      <c r="G4411" s="732">
        <v>1</v>
      </c>
      <c r="H4411" s="997">
        <f>D4411*G4411</f>
        <v>63.5</v>
      </c>
      <c r="I4411" s="1509"/>
      <c r="J4411" s="1509"/>
      <c r="K4411" s="1509"/>
      <c r="L4411" s="1509"/>
      <c r="M4411" s="1509"/>
      <c r="N4411" s="1510"/>
    </row>
    <row r="4412" spans="1:14">
      <c r="A4412" s="1699"/>
      <c r="B4412" s="708" t="s">
        <v>2927</v>
      </c>
      <c r="C4412" s="709"/>
      <c r="D4412" s="988">
        <v>22.35</v>
      </c>
      <c r="E4412" s="709"/>
      <c r="F4412" s="733"/>
      <c r="G4412" s="732">
        <v>1</v>
      </c>
      <c r="H4412" s="997">
        <f>D4412*G4412</f>
        <v>22.35</v>
      </c>
      <c r="I4412" s="1509"/>
      <c r="J4412" s="1509"/>
      <c r="K4412" s="1509"/>
      <c r="L4412" s="1509"/>
      <c r="M4412" s="1509"/>
      <c r="N4412" s="1510"/>
    </row>
    <row r="4413" spans="1:14">
      <c r="A4413" s="1699"/>
      <c r="B4413" s="728" t="s">
        <v>2929</v>
      </c>
      <c r="C4413" s="729"/>
      <c r="D4413" s="989"/>
      <c r="E4413" s="729"/>
      <c r="F4413" s="712"/>
      <c r="G4413" s="734"/>
      <c r="H4413" s="997"/>
      <c r="I4413" s="1509"/>
      <c r="J4413" s="1509"/>
      <c r="K4413" s="1509"/>
      <c r="L4413" s="1509"/>
      <c r="M4413" s="1509"/>
      <c r="N4413" s="1510"/>
    </row>
    <row r="4414" spans="1:14">
      <c r="A4414" s="1699"/>
      <c r="B4414" s="708" t="s">
        <v>2926</v>
      </c>
      <c r="C4414" s="709"/>
      <c r="D4414" s="988">
        <v>42</v>
      </c>
      <c r="E4414" s="709"/>
      <c r="F4414" s="733"/>
      <c r="G4414" s="732">
        <v>1</v>
      </c>
      <c r="H4414" s="997">
        <f>D4414*G4414</f>
        <v>42</v>
      </c>
      <c r="I4414" s="1509"/>
      <c r="J4414" s="1509"/>
      <c r="K4414" s="1509"/>
      <c r="L4414" s="1509"/>
      <c r="M4414" s="1509"/>
      <c r="N4414" s="1510"/>
    </row>
    <row r="4415" spans="1:14">
      <c r="A4415" s="1699"/>
      <c r="B4415" s="708" t="s">
        <v>2927</v>
      </c>
      <c r="C4415" s="709"/>
      <c r="D4415" s="988">
        <v>35.479999999999997</v>
      </c>
      <c r="E4415" s="709"/>
      <c r="F4415" s="733"/>
      <c r="G4415" s="732">
        <v>1</v>
      </c>
      <c r="H4415" s="997">
        <f>D4415*G4415</f>
        <v>35.479999999999997</v>
      </c>
      <c r="I4415" s="1509"/>
      <c r="J4415" s="1509"/>
      <c r="K4415" s="1509"/>
      <c r="L4415" s="1509"/>
      <c r="M4415" s="1509"/>
      <c r="N4415" s="1510"/>
    </row>
    <row r="4416" spans="1:14">
      <c r="A4416" s="1542" t="s">
        <v>2218</v>
      </c>
      <c r="B4416" s="1542"/>
      <c r="C4416" s="1542"/>
      <c r="D4416" s="1542"/>
      <c r="E4416" s="1542"/>
      <c r="F4416" s="1542"/>
      <c r="G4416" s="1542"/>
      <c r="H4416" s="271">
        <f>SUM(H4396:H4415)</f>
        <v>304.745</v>
      </c>
      <c r="I4416" s="1509"/>
      <c r="J4416" s="1509"/>
      <c r="K4416" s="1509"/>
      <c r="L4416" s="1509"/>
      <c r="M4416" s="1509"/>
      <c r="N4416" s="1510"/>
    </row>
    <row r="4417" spans="1:14">
      <c r="A4417" s="1538" t="s">
        <v>2219</v>
      </c>
      <c r="B4417" s="1538"/>
      <c r="C4417" s="1538"/>
      <c r="D4417" s="1538"/>
      <c r="E4417" s="1538"/>
      <c r="F4417" s="1538"/>
      <c r="G4417" s="1538"/>
      <c r="H4417" s="320">
        <f>SUM(H4396:H4409)</f>
        <v>141.41499999999996</v>
      </c>
      <c r="I4417" s="1509"/>
      <c r="J4417" s="1509"/>
      <c r="K4417" s="1509"/>
      <c r="L4417" s="1509"/>
      <c r="M4417" s="1509"/>
      <c r="N4417" s="1510"/>
    </row>
    <row r="4418" spans="1:14" ht="15.75" thickBot="1">
      <c r="A4418" s="1520" t="s">
        <v>2220</v>
      </c>
      <c r="B4418" s="1521"/>
      <c r="C4418" s="1521"/>
      <c r="D4418" s="1521"/>
      <c r="E4418" s="1521"/>
      <c r="F4418" s="1521"/>
      <c r="G4418" s="1522"/>
      <c r="H4418" s="216">
        <f>H4416-H4417</f>
        <v>163.33000000000004</v>
      </c>
      <c r="I4418" s="1512"/>
      <c r="J4418" s="1512"/>
      <c r="K4418" s="1512"/>
      <c r="L4418" s="1512"/>
      <c r="M4418" s="1512"/>
      <c r="N4418" s="1513"/>
    </row>
    <row r="4419" spans="1:14" ht="15.75" thickBot="1">
      <c r="A4419" s="1104"/>
      <c r="B4419" s="278"/>
      <c r="C4419" s="278"/>
      <c r="D4419" s="281"/>
      <c r="E4419" s="1319"/>
      <c r="F4419" s="278"/>
      <c r="G4419" s="278"/>
      <c r="H4419" s="217"/>
      <c r="I4419" s="279"/>
      <c r="J4419" s="279"/>
      <c r="K4419" s="279"/>
      <c r="L4419" s="279"/>
      <c r="M4419" s="279"/>
      <c r="N4419" s="441"/>
    </row>
    <row r="4420" spans="1:14">
      <c r="A4420" s="1085" t="s">
        <v>3593</v>
      </c>
      <c r="B4420" s="1494" t="s">
        <v>1105</v>
      </c>
      <c r="C4420" s="1495"/>
      <c r="D4420" s="1495"/>
      <c r="E4420" s="1495"/>
      <c r="F4420" s="1495"/>
      <c r="G4420" s="1495"/>
      <c r="H4420" s="1495"/>
      <c r="I4420" s="1495"/>
      <c r="J4420" s="1496"/>
      <c r="K4420" s="196" t="s">
        <v>44</v>
      </c>
      <c r="L4420" s="1497">
        <f>'27ª MEDIÇÃO '!F257</f>
        <v>217.1</v>
      </c>
      <c r="M4420" s="1498"/>
      <c r="N4420" s="197">
        <f>L4420-H4434</f>
        <v>37.419999999999987</v>
      </c>
    </row>
    <row r="4421" spans="1:14">
      <c r="A4421" s="1554"/>
      <c r="B4421" s="1541"/>
      <c r="C4421" s="366"/>
      <c r="D4421" s="367" t="s">
        <v>2183</v>
      </c>
      <c r="E4421" s="1320" t="s">
        <v>2184</v>
      </c>
      <c r="F4421" s="367" t="s">
        <v>2185</v>
      </c>
      <c r="G4421" s="367" t="s">
        <v>2186</v>
      </c>
      <c r="H4421" s="1542" t="s">
        <v>476</v>
      </c>
      <c r="I4421" s="1506"/>
      <c r="J4421" s="1506"/>
      <c r="K4421" s="1506"/>
      <c r="L4421" s="1506"/>
      <c r="M4421" s="1506"/>
      <c r="N4421" s="1507"/>
    </row>
    <row r="4422" spans="1:14">
      <c r="A4422" s="1554"/>
      <c r="B4422" s="1694"/>
      <c r="C4422" s="416" t="s">
        <v>44</v>
      </c>
      <c r="D4422" s="417" t="s">
        <v>2187</v>
      </c>
      <c r="E4422" s="1323" t="s">
        <v>2923</v>
      </c>
      <c r="F4422" s="417" t="s">
        <v>2928</v>
      </c>
      <c r="G4422" s="418" t="s">
        <v>2627</v>
      </c>
      <c r="H4422" s="1503"/>
      <c r="I4422" s="1509"/>
      <c r="J4422" s="1509"/>
      <c r="K4422" s="1509"/>
      <c r="L4422" s="1509"/>
      <c r="M4422" s="1509"/>
      <c r="N4422" s="1510"/>
    </row>
    <row r="4423" spans="1:14">
      <c r="A4423" s="1695" t="s">
        <v>3620</v>
      </c>
      <c r="B4423" s="998" t="s">
        <v>3594</v>
      </c>
      <c r="C4423" s="999"/>
      <c r="D4423" s="1000">
        <v>16.64</v>
      </c>
      <c r="E4423" s="999"/>
      <c r="F4423" s="1001"/>
      <c r="G4423" s="1002"/>
      <c r="H4423" s="1004">
        <v>16.64</v>
      </c>
      <c r="I4423" s="1509"/>
      <c r="J4423" s="1509"/>
      <c r="K4423" s="1509"/>
      <c r="L4423" s="1509"/>
      <c r="M4423" s="1509"/>
      <c r="N4423" s="1510"/>
    </row>
    <row r="4424" spans="1:14">
      <c r="A4424" s="1696"/>
      <c r="B4424" s="708" t="s">
        <v>3595</v>
      </c>
      <c r="C4424" s="709"/>
      <c r="D4424" s="988">
        <v>17.84</v>
      </c>
      <c r="E4424" s="709"/>
      <c r="F4424" s="733"/>
      <c r="G4424" s="732"/>
      <c r="H4424" s="1005">
        <v>17.84</v>
      </c>
      <c r="I4424" s="1509"/>
      <c r="J4424" s="1509"/>
      <c r="K4424" s="1509"/>
      <c r="L4424" s="1509"/>
      <c r="M4424" s="1509"/>
      <c r="N4424" s="1510"/>
    </row>
    <row r="4425" spans="1:14" ht="14.45" customHeight="1">
      <c r="A4425" s="1696"/>
      <c r="B4425" s="708" t="s">
        <v>3596</v>
      </c>
      <c r="C4425" s="709"/>
      <c r="D4425" s="988">
        <v>14.26</v>
      </c>
      <c r="E4425" s="709"/>
      <c r="F4425" s="733"/>
      <c r="G4425" s="732"/>
      <c r="H4425" s="1005">
        <v>14.26</v>
      </c>
      <c r="I4425" s="1509"/>
      <c r="J4425" s="1509"/>
      <c r="K4425" s="1509"/>
      <c r="L4425" s="1509"/>
      <c r="M4425" s="1509"/>
      <c r="N4425" s="1510"/>
    </row>
    <row r="4426" spans="1:14">
      <c r="A4426" s="1696"/>
      <c r="B4426" s="708" t="s">
        <v>3597</v>
      </c>
      <c r="C4426" s="709"/>
      <c r="D4426" s="988">
        <v>29.28</v>
      </c>
      <c r="E4426" s="709"/>
      <c r="F4426" s="733"/>
      <c r="G4426" s="732"/>
      <c r="H4426" s="1005">
        <f>D4426</f>
        <v>29.28</v>
      </c>
      <c r="I4426" s="1509"/>
      <c r="J4426" s="1509"/>
      <c r="K4426" s="1509"/>
      <c r="L4426" s="1509"/>
      <c r="M4426" s="1509"/>
      <c r="N4426" s="1510"/>
    </row>
    <row r="4427" spans="1:14">
      <c r="A4427" s="1696"/>
      <c r="B4427" s="708" t="s">
        <v>3598</v>
      </c>
      <c r="C4427" s="709"/>
      <c r="D4427" s="988">
        <v>28.32</v>
      </c>
      <c r="E4427" s="709"/>
      <c r="F4427" s="733"/>
      <c r="G4427" s="732"/>
      <c r="H4427" s="1005">
        <v>28.32</v>
      </c>
      <c r="I4427" s="1509"/>
      <c r="J4427" s="1509"/>
      <c r="K4427" s="1509"/>
      <c r="L4427" s="1509"/>
      <c r="M4427" s="1509"/>
      <c r="N4427" s="1510"/>
    </row>
    <row r="4428" spans="1:14" ht="25.5">
      <c r="A4428" s="1696"/>
      <c r="B4428" s="708" t="s">
        <v>3599</v>
      </c>
      <c r="C4428" s="709"/>
      <c r="D4428" s="988">
        <v>16.55</v>
      </c>
      <c r="E4428" s="709"/>
      <c r="F4428" s="733"/>
      <c r="G4428" s="732"/>
      <c r="H4428" s="1005">
        <v>16.55</v>
      </c>
      <c r="I4428" s="1509"/>
      <c r="J4428" s="1509"/>
      <c r="K4428" s="1509"/>
      <c r="L4428" s="1509"/>
      <c r="M4428" s="1509"/>
      <c r="N4428" s="1510"/>
    </row>
    <row r="4429" spans="1:14" ht="25.5">
      <c r="A4429" s="1696"/>
      <c r="B4429" s="708" t="s">
        <v>3600</v>
      </c>
      <c r="C4429" s="709"/>
      <c r="D4429" s="988">
        <v>15.52</v>
      </c>
      <c r="E4429" s="709"/>
      <c r="F4429" s="733"/>
      <c r="G4429" s="732"/>
      <c r="H4429" s="1005">
        <v>15.52</v>
      </c>
      <c r="I4429" s="1509"/>
      <c r="J4429" s="1509"/>
      <c r="K4429" s="1509"/>
      <c r="L4429" s="1509"/>
      <c r="M4429" s="1509"/>
      <c r="N4429" s="1510"/>
    </row>
    <row r="4430" spans="1:14">
      <c r="A4430" s="1696"/>
      <c r="B4430" s="708" t="s">
        <v>3601</v>
      </c>
      <c r="C4430" s="709"/>
      <c r="D4430" s="988">
        <v>12.37</v>
      </c>
      <c r="E4430" s="709"/>
      <c r="F4430" s="733"/>
      <c r="G4430" s="732"/>
      <c r="H4430" s="1005">
        <v>12.37</v>
      </c>
      <c r="I4430" s="1509"/>
      <c r="J4430" s="1509"/>
      <c r="K4430" s="1509"/>
      <c r="L4430" s="1509"/>
      <c r="M4430" s="1509"/>
      <c r="N4430" s="1510"/>
    </row>
    <row r="4431" spans="1:14">
      <c r="A4431" s="1696"/>
      <c r="B4431" s="708" t="s">
        <v>3602</v>
      </c>
      <c r="C4431" s="709"/>
      <c r="D4431" s="988">
        <v>14.4</v>
      </c>
      <c r="E4431" s="709"/>
      <c r="F4431" s="733"/>
      <c r="G4431" s="732"/>
      <c r="H4431" s="1005">
        <v>14.4</v>
      </c>
      <c r="I4431" s="1509"/>
      <c r="J4431" s="1509"/>
      <c r="K4431" s="1509"/>
      <c r="L4431" s="1509"/>
      <c r="M4431" s="1509"/>
      <c r="N4431" s="1510"/>
    </row>
    <row r="4432" spans="1:14" ht="38.25">
      <c r="A4432" s="1696"/>
      <c r="B4432" s="708" t="s">
        <v>3603</v>
      </c>
      <c r="C4432" s="729"/>
      <c r="D4432" s="733">
        <v>14.5</v>
      </c>
      <c r="E4432" s="729"/>
      <c r="F4432" s="712"/>
      <c r="G4432" s="734"/>
      <c r="H4432" s="1006">
        <v>14.5</v>
      </c>
      <c r="I4432" s="1509"/>
      <c r="J4432" s="1509"/>
      <c r="K4432" s="1509"/>
      <c r="L4432" s="1509"/>
      <c r="M4432" s="1509"/>
      <c r="N4432" s="1510"/>
    </row>
    <row r="4433" spans="1:14">
      <c r="A4433" s="1697"/>
      <c r="B4433" s="708"/>
      <c r="C4433" s="709"/>
      <c r="D4433" s="988"/>
      <c r="E4433" s="709"/>
      <c r="F4433" s="733"/>
      <c r="G4433" s="732"/>
      <c r="H4433" s="1003"/>
      <c r="I4433" s="1509"/>
      <c r="J4433" s="1509"/>
      <c r="K4433" s="1509"/>
      <c r="L4433" s="1509"/>
      <c r="M4433" s="1509"/>
      <c r="N4433" s="1510"/>
    </row>
    <row r="4434" spans="1:14">
      <c r="A4434" s="1542" t="s">
        <v>2218</v>
      </c>
      <c r="B4434" s="1542"/>
      <c r="C4434" s="1542"/>
      <c r="D4434" s="1542"/>
      <c r="E4434" s="1542"/>
      <c r="F4434" s="1542"/>
      <c r="G4434" s="1542"/>
      <c r="H4434" s="271">
        <f>SUM(H4423:H4433)</f>
        <v>179.68</v>
      </c>
      <c r="I4434" s="1509"/>
      <c r="J4434" s="1509"/>
      <c r="K4434" s="1509"/>
      <c r="L4434" s="1509"/>
      <c r="M4434" s="1509"/>
      <c r="N4434" s="1510"/>
    </row>
    <row r="4435" spans="1:14">
      <c r="A4435" s="1538" t="s">
        <v>2219</v>
      </c>
      <c r="B4435" s="1538"/>
      <c r="C4435" s="1538"/>
      <c r="D4435" s="1538"/>
      <c r="E4435" s="1538"/>
      <c r="F4435" s="1538"/>
      <c r="G4435" s="1538"/>
      <c r="H4435" s="320">
        <f>SUM(H4421)</f>
        <v>0</v>
      </c>
      <c r="I4435" s="1509"/>
      <c r="J4435" s="1509"/>
      <c r="K4435" s="1509"/>
      <c r="L4435" s="1509"/>
      <c r="M4435" s="1509"/>
      <c r="N4435" s="1510"/>
    </row>
    <row r="4436" spans="1:14" ht="15.75" thickBot="1">
      <c r="A4436" s="1520" t="s">
        <v>2220</v>
      </c>
      <c r="B4436" s="1521"/>
      <c r="C4436" s="1521"/>
      <c r="D4436" s="1521"/>
      <c r="E4436" s="1521"/>
      <c r="F4436" s="1521"/>
      <c r="G4436" s="1522"/>
      <c r="H4436" s="216">
        <f>H4434-H4435</f>
        <v>179.68</v>
      </c>
      <c r="I4436" s="1512"/>
      <c r="J4436" s="1512"/>
      <c r="K4436" s="1512"/>
      <c r="L4436" s="1512"/>
      <c r="M4436" s="1512"/>
      <c r="N4436" s="1513"/>
    </row>
    <row r="4437" spans="1:14" ht="15.75" thickBot="1">
      <c r="A4437" s="1088"/>
      <c r="B4437" s="1391"/>
      <c r="C4437" s="1391"/>
      <c r="D4437" s="1391"/>
      <c r="E4437" s="1391"/>
      <c r="F4437" s="1391"/>
      <c r="G4437" s="1391"/>
      <c r="H4437" s="1391"/>
      <c r="I4437" s="1391"/>
      <c r="J4437" s="1391"/>
      <c r="K4437" s="1391"/>
      <c r="L4437" s="1391"/>
      <c r="M4437" s="1391"/>
      <c r="N4437" s="1392"/>
    </row>
    <row r="4438" spans="1:14" ht="15.75" thickBot="1">
      <c r="A4438" s="1116" t="s">
        <v>4101</v>
      </c>
      <c r="B4438" s="1692" t="s">
        <v>4102</v>
      </c>
      <c r="C4438" s="1692"/>
      <c r="D4438" s="1692"/>
      <c r="E4438" s="1692"/>
      <c r="F4438" s="1692"/>
      <c r="G4438" s="1692"/>
      <c r="H4438" s="1692"/>
      <c r="I4438" s="1692"/>
      <c r="J4438" s="1692"/>
      <c r="K4438" s="1692"/>
      <c r="L4438" s="1692"/>
      <c r="M4438" s="1692"/>
      <c r="N4438" s="1693"/>
    </row>
    <row r="4439" spans="1:14" ht="15.75" thickBot="1">
      <c r="A4439" s="1116" t="s">
        <v>4099</v>
      </c>
      <c r="B4439" s="1691" t="s">
        <v>4100</v>
      </c>
      <c r="C4439" s="1692"/>
      <c r="D4439" s="1692"/>
      <c r="E4439" s="1692"/>
      <c r="F4439" s="1692"/>
      <c r="G4439" s="1692"/>
      <c r="H4439" s="1692"/>
      <c r="I4439" s="1692"/>
      <c r="J4439" s="1692"/>
      <c r="K4439" s="1692"/>
      <c r="L4439" s="1692"/>
      <c r="M4439" s="1692"/>
      <c r="N4439" s="1693"/>
    </row>
    <row r="4440" spans="1:14" ht="33" customHeight="1">
      <c r="A4440" s="1085" t="s">
        <v>4098</v>
      </c>
      <c r="B4440" s="1494" t="str">
        <f>'27ª MEDIÇÃO '!C260</f>
        <v>Padrão de entrada d'água com caixa termoplástica para hidrômetro de 3/4""-padrão 1a da CESAN. instalado em calçada. inclusive tubulação, conexões, registro, tubo camisa e caixa com tampa transparente. conferir detalhe</v>
      </c>
      <c r="C4440" s="1495"/>
      <c r="D4440" s="1495"/>
      <c r="E4440" s="1495"/>
      <c r="F4440" s="1495"/>
      <c r="G4440" s="1495"/>
      <c r="H4440" s="1495"/>
      <c r="I4440" s="1495"/>
      <c r="J4440" s="1496"/>
      <c r="K4440" s="196" t="s">
        <v>4103</v>
      </c>
      <c r="L4440" s="1497">
        <f>'27ª MEDIÇÃO '!F260</f>
        <v>1</v>
      </c>
      <c r="M4440" s="1498"/>
      <c r="N4440" s="197">
        <f>L4440-H4447</f>
        <v>0</v>
      </c>
    </row>
    <row r="4441" spans="1:14">
      <c r="A4441" s="1554"/>
      <c r="B4441" s="1541"/>
      <c r="C4441" s="366"/>
      <c r="D4441" s="367" t="s">
        <v>2183</v>
      </c>
      <c r="E4441" s="1320" t="s">
        <v>2184</v>
      </c>
      <c r="F4441" s="367" t="s">
        <v>2185</v>
      </c>
      <c r="G4441" s="367" t="s">
        <v>2186</v>
      </c>
      <c r="H4441" s="1542" t="s">
        <v>476</v>
      </c>
      <c r="I4441" s="1543"/>
      <c r="J4441" s="1543"/>
      <c r="K4441" s="1543"/>
      <c r="L4441" s="1543"/>
      <c r="M4441" s="1543"/>
      <c r="N4441" s="1566"/>
    </row>
    <row r="4442" spans="1:14">
      <c r="A4442" s="1554"/>
      <c r="B4442" s="1541"/>
      <c r="C4442" s="368" t="s">
        <v>2627</v>
      </c>
      <c r="D4442" s="369" t="s">
        <v>2187</v>
      </c>
      <c r="E4442" s="529" t="s">
        <v>2596</v>
      </c>
      <c r="F4442" s="369" t="s">
        <v>2649</v>
      </c>
      <c r="G4442" s="370" t="s">
        <v>2709</v>
      </c>
      <c r="H4442" s="1542"/>
      <c r="I4442" s="1543"/>
      <c r="J4442" s="1543"/>
      <c r="K4442" s="1543"/>
      <c r="L4442" s="1543"/>
      <c r="M4442" s="1543"/>
      <c r="N4442" s="1566"/>
    </row>
    <row r="4443" spans="1:14">
      <c r="A4443" s="1544" t="s">
        <v>4080</v>
      </c>
      <c r="B4443" s="381"/>
      <c r="C4443" s="369"/>
      <c r="D4443" s="218"/>
      <c r="E4443" s="379"/>
      <c r="F4443" s="379"/>
      <c r="G4443" s="379"/>
      <c r="H4443" s="380"/>
      <c r="I4443" s="1567"/>
      <c r="J4443" s="1543"/>
      <c r="K4443" s="1543"/>
      <c r="L4443" s="1543"/>
      <c r="M4443" s="1543"/>
      <c r="N4443" s="1566"/>
    </row>
    <row r="4444" spans="1:14">
      <c r="A4444" s="1544"/>
      <c r="B4444" s="381" t="s">
        <v>4024</v>
      </c>
      <c r="C4444" s="369">
        <v>1</v>
      </c>
      <c r="D4444" s="379"/>
      <c r="E4444" s="379"/>
      <c r="F4444" s="379"/>
      <c r="G4444" s="379"/>
      <c r="H4444" s="380">
        <f>C4444</f>
        <v>1</v>
      </c>
      <c r="I4444" s="1567"/>
      <c r="J4444" s="1543"/>
      <c r="K4444" s="1543"/>
      <c r="L4444" s="1543"/>
      <c r="M4444" s="1543"/>
      <c r="N4444" s="1566"/>
    </row>
    <row r="4445" spans="1:14">
      <c r="A4445" s="1544"/>
      <c r="B4445" s="381"/>
      <c r="C4445" s="369"/>
      <c r="D4445" s="379"/>
      <c r="E4445" s="379"/>
      <c r="F4445" s="379"/>
      <c r="G4445" s="379"/>
      <c r="H4445" s="380"/>
      <c r="I4445" s="1567"/>
      <c r="J4445" s="1543"/>
      <c r="K4445" s="1543"/>
      <c r="L4445" s="1543"/>
      <c r="M4445" s="1543"/>
      <c r="N4445" s="1566"/>
    </row>
    <row r="4446" spans="1:14">
      <c r="A4446" s="1544"/>
      <c r="B4446" s="381"/>
      <c r="C4446" s="369"/>
      <c r="D4446" s="379"/>
      <c r="E4446" s="379"/>
      <c r="F4446" s="379"/>
      <c r="G4446" s="379"/>
      <c r="H4446" s="380"/>
      <c r="I4446" s="1567"/>
      <c r="J4446" s="1543"/>
      <c r="K4446" s="1543"/>
      <c r="L4446" s="1543"/>
      <c r="M4446" s="1543"/>
      <c r="N4446" s="1566"/>
    </row>
    <row r="4447" spans="1:14">
      <c r="A4447" s="1542" t="s">
        <v>2218</v>
      </c>
      <c r="B4447" s="1542"/>
      <c r="C4447" s="1542"/>
      <c r="D4447" s="1542"/>
      <c r="E4447" s="1542"/>
      <c r="F4447" s="1542"/>
      <c r="G4447" s="1542"/>
      <c r="H4447" s="271">
        <f>SUM(H4443:H4446)</f>
        <v>1</v>
      </c>
      <c r="I4447" s="1567"/>
      <c r="J4447" s="1543"/>
      <c r="K4447" s="1543"/>
      <c r="L4447" s="1543"/>
      <c r="M4447" s="1543"/>
      <c r="N4447" s="1566"/>
    </row>
    <row r="4448" spans="1:14">
      <c r="A4448" s="1519" t="s">
        <v>2219</v>
      </c>
      <c r="B4448" s="1517"/>
      <c r="C4448" s="1517"/>
      <c r="D4448" s="1551"/>
      <c r="E4448" s="1551"/>
      <c r="F4448" s="1551"/>
      <c r="G4448" s="1552"/>
      <c r="H4448" s="272">
        <f>SUM(H4443:H4446)</f>
        <v>1</v>
      </c>
      <c r="I4448" s="1543"/>
      <c r="J4448" s="1543"/>
      <c r="K4448" s="1543"/>
      <c r="L4448" s="1543"/>
      <c r="M4448" s="1543"/>
      <c r="N4448" s="1566"/>
    </row>
    <row r="4449" spans="1:14" ht="15.75" thickBot="1">
      <c r="A4449" s="1520" t="s">
        <v>2220</v>
      </c>
      <c r="B4449" s="1521"/>
      <c r="C4449" s="1521"/>
      <c r="D4449" s="1521"/>
      <c r="E4449" s="1521"/>
      <c r="F4449" s="1521"/>
      <c r="G4449" s="1522"/>
      <c r="H4449" s="216">
        <f>H4447-H4448</f>
        <v>0</v>
      </c>
      <c r="I4449" s="1568"/>
      <c r="J4449" s="1568"/>
      <c r="K4449" s="1568"/>
      <c r="L4449" s="1568"/>
      <c r="M4449" s="1568"/>
      <c r="N4449" s="1569"/>
    </row>
    <row r="4450" spans="1:14">
      <c r="A4450" s="278"/>
      <c r="B4450" s="278"/>
      <c r="C4450" s="278"/>
      <c r="D4450" s="281"/>
      <c r="E4450" s="1319"/>
      <c r="F4450" s="278"/>
      <c r="G4450" s="278"/>
      <c r="H4450" s="217"/>
      <c r="I4450" s="279"/>
      <c r="J4450" s="279"/>
      <c r="K4450" s="279"/>
      <c r="L4450" s="279"/>
      <c r="M4450" s="279"/>
      <c r="N4450" s="279"/>
    </row>
    <row r="4451" spans="1:14" ht="15.75" thickBot="1">
      <c r="A4451" s="1104"/>
      <c r="B4451" s="278"/>
      <c r="C4451" s="278"/>
      <c r="D4451" s="281"/>
      <c r="E4451" s="1319"/>
      <c r="F4451" s="278"/>
      <c r="G4451" s="278"/>
      <c r="H4451" s="217"/>
      <c r="I4451" s="279"/>
      <c r="J4451" s="279"/>
      <c r="K4451" s="279"/>
      <c r="L4451" s="279"/>
      <c r="M4451" s="279"/>
      <c r="N4451" s="441"/>
    </row>
    <row r="4452" spans="1:14" ht="15.75" thickBot="1">
      <c r="A4452" s="1116" t="s">
        <v>3266</v>
      </c>
      <c r="B4452" s="1691" t="s">
        <v>3267</v>
      </c>
      <c r="C4452" s="1692"/>
      <c r="D4452" s="1692"/>
      <c r="E4452" s="1692"/>
      <c r="F4452" s="1692"/>
      <c r="G4452" s="1692"/>
      <c r="H4452" s="1692"/>
      <c r="I4452" s="1692"/>
      <c r="J4452" s="1692"/>
      <c r="K4452" s="1692"/>
      <c r="L4452" s="1692"/>
      <c r="M4452" s="1692"/>
      <c r="N4452" s="1693"/>
    </row>
    <row r="4453" spans="1:14">
      <c r="A4453" s="1085" t="s">
        <v>2718</v>
      </c>
      <c r="B4453" s="1494" t="s">
        <v>1117</v>
      </c>
      <c r="C4453" s="1495"/>
      <c r="D4453" s="1495"/>
      <c r="E4453" s="1495"/>
      <c r="F4453" s="1495"/>
      <c r="G4453" s="1495"/>
      <c r="H4453" s="1495"/>
      <c r="I4453" s="1495"/>
      <c r="J4453" s="1496"/>
      <c r="K4453" s="196" t="s">
        <v>2719</v>
      </c>
      <c r="L4453" s="1497">
        <f>'27ª MEDIÇÃO '!F262</f>
        <v>72.099999999999994</v>
      </c>
      <c r="M4453" s="1498"/>
      <c r="N4453" s="197">
        <f>L4453-H4474</f>
        <v>0</v>
      </c>
    </row>
    <row r="4454" spans="1:14">
      <c r="A4454" s="1554"/>
      <c r="B4454" s="1541"/>
      <c r="C4454" s="366"/>
      <c r="D4454" s="367" t="s">
        <v>2183</v>
      </c>
      <c r="E4454" s="1320" t="s">
        <v>2184</v>
      </c>
      <c r="F4454" s="367" t="s">
        <v>2185</v>
      </c>
      <c r="G4454" s="367" t="s">
        <v>2186</v>
      </c>
      <c r="H4454" s="1542" t="s">
        <v>476</v>
      </c>
      <c r="I4454" s="1543"/>
      <c r="J4454" s="1543"/>
      <c r="K4454" s="1543"/>
      <c r="L4454" s="1543"/>
      <c r="M4454" s="1543"/>
      <c r="N4454" s="1566"/>
    </row>
    <row r="4455" spans="1:14">
      <c r="A4455" s="1554"/>
      <c r="B4455" s="1541"/>
      <c r="C4455" s="368" t="s">
        <v>2627</v>
      </c>
      <c r="D4455" s="369" t="s">
        <v>2187</v>
      </c>
      <c r="E4455" s="529" t="s">
        <v>2596</v>
      </c>
      <c r="F4455" s="369" t="s">
        <v>2649</v>
      </c>
      <c r="G4455" s="370" t="s">
        <v>2709</v>
      </c>
      <c r="H4455" s="1542"/>
      <c r="I4455" s="1543"/>
      <c r="J4455" s="1543"/>
      <c r="K4455" s="1543"/>
      <c r="L4455" s="1543"/>
      <c r="M4455" s="1543"/>
      <c r="N4455" s="1566"/>
    </row>
    <row r="4456" spans="1:14">
      <c r="A4456" s="1544" t="s">
        <v>2662</v>
      </c>
      <c r="B4456" s="381"/>
      <c r="C4456" s="369"/>
      <c r="D4456" s="218"/>
      <c r="E4456" s="379"/>
      <c r="F4456" s="379"/>
      <c r="G4456" s="379"/>
      <c r="H4456" s="380"/>
      <c r="I4456" s="1567"/>
      <c r="J4456" s="1543"/>
      <c r="K4456" s="1543"/>
      <c r="L4456" s="1543"/>
      <c r="M4456" s="1543"/>
      <c r="N4456" s="1566"/>
    </row>
    <row r="4457" spans="1:14">
      <c r="A4457" s="1544"/>
      <c r="B4457" s="381" t="s">
        <v>2720</v>
      </c>
      <c r="C4457" s="369"/>
      <c r="D4457" s="379">
        <v>16</v>
      </c>
      <c r="E4457" s="379"/>
      <c r="F4457" s="379"/>
      <c r="G4457" s="379"/>
      <c r="H4457" s="380">
        <v>16</v>
      </c>
      <c r="I4457" s="1567"/>
      <c r="J4457" s="1543"/>
      <c r="K4457" s="1543"/>
      <c r="L4457" s="1543"/>
      <c r="M4457" s="1543"/>
      <c r="N4457" s="1566"/>
    </row>
    <row r="4458" spans="1:14">
      <c r="A4458" s="1544"/>
      <c r="B4458" s="381"/>
      <c r="C4458" s="369"/>
      <c r="D4458" s="379"/>
      <c r="E4458" s="379"/>
      <c r="F4458" s="379"/>
      <c r="G4458" s="379"/>
      <c r="H4458" s="380"/>
      <c r="I4458" s="1567"/>
      <c r="J4458" s="1543"/>
      <c r="K4458" s="1543"/>
      <c r="L4458" s="1543"/>
      <c r="M4458" s="1543"/>
      <c r="N4458" s="1566"/>
    </row>
    <row r="4459" spans="1:14">
      <c r="A4459" s="1544"/>
      <c r="B4459" s="381"/>
      <c r="C4459" s="369"/>
      <c r="D4459" s="379"/>
      <c r="E4459" s="379"/>
      <c r="F4459" s="379"/>
      <c r="G4459" s="379"/>
      <c r="H4459" s="380"/>
      <c r="I4459" s="1567"/>
      <c r="J4459" s="1543"/>
      <c r="K4459" s="1543"/>
      <c r="L4459" s="1543"/>
      <c r="M4459" s="1543"/>
      <c r="N4459" s="1566"/>
    </row>
    <row r="4460" spans="1:14">
      <c r="A4460" s="1544" t="s">
        <v>3217</v>
      </c>
      <c r="B4460" s="893" t="s">
        <v>3268</v>
      </c>
      <c r="C4460" s="369"/>
      <c r="D4460" s="379"/>
      <c r="E4460" s="379"/>
      <c r="F4460" s="379"/>
      <c r="G4460" s="379"/>
      <c r="H4460" s="380"/>
      <c r="I4460" s="1567"/>
      <c r="J4460" s="1543"/>
      <c r="K4460" s="1543"/>
      <c r="L4460" s="1543"/>
      <c r="M4460" s="1543"/>
      <c r="N4460" s="1566"/>
    </row>
    <row r="4461" spans="1:14">
      <c r="A4461" s="1544"/>
      <c r="B4461" s="381" t="s">
        <v>3269</v>
      </c>
      <c r="C4461" s="369"/>
      <c r="D4461" s="379">
        <v>1.6</v>
      </c>
      <c r="E4461" s="379"/>
      <c r="F4461" s="379"/>
      <c r="G4461" s="379"/>
      <c r="H4461" s="380">
        <f>D4461</f>
        <v>1.6</v>
      </c>
      <c r="I4461" s="1567"/>
      <c r="J4461" s="1543"/>
      <c r="K4461" s="1543"/>
      <c r="L4461" s="1543"/>
      <c r="M4461" s="1543"/>
      <c r="N4461" s="1566"/>
    </row>
    <row r="4462" spans="1:14">
      <c r="A4462" s="1544"/>
      <c r="B4462" s="381" t="s">
        <v>3270</v>
      </c>
      <c r="C4462" s="369"/>
      <c r="D4462" s="379">
        <v>1.1000000000000001</v>
      </c>
      <c r="E4462" s="379"/>
      <c r="F4462" s="379"/>
      <c r="G4462" s="379"/>
      <c r="H4462" s="380">
        <f>D4462</f>
        <v>1.1000000000000001</v>
      </c>
      <c r="I4462" s="1567"/>
      <c r="J4462" s="1543"/>
      <c r="K4462" s="1543"/>
      <c r="L4462" s="1543"/>
      <c r="M4462" s="1543"/>
      <c r="N4462" s="1566"/>
    </row>
    <row r="4463" spans="1:14">
      <c r="A4463" s="1544"/>
      <c r="B4463" s="381" t="s">
        <v>3271</v>
      </c>
      <c r="C4463" s="369"/>
      <c r="D4463" s="379">
        <v>15</v>
      </c>
      <c r="E4463" s="379"/>
      <c r="F4463" s="379"/>
      <c r="G4463" s="379"/>
      <c r="H4463" s="380">
        <f>D4463</f>
        <v>15</v>
      </c>
      <c r="I4463" s="1567"/>
      <c r="J4463" s="1543"/>
      <c r="K4463" s="1543"/>
      <c r="L4463" s="1543"/>
      <c r="M4463" s="1543"/>
      <c r="N4463" s="1566"/>
    </row>
    <row r="4464" spans="1:14" ht="14.45" customHeight="1">
      <c r="A4464" s="1544"/>
      <c r="B4464" s="381" t="s">
        <v>3272</v>
      </c>
      <c r="C4464" s="369"/>
      <c r="D4464" s="379">
        <v>7.85</v>
      </c>
      <c r="E4464" s="379"/>
      <c r="F4464" s="379"/>
      <c r="G4464" s="379"/>
      <c r="H4464" s="380">
        <f>D4464</f>
        <v>7.85</v>
      </c>
      <c r="I4464" s="1567"/>
      <c r="J4464" s="1543"/>
      <c r="K4464" s="1543"/>
      <c r="L4464" s="1543"/>
      <c r="M4464" s="1543"/>
      <c r="N4464" s="1566"/>
    </row>
    <row r="4465" spans="1:14">
      <c r="A4465" s="1544"/>
      <c r="B4465" s="381" t="s">
        <v>2720</v>
      </c>
      <c r="C4465" s="369"/>
      <c r="D4465" s="379">
        <v>14</v>
      </c>
      <c r="E4465" s="379"/>
      <c r="F4465" s="379"/>
      <c r="G4465" s="379"/>
      <c r="H4465" s="380">
        <f>D4465</f>
        <v>14</v>
      </c>
      <c r="I4465" s="1567"/>
      <c r="J4465" s="1543"/>
      <c r="K4465" s="1543"/>
      <c r="L4465" s="1543"/>
      <c r="M4465" s="1543"/>
      <c r="N4465" s="1566"/>
    </row>
    <row r="4466" spans="1:14">
      <c r="A4466" s="1544"/>
      <c r="B4466" s="381"/>
      <c r="C4466" s="369"/>
      <c r="D4466" s="379"/>
      <c r="E4466" s="379"/>
      <c r="F4466" s="379"/>
      <c r="G4466" s="379"/>
      <c r="H4466" s="380"/>
      <c r="I4466" s="1567"/>
      <c r="J4466" s="1543"/>
      <c r="K4466" s="1543"/>
      <c r="L4466" s="1543"/>
      <c r="M4466" s="1543"/>
      <c r="N4466" s="1566"/>
    </row>
    <row r="4467" spans="1:14">
      <c r="A4467" s="1544" t="s">
        <v>3294</v>
      </c>
      <c r="B4467" s="893" t="s">
        <v>3268</v>
      </c>
      <c r="C4467" s="369"/>
      <c r="D4467" s="379"/>
      <c r="E4467" s="379"/>
      <c r="F4467" s="379"/>
      <c r="G4467" s="379"/>
      <c r="H4467" s="380"/>
      <c r="I4467" s="1567"/>
      <c r="J4467" s="1543"/>
      <c r="K4467" s="1543"/>
      <c r="L4467" s="1543"/>
      <c r="M4467" s="1543"/>
      <c r="N4467" s="1566"/>
    </row>
    <row r="4468" spans="1:14">
      <c r="A4468" s="1544"/>
      <c r="B4468" s="381" t="s">
        <v>3337</v>
      </c>
      <c r="C4468" s="369"/>
      <c r="D4468" s="379">
        <v>1.4</v>
      </c>
      <c r="E4468" s="379"/>
      <c r="F4468" s="379"/>
      <c r="G4468" s="379"/>
      <c r="H4468" s="380">
        <f>D4468</f>
        <v>1.4</v>
      </c>
      <c r="I4468" s="1567"/>
      <c r="J4468" s="1543"/>
      <c r="K4468" s="1543"/>
      <c r="L4468" s="1543"/>
      <c r="M4468" s="1543"/>
      <c r="N4468" s="1566"/>
    </row>
    <row r="4469" spans="1:14">
      <c r="A4469" s="1544"/>
      <c r="B4469" s="381" t="s">
        <v>3338</v>
      </c>
      <c r="C4469" s="369"/>
      <c r="D4469" s="379">
        <v>2.15</v>
      </c>
      <c r="E4469" s="379"/>
      <c r="F4469" s="379"/>
      <c r="G4469" s="379"/>
      <c r="H4469" s="380">
        <f>D4469</f>
        <v>2.15</v>
      </c>
      <c r="I4469" s="1567"/>
      <c r="J4469" s="1543"/>
      <c r="K4469" s="1543"/>
      <c r="L4469" s="1543"/>
      <c r="M4469" s="1543"/>
      <c r="N4469" s="1566"/>
    </row>
    <row r="4470" spans="1:14">
      <c r="A4470" s="1544"/>
      <c r="B4470" s="893" t="s">
        <v>3339</v>
      </c>
      <c r="C4470" s="369"/>
      <c r="D4470" s="379"/>
      <c r="E4470" s="379"/>
      <c r="F4470" s="379"/>
      <c r="G4470" s="379"/>
      <c r="H4470" s="380"/>
      <c r="I4470" s="1567"/>
      <c r="J4470" s="1543"/>
      <c r="K4470" s="1543"/>
      <c r="L4470" s="1543"/>
      <c r="M4470" s="1543"/>
      <c r="N4470" s="1566"/>
    </row>
    <row r="4471" spans="1:14">
      <c r="A4471" s="1544"/>
      <c r="B4471" s="381" t="s">
        <v>3340</v>
      </c>
      <c r="C4471" s="369"/>
      <c r="D4471" s="379">
        <v>5</v>
      </c>
      <c r="E4471" s="379"/>
      <c r="F4471" s="379"/>
      <c r="G4471" s="379"/>
      <c r="H4471" s="380">
        <f>D4471</f>
        <v>5</v>
      </c>
      <c r="I4471" s="1567"/>
      <c r="J4471" s="1543"/>
      <c r="K4471" s="1543"/>
      <c r="L4471" s="1543"/>
      <c r="M4471" s="1543"/>
      <c r="N4471" s="1566"/>
    </row>
    <row r="4472" spans="1:14">
      <c r="A4472" s="1544"/>
      <c r="B4472" s="381" t="s">
        <v>3341</v>
      </c>
      <c r="C4472" s="369"/>
      <c r="D4472" s="379">
        <v>8</v>
      </c>
      <c r="E4472" s="379"/>
      <c r="F4472" s="379"/>
      <c r="G4472" s="379"/>
      <c r="H4472" s="380">
        <f>D4472</f>
        <v>8</v>
      </c>
      <c r="I4472" s="1567"/>
      <c r="J4472" s="1543"/>
      <c r="K4472" s="1543"/>
      <c r="L4472" s="1543"/>
      <c r="M4472" s="1543"/>
      <c r="N4472" s="1566"/>
    </row>
    <row r="4473" spans="1:14">
      <c r="A4473" s="1544"/>
      <c r="B4473" s="381"/>
      <c r="C4473" s="369"/>
      <c r="D4473" s="379"/>
      <c r="E4473" s="379"/>
      <c r="F4473" s="379"/>
      <c r="G4473" s="379"/>
      <c r="H4473" s="380"/>
      <c r="I4473" s="1567"/>
      <c r="J4473" s="1543"/>
      <c r="K4473" s="1543"/>
      <c r="L4473" s="1543"/>
      <c r="M4473" s="1543"/>
      <c r="N4473" s="1566"/>
    </row>
    <row r="4474" spans="1:14">
      <c r="A4474" s="1542" t="s">
        <v>2218</v>
      </c>
      <c r="B4474" s="1542"/>
      <c r="C4474" s="1542"/>
      <c r="D4474" s="1542"/>
      <c r="E4474" s="1542"/>
      <c r="F4474" s="1542"/>
      <c r="G4474" s="1542"/>
      <c r="H4474" s="271">
        <f>SUM(H4456:H4473)</f>
        <v>72.099999999999994</v>
      </c>
      <c r="I4474" s="1567"/>
      <c r="J4474" s="1543"/>
      <c r="K4474" s="1543"/>
      <c r="L4474" s="1543"/>
      <c r="M4474" s="1543"/>
      <c r="N4474" s="1566"/>
    </row>
    <row r="4475" spans="1:14">
      <c r="A4475" s="1519" t="s">
        <v>2219</v>
      </c>
      <c r="B4475" s="1517"/>
      <c r="C4475" s="1517"/>
      <c r="D4475" s="1551"/>
      <c r="E4475" s="1551"/>
      <c r="F4475" s="1551"/>
      <c r="G4475" s="1552"/>
      <c r="H4475" s="272">
        <f>SUM(H4456:H4466)</f>
        <v>55.550000000000004</v>
      </c>
      <c r="I4475" s="1543"/>
      <c r="J4475" s="1543"/>
      <c r="K4475" s="1543"/>
      <c r="L4475" s="1543"/>
      <c r="M4475" s="1543"/>
      <c r="N4475" s="1566"/>
    </row>
    <row r="4476" spans="1:14" ht="15.75" thickBot="1">
      <c r="A4476" s="1520" t="s">
        <v>2220</v>
      </c>
      <c r="B4476" s="1521"/>
      <c r="C4476" s="1521"/>
      <c r="D4476" s="1521"/>
      <c r="E4476" s="1521"/>
      <c r="F4476" s="1521"/>
      <c r="G4476" s="1522"/>
      <c r="H4476" s="216">
        <f>H4474-H4475</f>
        <v>16.54999999999999</v>
      </c>
      <c r="I4476" s="1568"/>
      <c r="J4476" s="1568"/>
      <c r="K4476" s="1568"/>
      <c r="L4476" s="1568"/>
      <c r="M4476" s="1568"/>
      <c r="N4476" s="1569"/>
    </row>
    <row r="4477" spans="1:14" ht="15.75" thickBot="1">
      <c r="A4477" s="278"/>
      <c r="B4477" s="278"/>
      <c r="C4477" s="278"/>
      <c r="D4477" s="281"/>
      <c r="E4477" s="1319"/>
      <c r="F4477" s="278"/>
      <c r="G4477" s="278"/>
      <c r="H4477" s="217"/>
      <c r="I4477" s="279"/>
      <c r="J4477" s="279"/>
      <c r="K4477" s="279"/>
      <c r="L4477" s="279"/>
      <c r="M4477" s="279"/>
      <c r="N4477" s="279"/>
    </row>
    <row r="4478" spans="1:14">
      <c r="A4478" s="1085" t="s">
        <v>2721</v>
      </c>
      <c r="B4478" s="1494" t="s">
        <v>1120</v>
      </c>
      <c r="C4478" s="1495"/>
      <c r="D4478" s="1495"/>
      <c r="E4478" s="1495"/>
      <c r="F4478" s="1495"/>
      <c r="G4478" s="1495"/>
      <c r="H4478" s="1495"/>
      <c r="I4478" s="1495"/>
      <c r="J4478" s="1496"/>
      <c r="K4478" s="196" t="s">
        <v>2719</v>
      </c>
      <c r="L4478" s="1497">
        <f>'27ª MEDIÇÃO '!F263</f>
        <v>15.8</v>
      </c>
      <c r="M4478" s="1498"/>
      <c r="N4478" s="197">
        <f>L4478-H4489</f>
        <v>0</v>
      </c>
    </row>
    <row r="4479" spans="1:14" ht="14.45" customHeight="1">
      <c r="A4479" s="1554"/>
      <c r="B4479" s="1541"/>
      <c r="C4479" s="366"/>
      <c r="D4479" s="367" t="s">
        <v>2183</v>
      </c>
      <c r="E4479" s="1320" t="s">
        <v>2184</v>
      </c>
      <c r="F4479" s="367" t="s">
        <v>2185</v>
      </c>
      <c r="G4479" s="367" t="s">
        <v>2186</v>
      </c>
      <c r="H4479" s="1542" t="s">
        <v>476</v>
      </c>
      <c r="I4479" s="1543"/>
      <c r="J4479" s="1543"/>
      <c r="K4479" s="1543"/>
      <c r="L4479" s="1543"/>
      <c r="M4479" s="1543"/>
      <c r="N4479" s="1566"/>
    </row>
    <row r="4480" spans="1:14">
      <c r="A4480" s="1554"/>
      <c r="B4480" s="1541"/>
      <c r="C4480" s="368" t="s">
        <v>2627</v>
      </c>
      <c r="D4480" s="369" t="s">
        <v>2187</v>
      </c>
      <c r="E4480" s="529" t="s">
        <v>2596</v>
      </c>
      <c r="F4480" s="369" t="s">
        <v>2649</v>
      </c>
      <c r="G4480" s="370" t="s">
        <v>2709</v>
      </c>
      <c r="H4480" s="1542"/>
      <c r="I4480" s="1543"/>
      <c r="J4480" s="1543"/>
      <c r="K4480" s="1543"/>
      <c r="L4480" s="1543"/>
      <c r="M4480" s="1543"/>
      <c r="N4480" s="1566"/>
    </row>
    <row r="4481" spans="1:14">
      <c r="A4481" s="1544" t="s">
        <v>2662</v>
      </c>
      <c r="B4481" s="381"/>
      <c r="C4481" s="369"/>
      <c r="D4481" s="218"/>
      <c r="E4481" s="379"/>
      <c r="F4481" s="379"/>
      <c r="G4481" s="379"/>
      <c r="H4481" s="380"/>
      <c r="I4481" s="1567"/>
      <c r="J4481" s="1543"/>
      <c r="K4481" s="1543"/>
      <c r="L4481" s="1543"/>
      <c r="M4481" s="1543"/>
      <c r="N4481" s="1566"/>
    </row>
    <row r="4482" spans="1:14">
      <c r="A4482" s="1544"/>
      <c r="B4482" s="381" t="s">
        <v>2722</v>
      </c>
      <c r="D4482" s="369">
        <v>0.8</v>
      </c>
      <c r="E4482" s="379"/>
      <c r="F4482" s="379"/>
      <c r="G4482" s="379"/>
      <c r="H4482" s="380">
        <f>D4482</f>
        <v>0.8</v>
      </c>
      <c r="I4482" s="1567"/>
      <c r="J4482" s="1543"/>
      <c r="K4482" s="1543"/>
      <c r="L4482" s="1543"/>
      <c r="M4482" s="1543"/>
      <c r="N4482" s="1566"/>
    </row>
    <row r="4483" spans="1:14">
      <c r="A4483" s="1544"/>
      <c r="B4483" s="381"/>
      <c r="C4483" s="369"/>
      <c r="D4483" s="379"/>
      <c r="E4483" s="379"/>
      <c r="F4483" s="379"/>
      <c r="G4483" s="379"/>
      <c r="H4483" s="380"/>
      <c r="I4483" s="1567"/>
      <c r="J4483" s="1543"/>
      <c r="K4483" s="1543"/>
      <c r="L4483" s="1543"/>
      <c r="M4483" s="1543"/>
      <c r="N4483" s="1566"/>
    </row>
    <row r="4484" spans="1:14">
      <c r="A4484" s="1544"/>
      <c r="B4484" s="381"/>
      <c r="C4484" s="369"/>
      <c r="D4484" s="379"/>
      <c r="E4484" s="379"/>
      <c r="F4484" s="379"/>
      <c r="G4484" s="379"/>
      <c r="H4484" s="380"/>
      <c r="I4484" s="1567"/>
      <c r="J4484" s="1543"/>
      <c r="K4484" s="1543"/>
      <c r="L4484" s="1543"/>
      <c r="M4484" s="1543"/>
      <c r="N4484" s="1566"/>
    </row>
    <row r="4485" spans="1:14">
      <c r="A4485" s="1544"/>
      <c r="B4485" s="381"/>
      <c r="C4485" s="369"/>
      <c r="D4485" s="379"/>
      <c r="E4485" s="379"/>
      <c r="F4485" s="379"/>
      <c r="G4485" s="379"/>
      <c r="H4485" s="380"/>
      <c r="I4485" s="1567"/>
      <c r="J4485" s="1543"/>
      <c r="K4485" s="1543"/>
      <c r="L4485" s="1543"/>
      <c r="M4485" s="1543"/>
      <c r="N4485" s="1566"/>
    </row>
    <row r="4486" spans="1:14">
      <c r="A4486" s="1544" t="s">
        <v>3294</v>
      </c>
      <c r="B4486" s="381"/>
      <c r="C4486" s="369"/>
      <c r="D4486" s="218"/>
      <c r="E4486" s="379"/>
      <c r="F4486" s="379"/>
      <c r="G4486" s="379"/>
      <c r="H4486" s="380"/>
      <c r="I4486" s="1567"/>
      <c r="J4486" s="1543"/>
      <c r="K4486" s="1543"/>
      <c r="L4486" s="1543"/>
      <c r="M4486" s="1543"/>
      <c r="N4486" s="1566"/>
    </row>
    <row r="4487" spans="1:14">
      <c r="A4487" s="1544"/>
      <c r="B4487" s="381" t="s">
        <v>3342</v>
      </c>
      <c r="D4487" s="369">
        <v>15</v>
      </c>
      <c r="E4487" s="379"/>
      <c r="F4487" s="379"/>
      <c r="G4487" s="379"/>
      <c r="H4487" s="380">
        <f>D4487</f>
        <v>15</v>
      </c>
      <c r="I4487" s="1567"/>
      <c r="J4487" s="1543"/>
      <c r="K4487" s="1543"/>
      <c r="L4487" s="1543"/>
      <c r="M4487" s="1543"/>
      <c r="N4487" s="1566"/>
    </row>
    <row r="4488" spans="1:14">
      <c r="A4488" s="1544"/>
      <c r="B4488" s="381"/>
      <c r="C4488" s="369"/>
      <c r="D4488" s="379"/>
      <c r="E4488" s="379"/>
      <c r="F4488" s="379"/>
      <c r="G4488" s="379"/>
      <c r="H4488" s="380"/>
      <c r="I4488" s="1567"/>
      <c r="J4488" s="1543"/>
      <c r="K4488" s="1543"/>
      <c r="L4488" s="1543"/>
      <c r="M4488" s="1543"/>
      <c r="N4488" s="1566"/>
    </row>
    <row r="4489" spans="1:14">
      <c r="A4489" s="1542" t="s">
        <v>2218</v>
      </c>
      <c r="B4489" s="1542"/>
      <c r="C4489" s="1542"/>
      <c r="D4489" s="1542"/>
      <c r="E4489" s="1542"/>
      <c r="F4489" s="1542"/>
      <c r="G4489" s="1542"/>
      <c r="H4489" s="271">
        <f>SUM(H4481:H4488)</f>
        <v>15.8</v>
      </c>
      <c r="I4489" s="1567"/>
      <c r="J4489" s="1543"/>
      <c r="K4489" s="1543"/>
      <c r="L4489" s="1543"/>
      <c r="M4489" s="1543"/>
      <c r="N4489" s="1566"/>
    </row>
    <row r="4490" spans="1:14" ht="45.6" customHeight="1">
      <c r="A4490" s="1519" t="s">
        <v>2219</v>
      </c>
      <c r="B4490" s="1517"/>
      <c r="C4490" s="1517"/>
      <c r="D4490" s="1551"/>
      <c r="E4490" s="1551"/>
      <c r="F4490" s="1551"/>
      <c r="G4490" s="1552"/>
      <c r="H4490" s="272">
        <f>SUM(H4481:H4485)</f>
        <v>0.8</v>
      </c>
      <c r="I4490" s="1543"/>
      <c r="J4490" s="1543"/>
      <c r="K4490" s="1543"/>
      <c r="L4490" s="1543"/>
      <c r="M4490" s="1543"/>
      <c r="N4490" s="1566"/>
    </row>
    <row r="4491" spans="1:14" ht="15.75" thickBot="1">
      <c r="A4491" s="1520" t="s">
        <v>2220</v>
      </c>
      <c r="B4491" s="1521"/>
      <c r="C4491" s="1521"/>
      <c r="D4491" s="1521"/>
      <c r="E4491" s="1521"/>
      <c r="F4491" s="1521"/>
      <c r="G4491" s="1522"/>
      <c r="H4491" s="216">
        <f>H4489-H4490</f>
        <v>15</v>
      </c>
      <c r="I4491" s="1568"/>
      <c r="J4491" s="1568"/>
      <c r="K4491" s="1568"/>
      <c r="L4491" s="1568"/>
      <c r="M4491" s="1568"/>
      <c r="N4491" s="1569"/>
    </row>
    <row r="4492" spans="1:14" ht="15.75" thickBot="1"/>
    <row r="4493" spans="1:14">
      <c r="A4493" s="1085" t="s">
        <v>3350</v>
      </c>
      <c r="B4493" s="1494" t="s">
        <v>1123</v>
      </c>
      <c r="C4493" s="1495"/>
      <c r="D4493" s="1495"/>
      <c r="E4493" s="1495"/>
      <c r="F4493" s="1495"/>
      <c r="G4493" s="1495"/>
      <c r="H4493" s="1495"/>
      <c r="I4493" s="1495"/>
      <c r="J4493" s="1496"/>
      <c r="K4493" s="196" t="s">
        <v>2719</v>
      </c>
      <c r="L4493" s="1497">
        <f>'27ª MEDIÇÃO '!F264</f>
        <v>7</v>
      </c>
      <c r="M4493" s="1498"/>
      <c r="N4493" s="197">
        <f>L4493-H4499</f>
        <v>0</v>
      </c>
    </row>
    <row r="4494" spans="1:14">
      <c r="A4494" s="1554"/>
      <c r="B4494" s="1541"/>
      <c r="C4494" s="366"/>
      <c r="D4494" s="367" t="s">
        <v>2183</v>
      </c>
      <c r="E4494" s="1320" t="s">
        <v>2184</v>
      </c>
      <c r="F4494" s="367" t="s">
        <v>2185</v>
      </c>
      <c r="G4494" s="367" t="s">
        <v>2186</v>
      </c>
      <c r="H4494" s="1542" t="s">
        <v>476</v>
      </c>
      <c r="I4494" s="1543"/>
      <c r="J4494" s="1543"/>
      <c r="K4494" s="1543"/>
      <c r="L4494" s="1543"/>
      <c r="M4494" s="1543"/>
      <c r="N4494" s="1566"/>
    </row>
    <row r="4495" spans="1:14">
      <c r="A4495" s="1554"/>
      <c r="B4495" s="1541"/>
      <c r="C4495" s="368" t="s">
        <v>2627</v>
      </c>
      <c r="D4495" s="369" t="s">
        <v>2187</v>
      </c>
      <c r="E4495" s="529" t="s">
        <v>2596</v>
      </c>
      <c r="F4495" s="369" t="s">
        <v>2649</v>
      </c>
      <c r="G4495" s="370" t="s">
        <v>2709</v>
      </c>
      <c r="H4495" s="1542"/>
      <c r="I4495" s="1543"/>
      <c r="J4495" s="1543"/>
      <c r="K4495" s="1543"/>
      <c r="L4495" s="1543"/>
      <c r="M4495" s="1543"/>
      <c r="N4495" s="1566"/>
    </row>
    <row r="4496" spans="1:14">
      <c r="A4496" s="1544" t="s">
        <v>3294</v>
      </c>
      <c r="B4496" s="381"/>
      <c r="C4496" s="369"/>
      <c r="D4496" s="218"/>
      <c r="E4496" s="379"/>
      <c r="F4496" s="379"/>
      <c r="G4496" s="379"/>
      <c r="H4496" s="380"/>
      <c r="I4496" s="1567"/>
      <c r="J4496" s="1543"/>
      <c r="K4496" s="1543"/>
      <c r="L4496" s="1543"/>
      <c r="M4496" s="1543"/>
      <c r="N4496" s="1566"/>
    </row>
    <row r="4497" spans="1:14">
      <c r="A4497" s="1544"/>
      <c r="B4497" s="381" t="s">
        <v>3343</v>
      </c>
      <c r="D4497" s="369">
        <v>7</v>
      </c>
      <c r="E4497" s="379"/>
      <c r="F4497" s="379"/>
      <c r="G4497" s="379"/>
      <c r="H4497" s="380">
        <f>D4497</f>
        <v>7</v>
      </c>
      <c r="I4497" s="1567"/>
      <c r="J4497" s="1543"/>
      <c r="K4497" s="1543"/>
      <c r="L4497" s="1543"/>
      <c r="M4497" s="1543"/>
      <c r="N4497" s="1566"/>
    </row>
    <row r="4498" spans="1:14">
      <c r="A4498" s="1544"/>
      <c r="B4498" s="381"/>
      <c r="C4498" s="369"/>
      <c r="D4498" s="379"/>
      <c r="E4498" s="379"/>
      <c r="F4498" s="379"/>
      <c r="G4498" s="379"/>
      <c r="H4498" s="380"/>
      <c r="I4498" s="1567"/>
      <c r="J4498" s="1543"/>
      <c r="K4498" s="1543"/>
      <c r="L4498" s="1543"/>
      <c r="M4498" s="1543"/>
      <c r="N4498" s="1566"/>
    </row>
    <row r="4499" spans="1:14">
      <c r="A4499" s="1542" t="s">
        <v>2218</v>
      </c>
      <c r="B4499" s="1542"/>
      <c r="C4499" s="1542"/>
      <c r="D4499" s="1542"/>
      <c r="E4499" s="1542"/>
      <c r="F4499" s="1542"/>
      <c r="G4499" s="1542"/>
      <c r="H4499" s="271">
        <f>SUM(H4496:H4498)</f>
        <v>7</v>
      </c>
      <c r="I4499" s="1567"/>
      <c r="J4499" s="1543"/>
      <c r="K4499" s="1543"/>
      <c r="L4499" s="1543"/>
      <c r="M4499" s="1543"/>
      <c r="N4499" s="1566"/>
    </row>
    <row r="4500" spans="1:14">
      <c r="A4500" s="1519" t="s">
        <v>2219</v>
      </c>
      <c r="B4500" s="1517"/>
      <c r="C4500" s="1517"/>
      <c r="D4500" s="1551"/>
      <c r="E4500" s="1551"/>
      <c r="F4500" s="1551"/>
      <c r="G4500" s="1552"/>
      <c r="H4500" s="272"/>
      <c r="I4500" s="1543"/>
      <c r="J4500" s="1543"/>
      <c r="K4500" s="1543"/>
      <c r="L4500" s="1543"/>
      <c r="M4500" s="1543"/>
      <c r="N4500" s="1566"/>
    </row>
    <row r="4501" spans="1:14" ht="15.75" thickBot="1">
      <c r="A4501" s="1520" t="s">
        <v>2220</v>
      </c>
      <c r="B4501" s="1521"/>
      <c r="C4501" s="1521"/>
      <c r="D4501" s="1521"/>
      <c r="E4501" s="1521"/>
      <c r="F4501" s="1521"/>
      <c r="G4501" s="1522"/>
      <c r="H4501" s="216">
        <f>H4499-H4500</f>
        <v>7</v>
      </c>
      <c r="I4501" s="1568"/>
      <c r="J4501" s="1568"/>
      <c r="K4501" s="1568"/>
      <c r="L4501" s="1568"/>
      <c r="M4501" s="1568"/>
      <c r="N4501" s="1569"/>
    </row>
    <row r="4502" spans="1:14" ht="15.75" thickBot="1">
      <c r="A4502" s="1104"/>
      <c r="B4502" s="278"/>
      <c r="C4502" s="278"/>
      <c r="D4502" s="281"/>
      <c r="E4502" s="1319"/>
      <c r="F4502" s="278"/>
      <c r="G4502" s="278"/>
      <c r="H4502" s="217"/>
      <c r="I4502" s="279"/>
      <c r="J4502" s="321"/>
      <c r="K4502" s="322"/>
      <c r="L4502" s="322"/>
      <c r="M4502" s="321"/>
      <c r="N4502" s="323"/>
    </row>
    <row r="4503" spans="1:14" ht="15.75" thickBot="1">
      <c r="A4503" s="1117">
        <v>1403</v>
      </c>
      <c r="B4503" s="1689" t="s">
        <v>3344</v>
      </c>
      <c r="C4503" s="1689"/>
      <c r="D4503" s="1689"/>
      <c r="E4503" s="1689"/>
      <c r="F4503" s="1689"/>
      <c r="G4503" s="1689"/>
      <c r="H4503" s="1689"/>
      <c r="I4503" s="1689"/>
      <c r="J4503" s="1689"/>
      <c r="K4503" s="1689"/>
      <c r="L4503" s="1689"/>
      <c r="M4503" s="1689"/>
      <c r="N4503" s="1690"/>
    </row>
    <row r="4504" spans="1:14">
      <c r="A4504" s="1085" t="s">
        <v>2723</v>
      </c>
      <c r="B4504" s="1494" t="s">
        <v>1128</v>
      </c>
      <c r="C4504" s="1495"/>
      <c r="D4504" s="1495"/>
      <c r="E4504" s="1495"/>
      <c r="F4504" s="1495"/>
      <c r="G4504" s="1495"/>
      <c r="H4504" s="1495"/>
      <c r="I4504" s="1495"/>
      <c r="J4504" s="1496"/>
      <c r="K4504" s="196" t="s">
        <v>28</v>
      </c>
      <c r="L4504" s="1497">
        <v>4</v>
      </c>
      <c r="M4504" s="1498"/>
      <c r="N4504" s="197">
        <f>L4504-H4517</f>
        <v>0</v>
      </c>
    </row>
    <row r="4505" spans="1:14">
      <c r="A4505" s="1554"/>
      <c r="B4505" s="1541"/>
      <c r="C4505" s="366"/>
      <c r="D4505" s="367" t="s">
        <v>2183</v>
      </c>
      <c r="E4505" s="1320" t="s">
        <v>2184</v>
      </c>
      <c r="F4505" s="367" t="s">
        <v>2185</v>
      </c>
      <c r="G4505" s="367" t="s">
        <v>2186</v>
      </c>
      <c r="H4505" s="1542" t="s">
        <v>476</v>
      </c>
      <c r="I4505" s="1543"/>
      <c r="J4505" s="1543"/>
      <c r="K4505" s="1543"/>
      <c r="L4505" s="1543"/>
      <c r="M4505" s="1543"/>
      <c r="N4505" s="1566"/>
    </row>
    <row r="4506" spans="1:14">
      <c r="A4506" s="1554"/>
      <c r="B4506" s="1541"/>
      <c r="C4506" s="368" t="s">
        <v>2627</v>
      </c>
      <c r="D4506" s="369" t="s">
        <v>2187</v>
      </c>
      <c r="E4506" s="529" t="s">
        <v>2596</v>
      </c>
      <c r="F4506" s="369" t="s">
        <v>2649</v>
      </c>
      <c r="G4506" s="370" t="s">
        <v>2709</v>
      </c>
      <c r="H4506" s="1542"/>
      <c r="I4506" s="1543"/>
      <c r="J4506" s="1543"/>
      <c r="K4506" s="1543"/>
      <c r="L4506" s="1543"/>
      <c r="M4506" s="1543"/>
      <c r="N4506" s="1566"/>
    </row>
    <row r="4507" spans="1:14" ht="45.6" customHeight="1">
      <c r="A4507" s="1544" t="s">
        <v>2662</v>
      </c>
      <c r="B4507" s="381"/>
      <c r="C4507" s="369"/>
      <c r="D4507" s="218"/>
      <c r="E4507" s="379"/>
      <c r="F4507" s="379"/>
      <c r="G4507" s="379"/>
      <c r="H4507" s="380"/>
      <c r="I4507" s="1567"/>
      <c r="J4507" s="1543"/>
      <c r="K4507" s="1543"/>
      <c r="L4507" s="1543"/>
      <c r="M4507" s="1543"/>
      <c r="N4507" s="1566"/>
    </row>
    <row r="4508" spans="1:14">
      <c r="A4508" s="1544"/>
      <c r="B4508" s="381" t="s">
        <v>2724</v>
      </c>
      <c r="C4508" s="468">
        <v>1</v>
      </c>
      <c r="D4508" s="369"/>
      <c r="E4508" s="379"/>
      <c r="F4508" s="379"/>
      <c r="G4508" s="379"/>
      <c r="H4508" s="380">
        <f>C4508</f>
        <v>1</v>
      </c>
      <c r="I4508" s="1567"/>
      <c r="J4508" s="1543"/>
      <c r="K4508" s="1543"/>
      <c r="L4508" s="1543"/>
      <c r="M4508" s="1543"/>
      <c r="N4508" s="1566"/>
    </row>
    <row r="4509" spans="1:14">
      <c r="A4509" s="1544"/>
      <c r="B4509" s="381"/>
      <c r="C4509" s="369"/>
      <c r="D4509" s="379"/>
      <c r="E4509" s="379"/>
      <c r="F4509" s="379"/>
      <c r="G4509" s="379"/>
      <c r="H4509" s="380"/>
      <c r="I4509" s="1567"/>
      <c r="J4509" s="1543"/>
      <c r="K4509" s="1543"/>
      <c r="L4509" s="1543"/>
      <c r="M4509" s="1543"/>
      <c r="N4509" s="1566"/>
    </row>
    <row r="4510" spans="1:14">
      <c r="A4510" s="1544"/>
      <c r="B4510" s="381"/>
      <c r="C4510" s="369"/>
      <c r="D4510" s="379"/>
      <c r="E4510" s="379"/>
      <c r="F4510" s="379"/>
      <c r="G4510" s="379"/>
      <c r="H4510" s="380"/>
      <c r="I4510" s="1567"/>
      <c r="J4510" s="1543"/>
      <c r="K4510" s="1543"/>
      <c r="L4510" s="1543"/>
      <c r="M4510" s="1543"/>
      <c r="N4510" s="1566"/>
    </row>
    <row r="4511" spans="1:14">
      <c r="A4511" s="1544"/>
      <c r="B4511" s="381"/>
      <c r="C4511" s="369"/>
      <c r="D4511" s="379"/>
      <c r="E4511" s="379"/>
      <c r="F4511" s="379"/>
      <c r="G4511" s="379"/>
      <c r="H4511" s="380"/>
      <c r="I4511" s="1567"/>
      <c r="J4511" s="1543"/>
      <c r="K4511" s="1543"/>
      <c r="L4511" s="1543"/>
      <c r="M4511" s="1543"/>
      <c r="N4511" s="1566"/>
    </row>
    <row r="4512" spans="1:14">
      <c r="A4512" s="1544" t="s">
        <v>3217</v>
      </c>
      <c r="B4512" s="893" t="s">
        <v>2726</v>
      </c>
      <c r="C4512" s="369">
        <v>1</v>
      </c>
      <c r="D4512" s="218"/>
      <c r="E4512" s="379"/>
      <c r="F4512" s="379"/>
      <c r="G4512" s="379"/>
      <c r="H4512" s="380">
        <f>C4512</f>
        <v>1</v>
      </c>
      <c r="I4512" s="1567"/>
      <c r="J4512" s="1543"/>
      <c r="K4512" s="1543"/>
      <c r="L4512" s="1543"/>
      <c r="M4512" s="1543"/>
      <c r="N4512" s="1566"/>
    </row>
    <row r="4513" spans="1:14">
      <c r="A4513" s="1544"/>
      <c r="B4513" s="381" t="s">
        <v>3273</v>
      </c>
      <c r="C4513" s="369">
        <v>1</v>
      </c>
      <c r="D4513" s="369"/>
      <c r="E4513" s="379"/>
      <c r="F4513" s="379"/>
      <c r="G4513" s="379"/>
      <c r="H4513" s="380">
        <f>C4513</f>
        <v>1</v>
      </c>
      <c r="I4513" s="1567"/>
      <c r="J4513" s="1543"/>
      <c r="K4513" s="1543"/>
      <c r="L4513" s="1543"/>
      <c r="M4513" s="1543"/>
      <c r="N4513" s="1566"/>
    </row>
    <row r="4514" spans="1:14">
      <c r="A4514" s="1544"/>
      <c r="B4514" s="381" t="s">
        <v>3274</v>
      </c>
      <c r="C4514" s="369">
        <v>1</v>
      </c>
      <c r="D4514" s="379"/>
      <c r="E4514" s="379"/>
      <c r="F4514" s="379"/>
      <c r="G4514" s="379"/>
      <c r="H4514" s="380">
        <f>C4514</f>
        <v>1</v>
      </c>
      <c r="I4514" s="1567"/>
      <c r="J4514" s="1543"/>
      <c r="K4514" s="1543"/>
      <c r="L4514" s="1543"/>
      <c r="M4514" s="1543"/>
      <c r="N4514" s="1566"/>
    </row>
    <row r="4515" spans="1:14">
      <c r="A4515" s="1544"/>
      <c r="B4515" s="381" t="s">
        <v>3275</v>
      </c>
      <c r="C4515" s="369"/>
      <c r="D4515" s="379"/>
      <c r="E4515" s="379"/>
      <c r="F4515" s="379"/>
      <c r="G4515" s="379"/>
      <c r="H4515" s="380"/>
      <c r="I4515" s="1567"/>
      <c r="J4515" s="1543"/>
      <c r="K4515" s="1543"/>
      <c r="L4515" s="1543"/>
      <c r="M4515" s="1543"/>
      <c r="N4515" s="1566"/>
    </row>
    <row r="4516" spans="1:14">
      <c r="A4516" s="1544"/>
      <c r="B4516" s="381"/>
      <c r="C4516" s="369"/>
      <c r="D4516" s="379"/>
      <c r="E4516" s="379"/>
      <c r="F4516" s="379"/>
      <c r="G4516" s="379"/>
      <c r="H4516" s="380"/>
      <c r="I4516" s="1567"/>
      <c r="J4516" s="1543"/>
      <c r="K4516" s="1543"/>
      <c r="L4516" s="1543"/>
      <c r="M4516" s="1543"/>
      <c r="N4516" s="1566"/>
    </row>
    <row r="4517" spans="1:14">
      <c r="A4517" s="1542" t="s">
        <v>2218</v>
      </c>
      <c r="B4517" s="1542"/>
      <c r="C4517" s="1542"/>
      <c r="D4517" s="1542"/>
      <c r="E4517" s="1542"/>
      <c r="F4517" s="1542"/>
      <c r="G4517" s="1542"/>
      <c r="H4517" s="271">
        <f>SUM(H4507:H4516)</f>
        <v>4</v>
      </c>
      <c r="I4517" s="1567"/>
      <c r="J4517" s="1543"/>
      <c r="K4517" s="1543"/>
      <c r="L4517" s="1543"/>
      <c r="M4517" s="1543"/>
      <c r="N4517" s="1566"/>
    </row>
    <row r="4518" spans="1:14" ht="45.6" customHeight="1">
      <c r="A4518" s="1519" t="s">
        <v>2219</v>
      </c>
      <c r="B4518" s="1517"/>
      <c r="C4518" s="1517"/>
      <c r="D4518" s="1551"/>
      <c r="E4518" s="1551"/>
      <c r="F4518" s="1551"/>
      <c r="G4518" s="1552"/>
      <c r="H4518" s="272">
        <f>SUM(H4507:H4511)</f>
        <v>1</v>
      </c>
      <c r="I4518" s="1543"/>
      <c r="J4518" s="1543"/>
      <c r="K4518" s="1543"/>
      <c r="L4518" s="1543"/>
      <c r="M4518" s="1543"/>
      <c r="N4518" s="1566"/>
    </row>
    <row r="4519" spans="1:14" ht="15.75" thickBot="1">
      <c r="A4519" s="1520" t="s">
        <v>2220</v>
      </c>
      <c r="B4519" s="1521"/>
      <c r="C4519" s="1521"/>
      <c r="D4519" s="1521"/>
      <c r="E4519" s="1521"/>
      <c r="F4519" s="1521"/>
      <c r="G4519" s="1522"/>
      <c r="H4519" s="216">
        <f>H4517-H4518</f>
        <v>3</v>
      </c>
      <c r="I4519" s="1568"/>
      <c r="J4519" s="1568"/>
      <c r="K4519" s="1568"/>
      <c r="L4519" s="1568"/>
      <c r="M4519" s="1568"/>
      <c r="N4519" s="1569"/>
    </row>
    <row r="4520" spans="1:14" ht="15.75" thickBot="1">
      <c r="A4520" s="1104"/>
      <c r="B4520" s="278"/>
      <c r="C4520" s="278"/>
      <c r="D4520" s="281"/>
      <c r="E4520" s="1319"/>
      <c r="F4520" s="278"/>
      <c r="G4520" s="894"/>
      <c r="H4520" s="895"/>
      <c r="I4520" s="896"/>
      <c r="J4520" s="896"/>
      <c r="K4520" s="896"/>
      <c r="L4520" s="896"/>
      <c r="M4520" s="896"/>
      <c r="N4520" s="323"/>
    </row>
    <row r="4521" spans="1:14">
      <c r="A4521" s="1085" t="s">
        <v>3276</v>
      </c>
      <c r="B4521" s="1494" t="s">
        <v>1131</v>
      </c>
      <c r="C4521" s="1495"/>
      <c r="D4521" s="1495"/>
      <c r="E4521" s="1495"/>
      <c r="F4521" s="1495"/>
      <c r="G4521" s="1495"/>
      <c r="H4521" s="1495"/>
      <c r="I4521" s="1495"/>
      <c r="J4521" s="1496"/>
      <c r="K4521" s="196" t="s">
        <v>28</v>
      </c>
      <c r="L4521" s="1497">
        <f>'27ª MEDIÇÃO '!F267</f>
        <v>2</v>
      </c>
      <c r="M4521" s="1498"/>
      <c r="N4521" s="197">
        <f>L4521-H4528</f>
        <v>0</v>
      </c>
    </row>
    <row r="4522" spans="1:14">
      <c r="A4522" s="1554"/>
      <c r="B4522" s="1541"/>
      <c r="C4522" s="366"/>
      <c r="D4522" s="367" t="s">
        <v>2183</v>
      </c>
      <c r="E4522" s="1320" t="s">
        <v>2184</v>
      </c>
      <c r="F4522" s="367" t="s">
        <v>2185</v>
      </c>
      <c r="G4522" s="367" t="s">
        <v>2186</v>
      </c>
      <c r="H4522" s="1542" t="s">
        <v>476</v>
      </c>
      <c r="I4522" s="1543"/>
      <c r="J4522" s="1543"/>
      <c r="K4522" s="1543"/>
      <c r="L4522" s="1543"/>
      <c r="M4522" s="1543"/>
      <c r="N4522" s="1566"/>
    </row>
    <row r="4523" spans="1:14">
      <c r="A4523" s="1554"/>
      <c r="B4523" s="1541"/>
      <c r="C4523" s="368" t="s">
        <v>2627</v>
      </c>
      <c r="D4523" s="369" t="s">
        <v>2187</v>
      </c>
      <c r="E4523" s="529" t="s">
        <v>2596</v>
      </c>
      <c r="F4523" s="369" t="s">
        <v>2649</v>
      </c>
      <c r="G4523" s="370" t="s">
        <v>2709</v>
      </c>
      <c r="H4523" s="1542"/>
      <c r="I4523" s="1543"/>
      <c r="J4523" s="1543"/>
      <c r="K4523" s="1543"/>
      <c r="L4523" s="1543"/>
      <c r="M4523" s="1543"/>
      <c r="N4523" s="1566"/>
    </row>
    <row r="4524" spans="1:14">
      <c r="A4524" s="1544" t="s">
        <v>3217</v>
      </c>
      <c r="B4524" s="893" t="s">
        <v>2726</v>
      </c>
      <c r="C4524" s="369"/>
      <c r="D4524" s="218"/>
      <c r="E4524" s="379"/>
      <c r="F4524" s="379"/>
      <c r="G4524" s="379"/>
      <c r="H4524" s="380"/>
      <c r="I4524" s="1567"/>
      <c r="J4524" s="1543"/>
      <c r="K4524" s="1543"/>
      <c r="L4524" s="1543"/>
      <c r="M4524" s="1543"/>
      <c r="N4524" s="1566"/>
    </row>
    <row r="4525" spans="1:14">
      <c r="A4525" s="1544"/>
      <c r="B4525" s="381" t="s">
        <v>3277</v>
      </c>
      <c r="C4525" s="369">
        <v>1</v>
      </c>
      <c r="D4525" s="369"/>
      <c r="E4525" s="379"/>
      <c r="F4525" s="379"/>
      <c r="G4525" s="379"/>
      <c r="H4525" s="380">
        <f>C4525</f>
        <v>1</v>
      </c>
      <c r="I4525" s="1567"/>
      <c r="J4525" s="1543"/>
      <c r="K4525" s="1543"/>
      <c r="L4525" s="1543"/>
      <c r="M4525" s="1543"/>
      <c r="N4525" s="1566"/>
    </row>
    <row r="4526" spans="1:14">
      <c r="A4526" s="1544"/>
      <c r="B4526" s="381" t="s">
        <v>3278</v>
      </c>
      <c r="C4526" s="369">
        <v>1</v>
      </c>
      <c r="D4526" s="379"/>
      <c r="E4526" s="379"/>
      <c r="F4526" s="379"/>
      <c r="G4526" s="379"/>
      <c r="H4526" s="380">
        <f>C4526</f>
        <v>1</v>
      </c>
      <c r="I4526" s="1567"/>
      <c r="J4526" s="1543"/>
      <c r="K4526" s="1543"/>
      <c r="L4526" s="1543"/>
      <c r="M4526" s="1543"/>
      <c r="N4526" s="1566"/>
    </row>
    <row r="4527" spans="1:14">
      <c r="A4527" s="1544"/>
      <c r="B4527" s="381"/>
      <c r="C4527" s="369"/>
      <c r="D4527" s="379"/>
      <c r="E4527" s="379"/>
      <c r="F4527" s="379"/>
      <c r="G4527" s="379"/>
      <c r="H4527" s="380"/>
      <c r="I4527" s="1567"/>
      <c r="J4527" s="1543"/>
      <c r="K4527" s="1543"/>
      <c r="L4527" s="1543"/>
      <c r="M4527" s="1543"/>
      <c r="N4527" s="1566"/>
    </row>
    <row r="4528" spans="1:14" ht="45.6" customHeight="1">
      <c r="A4528" s="1542" t="s">
        <v>2218</v>
      </c>
      <c r="B4528" s="1542"/>
      <c r="C4528" s="1542"/>
      <c r="D4528" s="1542"/>
      <c r="E4528" s="1542"/>
      <c r="F4528" s="1542"/>
      <c r="G4528" s="1542"/>
      <c r="H4528" s="271">
        <f>SUM(H4524:H4527)</f>
        <v>2</v>
      </c>
      <c r="I4528" s="1567"/>
      <c r="J4528" s="1543"/>
      <c r="K4528" s="1543"/>
      <c r="L4528" s="1543"/>
      <c r="M4528" s="1543"/>
      <c r="N4528" s="1566"/>
    </row>
    <row r="4529" spans="1:14">
      <c r="A4529" s="1519" t="s">
        <v>2219</v>
      </c>
      <c r="B4529" s="1517"/>
      <c r="C4529" s="1517"/>
      <c r="D4529" s="1551"/>
      <c r="E4529" s="1551"/>
      <c r="F4529" s="1551"/>
      <c r="G4529" s="1552"/>
      <c r="H4529" s="272">
        <v>0</v>
      </c>
      <c r="I4529" s="1543"/>
      <c r="J4529" s="1543"/>
      <c r="K4529" s="1543"/>
      <c r="L4529" s="1543"/>
      <c r="M4529" s="1543"/>
      <c r="N4529" s="1566"/>
    </row>
    <row r="4530" spans="1:14" ht="15.75" thickBot="1">
      <c r="A4530" s="1520" t="s">
        <v>2220</v>
      </c>
      <c r="B4530" s="1521"/>
      <c r="C4530" s="1521"/>
      <c r="D4530" s="1521"/>
      <c r="E4530" s="1521"/>
      <c r="F4530" s="1521"/>
      <c r="G4530" s="1522"/>
      <c r="H4530" s="216">
        <f>H4528-H4529</f>
        <v>2</v>
      </c>
      <c r="I4530" s="1568"/>
      <c r="J4530" s="1568"/>
      <c r="K4530" s="1568"/>
      <c r="L4530" s="1568"/>
      <c r="M4530" s="1568"/>
      <c r="N4530" s="1569"/>
    </row>
    <row r="4531" spans="1:14" ht="15.75" thickBot="1">
      <c r="A4531" s="1104"/>
      <c r="B4531" s="278"/>
      <c r="C4531" s="278"/>
      <c r="D4531" s="281"/>
      <c r="E4531" s="1319"/>
      <c r="F4531" s="278"/>
      <c r="G4531" s="894"/>
      <c r="H4531" s="895"/>
      <c r="I4531" s="896"/>
      <c r="J4531" s="896"/>
      <c r="K4531" s="896"/>
      <c r="L4531" s="896"/>
      <c r="M4531" s="896"/>
      <c r="N4531" s="323"/>
    </row>
    <row r="4532" spans="1:14">
      <c r="A4532" s="1085" t="s">
        <v>3279</v>
      </c>
      <c r="B4532" s="1494" t="s">
        <v>1134</v>
      </c>
      <c r="C4532" s="1495"/>
      <c r="D4532" s="1495"/>
      <c r="E4532" s="1495"/>
      <c r="F4532" s="1495"/>
      <c r="G4532" s="1495"/>
      <c r="H4532" s="1495"/>
      <c r="I4532" s="1495"/>
      <c r="J4532" s="1496"/>
      <c r="K4532" s="196" t="s">
        <v>28</v>
      </c>
      <c r="L4532" s="1497">
        <f>'27ª MEDIÇÃO '!F268</f>
        <v>1</v>
      </c>
      <c r="M4532" s="1498"/>
      <c r="N4532" s="197">
        <f>L4532-H4538</f>
        <v>0</v>
      </c>
    </row>
    <row r="4533" spans="1:14">
      <c r="A4533" s="1554"/>
      <c r="B4533" s="1541"/>
      <c r="C4533" s="366"/>
      <c r="D4533" s="367" t="s">
        <v>2183</v>
      </c>
      <c r="E4533" s="1320" t="s">
        <v>2184</v>
      </c>
      <c r="F4533" s="367" t="s">
        <v>2185</v>
      </c>
      <c r="G4533" s="367" t="s">
        <v>2186</v>
      </c>
      <c r="H4533" s="1542" t="s">
        <v>476</v>
      </c>
      <c r="I4533" s="1543"/>
      <c r="J4533" s="1543"/>
      <c r="K4533" s="1543"/>
      <c r="L4533" s="1543"/>
      <c r="M4533" s="1543"/>
      <c r="N4533" s="1566"/>
    </row>
    <row r="4534" spans="1:14">
      <c r="A4534" s="1554"/>
      <c r="B4534" s="1541"/>
      <c r="C4534" s="368" t="s">
        <v>2627</v>
      </c>
      <c r="D4534" s="369" t="s">
        <v>2187</v>
      </c>
      <c r="E4534" s="529" t="s">
        <v>2596</v>
      </c>
      <c r="F4534" s="369" t="s">
        <v>2649</v>
      </c>
      <c r="G4534" s="370" t="s">
        <v>2709</v>
      </c>
      <c r="H4534" s="1542"/>
      <c r="I4534" s="1543"/>
      <c r="J4534" s="1543"/>
      <c r="K4534" s="1543"/>
      <c r="L4534" s="1543"/>
      <c r="M4534" s="1543"/>
      <c r="N4534" s="1566"/>
    </row>
    <row r="4535" spans="1:14">
      <c r="A4535" s="1544" t="s">
        <v>3217</v>
      </c>
      <c r="B4535" s="893" t="s">
        <v>2726</v>
      </c>
      <c r="C4535" s="369"/>
      <c r="D4535" s="218"/>
      <c r="E4535" s="379"/>
      <c r="F4535" s="379"/>
      <c r="G4535" s="379"/>
      <c r="H4535" s="380"/>
      <c r="I4535" s="1567"/>
      <c r="J4535" s="1543"/>
      <c r="K4535" s="1543"/>
      <c r="L4535" s="1543"/>
      <c r="M4535" s="1543"/>
      <c r="N4535" s="1566"/>
    </row>
    <row r="4536" spans="1:14">
      <c r="A4536" s="1544"/>
      <c r="B4536" s="381" t="s">
        <v>3280</v>
      </c>
      <c r="C4536" s="369">
        <v>1</v>
      </c>
      <c r="D4536" s="369"/>
      <c r="E4536" s="379"/>
      <c r="F4536" s="379"/>
      <c r="G4536" s="379"/>
      <c r="H4536" s="380">
        <f>C4536</f>
        <v>1</v>
      </c>
      <c r="I4536" s="1567"/>
      <c r="J4536" s="1543"/>
      <c r="K4536" s="1543"/>
      <c r="L4536" s="1543"/>
      <c r="M4536" s="1543"/>
      <c r="N4536" s="1566"/>
    </row>
    <row r="4537" spans="1:14">
      <c r="A4537" s="1544"/>
      <c r="B4537" s="381"/>
      <c r="C4537" s="369"/>
      <c r="D4537" s="379"/>
      <c r="E4537" s="379"/>
      <c r="F4537" s="379"/>
      <c r="G4537" s="379"/>
      <c r="H4537" s="380"/>
      <c r="I4537" s="1567"/>
      <c r="J4537" s="1543"/>
      <c r="K4537" s="1543"/>
      <c r="L4537" s="1543"/>
      <c r="M4537" s="1543"/>
      <c r="N4537" s="1566"/>
    </row>
    <row r="4538" spans="1:14">
      <c r="A4538" s="1542" t="s">
        <v>2218</v>
      </c>
      <c r="B4538" s="1542"/>
      <c r="C4538" s="1542"/>
      <c r="D4538" s="1542"/>
      <c r="E4538" s="1542"/>
      <c r="F4538" s="1542"/>
      <c r="G4538" s="1542"/>
      <c r="H4538" s="271">
        <f>SUM(H4535:H4537)</f>
        <v>1</v>
      </c>
      <c r="I4538" s="1567"/>
      <c r="J4538" s="1543"/>
      <c r="K4538" s="1543"/>
      <c r="L4538" s="1543"/>
      <c r="M4538" s="1543"/>
      <c r="N4538" s="1566"/>
    </row>
    <row r="4539" spans="1:14">
      <c r="A4539" s="1519" t="s">
        <v>2219</v>
      </c>
      <c r="B4539" s="1517"/>
      <c r="C4539" s="1517"/>
      <c r="D4539" s="1551"/>
      <c r="E4539" s="1551"/>
      <c r="F4539" s="1551"/>
      <c r="G4539" s="1552"/>
      <c r="H4539" s="272">
        <v>0</v>
      </c>
      <c r="I4539" s="1543"/>
      <c r="J4539" s="1543"/>
      <c r="K4539" s="1543"/>
      <c r="L4539" s="1543"/>
      <c r="M4539" s="1543"/>
      <c r="N4539" s="1566"/>
    </row>
    <row r="4540" spans="1:14" ht="15.75" thickBot="1">
      <c r="A4540" s="1520" t="s">
        <v>2220</v>
      </c>
      <c r="B4540" s="1521"/>
      <c r="C4540" s="1521"/>
      <c r="D4540" s="1521"/>
      <c r="E4540" s="1521"/>
      <c r="F4540" s="1521"/>
      <c r="G4540" s="1522"/>
      <c r="H4540" s="216">
        <f>H4538-H4539</f>
        <v>1</v>
      </c>
      <c r="I4540" s="1568"/>
      <c r="J4540" s="1568"/>
      <c r="K4540" s="1568"/>
      <c r="L4540" s="1568"/>
      <c r="M4540" s="1568"/>
      <c r="N4540" s="1569"/>
    </row>
    <row r="4541" spans="1:14" ht="15.75" thickBot="1">
      <c r="A4541" s="1104"/>
      <c r="B4541" s="278"/>
      <c r="C4541" s="278"/>
      <c r="D4541" s="281"/>
      <c r="E4541" s="1319"/>
      <c r="F4541" s="278"/>
      <c r="G4541" s="894"/>
      <c r="H4541" s="895"/>
      <c r="I4541" s="896"/>
      <c r="J4541" s="896"/>
      <c r="K4541" s="896"/>
      <c r="L4541" s="896"/>
      <c r="M4541" s="896"/>
      <c r="N4541" s="323"/>
    </row>
    <row r="4542" spans="1:14">
      <c r="A4542" s="1085" t="s">
        <v>3281</v>
      </c>
      <c r="B4542" s="1494" t="s">
        <v>1137</v>
      </c>
      <c r="C4542" s="1495"/>
      <c r="D4542" s="1495"/>
      <c r="E4542" s="1495"/>
      <c r="F4542" s="1495"/>
      <c r="G4542" s="1495"/>
      <c r="H4542" s="1495"/>
      <c r="I4542" s="1495"/>
      <c r="J4542" s="1496"/>
      <c r="K4542" s="196" t="s">
        <v>28</v>
      </c>
      <c r="L4542" s="1497">
        <f>'27ª MEDIÇÃO '!F269</f>
        <v>1</v>
      </c>
      <c r="M4542" s="1498"/>
      <c r="N4542" s="197">
        <f>L4542-H4548</f>
        <v>0</v>
      </c>
    </row>
    <row r="4543" spans="1:14">
      <c r="A4543" s="1554"/>
      <c r="B4543" s="1541"/>
      <c r="C4543" s="366"/>
      <c r="D4543" s="367" t="s">
        <v>2183</v>
      </c>
      <c r="E4543" s="1320" t="s">
        <v>2184</v>
      </c>
      <c r="F4543" s="367" t="s">
        <v>2185</v>
      </c>
      <c r="G4543" s="367" t="s">
        <v>2186</v>
      </c>
      <c r="H4543" s="1542" t="s">
        <v>476</v>
      </c>
      <c r="I4543" s="1543"/>
      <c r="J4543" s="1543"/>
      <c r="K4543" s="1543"/>
      <c r="L4543" s="1543"/>
      <c r="M4543" s="1543"/>
      <c r="N4543" s="1566"/>
    </row>
    <row r="4544" spans="1:14">
      <c r="A4544" s="1554"/>
      <c r="B4544" s="1541"/>
      <c r="C4544" s="368" t="s">
        <v>2627</v>
      </c>
      <c r="D4544" s="369" t="s">
        <v>2187</v>
      </c>
      <c r="E4544" s="529" t="s">
        <v>2596</v>
      </c>
      <c r="F4544" s="369" t="s">
        <v>2649</v>
      </c>
      <c r="G4544" s="370" t="s">
        <v>2709</v>
      </c>
      <c r="H4544" s="1542"/>
      <c r="I4544" s="1543"/>
      <c r="J4544" s="1543"/>
      <c r="K4544" s="1543"/>
      <c r="L4544" s="1543"/>
      <c r="M4544" s="1543"/>
      <c r="N4544" s="1566"/>
    </row>
    <row r="4545" spans="1:14">
      <c r="A4545" s="1544" t="s">
        <v>3217</v>
      </c>
      <c r="B4545" s="893" t="s">
        <v>3282</v>
      </c>
      <c r="C4545" s="369"/>
      <c r="D4545" s="218"/>
      <c r="E4545" s="379"/>
      <c r="F4545" s="379"/>
      <c r="G4545" s="379"/>
      <c r="H4545" s="380"/>
      <c r="I4545" s="1567"/>
      <c r="J4545" s="1543"/>
      <c r="K4545" s="1543"/>
      <c r="L4545" s="1543"/>
      <c r="M4545" s="1543"/>
      <c r="N4545" s="1566"/>
    </row>
    <row r="4546" spans="1:14">
      <c r="A4546" s="1544"/>
      <c r="B4546" s="381" t="s">
        <v>3283</v>
      </c>
      <c r="C4546" s="369">
        <v>1</v>
      </c>
      <c r="D4546" s="369"/>
      <c r="E4546" s="379"/>
      <c r="F4546" s="379"/>
      <c r="G4546" s="379"/>
      <c r="H4546" s="380">
        <f>C4546</f>
        <v>1</v>
      </c>
      <c r="I4546" s="1567"/>
      <c r="J4546" s="1543"/>
      <c r="K4546" s="1543"/>
      <c r="L4546" s="1543"/>
      <c r="M4546" s="1543"/>
      <c r="N4546" s="1566"/>
    </row>
    <row r="4547" spans="1:14" ht="45.6" customHeight="1">
      <c r="A4547" s="1544"/>
      <c r="B4547" s="381"/>
      <c r="C4547" s="369"/>
      <c r="D4547" s="379"/>
      <c r="E4547" s="379"/>
      <c r="F4547" s="379"/>
      <c r="G4547" s="379"/>
      <c r="H4547" s="380"/>
      <c r="I4547" s="1567"/>
      <c r="J4547" s="1543"/>
      <c r="K4547" s="1543"/>
      <c r="L4547" s="1543"/>
      <c r="M4547" s="1543"/>
      <c r="N4547" s="1566"/>
    </row>
    <row r="4548" spans="1:14">
      <c r="A4548" s="1542" t="s">
        <v>2218</v>
      </c>
      <c r="B4548" s="1542"/>
      <c r="C4548" s="1542"/>
      <c r="D4548" s="1542"/>
      <c r="E4548" s="1542"/>
      <c r="F4548" s="1542"/>
      <c r="G4548" s="1542"/>
      <c r="H4548" s="271">
        <f>SUM(H4545:H4547)</f>
        <v>1</v>
      </c>
      <c r="I4548" s="1567"/>
      <c r="J4548" s="1543"/>
      <c r="K4548" s="1543"/>
      <c r="L4548" s="1543"/>
      <c r="M4548" s="1543"/>
      <c r="N4548" s="1566"/>
    </row>
    <row r="4549" spans="1:14" ht="16.899999999999999" customHeight="1">
      <c r="A4549" s="1519" t="s">
        <v>2219</v>
      </c>
      <c r="B4549" s="1517"/>
      <c r="C4549" s="1517"/>
      <c r="D4549" s="1551"/>
      <c r="E4549" s="1551"/>
      <c r="F4549" s="1551"/>
      <c r="G4549" s="1552"/>
      <c r="H4549" s="272">
        <v>0</v>
      </c>
      <c r="I4549" s="1543"/>
      <c r="J4549" s="1543"/>
      <c r="K4549" s="1543"/>
      <c r="L4549" s="1543"/>
      <c r="M4549" s="1543"/>
      <c r="N4549" s="1566"/>
    </row>
    <row r="4550" spans="1:14" ht="15.75" thickBot="1">
      <c r="A4550" s="1520" t="s">
        <v>2220</v>
      </c>
      <c r="B4550" s="1521"/>
      <c r="C4550" s="1521"/>
      <c r="D4550" s="1521"/>
      <c r="E4550" s="1521"/>
      <c r="F4550" s="1521"/>
      <c r="G4550" s="1522"/>
      <c r="H4550" s="216">
        <f>H4548-H4549</f>
        <v>1</v>
      </c>
      <c r="I4550" s="1568"/>
      <c r="J4550" s="1568"/>
      <c r="K4550" s="1568"/>
      <c r="L4550" s="1568"/>
      <c r="M4550" s="1568"/>
      <c r="N4550" s="1569"/>
    </row>
    <row r="4551" spans="1:14" ht="15.75" thickBot="1">
      <c r="A4551" s="1104"/>
      <c r="B4551" s="278"/>
      <c r="C4551" s="278"/>
      <c r="D4551" s="281"/>
      <c r="E4551" s="1319"/>
      <c r="F4551" s="278"/>
      <c r="G4551" s="278"/>
      <c r="H4551" s="217"/>
      <c r="I4551" s="279"/>
      <c r="J4551" s="321"/>
      <c r="K4551" s="322"/>
      <c r="L4551" s="322"/>
      <c r="M4551" s="321"/>
      <c r="N4551" s="323"/>
    </row>
    <row r="4552" spans="1:14">
      <c r="A4552" s="1085" t="s">
        <v>3817</v>
      </c>
      <c r="B4552" s="1494" t="s">
        <v>1140</v>
      </c>
      <c r="C4552" s="1495"/>
      <c r="D4552" s="1495"/>
      <c r="E4552" s="1495"/>
      <c r="F4552" s="1495"/>
      <c r="G4552" s="1495"/>
      <c r="H4552" s="1495"/>
      <c r="I4552" s="1495"/>
      <c r="J4552" s="1496"/>
      <c r="K4552" s="196" t="s">
        <v>28</v>
      </c>
      <c r="L4552" s="1497">
        <v>1</v>
      </c>
      <c r="M4552" s="1498"/>
      <c r="N4552" s="197">
        <f>L4552-H4557</f>
        <v>0</v>
      </c>
    </row>
    <row r="4553" spans="1:14">
      <c r="A4553" s="1554"/>
      <c r="B4553" s="1541"/>
      <c r="C4553" s="366"/>
      <c r="D4553" s="367" t="s">
        <v>2183</v>
      </c>
      <c r="E4553" s="1320" t="s">
        <v>2184</v>
      </c>
      <c r="F4553" s="367" t="s">
        <v>2185</v>
      </c>
      <c r="G4553" s="367" t="s">
        <v>2186</v>
      </c>
      <c r="H4553" s="1542" t="s">
        <v>476</v>
      </c>
      <c r="I4553" s="1543"/>
      <c r="J4553" s="1543"/>
      <c r="K4553" s="1543"/>
      <c r="L4553" s="1543"/>
      <c r="M4553" s="1543"/>
      <c r="N4553" s="1566"/>
    </row>
    <row r="4554" spans="1:14">
      <c r="A4554" s="1554"/>
      <c r="B4554" s="1541"/>
      <c r="C4554" s="368" t="s">
        <v>2627</v>
      </c>
      <c r="D4554" s="369" t="s">
        <v>2187</v>
      </c>
      <c r="E4554" s="529" t="s">
        <v>2596</v>
      </c>
      <c r="F4554" s="369" t="s">
        <v>2649</v>
      </c>
      <c r="G4554" s="370" t="s">
        <v>2709</v>
      </c>
      <c r="H4554" s="1542"/>
      <c r="I4554" s="1543"/>
      <c r="J4554" s="1543"/>
      <c r="K4554" s="1543"/>
      <c r="L4554" s="1543"/>
      <c r="M4554" s="1543"/>
      <c r="N4554" s="1566"/>
    </row>
    <row r="4555" spans="1:14">
      <c r="A4555" s="1544" t="s">
        <v>3745</v>
      </c>
      <c r="B4555" s="381" t="s">
        <v>3818</v>
      </c>
      <c r="C4555" s="369">
        <v>1</v>
      </c>
      <c r="D4555" s="369"/>
      <c r="E4555" s="379"/>
      <c r="F4555" s="379"/>
      <c r="G4555" s="379"/>
      <c r="H4555" s="380">
        <f>C4555</f>
        <v>1</v>
      </c>
      <c r="I4555" s="1567"/>
      <c r="J4555" s="1543"/>
      <c r="K4555" s="1543"/>
      <c r="L4555" s="1543"/>
      <c r="M4555" s="1543"/>
      <c r="N4555" s="1566"/>
    </row>
    <row r="4556" spans="1:14">
      <c r="A4556" s="1544"/>
      <c r="B4556" s="381"/>
      <c r="C4556" s="369"/>
      <c r="D4556" s="379"/>
      <c r="E4556" s="379"/>
      <c r="F4556" s="379"/>
      <c r="G4556" s="379"/>
      <c r="H4556" s="380"/>
      <c r="I4556" s="1567"/>
      <c r="J4556" s="1543"/>
      <c r="K4556" s="1543"/>
      <c r="L4556" s="1543"/>
      <c r="M4556" s="1543"/>
      <c r="N4556" s="1566"/>
    </row>
    <row r="4557" spans="1:14">
      <c r="A4557" s="1542" t="s">
        <v>2218</v>
      </c>
      <c r="B4557" s="1542"/>
      <c r="C4557" s="1542"/>
      <c r="D4557" s="1542"/>
      <c r="E4557" s="1542"/>
      <c r="F4557" s="1542"/>
      <c r="G4557" s="1542"/>
      <c r="H4557" s="271">
        <f>SUM(H4555:H4556)</f>
        <v>1</v>
      </c>
      <c r="I4557" s="1567"/>
      <c r="J4557" s="1543"/>
      <c r="K4557" s="1543"/>
      <c r="L4557" s="1543"/>
      <c r="M4557" s="1543"/>
      <c r="N4557" s="1566"/>
    </row>
    <row r="4558" spans="1:14">
      <c r="A4558" s="1519" t="s">
        <v>2219</v>
      </c>
      <c r="B4558" s="1517"/>
      <c r="C4558" s="1517"/>
      <c r="D4558" s="1551"/>
      <c r="E4558" s="1551"/>
      <c r="F4558" s="1551"/>
      <c r="G4558" s="1552"/>
      <c r="H4558" s="272">
        <v>0</v>
      </c>
      <c r="I4558" s="1543"/>
      <c r="J4558" s="1543"/>
      <c r="K4558" s="1543"/>
      <c r="L4558" s="1543"/>
      <c r="M4558" s="1543"/>
      <c r="N4558" s="1566"/>
    </row>
    <row r="4559" spans="1:14" ht="15.75" thickBot="1">
      <c r="A4559" s="1520" t="s">
        <v>2220</v>
      </c>
      <c r="B4559" s="1521"/>
      <c r="C4559" s="1521"/>
      <c r="D4559" s="1521"/>
      <c r="E4559" s="1521"/>
      <c r="F4559" s="1521"/>
      <c r="G4559" s="1522"/>
      <c r="H4559" s="216">
        <f>H4557-H4558</f>
        <v>1</v>
      </c>
      <c r="I4559" s="1568"/>
      <c r="J4559" s="1568"/>
      <c r="K4559" s="1568"/>
      <c r="L4559" s="1568"/>
      <c r="M4559" s="1568"/>
      <c r="N4559" s="1569"/>
    </row>
    <row r="4560" spans="1:14" ht="45.6" customHeight="1" thickBot="1">
      <c r="A4560" s="1104"/>
      <c r="B4560" s="278"/>
      <c r="C4560" s="278"/>
      <c r="D4560" s="281"/>
      <c r="E4560" s="1319"/>
      <c r="F4560" s="278"/>
      <c r="G4560" s="278"/>
      <c r="H4560" s="217"/>
      <c r="I4560" s="279"/>
      <c r="J4560" s="321"/>
      <c r="K4560" s="322"/>
      <c r="L4560" s="322"/>
      <c r="M4560" s="321"/>
      <c r="N4560" s="323"/>
    </row>
    <row r="4561" spans="1:14">
      <c r="A4561" s="1085" t="s">
        <v>3345</v>
      </c>
      <c r="B4561" s="1494" t="s">
        <v>1143</v>
      </c>
      <c r="C4561" s="1495"/>
      <c r="D4561" s="1495"/>
      <c r="E4561" s="1495"/>
      <c r="F4561" s="1495"/>
      <c r="G4561" s="1495"/>
      <c r="H4561" s="1495"/>
      <c r="I4561" s="1495"/>
      <c r="J4561" s="1496"/>
      <c r="K4561" s="196" t="s">
        <v>28</v>
      </c>
      <c r="L4561" s="1497">
        <f>'27ª MEDIÇÃO '!F271</f>
        <v>2</v>
      </c>
      <c r="M4561" s="1498"/>
      <c r="N4561" s="197">
        <f>L4561-H4570</f>
        <v>0</v>
      </c>
    </row>
    <row r="4562" spans="1:14">
      <c r="A4562" s="1554"/>
      <c r="B4562" s="1541"/>
      <c r="C4562" s="366"/>
      <c r="D4562" s="367" t="s">
        <v>2183</v>
      </c>
      <c r="E4562" s="1320" t="s">
        <v>2184</v>
      </c>
      <c r="F4562" s="367" t="s">
        <v>2185</v>
      </c>
      <c r="G4562" s="367" t="s">
        <v>2186</v>
      </c>
      <c r="H4562" s="1542" t="s">
        <v>476</v>
      </c>
      <c r="I4562" s="1543"/>
      <c r="J4562" s="1543"/>
      <c r="K4562" s="1543"/>
      <c r="L4562" s="1543"/>
      <c r="M4562" s="1543"/>
      <c r="N4562" s="1566"/>
    </row>
    <row r="4563" spans="1:14">
      <c r="A4563" s="1554"/>
      <c r="B4563" s="1541"/>
      <c r="C4563" s="368" t="s">
        <v>2627</v>
      </c>
      <c r="D4563" s="369" t="s">
        <v>2187</v>
      </c>
      <c r="E4563" s="529" t="s">
        <v>2596</v>
      </c>
      <c r="F4563" s="369" t="s">
        <v>2649</v>
      </c>
      <c r="G4563" s="370" t="s">
        <v>2709</v>
      </c>
      <c r="H4563" s="1542"/>
      <c r="I4563" s="1543"/>
      <c r="J4563" s="1543"/>
      <c r="K4563" s="1543"/>
      <c r="L4563" s="1543"/>
      <c r="M4563" s="1543"/>
      <c r="N4563" s="1566"/>
    </row>
    <row r="4564" spans="1:14">
      <c r="A4564" s="1544" t="s">
        <v>3294</v>
      </c>
      <c r="B4564" s="893"/>
      <c r="C4564" s="369"/>
      <c r="D4564" s="218"/>
      <c r="E4564" s="379"/>
      <c r="F4564" s="379"/>
      <c r="G4564" s="379"/>
      <c r="H4564" s="380"/>
      <c r="I4564" s="1567"/>
      <c r="J4564" s="1543"/>
      <c r="K4564" s="1543"/>
      <c r="L4564" s="1543"/>
      <c r="M4564" s="1543"/>
      <c r="N4564" s="1566"/>
    </row>
    <row r="4565" spans="1:14">
      <c r="A4565" s="1544"/>
      <c r="B4565" s="381" t="s">
        <v>3346</v>
      </c>
      <c r="C4565" s="369">
        <v>1</v>
      </c>
      <c r="D4565" s="369"/>
      <c r="E4565" s="379"/>
      <c r="F4565" s="379"/>
      <c r="G4565" s="379"/>
      <c r="H4565" s="380">
        <f>C4565</f>
        <v>1</v>
      </c>
      <c r="I4565" s="1567"/>
      <c r="J4565" s="1543"/>
      <c r="K4565" s="1543"/>
      <c r="L4565" s="1543"/>
      <c r="M4565" s="1543"/>
      <c r="N4565" s="1566"/>
    </row>
    <row r="4566" spans="1:14">
      <c r="A4566" s="1544"/>
      <c r="B4566" s="381"/>
      <c r="C4566" s="369"/>
      <c r="D4566" s="379"/>
      <c r="E4566" s="379"/>
      <c r="F4566" s="379"/>
      <c r="G4566" s="379"/>
      <c r="H4566" s="380"/>
      <c r="I4566" s="1567"/>
      <c r="J4566" s="1543"/>
      <c r="K4566" s="1543"/>
      <c r="L4566" s="1543"/>
      <c r="M4566" s="1543"/>
      <c r="N4566" s="1566"/>
    </row>
    <row r="4567" spans="1:14">
      <c r="A4567" s="1544" t="s">
        <v>3364</v>
      </c>
      <c r="B4567" s="893"/>
      <c r="C4567" s="369"/>
      <c r="D4567" s="218"/>
      <c r="E4567" s="379"/>
      <c r="F4567" s="379"/>
      <c r="G4567" s="379"/>
      <c r="H4567" s="380"/>
      <c r="I4567" s="1567"/>
      <c r="J4567" s="1543"/>
      <c r="K4567" s="1543"/>
      <c r="L4567" s="1543"/>
      <c r="M4567" s="1543"/>
      <c r="N4567" s="1566"/>
    </row>
    <row r="4568" spans="1:14">
      <c r="A4568" s="1544"/>
      <c r="B4568" s="381" t="s">
        <v>3416</v>
      </c>
      <c r="C4568" s="369">
        <v>1</v>
      </c>
      <c r="D4568" s="369"/>
      <c r="E4568" s="379"/>
      <c r="F4568" s="379"/>
      <c r="G4568" s="379"/>
      <c r="H4568" s="380">
        <f>C4568</f>
        <v>1</v>
      </c>
      <c r="I4568" s="1567"/>
      <c r="J4568" s="1543"/>
      <c r="K4568" s="1543"/>
      <c r="L4568" s="1543"/>
      <c r="M4568" s="1543"/>
      <c r="N4568" s="1566"/>
    </row>
    <row r="4569" spans="1:14">
      <c r="A4569" s="1544"/>
      <c r="B4569" s="381"/>
      <c r="C4569" s="369"/>
      <c r="D4569" s="379"/>
      <c r="E4569" s="379"/>
      <c r="F4569" s="379"/>
      <c r="G4569" s="379"/>
      <c r="H4569" s="380"/>
      <c r="I4569" s="1567"/>
      <c r="J4569" s="1543"/>
      <c r="K4569" s="1543"/>
      <c r="L4569" s="1543"/>
      <c r="M4569" s="1543"/>
      <c r="N4569" s="1566"/>
    </row>
    <row r="4570" spans="1:14" ht="45.6" customHeight="1">
      <c r="A4570" s="1542" t="s">
        <v>2218</v>
      </c>
      <c r="B4570" s="1542"/>
      <c r="C4570" s="1542"/>
      <c r="D4570" s="1542"/>
      <c r="E4570" s="1542"/>
      <c r="F4570" s="1542"/>
      <c r="G4570" s="1542"/>
      <c r="H4570" s="271">
        <f>SUM(H4564:H4569)</f>
        <v>2</v>
      </c>
      <c r="I4570" s="1567"/>
      <c r="J4570" s="1543"/>
      <c r="K4570" s="1543"/>
      <c r="L4570" s="1543"/>
      <c r="M4570" s="1543"/>
      <c r="N4570" s="1566"/>
    </row>
    <row r="4571" spans="1:14">
      <c r="A4571" s="1519" t="s">
        <v>2219</v>
      </c>
      <c r="B4571" s="1517"/>
      <c r="C4571" s="1517"/>
      <c r="D4571" s="1551"/>
      <c r="E4571" s="1551"/>
      <c r="F4571" s="1551"/>
      <c r="G4571" s="1552"/>
      <c r="H4571" s="272">
        <f>SUM(H4564:H4566)</f>
        <v>1</v>
      </c>
      <c r="I4571" s="1543"/>
      <c r="J4571" s="1543"/>
      <c r="K4571" s="1543"/>
      <c r="L4571" s="1543"/>
      <c r="M4571" s="1543"/>
      <c r="N4571" s="1566"/>
    </row>
    <row r="4572" spans="1:14" ht="15.75" thickBot="1">
      <c r="A4572" s="1520" t="s">
        <v>2220</v>
      </c>
      <c r="B4572" s="1521"/>
      <c r="C4572" s="1521"/>
      <c r="D4572" s="1521"/>
      <c r="E4572" s="1521"/>
      <c r="F4572" s="1521"/>
      <c r="G4572" s="1522"/>
      <c r="H4572" s="216">
        <f>H4570-H4571</f>
        <v>1</v>
      </c>
      <c r="I4572" s="1568"/>
      <c r="J4572" s="1568"/>
      <c r="K4572" s="1568"/>
      <c r="L4572" s="1568"/>
      <c r="M4572" s="1568"/>
      <c r="N4572" s="1569"/>
    </row>
    <row r="4573" spans="1:14" ht="15.75" thickBot="1">
      <c r="A4573" s="1104"/>
      <c r="B4573" s="278"/>
      <c r="C4573" s="278"/>
      <c r="D4573" s="281"/>
      <c r="E4573" s="1319"/>
      <c r="F4573" s="278"/>
      <c r="G4573" s="894"/>
      <c r="H4573" s="895"/>
      <c r="I4573" s="896"/>
      <c r="J4573" s="896"/>
      <c r="K4573" s="896"/>
      <c r="L4573" s="896"/>
      <c r="M4573" s="896"/>
      <c r="N4573" s="323"/>
    </row>
    <row r="4574" spans="1:14">
      <c r="A4574" s="1085" t="s">
        <v>3284</v>
      </c>
      <c r="B4574" s="1494" t="s">
        <v>1146</v>
      </c>
      <c r="C4574" s="1495"/>
      <c r="D4574" s="1495"/>
      <c r="E4574" s="1495"/>
      <c r="F4574" s="1495"/>
      <c r="G4574" s="1495"/>
      <c r="H4574" s="1495"/>
      <c r="I4574" s="1495"/>
      <c r="J4574" s="1496"/>
      <c r="K4574" s="196" t="s">
        <v>28</v>
      </c>
      <c r="L4574" s="1497">
        <f>'27ª MEDIÇÃO '!F272</f>
        <v>4</v>
      </c>
      <c r="M4574" s="1498"/>
      <c r="N4574" s="197">
        <f>L4574-H4580</f>
        <v>0</v>
      </c>
    </row>
    <row r="4575" spans="1:14">
      <c r="A4575" s="1554"/>
      <c r="B4575" s="1541"/>
      <c r="C4575" s="366"/>
      <c r="D4575" s="367" t="s">
        <v>2183</v>
      </c>
      <c r="E4575" s="1320" t="s">
        <v>2184</v>
      </c>
      <c r="F4575" s="367" t="s">
        <v>2185</v>
      </c>
      <c r="G4575" s="367" t="s">
        <v>2186</v>
      </c>
      <c r="H4575" s="1542" t="s">
        <v>476</v>
      </c>
      <c r="I4575" s="1543"/>
      <c r="J4575" s="1543"/>
      <c r="K4575" s="1543"/>
      <c r="L4575" s="1543"/>
      <c r="M4575" s="1543"/>
      <c r="N4575" s="1566"/>
    </row>
    <row r="4576" spans="1:14">
      <c r="A4576" s="1554"/>
      <c r="B4576" s="1541"/>
      <c r="C4576" s="368" t="s">
        <v>2627</v>
      </c>
      <c r="D4576" s="369" t="s">
        <v>2187</v>
      </c>
      <c r="E4576" s="529" t="s">
        <v>2596</v>
      </c>
      <c r="F4576" s="369" t="s">
        <v>2649</v>
      </c>
      <c r="G4576" s="370" t="s">
        <v>2709</v>
      </c>
      <c r="H4576" s="1542"/>
      <c r="I4576" s="1543"/>
      <c r="J4576" s="1543"/>
      <c r="K4576" s="1543"/>
      <c r="L4576" s="1543"/>
      <c r="M4576" s="1543"/>
      <c r="N4576" s="1566"/>
    </row>
    <row r="4577" spans="1:14">
      <c r="A4577" s="1544" t="s">
        <v>3217</v>
      </c>
      <c r="B4577" s="893" t="s">
        <v>3282</v>
      </c>
      <c r="C4577" s="369"/>
      <c r="D4577" s="218"/>
      <c r="E4577" s="379"/>
      <c r="F4577" s="379"/>
      <c r="G4577" s="379"/>
      <c r="H4577" s="380"/>
      <c r="I4577" s="1567"/>
      <c r="J4577" s="1543"/>
      <c r="K4577" s="1543"/>
      <c r="L4577" s="1543"/>
      <c r="M4577" s="1543"/>
      <c r="N4577" s="1566"/>
    </row>
    <row r="4578" spans="1:14">
      <c r="A4578" s="1544"/>
      <c r="B4578" s="381" t="s">
        <v>3285</v>
      </c>
      <c r="C4578" s="369">
        <v>4</v>
      </c>
      <c r="D4578" s="369"/>
      <c r="E4578" s="379"/>
      <c r="F4578" s="379"/>
      <c r="G4578" s="379"/>
      <c r="H4578" s="380">
        <f>C4578</f>
        <v>4</v>
      </c>
      <c r="I4578" s="1567"/>
      <c r="J4578" s="1543"/>
      <c r="K4578" s="1543"/>
      <c r="L4578" s="1543"/>
      <c r="M4578" s="1543"/>
      <c r="N4578" s="1566"/>
    </row>
    <row r="4579" spans="1:14">
      <c r="A4579" s="1544"/>
      <c r="B4579" s="381"/>
      <c r="C4579" s="369"/>
      <c r="D4579" s="379"/>
      <c r="E4579" s="379"/>
      <c r="F4579" s="379"/>
      <c r="G4579" s="379"/>
      <c r="H4579" s="380"/>
      <c r="I4579" s="1567"/>
      <c r="J4579" s="1543"/>
      <c r="K4579" s="1543"/>
      <c r="L4579" s="1543"/>
      <c r="M4579" s="1543"/>
      <c r="N4579" s="1566"/>
    </row>
    <row r="4580" spans="1:14">
      <c r="A4580" s="1542" t="s">
        <v>2218</v>
      </c>
      <c r="B4580" s="1542"/>
      <c r="C4580" s="1542"/>
      <c r="D4580" s="1542"/>
      <c r="E4580" s="1542"/>
      <c r="F4580" s="1542"/>
      <c r="G4580" s="1542"/>
      <c r="H4580" s="271">
        <f>SUM(H4577:H4579)</f>
        <v>4</v>
      </c>
      <c r="I4580" s="1567"/>
      <c r="J4580" s="1543"/>
      <c r="K4580" s="1543"/>
      <c r="L4580" s="1543"/>
      <c r="M4580" s="1543"/>
      <c r="N4580" s="1566"/>
    </row>
    <row r="4581" spans="1:14" s="53" customFormat="1" ht="26.45" customHeight="1">
      <c r="A4581" s="1519" t="s">
        <v>2219</v>
      </c>
      <c r="B4581" s="1517"/>
      <c r="C4581" s="1517"/>
      <c r="D4581" s="1551"/>
      <c r="E4581" s="1551"/>
      <c r="F4581" s="1551"/>
      <c r="G4581" s="1552"/>
      <c r="H4581" s="272">
        <v>0</v>
      </c>
      <c r="I4581" s="1543"/>
      <c r="J4581" s="1543"/>
      <c r="K4581" s="1543"/>
      <c r="L4581" s="1543"/>
      <c r="M4581" s="1543"/>
      <c r="N4581" s="1566"/>
    </row>
    <row r="4582" spans="1:14" ht="15.75" thickBot="1">
      <c r="A4582" s="1520" t="s">
        <v>2220</v>
      </c>
      <c r="B4582" s="1521"/>
      <c r="C4582" s="1521"/>
      <c r="D4582" s="1521"/>
      <c r="E4582" s="1521"/>
      <c r="F4582" s="1521"/>
      <c r="G4582" s="1522"/>
      <c r="H4582" s="216">
        <f>H4580-H4581</f>
        <v>4</v>
      </c>
      <c r="I4582" s="1568"/>
      <c r="J4582" s="1568"/>
      <c r="K4582" s="1568"/>
      <c r="L4582" s="1568"/>
      <c r="M4582" s="1568"/>
      <c r="N4582" s="1569"/>
    </row>
    <row r="4583" spans="1:14" ht="15.75" thickBot="1">
      <c r="A4583" s="1104"/>
      <c r="B4583" s="278"/>
      <c r="C4583" s="278"/>
      <c r="D4583" s="281"/>
      <c r="E4583" s="1319"/>
      <c r="F4583" s="278"/>
      <c r="G4583" s="894"/>
      <c r="H4583" s="895"/>
      <c r="I4583" s="896"/>
      <c r="J4583" s="896"/>
      <c r="K4583" s="896"/>
      <c r="L4583" s="896"/>
      <c r="M4583" s="896"/>
      <c r="N4583" s="323"/>
    </row>
    <row r="4584" spans="1:14">
      <c r="A4584" s="1085" t="s">
        <v>3417</v>
      </c>
      <c r="B4584" s="1494" t="s">
        <v>1149</v>
      </c>
      <c r="C4584" s="1495"/>
      <c r="D4584" s="1495"/>
      <c r="E4584" s="1495"/>
      <c r="F4584" s="1495"/>
      <c r="G4584" s="1495"/>
      <c r="H4584" s="1495"/>
      <c r="I4584" s="1495"/>
      <c r="J4584" s="1496"/>
      <c r="K4584" s="196" t="s">
        <v>28</v>
      </c>
      <c r="L4584" s="1497">
        <f>'27ª MEDIÇÃO '!F273</f>
        <v>4.3</v>
      </c>
      <c r="M4584" s="1498"/>
      <c r="N4584" s="197">
        <f>L4584-H4590</f>
        <v>0</v>
      </c>
    </row>
    <row r="4585" spans="1:14">
      <c r="A4585" s="1554"/>
      <c r="B4585" s="1541"/>
      <c r="C4585" s="366"/>
      <c r="D4585" s="367" t="s">
        <v>2183</v>
      </c>
      <c r="E4585" s="1320" t="s">
        <v>2184</v>
      </c>
      <c r="F4585" s="367" t="s">
        <v>2185</v>
      </c>
      <c r="G4585" s="367" t="s">
        <v>2186</v>
      </c>
      <c r="H4585" s="1542" t="s">
        <v>476</v>
      </c>
      <c r="I4585" s="1543"/>
      <c r="J4585" s="1543"/>
      <c r="K4585" s="1543"/>
      <c r="L4585" s="1543"/>
      <c r="M4585" s="1543"/>
      <c r="N4585" s="1566"/>
    </row>
    <row r="4586" spans="1:14">
      <c r="A4586" s="1554"/>
      <c r="B4586" s="1541"/>
      <c r="C4586" s="368" t="s">
        <v>2627</v>
      </c>
      <c r="D4586" s="369" t="s">
        <v>2187</v>
      </c>
      <c r="E4586" s="529" t="s">
        <v>2596</v>
      </c>
      <c r="F4586" s="369" t="s">
        <v>2649</v>
      </c>
      <c r="G4586" s="370" t="s">
        <v>2709</v>
      </c>
      <c r="H4586" s="1542"/>
      <c r="I4586" s="1543"/>
      <c r="J4586" s="1543"/>
      <c r="K4586" s="1543"/>
      <c r="L4586" s="1543"/>
      <c r="M4586" s="1543"/>
      <c r="N4586" s="1566"/>
    </row>
    <row r="4587" spans="1:14">
      <c r="A4587" s="1544" t="s">
        <v>3364</v>
      </c>
      <c r="B4587" s="893"/>
      <c r="C4587" s="369"/>
      <c r="D4587" s="218"/>
      <c r="E4587" s="379"/>
      <c r="F4587" s="379"/>
      <c r="G4587" s="379"/>
      <c r="H4587" s="380"/>
      <c r="I4587" s="1567"/>
      <c r="J4587" s="1543"/>
      <c r="K4587" s="1543"/>
      <c r="L4587" s="1543"/>
      <c r="M4587" s="1543"/>
      <c r="N4587" s="1566"/>
    </row>
    <row r="4588" spans="1:14">
      <c r="A4588" s="1544"/>
      <c r="B4588" s="381" t="s">
        <v>3418</v>
      </c>
      <c r="C4588" s="369">
        <v>4.3</v>
      </c>
      <c r="D4588" s="369"/>
      <c r="E4588" s="379"/>
      <c r="F4588" s="379"/>
      <c r="G4588" s="379"/>
      <c r="H4588" s="380">
        <f>C4588</f>
        <v>4.3</v>
      </c>
      <c r="I4588" s="1567"/>
      <c r="J4588" s="1543"/>
      <c r="K4588" s="1543"/>
      <c r="L4588" s="1543"/>
      <c r="M4588" s="1543"/>
      <c r="N4588" s="1566"/>
    </row>
    <row r="4589" spans="1:14">
      <c r="A4589" s="1544"/>
      <c r="B4589" s="381"/>
      <c r="C4589" s="369"/>
      <c r="D4589" s="379"/>
      <c r="E4589" s="379"/>
      <c r="F4589" s="379"/>
      <c r="G4589" s="379"/>
      <c r="H4589" s="380"/>
      <c r="I4589" s="1567"/>
      <c r="J4589" s="1543"/>
      <c r="K4589" s="1543"/>
      <c r="L4589" s="1543"/>
      <c r="M4589" s="1543"/>
      <c r="N4589" s="1566"/>
    </row>
    <row r="4590" spans="1:14">
      <c r="A4590" s="1542" t="s">
        <v>2218</v>
      </c>
      <c r="B4590" s="1542"/>
      <c r="C4590" s="1542"/>
      <c r="D4590" s="1542"/>
      <c r="E4590" s="1542"/>
      <c r="F4590" s="1542"/>
      <c r="G4590" s="1542"/>
      <c r="H4590" s="271">
        <f>SUM(H4587:H4589)</f>
        <v>4.3</v>
      </c>
      <c r="I4590" s="1567"/>
      <c r="J4590" s="1543"/>
      <c r="K4590" s="1543"/>
      <c r="L4590" s="1543"/>
      <c r="M4590" s="1543"/>
      <c r="N4590" s="1566"/>
    </row>
    <row r="4591" spans="1:14">
      <c r="A4591" s="1519" t="s">
        <v>2219</v>
      </c>
      <c r="B4591" s="1517"/>
      <c r="C4591" s="1517"/>
      <c r="D4591" s="1551"/>
      <c r="E4591" s="1551"/>
      <c r="F4591" s="1551"/>
      <c r="G4591" s="1552"/>
      <c r="H4591" s="272">
        <v>0</v>
      </c>
      <c r="I4591" s="1543"/>
      <c r="J4591" s="1543"/>
      <c r="K4591" s="1543"/>
      <c r="L4591" s="1543"/>
      <c r="M4591" s="1543"/>
      <c r="N4591" s="1566"/>
    </row>
    <row r="4592" spans="1:14" ht="15.75" thickBot="1">
      <c r="A4592" s="1520" t="s">
        <v>2220</v>
      </c>
      <c r="B4592" s="1521"/>
      <c r="C4592" s="1521"/>
      <c r="D4592" s="1521"/>
      <c r="E4592" s="1521"/>
      <c r="F4592" s="1521"/>
      <c r="G4592" s="1522"/>
      <c r="H4592" s="216">
        <f>H4590-H4591</f>
        <v>4.3</v>
      </c>
      <c r="I4592" s="1568"/>
      <c r="J4592" s="1568"/>
      <c r="K4592" s="1568"/>
      <c r="L4592" s="1568"/>
      <c r="M4592" s="1568"/>
      <c r="N4592" s="1569"/>
    </row>
    <row r="4593" spans="1:14" s="53" customFormat="1" ht="30" customHeight="1" thickBot="1">
      <c r="A4593" s="1104"/>
      <c r="B4593" s="278"/>
      <c r="C4593" s="278"/>
      <c r="D4593" s="281"/>
      <c r="E4593" s="1319"/>
      <c r="F4593" s="278"/>
      <c r="G4593" s="894"/>
      <c r="H4593" s="895"/>
      <c r="I4593" s="896"/>
      <c r="J4593" s="896"/>
      <c r="K4593" s="896"/>
      <c r="L4593" s="896"/>
      <c r="M4593" s="896"/>
      <c r="N4593" s="323"/>
    </row>
    <row r="4594" spans="1:14" ht="15.75" thickBot="1">
      <c r="A4594" s="1113">
        <v>1404</v>
      </c>
      <c r="B4594" s="1674" t="s">
        <v>3286</v>
      </c>
      <c r="C4594" s="1674"/>
      <c r="D4594" s="1674"/>
      <c r="E4594" s="1674"/>
      <c r="F4594" s="1674"/>
      <c r="G4594" s="1674"/>
      <c r="H4594" s="1674"/>
      <c r="I4594" s="1533"/>
      <c r="J4594" s="1533"/>
      <c r="K4594" s="896"/>
      <c r="L4594" s="896"/>
      <c r="M4594" s="896"/>
      <c r="N4594" s="323"/>
    </row>
    <row r="4595" spans="1:14">
      <c r="A4595" s="1113" t="s">
        <v>1152</v>
      </c>
      <c r="B4595" s="1674" t="s">
        <v>195</v>
      </c>
      <c r="C4595" s="1674"/>
      <c r="D4595" s="1674"/>
      <c r="E4595" s="1674"/>
      <c r="F4595" s="1674"/>
      <c r="G4595" s="1674"/>
      <c r="H4595" s="1674"/>
      <c r="I4595" s="1533"/>
      <c r="J4595" s="1533"/>
      <c r="K4595" s="266" t="s">
        <v>12</v>
      </c>
      <c r="L4595" s="1534">
        <f>'27ª MEDIÇÃO '!F275</f>
        <v>242.17</v>
      </c>
      <c r="M4595" s="1534"/>
      <c r="N4595" s="197">
        <f>L4595-H4603</f>
        <v>2.9999999999859028E-3</v>
      </c>
    </row>
    <row r="4596" spans="1:14">
      <c r="A4596" s="1611" t="s">
        <v>2997</v>
      </c>
      <c r="B4596" s="740" t="s">
        <v>3126</v>
      </c>
      <c r="C4596" s="314" t="s">
        <v>3128</v>
      </c>
      <c r="D4596" s="741"/>
      <c r="E4596" s="741"/>
      <c r="F4596" s="741"/>
      <c r="G4596" s="741"/>
      <c r="H4596" s="315" t="s">
        <v>476</v>
      </c>
      <c r="I4596" s="1681"/>
      <c r="J4596" s="1681"/>
      <c r="K4596" s="1681"/>
      <c r="L4596" s="1681"/>
      <c r="M4596" s="1681"/>
      <c r="N4596" s="1682"/>
    </row>
    <row r="4597" spans="1:14">
      <c r="A4597" s="1612"/>
      <c r="B4597" s="742" t="s">
        <v>2727</v>
      </c>
      <c r="C4597" s="743">
        <v>134.16900000000001</v>
      </c>
      <c r="D4597" s="744"/>
      <c r="E4597" s="744"/>
      <c r="F4597" s="744"/>
      <c r="G4597" s="744"/>
      <c r="H4597" s="318">
        <f>C4597</f>
        <v>134.16900000000001</v>
      </c>
      <c r="I4597" s="1683"/>
      <c r="J4597" s="1683"/>
      <c r="K4597" s="1683"/>
      <c r="L4597" s="1683"/>
      <c r="M4597" s="1683"/>
      <c r="N4597" s="1684"/>
    </row>
    <row r="4598" spans="1:14">
      <c r="A4598" s="1612"/>
      <c r="B4598" s="745" t="s">
        <v>2929</v>
      </c>
      <c r="C4598" s="743">
        <v>57.466499999999996</v>
      </c>
      <c r="D4598" s="744"/>
      <c r="E4598" s="744"/>
      <c r="F4598" s="744"/>
      <c r="G4598" s="744"/>
      <c r="H4598" s="318">
        <f>C4598</f>
        <v>57.466499999999996</v>
      </c>
      <c r="I4598" s="1683"/>
      <c r="J4598" s="1683"/>
      <c r="K4598" s="1683"/>
      <c r="L4598" s="1683"/>
      <c r="M4598" s="1683"/>
      <c r="N4598" s="1684"/>
    </row>
    <row r="4599" spans="1:14">
      <c r="A4599" s="1613"/>
      <c r="B4599" s="319" t="s">
        <v>3127</v>
      </c>
      <c r="C4599" s="317">
        <v>4.0215000000000005</v>
      </c>
      <c r="D4599" s="746"/>
      <c r="E4599" s="746"/>
      <c r="F4599" s="746"/>
      <c r="G4599" s="746"/>
      <c r="H4599" s="318">
        <f>C4599</f>
        <v>4.0215000000000005</v>
      </c>
      <c r="I4599" s="1683"/>
      <c r="J4599" s="1683"/>
      <c r="K4599" s="1683"/>
      <c r="L4599" s="1683"/>
      <c r="M4599" s="1683"/>
      <c r="N4599" s="1684"/>
    </row>
    <row r="4600" spans="1:14">
      <c r="A4600" s="1611" t="s">
        <v>3620</v>
      </c>
      <c r="B4600" s="740" t="s">
        <v>3126</v>
      </c>
      <c r="C4600" s="314" t="s">
        <v>3128</v>
      </c>
      <c r="D4600" s="741"/>
      <c r="E4600" s="741"/>
      <c r="F4600" s="741"/>
      <c r="G4600" s="741"/>
      <c r="H4600" s="315" t="s">
        <v>476</v>
      </c>
      <c r="I4600" s="1683"/>
      <c r="J4600" s="1683"/>
      <c r="K4600" s="1683"/>
      <c r="L4600" s="1683"/>
      <c r="M4600" s="1683"/>
      <c r="N4600" s="1684"/>
    </row>
    <row r="4601" spans="1:14">
      <c r="A4601" s="1612"/>
      <c r="B4601" s="742" t="s">
        <v>3656</v>
      </c>
      <c r="C4601" s="743">
        <v>46.51</v>
      </c>
      <c r="D4601" s="744"/>
      <c r="E4601" s="744"/>
      <c r="F4601" s="744"/>
      <c r="G4601" s="744"/>
      <c r="H4601" s="318">
        <f>C4601</f>
        <v>46.51</v>
      </c>
      <c r="I4601" s="1683"/>
      <c r="J4601" s="1683"/>
      <c r="K4601" s="1683"/>
      <c r="L4601" s="1683"/>
      <c r="M4601" s="1683"/>
      <c r="N4601" s="1684"/>
    </row>
    <row r="4602" spans="1:14" s="53" customFormat="1" ht="24" customHeight="1">
      <c r="A4602" s="1613"/>
      <c r="B4602" s="319"/>
      <c r="C4602" s="1021"/>
      <c r="D4602" s="746"/>
      <c r="E4602" s="746"/>
      <c r="F4602" s="746"/>
      <c r="G4602" s="746"/>
      <c r="H4602" s="1022"/>
      <c r="I4602" s="1683"/>
      <c r="J4602" s="1683"/>
      <c r="K4602" s="1683"/>
      <c r="L4602" s="1683"/>
      <c r="M4602" s="1683"/>
      <c r="N4602" s="1684"/>
    </row>
    <row r="4603" spans="1:14">
      <c r="A4603" s="1577" t="s">
        <v>2218</v>
      </c>
      <c r="B4603" s="1504"/>
      <c r="C4603" s="1504"/>
      <c r="D4603" s="1504"/>
      <c r="E4603" s="1504"/>
      <c r="F4603" s="1504"/>
      <c r="G4603" s="1504"/>
      <c r="H4603" s="461">
        <f>SUM(H4597:H4602)</f>
        <v>242.167</v>
      </c>
      <c r="I4603" s="1685"/>
      <c r="J4603" s="1683"/>
      <c r="K4603" s="1683"/>
      <c r="L4603" s="1683"/>
      <c r="M4603" s="1683"/>
      <c r="N4603" s="1684"/>
    </row>
    <row r="4604" spans="1:14">
      <c r="A4604" s="1578" t="s">
        <v>2219</v>
      </c>
      <c r="B4604" s="1538"/>
      <c r="C4604" s="1538"/>
      <c r="D4604" s="1538"/>
      <c r="E4604" s="1538"/>
      <c r="F4604" s="1538"/>
      <c r="G4604" s="1538"/>
      <c r="H4604" s="320">
        <f>SUM(H4597:H4599)</f>
        <v>195.65700000000001</v>
      </c>
      <c r="I4604" s="1685"/>
      <c r="J4604" s="1683"/>
      <c r="K4604" s="1683"/>
      <c r="L4604" s="1683"/>
      <c r="M4604" s="1683"/>
      <c r="N4604" s="1684"/>
    </row>
    <row r="4605" spans="1:14" ht="15.75" thickBot="1">
      <c r="A4605" s="1579" t="s">
        <v>2220</v>
      </c>
      <c r="B4605" s="1580"/>
      <c r="C4605" s="1580"/>
      <c r="D4605" s="1580"/>
      <c r="E4605" s="1580"/>
      <c r="F4605" s="1580"/>
      <c r="G4605" s="1580"/>
      <c r="H4605" s="221">
        <f>H4603-H4604</f>
        <v>46.509999999999991</v>
      </c>
      <c r="I4605" s="1686"/>
      <c r="J4605" s="1687"/>
      <c r="K4605" s="1687"/>
      <c r="L4605" s="1687"/>
      <c r="M4605" s="1687"/>
      <c r="N4605" s="1688"/>
    </row>
    <row r="4606" spans="1:14" ht="15.75" thickBot="1">
      <c r="A4606" s="1104"/>
      <c r="B4606" s="278"/>
      <c r="C4606" s="278"/>
      <c r="D4606" s="281"/>
      <c r="E4606" s="1319"/>
      <c r="F4606" s="278"/>
      <c r="G4606" s="278"/>
      <c r="H4606" s="217"/>
      <c r="I4606" s="279"/>
      <c r="J4606" s="321"/>
      <c r="K4606" s="322"/>
      <c r="L4606" s="322"/>
      <c r="M4606" s="321"/>
      <c r="N4606" s="323"/>
    </row>
    <row r="4607" spans="1:14">
      <c r="A4607" s="1109" t="s">
        <v>3123</v>
      </c>
      <c r="B4607" s="1674" t="s">
        <v>198</v>
      </c>
      <c r="C4607" s="1674"/>
      <c r="D4607" s="1674"/>
      <c r="E4607" s="1674"/>
      <c r="F4607" s="1674"/>
      <c r="G4607" s="1674"/>
      <c r="H4607" s="1674"/>
      <c r="I4607" s="1533"/>
      <c r="J4607" s="1533"/>
      <c r="K4607" s="266" t="s">
        <v>12</v>
      </c>
      <c r="L4607" s="1534">
        <f>'27ª MEDIÇÃO '!F276</f>
        <v>26.65</v>
      </c>
      <c r="M4607" s="1534"/>
      <c r="N4607" s="197">
        <f>L4607-H4612</f>
        <v>9.9999999999766942E-4</v>
      </c>
    </row>
    <row r="4608" spans="1:14">
      <c r="A4608" s="1675" t="s">
        <v>2997</v>
      </c>
      <c r="B4608" s="313" t="s">
        <v>3126</v>
      </c>
      <c r="C4608" s="314" t="s">
        <v>3128</v>
      </c>
      <c r="D4608" s="299"/>
      <c r="E4608" s="300"/>
      <c r="F4608" s="299"/>
      <c r="G4608" s="299"/>
      <c r="H4608" s="315" t="s">
        <v>476</v>
      </c>
      <c r="I4608" s="1509"/>
      <c r="J4608" s="1509"/>
      <c r="K4608" s="1509"/>
      <c r="L4608" s="1509"/>
      <c r="M4608" s="1509"/>
      <c r="N4608" s="1510"/>
    </row>
    <row r="4609" spans="1:14">
      <c r="A4609" s="1680"/>
      <c r="B4609" s="316" t="s">
        <v>2727</v>
      </c>
      <c r="C4609" s="743">
        <v>5.649</v>
      </c>
      <c r="D4609" s="301"/>
      <c r="E4609" s="302"/>
      <c r="F4609" s="301"/>
      <c r="G4609" s="301"/>
      <c r="H4609" s="318">
        <f>C4609</f>
        <v>5.649</v>
      </c>
      <c r="I4609" s="1509"/>
      <c r="J4609" s="1509"/>
      <c r="K4609" s="1509"/>
      <c r="L4609" s="1509"/>
      <c r="M4609" s="1509"/>
      <c r="N4609" s="1510"/>
    </row>
    <row r="4610" spans="1:14">
      <c r="A4610" s="1680"/>
      <c r="B4610" s="316" t="s">
        <v>2929</v>
      </c>
      <c r="C4610" s="743">
        <v>3.444</v>
      </c>
      <c r="D4610" s="301"/>
      <c r="E4610" s="302"/>
      <c r="F4610" s="301"/>
      <c r="G4610" s="301"/>
      <c r="H4610" s="318">
        <f>C4610</f>
        <v>3.444</v>
      </c>
      <c r="I4610" s="1509"/>
      <c r="J4610" s="1509"/>
      <c r="K4610" s="1509"/>
      <c r="L4610" s="1509"/>
      <c r="M4610" s="1509"/>
      <c r="N4610" s="1510"/>
    </row>
    <row r="4611" spans="1:14" s="53" customFormat="1" ht="24" customHeight="1">
      <c r="A4611" s="1678"/>
      <c r="B4611" s="319" t="s">
        <v>3127</v>
      </c>
      <c r="C4611" s="305">
        <v>17.556000000000001</v>
      </c>
      <c r="D4611" s="305"/>
      <c r="E4611" s="306"/>
      <c r="F4611" s="305"/>
      <c r="G4611" s="305"/>
      <c r="H4611" s="318">
        <f>C4611</f>
        <v>17.556000000000001</v>
      </c>
      <c r="I4611" s="1509"/>
      <c r="J4611" s="1509"/>
      <c r="K4611" s="1509"/>
      <c r="L4611" s="1509"/>
      <c r="M4611" s="1509"/>
      <c r="N4611" s="1510"/>
    </row>
    <row r="4612" spans="1:14">
      <c r="A4612" s="1577" t="s">
        <v>2218</v>
      </c>
      <c r="B4612" s="1504"/>
      <c r="C4612" s="1504"/>
      <c r="D4612" s="1504"/>
      <c r="E4612" s="1504"/>
      <c r="F4612" s="1504"/>
      <c r="G4612" s="1504"/>
      <c r="H4612" s="461">
        <f>SUM(H4609:H4611)</f>
        <v>26.649000000000001</v>
      </c>
      <c r="I4612" s="1509"/>
      <c r="J4612" s="1509"/>
      <c r="K4612" s="1509"/>
      <c r="L4612" s="1509"/>
      <c r="M4612" s="1509"/>
      <c r="N4612" s="1510"/>
    </row>
    <row r="4613" spans="1:14">
      <c r="A4613" s="1578" t="s">
        <v>2219</v>
      </c>
      <c r="B4613" s="1538"/>
      <c r="C4613" s="1538"/>
      <c r="D4613" s="1538"/>
      <c r="E4613" s="1538"/>
      <c r="F4613" s="1538"/>
      <c r="G4613" s="1538"/>
      <c r="H4613" s="320">
        <v>0</v>
      </c>
      <c r="I4613" s="1509"/>
      <c r="J4613" s="1509"/>
      <c r="K4613" s="1509"/>
      <c r="L4613" s="1509"/>
      <c r="M4613" s="1509"/>
      <c r="N4613" s="1510"/>
    </row>
    <row r="4614" spans="1:14" ht="15.75" thickBot="1">
      <c r="A4614" s="1579" t="s">
        <v>2220</v>
      </c>
      <c r="B4614" s="1580"/>
      <c r="C4614" s="1580"/>
      <c r="D4614" s="1580"/>
      <c r="E4614" s="1580"/>
      <c r="F4614" s="1580"/>
      <c r="G4614" s="1580"/>
      <c r="H4614" s="221">
        <f>H4612</f>
        <v>26.649000000000001</v>
      </c>
      <c r="I4614" s="1512"/>
      <c r="J4614" s="1512"/>
      <c r="K4614" s="1512"/>
      <c r="L4614" s="1512"/>
      <c r="M4614" s="1512"/>
      <c r="N4614" s="1513"/>
    </row>
    <row r="4615" spans="1:14" ht="15.75" thickBot="1">
      <c r="A4615" s="1104"/>
      <c r="B4615" s="278"/>
      <c r="C4615" s="278"/>
      <c r="D4615" s="281"/>
      <c r="E4615" s="1319"/>
      <c r="F4615" s="278"/>
      <c r="G4615" s="278"/>
      <c r="H4615" s="217"/>
      <c r="I4615" s="279"/>
      <c r="J4615" s="321"/>
      <c r="K4615" s="322"/>
      <c r="L4615" s="322"/>
      <c r="M4615" s="321"/>
      <c r="N4615" s="323"/>
    </row>
    <row r="4616" spans="1:14">
      <c r="A4616" s="1109" t="s">
        <v>3124</v>
      </c>
      <c r="B4616" s="1674" t="s">
        <v>1156</v>
      </c>
      <c r="C4616" s="1674"/>
      <c r="D4616" s="1674"/>
      <c r="E4616" s="1674"/>
      <c r="F4616" s="1674"/>
      <c r="G4616" s="1674"/>
      <c r="H4616" s="1674"/>
      <c r="I4616" s="1533"/>
      <c r="J4616" s="1533"/>
      <c r="K4616" s="266" t="s">
        <v>12</v>
      </c>
      <c r="L4616" s="1534">
        <f>'27ª MEDIÇÃO '!F277</f>
        <v>55.69</v>
      </c>
      <c r="M4616" s="1534"/>
      <c r="N4616" s="197">
        <f>L4616-H4621</f>
        <v>-2.0000000000095497E-3</v>
      </c>
    </row>
    <row r="4617" spans="1:14">
      <c r="A4617" s="1675" t="s">
        <v>2997</v>
      </c>
      <c r="B4617" s="313" t="s">
        <v>3126</v>
      </c>
      <c r="C4617" s="314" t="s">
        <v>3128</v>
      </c>
      <c r="D4617" s="299"/>
      <c r="E4617" s="300"/>
      <c r="F4617" s="299"/>
      <c r="G4617" s="299"/>
      <c r="H4617" s="315" t="s">
        <v>476</v>
      </c>
      <c r="I4617" s="1679" t="s">
        <v>3129</v>
      </c>
      <c r="J4617" s="1509"/>
      <c r="K4617" s="1509"/>
      <c r="L4617" s="1509"/>
      <c r="M4617" s="1509"/>
      <c r="N4617" s="1510"/>
    </row>
    <row r="4618" spans="1:14">
      <c r="A4618" s="1676"/>
      <c r="B4618" s="316" t="s">
        <v>2727</v>
      </c>
      <c r="C4618" s="317">
        <v>43.753500000000003</v>
      </c>
      <c r="D4618" s="304"/>
      <c r="E4618" s="302"/>
      <c r="F4618" s="301"/>
      <c r="G4618" s="304"/>
      <c r="H4618" s="318">
        <f>C4618</f>
        <v>43.753500000000003</v>
      </c>
      <c r="I4618" s="1509"/>
      <c r="J4618" s="1509"/>
      <c r="K4618" s="1509"/>
      <c r="L4618" s="1509"/>
      <c r="M4618" s="1509"/>
      <c r="N4618" s="1510"/>
    </row>
    <row r="4619" spans="1:14">
      <c r="A4619" s="1677"/>
      <c r="B4619" s="316" t="s">
        <v>2929</v>
      </c>
      <c r="C4619" s="317">
        <v>1.1130000000000002</v>
      </c>
      <c r="D4619" s="307"/>
      <c r="E4619" s="308"/>
      <c r="F4619" s="309"/>
      <c r="G4619" s="307"/>
      <c r="H4619" s="318">
        <f>C4619</f>
        <v>1.1130000000000002</v>
      </c>
      <c r="I4619" s="1509"/>
      <c r="J4619" s="1509"/>
      <c r="K4619" s="1509"/>
      <c r="L4619" s="1509"/>
      <c r="M4619" s="1509"/>
      <c r="N4619" s="1510"/>
    </row>
    <row r="4620" spans="1:14" ht="27" customHeight="1">
      <c r="A4620" s="1678"/>
      <c r="B4620" s="319" t="s">
        <v>3127</v>
      </c>
      <c r="C4620" s="317">
        <v>10.825500000000002</v>
      </c>
      <c r="D4620" s="305"/>
      <c r="E4620" s="306"/>
      <c r="F4620" s="305"/>
      <c r="G4620" s="305"/>
      <c r="H4620" s="318">
        <f>C4620</f>
        <v>10.825500000000002</v>
      </c>
      <c r="I4620" s="1509"/>
      <c r="J4620" s="1509"/>
      <c r="K4620" s="1509"/>
      <c r="L4620" s="1509"/>
      <c r="M4620" s="1509"/>
      <c r="N4620" s="1510"/>
    </row>
    <row r="4621" spans="1:14">
      <c r="A4621" s="1577" t="s">
        <v>2218</v>
      </c>
      <c r="B4621" s="1504"/>
      <c r="C4621" s="1504"/>
      <c r="D4621" s="1504"/>
      <c r="E4621" s="1504"/>
      <c r="F4621" s="1504"/>
      <c r="G4621" s="1504"/>
      <c r="H4621" s="461">
        <f>SUM(H4618:H4620)</f>
        <v>55.692000000000007</v>
      </c>
      <c r="I4621" s="1509"/>
      <c r="J4621" s="1509"/>
      <c r="K4621" s="1509"/>
      <c r="L4621" s="1509"/>
      <c r="M4621" s="1509"/>
      <c r="N4621" s="1510"/>
    </row>
    <row r="4622" spans="1:14">
      <c r="A4622" s="1578" t="s">
        <v>2219</v>
      </c>
      <c r="B4622" s="1538"/>
      <c r="C4622" s="1538"/>
      <c r="D4622" s="1538"/>
      <c r="E4622" s="1538"/>
      <c r="F4622" s="1538"/>
      <c r="G4622" s="1538"/>
      <c r="H4622" s="320">
        <v>0</v>
      </c>
      <c r="I4622" s="1509"/>
      <c r="J4622" s="1509"/>
      <c r="K4622" s="1509"/>
      <c r="L4622" s="1509"/>
      <c r="M4622" s="1509"/>
      <c r="N4622" s="1510"/>
    </row>
    <row r="4623" spans="1:14" ht="15.75" thickBot="1">
      <c r="A4623" s="1579" t="s">
        <v>2220</v>
      </c>
      <c r="B4623" s="1580"/>
      <c r="C4623" s="1580"/>
      <c r="D4623" s="1580"/>
      <c r="E4623" s="1580"/>
      <c r="F4623" s="1580"/>
      <c r="G4623" s="1580"/>
      <c r="H4623" s="221">
        <f>H4621</f>
        <v>55.692000000000007</v>
      </c>
      <c r="I4623" s="1512"/>
      <c r="J4623" s="1512"/>
      <c r="K4623" s="1512"/>
      <c r="L4623" s="1512"/>
      <c r="M4623" s="1512"/>
      <c r="N4623" s="1513"/>
    </row>
    <row r="4624" spans="1:14" ht="15.75" thickBot="1">
      <c r="A4624" s="1104"/>
      <c r="B4624" s="278"/>
      <c r="C4624" s="278"/>
      <c r="D4624" s="281"/>
      <c r="E4624" s="1319"/>
      <c r="F4624" s="278"/>
      <c r="G4624" s="278"/>
      <c r="H4624" s="217"/>
      <c r="I4624" s="279"/>
      <c r="J4624" s="321"/>
      <c r="K4624" s="322"/>
      <c r="L4624" s="322"/>
      <c r="M4624" s="321"/>
      <c r="N4624" s="323"/>
    </row>
    <row r="4625" spans="1:14">
      <c r="A4625" s="1109" t="s">
        <v>3125</v>
      </c>
      <c r="B4625" s="1533" t="s">
        <v>1159</v>
      </c>
      <c r="C4625" s="1533"/>
      <c r="D4625" s="1533"/>
      <c r="E4625" s="1533"/>
      <c r="F4625" s="1533"/>
      <c r="G4625" s="1533"/>
      <c r="H4625" s="1533"/>
      <c r="I4625" s="1533"/>
      <c r="J4625" s="1533"/>
      <c r="K4625" s="266" t="s">
        <v>12</v>
      </c>
      <c r="L4625" s="1534">
        <f>'27ª MEDIÇÃO '!F278</f>
        <v>48.6</v>
      </c>
      <c r="M4625" s="1534"/>
      <c r="N4625" s="197">
        <f>L4625-H4630</f>
        <v>-4.5000000000001705E-3</v>
      </c>
    </row>
    <row r="4626" spans="1:14">
      <c r="A4626" s="1670" t="s">
        <v>2997</v>
      </c>
      <c r="B4626" s="313" t="s">
        <v>3126</v>
      </c>
      <c r="C4626" s="314" t="s">
        <v>3128</v>
      </c>
      <c r="D4626" s="299"/>
      <c r="E4626" s="300"/>
      <c r="F4626" s="299"/>
      <c r="G4626" s="299"/>
      <c r="H4626" s="315" t="s">
        <v>476</v>
      </c>
      <c r="I4626" s="1509"/>
      <c r="J4626" s="1509"/>
      <c r="K4626" s="1509"/>
      <c r="L4626" s="1509"/>
      <c r="M4626" s="1509"/>
      <c r="N4626" s="1510"/>
    </row>
    <row r="4627" spans="1:14">
      <c r="A4627" s="1671"/>
      <c r="B4627" s="316" t="s">
        <v>2727</v>
      </c>
      <c r="C4627" s="317">
        <v>18.1755</v>
      </c>
      <c r="D4627" s="291"/>
      <c r="E4627" s="290"/>
      <c r="F4627" s="292"/>
      <c r="G4627" s="291"/>
      <c r="H4627" s="318">
        <f>C4627</f>
        <v>18.1755</v>
      </c>
      <c r="I4627" s="1509"/>
      <c r="J4627" s="1509"/>
      <c r="K4627" s="1509"/>
      <c r="L4627" s="1509"/>
      <c r="M4627" s="1509"/>
      <c r="N4627" s="1510"/>
    </row>
    <row r="4628" spans="1:14">
      <c r="A4628" s="1672"/>
      <c r="B4628" s="316" t="s">
        <v>2929</v>
      </c>
      <c r="C4628" s="317">
        <v>3.2550000000000003</v>
      </c>
      <c r="D4628" s="311"/>
      <c r="E4628" s="310"/>
      <c r="F4628" s="312"/>
      <c r="G4628" s="311"/>
      <c r="H4628" s="318">
        <f>C4628</f>
        <v>3.2550000000000003</v>
      </c>
      <c r="I4628" s="1509"/>
      <c r="J4628" s="1509"/>
      <c r="K4628" s="1509"/>
      <c r="L4628" s="1509"/>
      <c r="M4628" s="1509"/>
      <c r="N4628" s="1510"/>
    </row>
    <row r="4629" spans="1:14" ht="27" customHeight="1">
      <c r="A4629" s="1673"/>
      <c r="B4629" s="319" t="s">
        <v>3127</v>
      </c>
      <c r="C4629" s="294">
        <v>27.173999999999999</v>
      </c>
      <c r="D4629" s="294"/>
      <c r="E4629" s="295"/>
      <c r="F4629" s="294"/>
      <c r="G4629" s="294"/>
      <c r="H4629" s="318">
        <f>C4629</f>
        <v>27.173999999999999</v>
      </c>
      <c r="I4629" s="1509"/>
      <c r="J4629" s="1509"/>
      <c r="K4629" s="1509"/>
      <c r="L4629" s="1509"/>
      <c r="M4629" s="1509"/>
      <c r="N4629" s="1510"/>
    </row>
    <row r="4630" spans="1:14">
      <c r="A4630" s="1577" t="s">
        <v>2218</v>
      </c>
      <c r="B4630" s="1542"/>
      <c r="C4630" s="1542"/>
      <c r="D4630" s="1542"/>
      <c r="E4630" s="1542"/>
      <c r="F4630" s="1542"/>
      <c r="G4630" s="1542"/>
      <c r="H4630" s="271">
        <f>SUM(H4627:H4629)</f>
        <v>48.604500000000002</v>
      </c>
      <c r="I4630" s="1509"/>
      <c r="J4630" s="1509"/>
      <c r="K4630" s="1509"/>
      <c r="L4630" s="1509"/>
      <c r="M4630" s="1509"/>
      <c r="N4630" s="1510"/>
    </row>
    <row r="4631" spans="1:14">
      <c r="A4631" s="1578" t="s">
        <v>2219</v>
      </c>
      <c r="B4631" s="1538"/>
      <c r="C4631" s="1538"/>
      <c r="D4631" s="1538"/>
      <c r="E4631" s="1538"/>
      <c r="F4631" s="1538"/>
      <c r="G4631" s="1538"/>
      <c r="H4631" s="320">
        <v>0</v>
      </c>
      <c r="I4631" s="1509"/>
      <c r="J4631" s="1509"/>
      <c r="K4631" s="1509"/>
      <c r="L4631" s="1509"/>
      <c r="M4631" s="1509"/>
      <c r="N4631" s="1510"/>
    </row>
    <row r="4632" spans="1:14" ht="15.75" thickBot="1">
      <c r="A4632" s="1579" t="s">
        <v>2220</v>
      </c>
      <c r="B4632" s="1580"/>
      <c r="C4632" s="1580"/>
      <c r="D4632" s="1580"/>
      <c r="E4632" s="1580"/>
      <c r="F4632" s="1580"/>
      <c r="G4632" s="1580"/>
      <c r="H4632" s="221">
        <f>H4630</f>
        <v>48.604500000000002</v>
      </c>
      <c r="I4632" s="1512"/>
      <c r="J4632" s="1512"/>
      <c r="K4632" s="1512"/>
      <c r="L4632" s="1512"/>
      <c r="M4632" s="1512"/>
      <c r="N4632" s="1513"/>
    </row>
    <row r="4633" spans="1:14" ht="15.75" thickBot="1">
      <c r="A4633" s="1104"/>
      <c r="B4633" s="278"/>
      <c r="C4633" s="278"/>
      <c r="D4633" s="281"/>
      <c r="E4633" s="1319"/>
      <c r="F4633" s="278"/>
      <c r="G4633" s="278"/>
      <c r="H4633" s="217"/>
      <c r="I4633" s="279"/>
      <c r="J4633" s="279"/>
      <c r="K4633" s="279"/>
      <c r="L4633" s="279"/>
      <c r="M4633" s="279"/>
      <c r="N4633" s="441"/>
    </row>
    <row r="4634" spans="1:14">
      <c r="A4634" s="1109" t="str">
        <f>'27ª MEDIÇÃO '!A280</f>
        <v>'140501</v>
      </c>
      <c r="B4634" s="1533" t="s">
        <v>1164</v>
      </c>
      <c r="C4634" s="1533"/>
      <c r="D4634" s="1533"/>
      <c r="E4634" s="1533"/>
      <c r="F4634" s="1533"/>
      <c r="G4634" s="1533"/>
      <c r="H4634" s="1533"/>
      <c r="I4634" s="1533"/>
      <c r="J4634" s="1533"/>
      <c r="K4634" s="266" t="s">
        <v>2329</v>
      </c>
      <c r="L4634" s="1534">
        <f>'27ª MEDIÇÃO '!F280</f>
        <v>1</v>
      </c>
      <c r="M4634" s="1534"/>
      <c r="N4634" s="197">
        <f>L4634-H4639</f>
        <v>0</v>
      </c>
    </row>
    <row r="4635" spans="1:14">
      <c r="A4635" s="1670" t="s">
        <v>3158</v>
      </c>
      <c r="B4635" s="355" t="s">
        <v>3141</v>
      </c>
      <c r="C4635" s="314"/>
      <c r="D4635" s="299"/>
      <c r="E4635" s="300"/>
      <c r="F4635" s="299"/>
      <c r="G4635" s="299"/>
      <c r="H4635" s="315" t="s">
        <v>476</v>
      </c>
      <c r="I4635" s="1509"/>
      <c r="J4635" s="1509"/>
      <c r="K4635" s="1509"/>
      <c r="L4635" s="1509"/>
      <c r="M4635" s="1509"/>
      <c r="N4635" s="1510"/>
    </row>
    <row r="4636" spans="1:14">
      <c r="A4636" s="1671"/>
      <c r="B4636" s="355" t="s">
        <v>3142</v>
      </c>
      <c r="C4636" s="317"/>
      <c r="D4636" s="291"/>
      <c r="E4636" s="290"/>
      <c r="F4636" s="292"/>
      <c r="G4636" s="291"/>
      <c r="H4636" s="318"/>
      <c r="I4636" s="1509"/>
      <c r="J4636" s="1509"/>
      <c r="K4636" s="1509"/>
      <c r="L4636" s="1509"/>
      <c r="M4636" s="1509"/>
      <c r="N4636" s="1510"/>
    </row>
    <row r="4637" spans="1:14">
      <c r="A4637" s="1672"/>
      <c r="B4637" s="316"/>
      <c r="C4637" s="317"/>
      <c r="D4637" s="311"/>
      <c r="E4637" s="310"/>
      <c r="F4637" s="312"/>
      <c r="G4637" s="311"/>
      <c r="H4637" s="318">
        <v>1</v>
      </c>
      <c r="I4637" s="1509"/>
      <c r="J4637" s="1509"/>
      <c r="K4637" s="1509"/>
      <c r="L4637" s="1509"/>
      <c r="M4637" s="1509"/>
      <c r="N4637" s="1510"/>
    </row>
    <row r="4638" spans="1:14" ht="27" customHeight="1">
      <c r="A4638" s="1673"/>
      <c r="B4638" s="319"/>
      <c r="C4638" s="294"/>
      <c r="D4638" s="294"/>
      <c r="E4638" s="295"/>
      <c r="F4638" s="294"/>
      <c r="G4638" s="294"/>
      <c r="H4638" s="318"/>
      <c r="I4638" s="1509"/>
      <c r="J4638" s="1509"/>
      <c r="K4638" s="1509"/>
      <c r="L4638" s="1509"/>
      <c r="M4638" s="1509"/>
      <c r="N4638" s="1510"/>
    </row>
    <row r="4639" spans="1:14">
      <c r="A4639" s="1577" t="s">
        <v>2218</v>
      </c>
      <c r="B4639" s="1542"/>
      <c r="C4639" s="1542"/>
      <c r="D4639" s="1542"/>
      <c r="E4639" s="1542"/>
      <c r="F4639" s="1542"/>
      <c r="G4639" s="1542"/>
      <c r="H4639" s="271">
        <f>SUM(H4636:H4638)</f>
        <v>1</v>
      </c>
      <c r="I4639" s="1509"/>
      <c r="J4639" s="1509"/>
      <c r="K4639" s="1509"/>
      <c r="L4639" s="1509"/>
      <c r="M4639" s="1509"/>
      <c r="N4639" s="1510"/>
    </row>
    <row r="4640" spans="1:14">
      <c r="A4640" s="1578" t="s">
        <v>2219</v>
      </c>
      <c r="B4640" s="1538"/>
      <c r="C4640" s="1538"/>
      <c r="D4640" s="1538"/>
      <c r="E4640" s="1538"/>
      <c r="F4640" s="1538"/>
      <c r="G4640" s="1538"/>
      <c r="H4640" s="320">
        <v>0</v>
      </c>
      <c r="I4640" s="1509"/>
      <c r="J4640" s="1509"/>
      <c r="K4640" s="1509"/>
      <c r="L4640" s="1509"/>
      <c r="M4640" s="1509"/>
      <c r="N4640" s="1510"/>
    </row>
    <row r="4641" spans="1:14" ht="15.75" thickBot="1">
      <c r="A4641" s="1579" t="s">
        <v>2220</v>
      </c>
      <c r="B4641" s="1580"/>
      <c r="C4641" s="1580"/>
      <c r="D4641" s="1580"/>
      <c r="E4641" s="1580"/>
      <c r="F4641" s="1580"/>
      <c r="G4641" s="1580"/>
      <c r="H4641" s="221">
        <f>H4639</f>
        <v>1</v>
      </c>
      <c r="I4641" s="1512"/>
      <c r="J4641" s="1512"/>
      <c r="K4641" s="1512"/>
      <c r="L4641" s="1512"/>
      <c r="M4641" s="1512"/>
      <c r="N4641" s="1513"/>
    </row>
    <row r="4642" spans="1:14" ht="15.75" thickBot="1">
      <c r="A4642" s="1104"/>
      <c r="B4642" s="278"/>
      <c r="C4642" s="278"/>
      <c r="D4642" s="281"/>
      <c r="E4642" s="1319"/>
      <c r="F4642" s="278"/>
      <c r="G4642" s="278"/>
      <c r="H4642" s="217"/>
      <c r="I4642" s="279"/>
      <c r="J4642" s="279"/>
      <c r="K4642" s="279"/>
      <c r="L4642" s="279"/>
      <c r="M4642" s="279"/>
      <c r="N4642" s="441"/>
    </row>
    <row r="4643" spans="1:14">
      <c r="A4643" s="1109" t="str">
        <f>'27ª MEDIÇÃO '!A281</f>
        <v>'140502</v>
      </c>
      <c r="B4643" s="1533" t="s">
        <v>1167</v>
      </c>
      <c r="C4643" s="1533"/>
      <c r="D4643" s="1533"/>
      <c r="E4643" s="1533"/>
      <c r="F4643" s="1533"/>
      <c r="G4643" s="1533"/>
      <c r="H4643" s="1533"/>
      <c r="I4643" s="1533"/>
      <c r="J4643" s="1533"/>
      <c r="K4643" s="266" t="s">
        <v>2329</v>
      </c>
      <c r="L4643" s="1534">
        <f>'27ª MEDIÇÃO '!F281</f>
        <v>3</v>
      </c>
      <c r="M4643" s="1534"/>
      <c r="N4643" s="197">
        <f>L4643-H4648</f>
        <v>0</v>
      </c>
    </row>
    <row r="4644" spans="1:14">
      <c r="A4644" s="1670" t="s">
        <v>3158</v>
      </c>
      <c r="B4644" s="355" t="s">
        <v>3126</v>
      </c>
      <c r="C4644" s="314"/>
      <c r="D4644" s="299"/>
      <c r="E4644" s="300"/>
      <c r="F4644" s="299"/>
      <c r="G4644" s="299"/>
      <c r="H4644" s="315" t="s">
        <v>476</v>
      </c>
      <c r="I4644" s="1509"/>
      <c r="J4644" s="1509"/>
      <c r="K4644" s="1509"/>
      <c r="L4644" s="1509"/>
      <c r="M4644" s="1509"/>
      <c r="N4644" s="1510"/>
    </row>
    <row r="4645" spans="1:14">
      <c r="A4645" s="1671"/>
      <c r="B4645" s="355" t="s">
        <v>3142</v>
      </c>
      <c r="C4645" s="317"/>
      <c r="D4645" s="291"/>
      <c r="E4645" s="290"/>
      <c r="F4645" s="292"/>
      <c r="G4645" s="291"/>
      <c r="H4645" s="318"/>
      <c r="I4645" s="1509"/>
      <c r="J4645" s="1509"/>
      <c r="K4645" s="1509"/>
      <c r="L4645" s="1509"/>
      <c r="M4645" s="1509"/>
      <c r="N4645" s="1510"/>
    </row>
    <row r="4646" spans="1:14">
      <c r="A4646" s="1672"/>
      <c r="B4646" s="316"/>
      <c r="C4646" s="317"/>
      <c r="D4646" s="311"/>
      <c r="E4646" s="310"/>
      <c r="F4646" s="312"/>
      <c r="G4646" s="311"/>
      <c r="H4646" s="318">
        <v>3</v>
      </c>
      <c r="I4646" s="1509"/>
      <c r="J4646" s="1509"/>
      <c r="K4646" s="1509"/>
      <c r="L4646" s="1509"/>
      <c r="M4646" s="1509"/>
      <c r="N4646" s="1510"/>
    </row>
    <row r="4647" spans="1:14" ht="30" customHeight="1">
      <c r="A4647" s="1673"/>
      <c r="B4647" s="319"/>
      <c r="C4647" s="294"/>
      <c r="D4647" s="294"/>
      <c r="E4647" s="295"/>
      <c r="F4647" s="294"/>
      <c r="G4647" s="294"/>
      <c r="H4647" s="318"/>
      <c r="I4647" s="1509"/>
      <c r="J4647" s="1509"/>
      <c r="K4647" s="1509"/>
      <c r="L4647" s="1509"/>
      <c r="M4647" s="1509"/>
      <c r="N4647" s="1510"/>
    </row>
    <row r="4648" spans="1:14">
      <c r="A4648" s="1577" t="s">
        <v>2218</v>
      </c>
      <c r="B4648" s="1542"/>
      <c r="C4648" s="1542"/>
      <c r="D4648" s="1542"/>
      <c r="E4648" s="1542"/>
      <c r="F4648" s="1542"/>
      <c r="G4648" s="1542"/>
      <c r="H4648" s="271">
        <f>SUM(H4645:H4647)</f>
        <v>3</v>
      </c>
      <c r="I4648" s="1509"/>
      <c r="J4648" s="1509"/>
      <c r="K4648" s="1509"/>
      <c r="L4648" s="1509"/>
      <c r="M4648" s="1509"/>
      <c r="N4648" s="1510"/>
    </row>
    <row r="4649" spans="1:14">
      <c r="A4649" s="1578" t="s">
        <v>2219</v>
      </c>
      <c r="B4649" s="1538"/>
      <c r="C4649" s="1538"/>
      <c r="D4649" s="1538"/>
      <c r="E4649" s="1538"/>
      <c r="F4649" s="1538"/>
      <c r="G4649" s="1538"/>
      <c r="H4649" s="320">
        <v>0</v>
      </c>
      <c r="I4649" s="1509"/>
      <c r="J4649" s="1509"/>
      <c r="K4649" s="1509"/>
      <c r="L4649" s="1509"/>
      <c r="M4649" s="1509"/>
      <c r="N4649" s="1510"/>
    </row>
    <row r="4650" spans="1:14" ht="15.75" thickBot="1">
      <c r="A4650" s="1579" t="s">
        <v>2220</v>
      </c>
      <c r="B4650" s="1580"/>
      <c r="C4650" s="1580"/>
      <c r="D4650" s="1580"/>
      <c r="E4650" s="1580"/>
      <c r="F4650" s="1580"/>
      <c r="G4650" s="1580"/>
      <c r="H4650" s="221">
        <f>H4648</f>
        <v>3</v>
      </c>
      <c r="I4650" s="1512"/>
      <c r="J4650" s="1512"/>
      <c r="K4650" s="1512"/>
      <c r="L4650" s="1512"/>
      <c r="M4650" s="1512"/>
      <c r="N4650" s="1513"/>
    </row>
    <row r="4651" spans="1:14" ht="15.75" thickBot="1">
      <c r="A4651" s="1104"/>
      <c r="B4651" s="278"/>
      <c r="C4651" s="278"/>
      <c r="D4651" s="281"/>
      <c r="E4651" s="1319"/>
      <c r="F4651" s="278"/>
      <c r="G4651" s="278"/>
      <c r="H4651" s="217"/>
      <c r="I4651" s="279"/>
      <c r="J4651" s="279"/>
      <c r="K4651" s="279"/>
      <c r="L4651" s="279"/>
      <c r="M4651" s="279"/>
      <c r="N4651" s="441"/>
    </row>
    <row r="4652" spans="1:14">
      <c r="A4652" s="1109" t="str">
        <f>'27ª MEDIÇÃO '!A282</f>
        <v>'140503</v>
      </c>
      <c r="B4652" s="1533" t="s">
        <v>1170</v>
      </c>
      <c r="C4652" s="1533"/>
      <c r="D4652" s="1533"/>
      <c r="E4652" s="1533"/>
      <c r="F4652" s="1533"/>
      <c r="G4652" s="1533"/>
      <c r="H4652" s="1533"/>
      <c r="I4652" s="1533"/>
      <c r="J4652" s="1533"/>
      <c r="K4652" s="266" t="s">
        <v>2329</v>
      </c>
      <c r="L4652" s="1534">
        <f>'27ª MEDIÇÃO '!F282</f>
        <v>2</v>
      </c>
      <c r="M4652" s="1534"/>
      <c r="N4652" s="197">
        <f>L4652-H4657</f>
        <v>0</v>
      </c>
    </row>
    <row r="4653" spans="1:14">
      <c r="A4653" s="1670" t="s">
        <v>3158</v>
      </c>
      <c r="B4653" s="355" t="s">
        <v>3126</v>
      </c>
      <c r="C4653" s="314"/>
      <c r="D4653" s="299"/>
      <c r="E4653" s="300"/>
      <c r="F4653" s="299"/>
      <c r="G4653" s="299"/>
      <c r="H4653" s="315" t="s">
        <v>476</v>
      </c>
      <c r="I4653" s="1509"/>
      <c r="J4653" s="1509"/>
      <c r="K4653" s="1509"/>
      <c r="L4653" s="1509"/>
      <c r="M4653" s="1509"/>
      <c r="N4653" s="1510"/>
    </row>
    <row r="4654" spans="1:14">
      <c r="A4654" s="1671"/>
      <c r="B4654" s="355" t="s">
        <v>3142</v>
      </c>
      <c r="C4654" s="317"/>
      <c r="D4654" s="291"/>
      <c r="E4654" s="290"/>
      <c r="F4654" s="292"/>
      <c r="G4654" s="291"/>
      <c r="H4654" s="318"/>
      <c r="I4654" s="1509"/>
      <c r="J4654" s="1509"/>
      <c r="K4654" s="1509"/>
      <c r="L4654" s="1509"/>
      <c r="M4654" s="1509"/>
      <c r="N4654" s="1510"/>
    </row>
    <row r="4655" spans="1:14">
      <c r="A4655" s="1672"/>
      <c r="B4655" s="316"/>
      <c r="C4655" s="317"/>
      <c r="D4655" s="311"/>
      <c r="E4655" s="310"/>
      <c r="F4655" s="312"/>
      <c r="G4655" s="311"/>
      <c r="H4655" s="318">
        <v>2</v>
      </c>
      <c r="I4655" s="1509"/>
      <c r="J4655" s="1509"/>
      <c r="K4655" s="1509"/>
      <c r="L4655" s="1509"/>
      <c r="M4655" s="1509"/>
      <c r="N4655" s="1510"/>
    </row>
    <row r="4656" spans="1:14" s="53" customFormat="1" ht="24" customHeight="1">
      <c r="A4656" s="1673"/>
      <c r="B4656" s="319"/>
      <c r="C4656" s="294"/>
      <c r="D4656" s="294"/>
      <c r="E4656" s="295"/>
      <c r="F4656" s="294"/>
      <c r="G4656" s="294"/>
      <c r="H4656" s="318"/>
      <c r="I4656" s="1509"/>
      <c r="J4656" s="1509"/>
      <c r="K4656" s="1509"/>
      <c r="L4656" s="1509"/>
      <c r="M4656" s="1509"/>
      <c r="N4656" s="1510"/>
    </row>
    <row r="4657" spans="1:14">
      <c r="A4657" s="1577" t="s">
        <v>2218</v>
      </c>
      <c r="B4657" s="1542"/>
      <c r="C4657" s="1542"/>
      <c r="D4657" s="1542"/>
      <c r="E4657" s="1542"/>
      <c r="F4657" s="1542"/>
      <c r="G4657" s="1542"/>
      <c r="H4657" s="271">
        <f>SUM(H4654:H4656)</f>
        <v>2</v>
      </c>
      <c r="I4657" s="1509"/>
      <c r="J4657" s="1509"/>
      <c r="K4657" s="1509"/>
      <c r="L4657" s="1509"/>
      <c r="M4657" s="1509"/>
      <c r="N4657" s="1510"/>
    </row>
    <row r="4658" spans="1:14">
      <c r="A4658" s="1578" t="s">
        <v>2219</v>
      </c>
      <c r="B4658" s="1538"/>
      <c r="C4658" s="1538"/>
      <c r="D4658" s="1538"/>
      <c r="E4658" s="1538"/>
      <c r="F4658" s="1538"/>
      <c r="G4658" s="1538"/>
      <c r="H4658" s="320">
        <v>0</v>
      </c>
      <c r="I4658" s="1509"/>
      <c r="J4658" s="1509"/>
      <c r="K4658" s="1509"/>
      <c r="L4658" s="1509"/>
      <c r="M4658" s="1509"/>
      <c r="N4658" s="1510"/>
    </row>
    <row r="4659" spans="1:14" ht="15.75" thickBot="1">
      <c r="A4659" s="1579" t="s">
        <v>2220</v>
      </c>
      <c r="B4659" s="1580"/>
      <c r="C4659" s="1580"/>
      <c r="D4659" s="1580"/>
      <c r="E4659" s="1580"/>
      <c r="F4659" s="1580"/>
      <c r="G4659" s="1580"/>
      <c r="H4659" s="221">
        <f>H4657</f>
        <v>2</v>
      </c>
      <c r="I4659" s="1512"/>
      <c r="J4659" s="1512"/>
      <c r="K4659" s="1512"/>
      <c r="L4659" s="1512"/>
      <c r="M4659" s="1512"/>
      <c r="N4659" s="1513"/>
    </row>
    <row r="4660" spans="1:14" ht="15.75" thickBot="1">
      <c r="A4660" s="1104"/>
      <c r="B4660" s="278"/>
      <c r="C4660" s="278"/>
      <c r="D4660" s="281"/>
      <c r="E4660" s="1319"/>
      <c r="F4660" s="278"/>
      <c r="G4660" s="278"/>
      <c r="H4660" s="217"/>
      <c r="I4660" s="279"/>
      <c r="J4660" s="279"/>
      <c r="K4660" s="279"/>
      <c r="L4660" s="279"/>
      <c r="M4660" s="279"/>
      <c r="N4660" s="441"/>
    </row>
    <row r="4661" spans="1:14">
      <c r="A4661" s="1109" t="str">
        <f>'27ª MEDIÇÃO '!A283</f>
        <v>'140504</v>
      </c>
      <c r="B4661" s="1533" t="s">
        <v>1173</v>
      </c>
      <c r="C4661" s="1533"/>
      <c r="D4661" s="1533"/>
      <c r="E4661" s="1533"/>
      <c r="F4661" s="1533"/>
      <c r="G4661" s="1533"/>
      <c r="H4661" s="1533"/>
      <c r="I4661" s="1533"/>
      <c r="J4661" s="1533"/>
      <c r="K4661" s="266" t="s">
        <v>2329</v>
      </c>
      <c r="L4661" s="1534">
        <f>'27ª MEDIÇÃO '!F283</f>
        <v>2</v>
      </c>
      <c r="M4661" s="1534"/>
      <c r="N4661" s="197">
        <f>L4661-H4666</f>
        <v>0</v>
      </c>
    </row>
    <row r="4662" spans="1:14">
      <c r="A4662" s="1670" t="s">
        <v>3158</v>
      </c>
      <c r="B4662" s="355" t="s">
        <v>3126</v>
      </c>
      <c r="C4662" s="314"/>
      <c r="D4662" s="299"/>
      <c r="E4662" s="300"/>
      <c r="F4662" s="299"/>
      <c r="G4662" s="299"/>
      <c r="H4662" s="315" t="s">
        <v>476</v>
      </c>
      <c r="I4662" s="1509"/>
      <c r="J4662" s="1509"/>
      <c r="K4662" s="1509"/>
      <c r="L4662" s="1509"/>
      <c r="M4662" s="1509"/>
      <c r="N4662" s="1510"/>
    </row>
    <row r="4663" spans="1:14">
      <c r="A4663" s="1671"/>
      <c r="B4663" s="355" t="s">
        <v>3142</v>
      </c>
      <c r="C4663" s="317"/>
      <c r="D4663" s="291"/>
      <c r="E4663" s="290"/>
      <c r="F4663" s="292"/>
      <c r="G4663" s="291"/>
      <c r="H4663" s="318"/>
      <c r="I4663" s="1509"/>
      <c r="J4663" s="1509"/>
      <c r="K4663" s="1509"/>
      <c r="L4663" s="1509"/>
      <c r="M4663" s="1509"/>
      <c r="N4663" s="1510"/>
    </row>
    <row r="4664" spans="1:14">
      <c r="A4664" s="1672"/>
      <c r="B4664" s="316"/>
      <c r="C4664" s="317"/>
      <c r="D4664" s="311"/>
      <c r="E4664" s="310"/>
      <c r="F4664" s="312"/>
      <c r="G4664" s="311"/>
      <c r="H4664" s="318">
        <f>'27ª MEDIÇÃO '!F283</f>
        <v>2</v>
      </c>
      <c r="I4664" s="1509"/>
      <c r="J4664" s="1509"/>
      <c r="K4664" s="1509"/>
      <c r="L4664" s="1509"/>
      <c r="M4664" s="1509"/>
      <c r="N4664" s="1510"/>
    </row>
    <row r="4665" spans="1:14" s="53" customFormat="1" ht="24" customHeight="1">
      <c r="A4665" s="1673"/>
      <c r="B4665" s="319"/>
      <c r="C4665" s="294"/>
      <c r="D4665" s="294"/>
      <c r="E4665" s="295"/>
      <c r="F4665" s="294"/>
      <c r="G4665" s="294"/>
      <c r="H4665" s="318"/>
      <c r="I4665" s="1509"/>
      <c r="J4665" s="1509"/>
      <c r="K4665" s="1509"/>
      <c r="L4665" s="1509"/>
      <c r="M4665" s="1509"/>
      <c r="N4665" s="1510"/>
    </row>
    <row r="4666" spans="1:14">
      <c r="A4666" s="1577" t="s">
        <v>2218</v>
      </c>
      <c r="B4666" s="1542"/>
      <c r="C4666" s="1542"/>
      <c r="D4666" s="1542"/>
      <c r="E4666" s="1542"/>
      <c r="F4666" s="1542"/>
      <c r="G4666" s="1542"/>
      <c r="H4666" s="271">
        <f>SUM(H4663:H4665)</f>
        <v>2</v>
      </c>
      <c r="I4666" s="1509"/>
      <c r="J4666" s="1509"/>
      <c r="K4666" s="1509"/>
      <c r="L4666" s="1509"/>
      <c r="M4666" s="1509"/>
      <c r="N4666" s="1510"/>
    </row>
    <row r="4667" spans="1:14">
      <c r="A4667" s="1578" t="s">
        <v>2219</v>
      </c>
      <c r="B4667" s="1538"/>
      <c r="C4667" s="1538"/>
      <c r="D4667" s="1538"/>
      <c r="E4667" s="1538"/>
      <c r="F4667" s="1538"/>
      <c r="G4667" s="1538"/>
      <c r="H4667" s="320">
        <v>0</v>
      </c>
      <c r="I4667" s="1509"/>
      <c r="J4667" s="1509"/>
      <c r="K4667" s="1509"/>
      <c r="L4667" s="1509"/>
      <c r="M4667" s="1509"/>
      <c r="N4667" s="1510"/>
    </row>
    <row r="4668" spans="1:14" ht="15.75" thickBot="1">
      <c r="A4668" s="1579" t="s">
        <v>2220</v>
      </c>
      <c r="B4668" s="1580"/>
      <c r="C4668" s="1580"/>
      <c r="D4668" s="1580"/>
      <c r="E4668" s="1580"/>
      <c r="F4668" s="1580"/>
      <c r="G4668" s="1580"/>
      <c r="H4668" s="221">
        <f>H4666</f>
        <v>2</v>
      </c>
      <c r="I4668" s="1512"/>
      <c r="J4668" s="1512"/>
      <c r="K4668" s="1512"/>
      <c r="L4668" s="1512"/>
      <c r="M4668" s="1512"/>
      <c r="N4668" s="1513"/>
    </row>
    <row r="4669" spans="1:14" ht="15.75" thickBot="1">
      <c r="A4669" s="1104"/>
      <c r="B4669" s="278"/>
      <c r="C4669" s="278"/>
      <c r="D4669" s="281"/>
      <c r="E4669" s="1319"/>
      <c r="F4669" s="278"/>
      <c r="G4669" s="278"/>
      <c r="H4669" s="217"/>
      <c r="I4669" s="279"/>
      <c r="J4669" s="279"/>
      <c r="K4669" s="279"/>
      <c r="L4669" s="279"/>
      <c r="M4669" s="279"/>
      <c r="N4669" s="441"/>
    </row>
    <row r="4670" spans="1:14">
      <c r="A4670" s="1109" t="s">
        <v>3131</v>
      </c>
      <c r="B4670" s="1533" t="s">
        <v>255</v>
      </c>
      <c r="C4670" s="1533"/>
      <c r="D4670" s="1533"/>
      <c r="E4670" s="1533"/>
      <c r="F4670" s="1533"/>
      <c r="G4670" s="1533"/>
      <c r="H4670" s="1533"/>
      <c r="I4670" s="1533"/>
      <c r="J4670" s="1533"/>
      <c r="K4670" s="266" t="s">
        <v>2329</v>
      </c>
      <c r="L4670" s="1534">
        <f>'27ª MEDIÇÃO '!F285</f>
        <v>1</v>
      </c>
      <c r="M4670" s="1534"/>
      <c r="N4670" s="197">
        <f>L4670-H4675</f>
        <v>0</v>
      </c>
    </row>
    <row r="4671" spans="1:14">
      <c r="A4671" s="1670" t="s">
        <v>2997</v>
      </c>
      <c r="B4671" s="355" t="s">
        <v>3141</v>
      </c>
      <c r="C4671" s="314"/>
      <c r="D4671" s="299"/>
      <c r="E4671" s="300"/>
      <c r="F4671" s="299"/>
      <c r="G4671" s="299" t="s">
        <v>3143</v>
      </c>
      <c r="H4671" s="315" t="s">
        <v>476</v>
      </c>
      <c r="I4671" s="1509"/>
      <c r="J4671" s="1509"/>
      <c r="K4671" s="1509"/>
      <c r="L4671" s="1509"/>
      <c r="M4671" s="1509"/>
      <c r="N4671" s="1510"/>
    </row>
    <row r="4672" spans="1:14">
      <c r="A4672" s="1671"/>
      <c r="B4672" s="355" t="s">
        <v>3142</v>
      </c>
      <c r="C4672" s="317"/>
      <c r="D4672" s="291"/>
      <c r="E4672" s="290"/>
      <c r="F4672" s="292"/>
      <c r="G4672" s="291">
        <v>1</v>
      </c>
      <c r="H4672" s="318">
        <f>G4672</f>
        <v>1</v>
      </c>
      <c r="I4672" s="1509"/>
      <c r="J4672" s="1509"/>
      <c r="K4672" s="1509"/>
      <c r="L4672" s="1509"/>
      <c r="M4672" s="1509"/>
      <c r="N4672" s="1510"/>
    </row>
    <row r="4673" spans="1:14">
      <c r="A4673" s="1672"/>
      <c r="B4673" s="316"/>
      <c r="C4673" s="317"/>
      <c r="D4673" s="311"/>
      <c r="E4673" s="310"/>
      <c r="F4673" s="312"/>
      <c r="G4673" s="311"/>
      <c r="H4673" s="318"/>
      <c r="I4673" s="1509"/>
      <c r="J4673" s="1509"/>
      <c r="K4673" s="1509"/>
      <c r="L4673" s="1509"/>
      <c r="M4673" s="1509"/>
      <c r="N4673" s="1510"/>
    </row>
    <row r="4674" spans="1:14" s="53" customFormat="1" ht="24" customHeight="1">
      <c r="A4674" s="1673"/>
      <c r="B4674" s="319"/>
      <c r="C4674" s="294"/>
      <c r="D4674" s="294"/>
      <c r="E4674" s="295"/>
      <c r="F4674" s="294"/>
      <c r="G4674" s="294"/>
      <c r="H4674" s="318"/>
      <c r="I4674" s="1509"/>
      <c r="J4674" s="1509"/>
      <c r="K4674" s="1509"/>
      <c r="L4674" s="1509"/>
      <c r="M4674" s="1509"/>
      <c r="N4674" s="1510"/>
    </row>
    <row r="4675" spans="1:14">
      <c r="A4675" s="1577" t="s">
        <v>2218</v>
      </c>
      <c r="B4675" s="1542"/>
      <c r="C4675" s="1542"/>
      <c r="D4675" s="1542"/>
      <c r="E4675" s="1542"/>
      <c r="F4675" s="1542"/>
      <c r="G4675" s="1542"/>
      <c r="H4675" s="271">
        <f>H4672</f>
        <v>1</v>
      </c>
      <c r="I4675" s="1509"/>
      <c r="J4675" s="1509"/>
      <c r="K4675" s="1509"/>
      <c r="L4675" s="1509"/>
      <c r="M4675" s="1509"/>
      <c r="N4675" s="1510"/>
    </row>
    <row r="4676" spans="1:14">
      <c r="A4676" s="1578" t="s">
        <v>2219</v>
      </c>
      <c r="B4676" s="1538"/>
      <c r="C4676" s="1538"/>
      <c r="D4676" s="1538"/>
      <c r="E4676" s="1538"/>
      <c r="F4676" s="1538"/>
      <c r="G4676" s="1538"/>
      <c r="H4676" s="320">
        <v>0</v>
      </c>
      <c r="I4676" s="1509"/>
      <c r="J4676" s="1509"/>
      <c r="K4676" s="1509"/>
      <c r="L4676" s="1509"/>
      <c r="M4676" s="1509"/>
      <c r="N4676" s="1510"/>
    </row>
    <row r="4677" spans="1:14" ht="15.75" thickBot="1">
      <c r="A4677" s="1579" t="s">
        <v>2220</v>
      </c>
      <c r="B4677" s="1580"/>
      <c r="C4677" s="1580"/>
      <c r="D4677" s="1580"/>
      <c r="E4677" s="1580"/>
      <c r="F4677" s="1580"/>
      <c r="G4677" s="1580"/>
      <c r="H4677" s="221">
        <f>H4675</f>
        <v>1</v>
      </c>
      <c r="I4677" s="1512"/>
      <c r="J4677" s="1512"/>
      <c r="K4677" s="1512"/>
      <c r="L4677" s="1512"/>
      <c r="M4677" s="1512"/>
      <c r="N4677" s="1513"/>
    </row>
    <row r="4678" spans="1:14" ht="15.75" thickBot="1">
      <c r="A4678" s="1104"/>
      <c r="B4678" s="278"/>
      <c r="C4678" s="278"/>
      <c r="D4678" s="281"/>
      <c r="E4678" s="1319"/>
      <c r="F4678" s="278"/>
      <c r="G4678" s="278"/>
      <c r="H4678" s="217"/>
      <c r="I4678" s="279"/>
      <c r="J4678" s="321"/>
      <c r="K4678" s="322"/>
      <c r="L4678" s="322"/>
      <c r="M4678" s="321"/>
      <c r="N4678" s="323"/>
    </row>
    <row r="4679" spans="1:14">
      <c r="A4679" s="1109" t="s">
        <v>3130</v>
      </c>
      <c r="B4679" s="1533" t="s">
        <v>1179</v>
      </c>
      <c r="C4679" s="1533"/>
      <c r="D4679" s="1533"/>
      <c r="E4679" s="1533"/>
      <c r="F4679" s="1533"/>
      <c r="G4679" s="1533"/>
      <c r="H4679" s="1533"/>
      <c r="I4679" s="1533"/>
      <c r="J4679" s="1533"/>
      <c r="K4679" s="266" t="s">
        <v>2329</v>
      </c>
      <c r="L4679" s="1534">
        <f>'27ª MEDIÇÃO '!F286</f>
        <v>2</v>
      </c>
      <c r="M4679" s="1534"/>
      <c r="N4679" s="197">
        <f>L4679-H4684</f>
        <v>0</v>
      </c>
    </row>
    <row r="4680" spans="1:14">
      <c r="A4680" s="1670" t="s">
        <v>2997</v>
      </c>
      <c r="B4680" s="355" t="s">
        <v>3126</v>
      </c>
      <c r="C4680" s="314"/>
      <c r="D4680" s="299"/>
      <c r="E4680" s="300"/>
      <c r="F4680" s="299"/>
      <c r="G4680" s="299" t="s">
        <v>3143</v>
      </c>
      <c r="H4680" s="315" t="s">
        <v>476</v>
      </c>
      <c r="I4680" s="1509"/>
      <c r="J4680" s="1509"/>
      <c r="K4680" s="1509"/>
      <c r="L4680" s="1509"/>
      <c r="M4680" s="1509"/>
      <c r="N4680" s="1510"/>
    </row>
    <row r="4681" spans="1:14">
      <c r="A4681" s="1671"/>
      <c r="B4681" s="355" t="s">
        <v>3142</v>
      </c>
      <c r="C4681" s="317"/>
      <c r="D4681" s="291"/>
      <c r="E4681" s="290"/>
      <c r="F4681" s="292"/>
      <c r="G4681" s="291">
        <v>2</v>
      </c>
      <c r="H4681" s="318">
        <f>G4681</f>
        <v>2</v>
      </c>
      <c r="I4681" s="1509"/>
      <c r="J4681" s="1509"/>
      <c r="K4681" s="1509"/>
      <c r="L4681" s="1509"/>
      <c r="M4681" s="1509"/>
      <c r="N4681" s="1510"/>
    </row>
    <row r="4682" spans="1:14">
      <c r="A4682" s="1672"/>
      <c r="B4682" s="316"/>
      <c r="C4682" s="317"/>
      <c r="D4682" s="311"/>
      <c r="E4682" s="310"/>
      <c r="F4682" s="312"/>
      <c r="G4682" s="311"/>
      <c r="H4682" s="318"/>
      <c r="I4682" s="1509"/>
      <c r="J4682" s="1509"/>
      <c r="K4682" s="1509"/>
      <c r="L4682" s="1509"/>
      <c r="M4682" s="1509"/>
      <c r="N4682" s="1510"/>
    </row>
    <row r="4683" spans="1:14" s="53" customFormat="1" ht="24" customHeight="1">
      <c r="A4683" s="1673"/>
      <c r="B4683" s="319"/>
      <c r="C4683" s="294"/>
      <c r="D4683" s="294"/>
      <c r="E4683" s="295"/>
      <c r="F4683" s="294"/>
      <c r="G4683" s="294"/>
      <c r="H4683" s="318"/>
      <c r="I4683" s="1509"/>
      <c r="J4683" s="1509"/>
      <c r="K4683" s="1509"/>
      <c r="L4683" s="1509"/>
      <c r="M4683" s="1509"/>
      <c r="N4683" s="1510"/>
    </row>
    <row r="4684" spans="1:14">
      <c r="A4684" s="1577" t="s">
        <v>2218</v>
      </c>
      <c r="B4684" s="1542"/>
      <c r="C4684" s="1542"/>
      <c r="D4684" s="1542"/>
      <c r="E4684" s="1542"/>
      <c r="F4684" s="1542"/>
      <c r="G4684" s="1542"/>
      <c r="H4684" s="271">
        <f>SUM(H4681:H4683)</f>
        <v>2</v>
      </c>
      <c r="I4684" s="1509"/>
      <c r="J4684" s="1509"/>
      <c r="K4684" s="1509"/>
      <c r="L4684" s="1509"/>
      <c r="M4684" s="1509"/>
      <c r="N4684" s="1510"/>
    </row>
    <row r="4685" spans="1:14">
      <c r="A4685" s="1578" t="s">
        <v>2219</v>
      </c>
      <c r="B4685" s="1538"/>
      <c r="C4685" s="1538"/>
      <c r="D4685" s="1538"/>
      <c r="E4685" s="1538"/>
      <c r="F4685" s="1538"/>
      <c r="G4685" s="1538"/>
      <c r="H4685" s="320">
        <v>0</v>
      </c>
      <c r="I4685" s="1509"/>
      <c r="J4685" s="1509"/>
      <c r="K4685" s="1509"/>
      <c r="L4685" s="1509"/>
      <c r="M4685" s="1509"/>
      <c r="N4685" s="1510"/>
    </row>
    <row r="4686" spans="1:14" ht="15.75" thickBot="1">
      <c r="A4686" s="1579" t="s">
        <v>2220</v>
      </c>
      <c r="B4686" s="1580"/>
      <c r="C4686" s="1580"/>
      <c r="D4686" s="1580"/>
      <c r="E4686" s="1580"/>
      <c r="F4686" s="1580"/>
      <c r="G4686" s="1580"/>
      <c r="H4686" s="221">
        <f>H4684</f>
        <v>2</v>
      </c>
      <c r="I4686" s="1512"/>
      <c r="J4686" s="1512"/>
      <c r="K4686" s="1512"/>
      <c r="L4686" s="1512"/>
      <c r="M4686" s="1512"/>
      <c r="N4686" s="1513"/>
    </row>
    <row r="4687" spans="1:14" ht="15.75" thickBot="1">
      <c r="A4687" s="1104"/>
      <c r="B4687" s="278"/>
      <c r="C4687" s="278"/>
      <c r="D4687" s="281"/>
      <c r="E4687" s="1319"/>
      <c r="F4687" s="278"/>
      <c r="G4687" s="278"/>
      <c r="H4687" s="217"/>
      <c r="I4687" s="279"/>
      <c r="J4687" s="321"/>
      <c r="K4687" s="322"/>
      <c r="L4687" s="322"/>
      <c r="M4687" s="321"/>
      <c r="N4687" s="323"/>
    </row>
    <row r="4688" spans="1:14">
      <c r="A4688" s="1109" t="s">
        <v>3132</v>
      </c>
      <c r="B4688" s="1533" t="s">
        <v>1182</v>
      </c>
      <c r="C4688" s="1533"/>
      <c r="D4688" s="1533"/>
      <c r="E4688" s="1533"/>
      <c r="F4688" s="1533"/>
      <c r="G4688" s="1533"/>
      <c r="H4688" s="1533"/>
      <c r="I4688" s="1533"/>
      <c r="J4688" s="1533"/>
      <c r="K4688" s="266" t="s">
        <v>2329</v>
      </c>
      <c r="L4688" s="1534">
        <f>'27ª MEDIÇÃO '!F287</f>
        <v>1</v>
      </c>
      <c r="M4688" s="1534"/>
      <c r="N4688" s="197">
        <f>L4688-H4693</f>
        <v>0</v>
      </c>
    </row>
    <row r="4689" spans="1:14">
      <c r="A4689" s="1670" t="s">
        <v>2997</v>
      </c>
      <c r="B4689" s="355" t="s">
        <v>3126</v>
      </c>
      <c r="C4689" s="314"/>
      <c r="D4689" s="299"/>
      <c r="E4689" s="300"/>
      <c r="F4689" s="299"/>
      <c r="G4689" s="299" t="s">
        <v>3143</v>
      </c>
      <c r="H4689" s="315" t="s">
        <v>476</v>
      </c>
      <c r="I4689" s="1509"/>
      <c r="J4689" s="1509"/>
      <c r="K4689" s="1509"/>
      <c r="L4689" s="1509"/>
      <c r="M4689" s="1509"/>
      <c r="N4689" s="1510"/>
    </row>
    <row r="4690" spans="1:14">
      <c r="A4690" s="1671"/>
      <c r="B4690" s="355" t="s">
        <v>3142</v>
      </c>
      <c r="C4690" s="317"/>
      <c r="D4690" s="291"/>
      <c r="E4690" s="290"/>
      <c r="F4690" s="292"/>
      <c r="G4690" s="291">
        <v>1</v>
      </c>
      <c r="H4690" s="318">
        <f>G4690</f>
        <v>1</v>
      </c>
      <c r="I4690" s="1509"/>
      <c r="J4690" s="1509"/>
      <c r="K4690" s="1509"/>
      <c r="L4690" s="1509"/>
      <c r="M4690" s="1509"/>
      <c r="N4690" s="1510"/>
    </row>
    <row r="4691" spans="1:14">
      <c r="A4691" s="1672"/>
      <c r="B4691" s="316"/>
      <c r="C4691" s="317"/>
      <c r="D4691" s="311"/>
      <c r="E4691" s="310"/>
      <c r="F4691" s="312"/>
      <c r="G4691" s="311"/>
      <c r="H4691" s="318"/>
      <c r="I4691" s="1509"/>
      <c r="J4691" s="1509"/>
      <c r="K4691" s="1509"/>
      <c r="L4691" s="1509"/>
      <c r="M4691" s="1509"/>
      <c r="N4691" s="1510"/>
    </row>
    <row r="4692" spans="1:14" s="53" customFormat="1" ht="24" customHeight="1">
      <c r="A4692" s="1673"/>
      <c r="B4692" s="319"/>
      <c r="C4692" s="294"/>
      <c r="D4692" s="294"/>
      <c r="E4692" s="295"/>
      <c r="F4692" s="294"/>
      <c r="G4692" s="294"/>
      <c r="H4692" s="318"/>
      <c r="I4692" s="1509"/>
      <c r="J4692" s="1509"/>
      <c r="K4692" s="1509"/>
      <c r="L4692" s="1509"/>
      <c r="M4692" s="1509"/>
      <c r="N4692" s="1510"/>
    </row>
    <row r="4693" spans="1:14">
      <c r="A4693" s="1577" t="s">
        <v>2218</v>
      </c>
      <c r="B4693" s="1542"/>
      <c r="C4693" s="1542"/>
      <c r="D4693" s="1542"/>
      <c r="E4693" s="1542"/>
      <c r="F4693" s="1542"/>
      <c r="G4693" s="1542"/>
      <c r="H4693" s="271">
        <f>SUM(H4690:H4692)</f>
        <v>1</v>
      </c>
      <c r="I4693" s="1509"/>
      <c r="J4693" s="1509"/>
      <c r="K4693" s="1509"/>
      <c r="L4693" s="1509"/>
      <c r="M4693" s="1509"/>
      <c r="N4693" s="1510"/>
    </row>
    <row r="4694" spans="1:14">
      <c r="A4694" s="1578" t="s">
        <v>2219</v>
      </c>
      <c r="B4694" s="1538"/>
      <c r="C4694" s="1538"/>
      <c r="D4694" s="1538"/>
      <c r="E4694" s="1538"/>
      <c r="F4694" s="1538"/>
      <c r="G4694" s="1538"/>
      <c r="H4694" s="320">
        <v>0</v>
      </c>
      <c r="I4694" s="1509"/>
      <c r="J4694" s="1509"/>
      <c r="K4694" s="1509"/>
      <c r="L4694" s="1509"/>
      <c r="M4694" s="1509"/>
      <c r="N4694" s="1510"/>
    </row>
    <row r="4695" spans="1:14" ht="15.75" thickBot="1">
      <c r="A4695" s="1579" t="s">
        <v>2220</v>
      </c>
      <c r="B4695" s="1580"/>
      <c r="C4695" s="1580"/>
      <c r="D4695" s="1580"/>
      <c r="E4695" s="1580"/>
      <c r="F4695" s="1580"/>
      <c r="G4695" s="1580"/>
      <c r="H4695" s="221">
        <f>H4693</f>
        <v>1</v>
      </c>
      <c r="I4695" s="1512"/>
      <c r="J4695" s="1512"/>
      <c r="K4695" s="1512"/>
      <c r="L4695" s="1512"/>
      <c r="M4695" s="1512"/>
      <c r="N4695" s="1513"/>
    </row>
    <row r="4696" spans="1:14" ht="15.75" thickBot="1">
      <c r="A4696" s="1104"/>
      <c r="B4696" s="278"/>
      <c r="C4696" s="278"/>
      <c r="D4696" s="281"/>
      <c r="E4696" s="1319"/>
      <c r="F4696" s="278"/>
      <c r="G4696" s="278"/>
      <c r="H4696" s="217"/>
      <c r="I4696" s="279"/>
      <c r="J4696" s="321"/>
      <c r="K4696" s="322"/>
      <c r="L4696" s="322"/>
      <c r="M4696" s="321"/>
      <c r="N4696" s="323"/>
    </row>
    <row r="4697" spans="1:14">
      <c r="A4697" s="1109" t="s">
        <v>3133</v>
      </c>
      <c r="B4697" s="1533" t="s">
        <v>1185</v>
      </c>
      <c r="C4697" s="1533"/>
      <c r="D4697" s="1533"/>
      <c r="E4697" s="1533"/>
      <c r="F4697" s="1533"/>
      <c r="G4697" s="1533"/>
      <c r="H4697" s="1533"/>
      <c r="I4697" s="1533"/>
      <c r="J4697" s="1533"/>
      <c r="K4697" s="266" t="s">
        <v>2329</v>
      </c>
      <c r="L4697" s="1534">
        <f>'27ª MEDIÇÃO '!F288</f>
        <v>3</v>
      </c>
      <c r="M4697" s="1534"/>
      <c r="N4697" s="197">
        <f>L4697-H4702</f>
        <v>0</v>
      </c>
    </row>
    <row r="4698" spans="1:14">
      <c r="A4698" s="1670" t="s">
        <v>2997</v>
      </c>
      <c r="B4698" s="355" t="s">
        <v>3126</v>
      </c>
      <c r="C4698" s="314"/>
      <c r="D4698" s="299"/>
      <c r="E4698" s="300"/>
      <c r="F4698" s="299"/>
      <c r="G4698" s="299" t="s">
        <v>3143</v>
      </c>
      <c r="H4698" s="315" t="s">
        <v>476</v>
      </c>
      <c r="I4698" s="1509"/>
      <c r="J4698" s="1509"/>
      <c r="K4698" s="1509"/>
      <c r="L4698" s="1509"/>
      <c r="M4698" s="1509"/>
      <c r="N4698" s="1510"/>
    </row>
    <row r="4699" spans="1:14">
      <c r="A4699" s="1671"/>
      <c r="B4699" s="355" t="s">
        <v>3142</v>
      </c>
      <c r="C4699" s="317"/>
      <c r="D4699" s="291"/>
      <c r="E4699" s="290"/>
      <c r="F4699" s="292"/>
      <c r="G4699" s="291">
        <v>2</v>
      </c>
      <c r="H4699" s="318">
        <f>G4699</f>
        <v>2</v>
      </c>
      <c r="I4699" s="1509"/>
      <c r="J4699" s="1509"/>
      <c r="K4699" s="1509"/>
      <c r="L4699" s="1509"/>
      <c r="M4699" s="1509"/>
      <c r="N4699" s="1510"/>
    </row>
    <row r="4700" spans="1:14">
      <c r="A4700" s="1672"/>
      <c r="B4700" s="355" t="s">
        <v>2727</v>
      </c>
      <c r="C4700" s="317"/>
      <c r="D4700" s="311"/>
      <c r="E4700" s="310"/>
      <c r="F4700" s="312"/>
      <c r="G4700" s="311">
        <v>1</v>
      </c>
      <c r="H4700" s="318">
        <f>G4700</f>
        <v>1</v>
      </c>
      <c r="I4700" s="1509"/>
      <c r="J4700" s="1509"/>
      <c r="K4700" s="1509"/>
      <c r="L4700" s="1509"/>
      <c r="M4700" s="1509"/>
      <c r="N4700" s="1510"/>
    </row>
    <row r="4701" spans="1:14" s="53" customFormat="1" ht="24" customHeight="1">
      <c r="A4701" s="1673"/>
      <c r="B4701" s="319"/>
      <c r="C4701" s="294"/>
      <c r="D4701" s="294"/>
      <c r="E4701" s="295"/>
      <c r="F4701" s="294"/>
      <c r="G4701" s="294"/>
      <c r="H4701" s="318"/>
      <c r="I4701" s="1509"/>
      <c r="J4701" s="1509"/>
      <c r="K4701" s="1509"/>
      <c r="L4701" s="1509"/>
      <c r="M4701" s="1509"/>
      <c r="N4701" s="1510"/>
    </row>
    <row r="4702" spans="1:14">
      <c r="A4702" s="1577" t="s">
        <v>2218</v>
      </c>
      <c r="B4702" s="1542"/>
      <c r="C4702" s="1542"/>
      <c r="D4702" s="1542"/>
      <c r="E4702" s="1542"/>
      <c r="F4702" s="1542"/>
      <c r="G4702" s="1542"/>
      <c r="H4702" s="271">
        <f>SUM(H4699:H4701)</f>
        <v>3</v>
      </c>
      <c r="I4702" s="1509"/>
      <c r="J4702" s="1509"/>
      <c r="K4702" s="1509"/>
      <c r="L4702" s="1509"/>
      <c r="M4702" s="1509"/>
      <c r="N4702" s="1510"/>
    </row>
    <row r="4703" spans="1:14">
      <c r="A4703" s="1578" t="s">
        <v>2219</v>
      </c>
      <c r="B4703" s="1538"/>
      <c r="C4703" s="1538"/>
      <c r="D4703" s="1538"/>
      <c r="E4703" s="1538"/>
      <c r="F4703" s="1538"/>
      <c r="G4703" s="1538"/>
      <c r="H4703" s="320">
        <v>0</v>
      </c>
      <c r="I4703" s="1509"/>
      <c r="J4703" s="1509"/>
      <c r="K4703" s="1509"/>
      <c r="L4703" s="1509"/>
      <c r="M4703" s="1509"/>
      <c r="N4703" s="1510"/>
    </row>
    <row r="4704" spans="1:14" ht="15.75" thickBot="1">
      <c r="A4704" s="1579" t="s">
        <v>2220</v>
      </c>
      <c r="B4704" s="1580"/>
      <c r="C4704" s="1580"/>
      <c r="D4704" s="1580"/>
      <c r="E4704" s="1580"/>
      <c r="F4704" s="1580"/>
      <c r="G4704" s="1580"/>
      <c r="H4704" s="221">
        <f>H4702</f>
        <v>3</v>
      </c>
      <c r="I4704" s="1512"/>
      <c r="J4704" s="1512"/>
      <c r="K4704" s="1512"/>
      <c r="L4704" s="1512"/>
      <c r="M4704" s="1512"/>
      <c r="N4704" s="1513"/>
    </row>
    <row r="4705" spans="1:14" ht="15.75" thickBot="1">
      <c r="A4705" s="1104"/>
      <c r="B4705" s="278"/>
      <c r="C4705" s="278"/>
      <c r="D4705" s="281"/>
      <c r="E4705" s="1319"/>
      <c r="F4705" s="278"/>
      <c r="G4705" s="278"/>
      <c r="H4705" s="217"/>
      <c r="I4705" s="279"/>
      <c r="J4705" s="321"/>
      <c r="K4705" s="322"/>
      <c r="L4705" s="322"/>
      <c r="M4705" s="321"/>
      <c r="N4705" s="323"/>
    </row>
    <row r="4706" spans="1:14">
      <c r="A4706" s="1109" t="s">
        <v>3134</v>
      </c>
      <c r="B4706" s="1533" t="s">
        <v>1188</v>
      </c>
      <c r="C4706" s="1533"/>
      <c r="D4706" s="1533"/>
      <c r="E4706" s="1533"/>
      <c r="F4706" s="1533"/>
      <c r="G4706" s="1533"/>
      <c r="H4706" s="1533"/>
      <c r="I4706" s="1533"/>
      <c r="J4706" s="1533"/>
      <c r="K4706" s="266" t="s">
        <v>2329</v>
      </c>
      <c r="L4706" s="1534">
        <f>'27ª MEDIÇÃO '!F289</f>
        <v>31</v>
      </c>
      <c r="M4706" s="1534"/>
      <c r="N4706" s="197">
        <f>L4706-H4711</f>
        <v>0</v>
      </c>
    </row>
    <row r="4707" spans="1:14">
      <c r="A4707" s="1670" t="s">
        <v>2997</v>
      </c>
      <c r="B4707" s="355" t="s">
        <v>3126</v>
      </c>
      <c r="C4707" s="314"/>
      <c r="D4707" s="299"/>
      <c r="E4707" s="300"/>
      <c r="F4707" s="299"/>
      <c r="G4707" s="299" t="s">
        <v>3143</v>
      </c>
      <c r="H4707" s="315" t="s">
        <v>476</v>
      </c>
      <c r="I4707" s="1509"/>
      <c r="J4707" s="1509"/>
      <c r="K4707" s="1509"/>
      <c r="L4707" s="1509"/>
      <c r="M4707" s="1509"/>
      <c r="N4707" s="1510"/>
    </row>
    <row r="4708" spans="1:14">
      <c r="A4708" s="1671"/>
      <c r="B4708" s="355" t="s">
        <v>2727</v>
      </c>
      <c r="C4708" s="317"/>
      <c r="D4708" s="291"/>
      <c r="E4708" s="290"/>
      <c r="F4708" s="292"/>
      <c r="G4708" s="291">
        <v>19</v>
      </c>
      <c r="H4708" s="318">
        <f>G4708</f>
        <v>19</v>
      </c>
      <c r="I4708" s="1509"/>
      <c r="J4708" s="1509"/>
      <c r="K4708" s="1509"/>
      <c r="L4708" s="1509"/>
      <c r="M4708" s="1509"/>
      <c r="N4708" s="1510"/>
    </row>
    <row r="4709" spans="1:14">
      <c r="A4709" s="1672"/>
      <c r="B4709" s="355" t="s">
        <v>2929</v>
      </c>
      <c r="C4709" s="317"/>
      <c r="D4709" s="311"/>
      <c r="E4709" s="310"/>
      <c r="F4709" s="312"/>
      <c r="G4709" s="311">
        <v>12</v>
      </c>
      <c r="H4709" s="318">
        <f>G4709</f>
        <v>12</v>
      </c>
      <c r="I4709" s="1509"/>
      <c r="J4709" s="1509"/>
      <c r="K4709" s="1509"/>
      <c r="L4709" s="1509"/>
      <c r="M4709" s="1509"/>
      <c r="N4709" s="1510"/>
    </row>
    <row r="4710" spans="1:14" s="53" customFormat="1" ht="24" customHeight="1">
      <c r="A4710" s="1673"/>
      <c r="B4710" s="319"/>
      <c r="C4710" s="294"/>
      <c r="D4710" s="294"/>
      <c r="E4710" s="295"/>
      <c r="F4710" s="294"/>
      <c r="G4710" s="294"/>
      <c r="H4710" s="318"/>
      <c r="I4710" s="1509"/>
      <c r="J4710" s="1509"/>
      <c r="K4710" s="1509"/>
      <c r="L4710" s="1509"/>
      <c r="M4710" s="1509"/>
      <c r="N4710" s="1510"/>
    </row>
    <row r="4711" spans="1:14">
      <c r="A4711" s="1577" t="s">
        <v>2218</v>
      </c>
      <c r="B4711" s="1542"/>
      <c r="C4711" s="1542"/>
      <c r="D4711" s="1542"/>
      <c r="E4711" s="1542"/>
      <c r="F4711" s="1542"/>
      <c r="G4711" s="1542"/>
      <c r="H4711" s="271">
        <f>SUM(H4708:H4710)</f>
        <v>31</v>
      </c>
      <c r="I4711" s="1509"/>
      <c r="J4711" s="1509"/>
      <c r="K4711" s="1509"/>
      <c r="L4711" s="1509"/>
      <c r="M4711" s="1509"/>
      <c r="N4711" s="1510"/>
    </row>
    <row r="4712" spans="1:14">
      <c r="A4712" s="1578" t="s">
        <v>2219</v>
      </c>
      <c r="B4712" s="1538"/>
      <c r="C4712" s="1538"/>
      <c r="D4712" s="1538"/>
      <c r="E4712" s="1538"/>
      <c r="F4712" s="1538"/>
      <c r="G4712" s="1538"/>
      <c r="H4712" s="320">
        <v>0</v>
      </c>
      <c r="I4712" s="1509"/>
      <c r="J4712" s="1509"/>
      <c r="K4712" s="1509"/>
      <c r="L4712" s="1509"/>
      <c r="M4712" s="1509"/>
      <c r="N4712" s="1510"/>
    </row>
    <row r="4713" spans="1:14" ht="15.75" thickBot="1">
      <c r="A4713" s="1579" t="s">
        <v>2220</v>
      </c>
      <c r="B4713" s="1580"/>
      <c r="C4713" s="1580"/>
      <c r="D4713" s="1580"/>
      <c r="E4713" s="1580"/>
      <c r="F4713" s="1580"/>
      <c r="G4713" s="1580"/>
      <c r="H4713" s="221">
        <f>H4711</f>
        <v>31</v>
      </c>
      <c r="I4713" s="1512"/>
      <c r="J4713" s="1512"/>
      <c r="K4713" s="1512"/>
      <c r="L4713" s="1512"/>
      <c r="M4713" s="1512"/>
      <c r="N4713" s="1513"/>
    </row>
    <row r="4714" spans="1:14" ht="15.75" thickBot="1">
      <c r="A4714" s="1104"/>
      <c r="B4714" s="278"/>
      <c r="C4714" s="278"/>
      <c r="D4714" s="281"/>
      <c r="E4714" s="1319"/>
      <c r="F4714" s="278"/>
      <c r="G4714" s="278"/>
      <c r="H4714" s="217"/>
      <c r="I4714" s="279"/>
      <c r="J4714" s="321"/>
      <c r="K4714" s="322"/>
      <c r="L4714" s="322"/>
      <c r="M4714" s="321"/>
      <c r="N4714" s="323"/>
    </row>
    <row r="4715" spans="1:14">
      <c r="A4715" s="1109" t="s">
        <v>3135</v>
      </c>
      <c r="B4715" s="1533" t="s">
        <v>1191</v>
      </c>
      <c r="C4715" s="1533"/>
      <c r="D4715" s="1533"/>
      <c r="E4715" s="1533"/>
      <c r="F4715" s="1533"/>
      <c r="G4715" s="1533"/>
      <c r="H4715" s="1533"/>
      <c r="I4715" s="1533"/>
      <c r="J4715" s="1533"/>
      <c r="K4715" s="266" t="s">
        <v>2329</v>
      </c>
      <c r="L4715" s="1534">
        <f>'27ª MEDIÇÃO '!F290</f>
        <v>1</v>
      </c>
      <c r="M4715" s="1534"/>
      <c r="N4715" s="197">
        <f>L4715-H4720</f>
        <v>0</v>
      </c>
    </row>
    <row r="4716" spans="1:14">
      <c r="A4716" s="1670" t="s">
        <v>2997</v>
      </c>
      <c r="B4716" s="355" t="s">
        <v>3126</v>
      </c>
      <c r="C4716" s="314"/>
      <c r="D4716" s="299"/>
      <c r="E4716" s="300"/>
      <c r="F4716" s="299"/>
      <c r="G4716" s="299" t="s">
        <v>3143</v>
      </c>
      <c r="H4716" s="315" t="s">
        <v>476</v>
      </c>
      <c r="I4716" s="1509"/>
      <c r="J4716" s="1509"/>
      <c r="K4716" s="1509"/>
      <c r="L4716" s="1509"/>
      <c r="M4716" s="1509"/>
      <c r="N4716" s="1510"/>
    </row>
    <row r="4717" spans="1:14">
      <c r="A4717" s="1671"/>
      <c r="B4717" s="355" t="s">
        <v>2727</v>
      </c>
      <c r="C4717" s="317"/>
      <c r="D4717" s="291"/>
      <c r="E4717" s="290"/>
      <c r="F4717" s="292"/>
      <c r="G4717" s="291">
        <v>1</v>
      </c>
      <c r="H4717" s="318">
        <f>G4717</f>
        <v>1</v>
      </c>
      <c r="I4717" s="1509"/>
      <c r="J4717" s="1509"/>
      <c r="K4717" s="1509"/>
      <c r="L4717" s="1509"/>
      <c r="M4717" s="1509"/>
      <c r="N4717" s="1510"/>
    </row>
    <row r="4718" spans="1:14">
      <c r="A4718" s="1672"/>
      <c r="B4718" s="316"/>
      <c r="C4718" s="317"/>
      <c r="D4718" s="311"/>
      <c r="E4718" s="310"/>
      <c r="F4718" s="312"/>
      <c r="G4718" s="311"/>
      <c r="H4718" s="318"/>
      <c r="I4718" s="1509"/>
      <c r="J4718" s="1509"/>
      <c r="K4718" s="1509"/>
      <c r="L4718" s="1509"/>
      <c r="M4718" s="1509"/>
      <c r="N4718" s="1510"/>
    </row>
    <row r="4719" spans="1:14" s="53" customFormat="1" ht="24" customHeight="1">
      <c r="A4719" s="1673"/>
      <c r="B4719" s="319"/>
      <c r="C4719" s="294"/>
      <c r="D4719" s="294"/>
      <c r="E4719" s="295"/>
      <c r="F4719" s="294"/>
      <c r="G4719" s="294"/>
      <c r="H4719" s="318"/>
      <c r="I4719" s="1509"/>
      <c r="J4719" s="1509"/>
      <c r="K4719" s="1509"/>
      <c r="L4719" s="1509"/>
      <c r="M4719" s="1509"/>
      <c r="N4719" s="1510"/>
    </row>
    <row r="4720" spans="1:14">
      <c r="A4720" s="1577" t="s">
        <v>2218</v>
      </c>
      <c r="B4720" s="1542"/>
      <c r="C4720" s="1542"/>
      <c r="D4720" s="1542"/>
      <c r="E4720" s="1542"/>
      <c r="F4720" s="1542"/>
      <c r="G4720" s="1542"/>
      <c r="H4720" s="271">
        <f>SUM(H4717:H4719)</f>
        <v>1</v>
      </c>
      <c r="I4720" s="1509"/>
      <c r="J4720" s="1509"/>
      <c r="K4720" s="1509"/>
      <c r="L4720" s="1509"/>
      <c r="M4720" s="1509"/>
      <c r="N4720" s="1510"/>
    </row>
    <row r="4721" spans="1:14">
      <c r="A4721" s="1578" t="s">
        <v>2219</v>
      </c>
      <c r="B4721" s="1538"/>
      <c r="C4721" s="1538"/>
      <c r="D4721" s="1538"/>
      <c r="E4721" s="1538"/>
      <c r="F4721" s="1538"/>
      <c r="G4721" s="1538"/>
      <c r="H4721" s="320">
        <v>0</v>
      </c>
      <c r="I4721" s="1509"/>
      <c r="J4721" s="1509"/>
      <c r="K4721" s="1509"/>
      <c r="L4721" s="1509"/>
      <c r="M4721" s="1509"/>
      <c r="N4721" s="1510"/>
    </row>
    <row r="4722" spans="1:14" ht="15.75" thickBot="1">
      <c r="A4722" s="1579" t="s">
        <v>2220</v>
      </c>
      <c r="B4722" s="1580"/>
      <c r="C4722" s="1580"/>
      <c r="D4722" s="1580"/>
      <c r="E4722" s="1580"/>
      <c r="F4722" s="1580"/>
      <c r="G4722" s="1580"/>
      <c r="H4722" s="221">
        <f>H4720</f>
        <v>1</v>
      </c>
      <c r="I4722" s="1512"/>
      <c r="J4722" s="1512"/>
      <c r="K4722" s="1512"/>
      <c r="L4722" s="1512"/>
      <c r="M4722" s="1512"/>
      <c r="N4722" s="1513"/>
    </row>
    <row r="4723" spans="1:14" ht="15.75" thickBot="1">
      <c r="A4723" s="1104"/>
      <c r="B4723" s="278"/>
      <c r="C4723" s="278"/>
      <c r="D4723" s="281"/>
      <c r="E4723" s="1319"/>
      <c r="F4723" s="278"/>
      <c r="G4723" s="278"/>
      <c r="H4723" s="217"/>
      <c r="I4723" s="279"/>
      <c r="J4723" s="321"/>
      <c r="K4723" s="322"/>
      <c r="L4723" s="322"/>
      <c r="M4723" s="321"/>
      <c r="N4723" s="323"/>
    </row>
    <row r="4724" spans="1:14">
      <c r="A4724" s="1109" t="s">
        <v>3136</v>
      </c>
      <c r="B4724" s="1533" t="s">
        <v>1194</v>
      </c>
      <c r="C4724" s="1533"/>
      <c r="D4724" s="1533"/>
      <c r="E4724" s="1533"/>
      <c r="F4724" s="1533"/>
      <c r="G4724" s="1533"/>
      <c r="H4724" s="1533"/>
      <c r="I4724" s="1533"/>
      <c r="J4724" s="1533"/>
      <c r="K4724" s="266" t="s">
        <v>2329</v>
      </c>
      <c r="L4724" s="1534">
        <f>'27ª MEDIÇÃO '!F291</f>
        <v>7</v>
      </c>
      <c r="M4724" s="1534"/>
      <c r="N4724" s="197">
        <f>L4724-H4729</f>
        <v>0</v>
      </c>
    </row>
    <row r="4725" spans="1:14">
      <c r="A4725" s="1670" t="s">
        <v>2997</v>
      </c>
      <c r="B4725" s="355" t="s">
        <v>3126</v>
      </c>
      <c r="C4725" s="314"/>
      <c r="D4725" s="299"/>
      <c r="E4725" s="300"/>
      <c r="F4725" s="299"/>
      <c r="G4725" s="299" t="s">
        <v>3143</v>
      </c>
      <c r="H4725" s="315" t="s">
        <v>476</v>
      </c>
      <c r="I4725" s="1509"/>
      <c r="J4725" s="1509"/>
      <c r="K4725" s="1509"/>
      <c r="L4725" s="1509"/>
      <c r="M4725" s="1509"/>
      <c r="N4725" s="1510"/>
    </row>
    <row r="4726" spans="1:14">
      <c r="A4726" s="1671"/>
      <c r="B4726" s="355" t="s">
        <v>2727</v>
      </c>
      <c r="C4726" s="317"/>
      <c r="D4726" s="291"/>
      <c r="E4726" s="290"/>
      <c r="F4726" s="292"/>
      <c r="G4726" s="291">
        <v>7</v>
      </c>
      <c r="H4726" s="318">
        <f>G4726</f>
        <v>7</v>
      </c>
      <c r="I4726" s="1509"/>
      <c r="J4726" s="1509"/>
      <c r="K4726" s="1509"/>
      <c r="L4726" s="1509"/>
      <c r="M4726" s="1509"/>
      <c r="N4726" s="1510"/>
    </row>
    <row r="4727" spans="1:14">
      <c r="A4727" s="1672"/>
      <c r="B4727" s="316"/>
      <c r="C4727" s="317"/>
      <c r="D4727" s="311"/>
      <c r="E4727" s="310"/>
      <c r="F4727" s="312"/>
      <c r="G4727" s="311"/>
      <c r="H4727" s="318"/>
      <c r="I4727" s="1509"/>
      <c r="J4727" s="1509"/>
      <c r="K4727" s="1509"/>
      <c r="L4727" s="1509"/>
      <c r="M4727" s="1509"/>
      <c r="N4727" s="1510"/>
    </row>
    <row r="4728" spans="1:14" s="53" customFormat="1" ht="24" customHeight="1">
      <c r="A4728" s="1673"/>
      <c r="B4728" s="319"/>
      <c r="C4728" s="294"/>
      <c r="D4728" s="294"/>
      <c r="E4728" s="295"/>
      <c r="F4728" s="294"/>
      <c r="G4728" s="294"/>
      <c r="H4728" s="318"/>
      <c r="I4728" s="1509"/>
      <c r="J4728" s="1509"/>
      <c r="K4728" s="1509"/>
      <c r="L4728" s="1509"/>
      <c r="M4728" s="1509"/>
      <c r="N4728" s="1510"/>
    </row>
    <row r="4729" spans="1:14">
      <c r="A4729" s="1577" t="s">
        <v>2218</v>
      </c>
      <c r="B4729" s="1542"/>
      <c r="C4729" s="1542"/>
      <c r="D4729" s="1542"/>
      <c r="E4729" s="1542"/>
      <c r="F4729" s="1542"/>
      <c r="G4729" s="1542"/>
      <c r="H4729" s="271">
        <f>SUM(H4726:H4728)</f>
        <v>7</v>
      </c>
      <c r="I4729" s="1509"/>
      <c r="J4729" s="1509"/>
      <c r="K4729" s="1509"/>
      <c r="L4729" s="1509"/>
      <c r="M4729" s="1509"/>
      <c r="N4729" s="1510"/>
    </row>
    <row r="4730" spans="1:14">
      <c r="A4730" s="1578" t="s">
        <v>2219</v>
      </c>
      <c r="B4730" s="1538"/>
      <c r="C4730" s="1538"/>
      <c r="D4730" s="1538"/>
      <c r="E4730" s="1538"/>
      <c r="F4730" s="1538"/>
      <c r="G4730" s="1538"/>
      <c r="H4730" s="320">
        <v>0</v>
      </c>
      <c r="I4730" s="1509"/>
      <c r="J4730" s="1509"/>
      <c r="K4730" s="1509"/>
      <c r="L4730" s="1509"/>
      <c r="M4730" s="1509"/>
      <c r="N4730" s="1510"/>
    </row>
    <row r="4731" spans="1:14" ht="15.75" thickBot="1">
      <c r="A4731" s="1579" t="s">
        <v>2220</v>
      </c>
      <c r="B4731" s="1580"/>
      <c r="C4731" s="1580"/>
      <c r="D4731" s="1580"/>
      <c r="E4731" s="1580"/>
      <c r="F4731" s="1580"/>
      <c r="G4731" s="1580"/>
      <c r="H4731" s="221">
        <f>H4729</f>
        <v>7</v>
      </c>
      <c r="I4731" s="1512"/>
      <c r="J4731" s="1512"/>
      <c r="K4731" s="1512"/>
      <c r="L4731" s="1512"/>
      <c r="M4731" s="1512"/>
      <c r="N4731" s="1513"/>
    </row>
    <row r="4732" spans="1:14" ht="15.75" thickBot="1">
      <c r="A4732" s="1104"/>
      <c r="B4732" s="278"/>
      <c r="C4732" s="278"/>
      <c r="D4732" s="281"/>
      <c r="E4732" s="1319"/>
      <c r="F4732" s="278"/>
      <c r="G4732" s="278"/>
      <c r="H4732" s="217"/>
      <c r="I4732" s="279"/>
      <c r="J4732" s="321"/>
      <c r="K4732" s="322"/>
      <c r="L4732" s="322"/>
      <c r="M4732" s="321"/>
      <c r="N4732" s="323"/>
    </row>
    <row r="4733" spans="1:14">
      <c r="A4733" s="1109" t="s">
        <v>3137</v>
      </c>
      <c r="B4733" s="1533" t="s">
        <v>1197</v>
      </c>
      <c r="C4733" s="1533"/>
      <c r="D4733" s="1533"/>
      <c r="E4733" s="1533"/>
      <c r="F4733" s="1533"/>
      <c r="G4733" s="1533"/>
      <c r="H4733" s="1533"/>
      <c r="I4733" s="1533"/>
      <c r="J4733" s="1533"/>
      <c r="K4733" s="266" t="s">
        <v>2329</v>
      </c>
      <c r="L4733" s="1534">
        <f>'27ª MEDIÇÃO '!F292</f>
        <v>1</v>
      </c>
      <c r="M4733" s="1534"/>
      <c r="N4733" s="197">
        <f>L4733-H4738</f>
        <v>0</v>
      </c>
    </row>
    <row r="4734" spans="1:14">
      <c r="A4734" s="1670" t="s">
        <v>2997</v>
      </c>
      <c r="B4734" s="355" t="s">
        <v>3126</v>
      </c>
      <c r="C4734" s="314"/>
      <c r="D4734" s="299"/>
      <c r="E4734" s="300"/>
      <c r="F4734" s="299"/>
      <c r="G4734" s="299" t="s">
        <v>3143</v>
      </c>
      <c r="H4734" s="315" t="s">
        <v>476</v>
      </c>
      <c r="I4734" s="1509"/>
      <c r="J4734" s="1509"/>
      <c r="K4734" s="1509"/>
      <c r="L4734" s="1509"/>
      <c r="M4734" s="1509"/>
      <c r="N4734" s="1510"/>
    </row>
    <row r="4735" spans="1:14">
      <c r="A4735" s="1671"/>
      <c r="B4735" s="355" t="s">
        <v>2727</v>
      </c>
      <c r="C4735" s="317"/>
      <c r="D4735" s="291"/>
      <c r="E4735" s="290"/>
      <c r="F4735" s="292"/>
      <c r="G4735" s="291">
        <v>1</v>
      </c>
      <c r="H4735" s="318">
        <f>G4735</f>
        <v>1</v>
      </c>
      <c r="I4735" s="1509"/>
      <c r="J4735" s="1509"/>
      <c r="K4735" s="1509"/>
      <c r="L4735" s="1509"/>
      <c r="M4735" s="1509"/>
      <c r="N4735" s="1510"/>
    </row>
    <row r="4736" spans="1:14">
      <c r="A4736" s="1672"/>
      <c r="B4736" s="316"/>
      <c r="C4736" s="317"/>
      <c r="D4736" s="311"/>
      <c r="E4736" s="310"/>
      <c r="F4736" s="312"/>
      <c r="G4736" s="311"/>
      <c r="H4736" s="318"/>
      <c r="I4736" s="1509"/>
      <c r="J4736" s="1509"/>
      <c r="K4736" s="1509"/>
      <c r="L4736" s="1509"/>
      <c r="M4736" s="1509"/>
      <c r="N4736" s="1510"/>
    </row>
    <row r="4737" spans="1:14" s="53" customFormat="1" ht="24" customHeight="1">
      <c r="A4737" s="1673"/>
      <c r="B4737" s="319"/>
      <c r="C4737" s="294"/>
      <c r="D4737" s="294"/>
      <c r="E4737" s="295"/>
      <c r="F4737" s="294"/>
      <c r="G4737" s="294"/>
      <c r="H4737" s="318"/>
      <c r="I4737" s="1509"/>
      <c r="J4737" s="1509"/>
      <c r="K4737" s="1509"/>
      <c r="L4737" s="1509"/>
      <c r="M4737" s="1509"/>
      <c r="N4737" s="1510"/>
    </row>
    <row r="4738" spans="1:14">
      <c r="A4738" s="1577" t="s">
        <v>2218</v>
      </c>
      <c r="B4738" s="1542"/>
      <c r="C4738" s="1542"/>
      <c r="D4738" s="1542"/>
      <c r="E4738" s="1542"/>
      <c r="F4738" s="1542"/>
      <c r="G4738" s="1542"/>
      <c r="H4738" s="271">
        <f>SUM(H4735:H4737)</f>
        <v>1</v>
      </c>
      <c r="I4738" s="1509"/>
      <c r="J4738" s="1509"/>
      <c r="K4738" s="1509"/>
      <c r="L4738" s="1509"/>
      <c r="M4738" s="1509"/>
      <c r="N4738" s="1510"/>
    </row>
    <row r="4739" spans="1:14">
      <c r="A4739" s="1578" t="s">
        <v>2219</v>
      </c>
      <c r="B4739" s="1538"/>
      <c r="C4739" s="1538"/>
      <c r="D4739" s="1538"/>
      <c r="E4739" s="1538"/>
      <c r="F4739" s="1538"/>
      <c r="G4739" s="1538"/>
      <c r="H4739" s="320">
        <v>0</v>
      </c>
      <c r="I4739" s="1509"/>
      <c r="J4739" s="1509"/>
      <c r="K4739" s="1509"/>
      <c r="L4739" s="1509"/>
      <c r="M4739" s="1509"/>
      <c r="N4739" s="1510"/>
    </row>
    <row r="4740" spans="1:14" ht="15.75" thickBot="1">
      <c r="A4740" s="1579" t="s">
        <v>2220</v>
      </c>
      <c r="B4740" s="1580"/>
      <c r="C4740" s="1580"/>
      <c r="D4740" s="1580"/>
      <c r="E4740" s="1580"/>
      <c r="F4740" s="1580"/>
      <c r="G4740" s="1580"/>
      <c r="H4740" s="221">
        <f>H4738</f>
        <v>1</v>
      </c>
      <c r="I4740" s="1512"/>
      <c r="J4740" s="1512"/>
      <c r="K4740" s="1512"/>
      <c r="L4740" s="1512"/>
      <c r="M4740" s="1512"/>
      <c r="N4740" s="1513"/>
    </row>
    <row r="4741" spans="1:14" ht="15.75" thickBot="1">
      <c r="A4741" s="1104"/>
      <c r="B4741" s="278"/>
      <c r="C4741" s="278"/>
      <c r="D4741" s="281"/>
      <c r="E4741" s="1319"/>
      <c r="F4741" s="278"/>
      <c r="G4741" s="278"/>
      <c r="H4741" s="217"/>
      <c r="I4741" s="279"/>
      <c r="J4741" s="321"/>
      <c r="K4741" s="322"/>
      <c r="L4741" s="322"/>
      <c r="M4741" s="321"/>
      <c r="N4741" s="323"/>
    </row>
    <row r="4742" spans="1:14">
      <c r="A4742" s="1109" t="s">
        <v>3138</v>
      </c>
      <c r="B4742" s="1533" t="s">
        <v>1200</v>
      </c>
      <c r="C4742" s="1533"/>
      <c r="D4742" s="1533"/>
      <c r="E4742" s="1533"/>
      <c r="F4742" s="1533"/>
      <c r="G4742" s="1533"/>
      <c r="H4742" s="1533"/>
      <c r="I4742" s="1533"/>
      <c r="J4742" s="1533"/>
      <c r="K4742" s="266" t="s">
        <v>2329</v>
      </c>
      <c r="L4742" s="1534">
        <f>'27ª MEDIÇÃO '!F293</f>
        <v>4</v>
      </c>
      <c r="M4742" s="1534"/>
      <c r="N4742" s="197">
        <f>L4742-H4747</f>
        <v>0</v>
      </c>
    </row>
    <row r="4743" spans="1:14">
      <c r="A4743" s="1670" t="s">
        <v>2997</v>
      </c>
      <c r="B4743" s="355" t="s">
        <v>3126</v>
      </c>
      <c r="C4743" s="314"/>
      <c r="D4743" s="299"/>
      <c r="E4743" s="300"/>
      <c r="F4743" s="299"/>
      <c r="G4743" s="299" t="s">
        <v>3143</v>
      </c>
      <c r="H4743" s="315" t="s">
        <v>476</v>
      </c>
      <c r="I4743" s="1509"/>
      <c r="J4743" s="1509"/>
      <c r="K4743" s="1509"/>
      <c r="L4743" s="1509"/>
      <c r="M4743" s="1509"/>
      <c r="N4743" s="1510"/>
    </row>
    <row r="4744" spans="1:14">
      <c r="A4744" s="1671"/>
      <c r="B4744" s="355" t="s">
        <v>2727</v>
      </c>
      <c r="C4744" s="317"/>
      <c r="D4744" s="291"/>
      <c r="E4744" s="290"/>
      <c r="F4744" s="292"/>
      <c r="G4744" s="291">
        <v>4</v>
      </c>
      <c r="H4744" s="318">
        <f>G4744</f>
        <v>4</v>
      </c>
      <c r="I4744" s="1509"/>
      <c r="J4744" s="1509"/>
      <c r="K4744" s="1509"/>
      <c r="L4744" s="1509"/>
      <c r="M4744" s="1509"/>
      <c r="N4744" s="1510"/>
    </row>
    <row r="4745" spans="1:14">
      <c r="A4745" s="1672"/>
      <c r="B4745" s="316"/>
      <c r="C4745" s="317"/>
      <c r="D4745" s="311"/>
      <c r="E4745" s="310"/>
      <c r="F4745" s="312"/>
      <c r="G4745" s="311"/>
      <c r="H4745" s="318"/>
      <c r="I4745" s="1509"/>
      <c r="J4745" s="1509"/>
      <c r="K4745" s="1509"/>
      <c r="L4745" s="1509"/>
      <c r="M4745" s="1509"/>
      <c r="N4745" s="1510"/>
    </row>
    <row r="4746" spans="1:14" s="53" customFormat="1" ht="24" customHeight="1">
      <c r="A4746" s="1673"/>
      <c r="B4746" s="319"/>
      <c r="C4746" s="294"/>
      <c r="D4746" s="294"/>
      <c r="E4746" s="295"/>
      <c r="F4746" s="294"/>
      <c r="G4746" s="294"/>
      <c r="H4746" s="318"/>
      <c r="I4746" s="1509"/>
      <c r="J4746" s="1509"/>
      <c r="K4746" s="1509"/>
      <c r="L4746" s="1509"/>
      <c r="M4746" s="1509"/>
      <c r="N4746" s="1510"/>
    </row>
    <row r="4747" spans="1:14">
      <c r="A4747" s="1577" t="s">
        <v>2218</v>
      </c>
      <c r="B4747" s="1542"/>
      <c r="C4747" s="1542"/>
      <c r="D4747" s="1542"/>
      <c r="E4747" s="1542"/>
      <c r="F4747" s="1542"/>
      <c r="G4747" s="1542"/>
      <c r="H4747" s="271">
        <f>SUM(H4744:H4746)</f>
        <v>4</v>
      </c>
      <c r="I4747" s="1509"/>
      <c r="J4747" s="1509"/>
      <c r="K4747" s="1509"/>
      <c r="L4747" s="1509"/>
      <c r="M4747" s="1509"/>
      <c r="N4747" s="1510"/>
    </row>
    <row r="4748" spans="1:14">
      <c r="A4748" s="1578" t="s">
        <v>2219</v>
      </c>
      <c r="B4748" s="1538"/>
      <c r="C4748" s="1538"/>
      <c r="D4748" s="1538"/>
      <c r="E4748" s="1538"/>
      <c r="F4748" s="1538"/>
      <c r="G4748" s="1538"/>
      <c r="H4748" s="320">
        <v>0</v>
      </c>
      <c r="I4748" s="1509"/>
      <c r="J4748" s="1509"/>
      <c r="K4748" s="1509"/>
      <c r="L4748" s="1509"/>
      <c r="M4748" s="1509"/>
      <c r="N4748" s="1510"/>
    </row>
    <row r="4749" spans="1:14" ht="15.75" thickBot="1">
      <c r="A4749" s="1579" t="s">
        <v>2220</v>
      </c>
      <c r="B4749" s="1580"/>
      <c r="C4749" s="1580"/>
      <c r="D4749" s="1580"/>
      <c r="E4749" s="1580"/>
      <c r="F4749" s="1580"/>
      <c r="G4749" s="1580"/>
      <c r="H4749" s="221">
        <f>H4747</f>
        <v>4</v>
      </c>
      <c r="I4749" s="1512"/>
      <c r="J4749" s="1512"/>
      <c r="K4749" s="1512"/>
      <c r="L4749" s="1512"/>
      <c r="M4749" s="1512"/>
      <c r="N4749" s="1513"/>
    </row>
    <row r="4750" spans="1:14" ht="15.75" thickBot="1">
      <c r="A4750" s="1104"/>
      <c r="B4750" s="278"/>
      <c r="C4750" s="278"/>
      <c r="D4750" s="281"/>
      <c r="E4750" s="1319"/>
      <c r="F4750" s="278"/>
      <c r="G4750" s="278"/>
      <c r="H4750" s="217"/>
      <c r="I4750" s="279"/>
      <c r="J4750" s="321"/>
      <c r="K4750" s="322"/>
      <c r="L4750" s="322"/>
      <c r="M4750" s="321"/>
      <c r="N4750" s="323"/>
    </row>
    <row r="4751" spans="1:14">
      <c r="A4751" s="1109" t="s">
        <v>3139</v>
      </c>
      <c r="B4751" s="1533" t="s">
        <v>1203</v>
      </c>
      <c r="C4751" s="1533"/>
      <c r="D4751" s="1533"/>
      <c r="E4751" s="1533"/>
      <c r="F4751" s="1533"/>
      <c r="G4751" s="1533"/>
      <c r="H4751" s="1533"/>
      <c r="I4751" s="1533"/>
      <c r="J4751" s="1533"/>
      <c r="K4751" s="266" t="s">
        <v>2329</v>
      </c>
      <c r="L4751" s="1534">
        <f>'27ª MEDIÇÃO '!F294</f>
        <v>3</v>
      </c>
      <c r="M4751" s="1534"/>
      <c r="N4751" s="197">
        <f>L4751-H4756</f>
        <v>0</v>
      </c>
    </row>
    <row r="4752" spans="1:14">
      <c r="A4752" s="1670" t="s">
        <v>3981</v>
      </c>
      <c r="B4752" s="313"/>
      <c r="C4752" s="314"/>
      <c r="D4752" s="299"/>
      <c r="E4752" s="300"/>
      <c r="F4752" s="299"/>
      <c r="G4752" s="299"/>
      <c r="H4752" s="315"/>
      <c r="I4752" s="1509"/>
      <c r="J4752" s="1509"/>
      <c r="K4752" s="1509"/>
      <c r="L4752" s="1509"/>
      <c r="M4752" s="1509"/>
      <c r="N4752" s="1510"/>
    </row>
    <row r="4753" spans="1:14">
      <c r="A4753" s="1671"/>
      <c r="B4753" s="316"/>
      <c r="C4753" s="317"/>
      <c r="D4753" s="291"/>
      <c r="E4753" s="290"/>
      <c r="F4753" s="292"/>
      <c r="G4753" s="291"/>
      <c r="H4753" s="318"/>
      <c r="I4753" s="1509"/>
      <c r="J4753" s="1509"/>
      <c r="K4753" s="1509"/>
      <c r="L4753" s="1509"/>
      <c r="M4753" s="1509"/>
      <c r="N4753" s="1510"/>
    </row>
    <row r="4754" spans="1:14">
      <c r="A4754" s="1672"/>
      <c r="B4754" s="316" t="s">
        <v>3346</v>
      </c>
      <c r="C4754" s="317"/>
      <c r="D4754" s="311"/>
      <c r="E4754" s="310"/>
      <c r="F4754" s="312"/>
      <c r="G4754" s="311"/>
      <c r="H4754" s="318">
        <v>3</v>
      </c>
      <c r="I4754" s="1509"/>
      <c r="J4754" s="1509"/>
      <c r="K4754" s="1509"/>
      <c r="L4754" s="1509"/>
      <c r="M4754" s="1509"/>
      <c r="N4754" s="1510"/>
    </row>
    <row r="4755" spans="1:14" ht="25.9" customHeight="1">
      <c r="A4755" s="1673"/>
      <c r="B4755" s="319"/>
      <c r="C4755" s="294"/>
      <c r="D4755" s="294"/>
      <c r="E4755" s="295"/>
      <c r="F4755" s="294"/>
      <c r="G4755" s="294"/>
      <c r="H4755" s="318"/>
      <c r="I4755" s="1509"/>
      <c r="J4755" s="1509"/>
      <c r="K4755" s="1509"/>
      <c r="L4755" s="1509"/>
      <c r="M4755" s="1509"/>
      <c r="N4755" s="1510"/>
    </row>
    <row r="4756" spans="1:14">
      <c r="A4756" s="1577" t="s">
        <v>2218</v>
      </c>
      <c r="B4756" s="1542"/>
      <c r="C4756" s="1542"/>
      <c r="D4756" s="1542"/>
      <c r="E4756" s="1542"/>
      <c r="F4756" s="1542"/>
      <c r="G4756" s="1542"/>
      <c r="H4756" s="271">
        <f>SUM(H4753:H4755)</f>
        <v>3</v>
      </c>
      <c r="I4756" s="1509"/>
      <c r="J4756" s="1509"/>
      <c r="K4756" s="1509"/>
      <c r="L4756" s="1509"/>
      <c r="M4756" s="1509"/>
      <c r="N4756" s="1510"/>
    </row>
    <row r="4757" spans="1:14">
      <c r="A4757" s="1578" t="s">
        <v>2219</v>
      </c>
      <c r="B4757" s="1538"/>
      <c r="C4757" s="1538"/>
      <c r="D4757" s="1538"/>
      <c r="E4757" s="1538"/>
      <c r="F4757" s="1538"/>
      <c r="G4757" s="1538"/>
      <c r="H4757" s="320">
        <v>0</v>
      </c>
      <c r="I4757" s="1509"/>
      <c r="J4757" s="1509"/>
      <c r="K4757" s="1509"/>
      <c r="L4757" s="1509"/>
      <c r="M4757" s="1509"/>
      <c r="N4757" s="1510"/>
    </row>
    <row r="4758" spans="1:14" ht="15.75" thickBot="1">
      <c r="A4758" s="1579" t="s">
        <v>2220</v>
      </c>
      <c r="B4758" s="1580"/>
      <c r="C4758" s="1580"/>
      <c r="D4758" s="1580"/>
      <c r="E4758" s="1580"/>
      <c r="F4758" s="1580"/>
      <c r="G4758" s="1580"/>
      <c r="H4758" s="221">
        <f>H4756</f>
        <v>3</v>
      </c>
      <c r="I4758" s="1512"/>
      <c r="J4758" s="1512"/>
      <c r="K4758" s="1512"/>
      <c r="L4758" s="1512"/>
      <c r="M4758" s="1512"/>
      <c r="N4758" s="1513"/>
    </row>
    <row r="4759" spans="1:14" ht="15.75" thickBot="1">
      <c r="A4759" s="1104"/>
      <c r="B4759" s="278"/>
      <c r="C4759" s="278"/>
      <c r="D4759" s="281"/>
      <c r="E4759" s="1319"/>
      <c r="F4759" s="278"/>
      <c r="G4759" s="278"/>
      <c r="H4759" s="217"/>
      <c r="I4759" s="279"/>
      <c r="J4759" s="321"/>
      <c r="K4759" s="322"/>
      <c r="L4759" s="322"/>
      <c r="M4759" s="321"/>
      <c r="N4759" s="323"/>
    </row>
    <row r="4760" spans="1:14">
      <c r="A4760" s="1109" t="s">
        <v>3140</v>
      </c>
      <c r="B4760" s="1533" t="s">
        <v>258</v>
      </c>
      <c r="C4760" s="1533"/>
      <c r="D4760" s="1533"/>
      <c r="E4760" s="1533"/>
      <c r="F4760" s="1533"/>
      <c r="G4760" s="1533"/>
      <c r="H4760" s="1533"/>
      <c r="I4760" s="1533"/>
      <c r="J4760" s="1533"/>
      <c r="K4760" s="266" t="s">
        <v>2329</v>
      </c>
      <c r="L4760" s="1534">
        <f>'27ª MEDIÇÃO '!F295</f>
        <v>2</v>
      </c>
      <c r="M4760" s="1534"/>
      <c r="N4760" s="197">
        <f>L4760-H4765</f>
        <v>0</v>
      </c>
    </row>
    <row r="4761" spans="1:14">
      <c r="A4761" s="1670" t="s">
        <v>3981</v>
      </c>
      <c r="B4761" s="313"/>
      <c r="C4761" s="314"/>
      <c r="D4761" s="299"/>
      <c r="E4761" s="300"/>
      <c r="F4761" s="299"/>
      <c r="G4761" s="299"/>
      <c r="H4761" s="315"/>
      <c r="I4761" s="1509"/>
      <c r="J4761" s="1509"/>
      <c r="K4761" s="1509"/>
      <c r="L4761" s="1509"/>
      <c r="M4761" s="1509"/>
      <c r="N4761" s="1510"/>
    </row>
    <row r="4762" spans="1:14">
      <c r="A4762" s="1671"/>
      <c r="B4762" s="316"/>
      <c r="C4762" s="317"/>
      <c r="D4762" s="291"/>
      <c r="E4762" s="290"/>
      <c r="F4762" s="292"/>
      <c r="G4762" s="291"/>
      <c r="H4762" s="318"/>
      <c r="I4762" s="1509"/>
      <c r="J4762" s="1509"/>
      <c r="K4762" s="1509"/>
      <c r="L4762" s="1509"/>
      <c r="M4762" s="1509"/>
      <c r="N4762" s="1510"/>
    </row>
    <row r="4763" spans="1:14">
      <c r="A4763" s="1672"/>
      <c r="B4763" s="316" t="s">
        <v>3346</v>
      </c>
      <c r="C4763" s="317"/>
      <c r="D4763" s="311"/>
      <c r="E4763" s="310"/>
      <c r="F4763" s="312"/>
      <c r="G4763" s="311"/>
      <c r="H4763" s="318">
        <v>2</v>
      </c>
      <c r="I4763" s="1509"/>
      <c r="J4763" s="1509"/>
      <c r="K4763" s="1509"/>
      <c r="L4763" s="1509"/>
      <c r="M4763" s="1509"/>
      <c r="N4763" s="1510"/>
    </row>
    <row r="4764" spans="1:14">
      <c r="A4764" s="1673"/>
      <c r="B4764" s="319"/>
      <c r="C4764" s="294"/>
      <c r="D4764" s="294"/>
      <c r="E4764" s="295"/>
      <c r="F4764" s="294"/>
      <c r="G4764" s="294"/>
      <c r="H4764" s="318"/>
      <c r="I4764" s="1509"/>
      <c r="J4764" s="1509"/>
      <c r="K4764" s="1509"/>
      <c r="L4764" s="1509"/>
      <c r="M4764" s="1509"/>
      <c r="N4764" s="1510"/>
    </row>
    <row r="4765" spans="1:14">
      <c r="A4765" s="1577" t="s">
        <v>2218</v>
      </c>
      <c r="B4765" s="1542"/>
      <c r="C4765" s="1542"/>
      <c r="D4765" s="1542"/>
      <c r="E4765" s="1542"/>
      <c r="F4765" s="1542"/>
      <c r="G4765" s="1542"/>
      <c r="H4765" s="271">
        <f>SUM(H4762:H4764)</f>
        <v>2</v>
      </c>
      <c r="I4765" s="1509"/>
      <c r="J4765" s="1509"/>
      <c r="K4765" s="1509"/>
      <c r="L4765" s="1509"/>
      <c r="M4765" s="1509"/>
      <c r="N4765" s="1510"/>
    </row>
    <row r="4766" spans="1:14">
      <c r="A4766" s="1578" t="s">
        <v>2219</v>
      </c>
      <c r="B4766" s="1538"/>
      <c r="C4766" s="1538"/>
      <c r="D4766" s="1538"/>
      <c r="E4766" s="1538"/>
      <c r="F4766" s="1538"/>
      <c r="G4766" s="1538"/>
      <c r="H4766" s="320">
        <v>0</v>
      </c>
      <c r="I4766" s="1509"/>
      <c r="J4766" s="1509"/>
      <c r="K4766" s="1509"/>
      <c r="L4766" s="1509"/>
      <c r="M4766" s="1509"/>
      <c r="N4766" s="1510"/>
    </row>
    <row r="4767" spans="1:14" ht="15.75" thickBot="1">
      <c r="A4767" s="1579" t="s">
        <v>2220</v>
      </c>
      <c r="B4767" s="1580"/>
      <c r="C4767" s="1580"/>
      <c r="D4767" s="1580"/>
      <c r="E4767" s="1580"/>
      <c r="F4767" s="1580"/>
      <c r="G4767" s="1580"/>
      <c r="H4767" s="221">
        <f>H4765</f>
        <v>2</v>
      </c>
      <c r="I4767" s="1512"/>
      <c r="J4767" s="1512"/>
      <c r="K4767" s="1512"/>
      <c r="L4767" s="1512"/>
      <c r="M4767" s="1512"/>
      <c r="N4767" s="1513"/>
    </row>
    <row r="4768" spans="1:14" ht="15.75" thickBot="1">
      <c r="A4768" s="1085" t="s">
        <v>3287</v>
      </c>
      <c r="B4768" s="1494" t="s">
        <v>3288</v>
      </c>
      <c r="C4768" s="1495"/>
      <c r="D4768" s="1495"/>
      <c r="E4768" s="1495"/>
      <c r="F4768" s="1495"/>
      <c r="G4768" s="1495"/>
      <c r="H4768" s="1495"/>
      <c r="I4768" s="1495"/>
      <c r="J4768" s="1496"/>
      <c r="K4768" s="279"/>
      <c r="L4768" s="279"/>
      <c r="M4768" s="279"/>
      <c r="N4768" s="441"/>
    </row>
    <row r="4769" spans="1:14">
      <c r="A4769" s="1085" t="s">
        <v>2725</v>
      </c>
      <c r="B4769" s="1494" t="s">
        <v>204</v>
      </c>
      <c r="C4769" s="1495"/>
      <c r="D4769" s="1495"/>
      <c r="E4769" s="1495"/>
      <c r="F4769" s="1495"/>
      <c r="G4769" s="1495"/>
      <c r="H4769" s="1495"/>
      <c r="I4769" s="1495"/>
      <c r="J4769" s="1496"/>
      <c r="K4769" s="196" t="s">
        <v>44</v>
      </c>
      <c r="L4769" s="1497">
        <v>35.840000000000003</v>
      </c>
      <c r="M4769" s="1498"/>
      <c r="N4769" s="197">
        <f>L4769-H4783</f>
        <v>-5.4999999999694182E-4</v>
      </c>
    </row>
    <row r="4770" spans="1:14">
      <c r="A4770" s="1554"/>
      <c r="B4770" s="1541"/>
      <c r="C4770" s="366"/>
      <c r="D4770" s="367" t="s">
        <v>2183</v>
      </c>
      <c r="E4770" s="1320" t="s">
        <v>2184</v>
      </c>
      <c r="F4770" s="367" t="s">
        <v>2185</v>
      </c>
      <c r="G4770" s="367" t="s">
        <v>2186</v>
      </c>
      <c r="H4770" s="1542" t="s">
        <v>476</v>
      </c>
      <c r="I4770" s="1543"/>
      <c r="J4770" s="1543"/>
      <c r="K4770" s="1543"/>
      <c r="L4770" s="1543"/>
      <c r="M4770" s="1543"/>
      <c r="N4770" s="1566"/>
    </row>
    <row r="4771" spans="1:14" ht="24">
      <c r="A4771" s="1554"/>
      <c r="B4771" s="1541"/>
      <c r="C4771" s="368" t="s">
        <v>2627</v>
      </c>
      <c r="D4771" s="369" t="s">
        <v>2187</v>
      </c>
      <c r="E4771" s="1323" t="s">
        <v>2928</v>
      </c>
      <c r="F4771" s="369" t="s">
        <v>2649</v>
      </c>
      <c r="G4771" s="370" t="s">
        <v>2709</v>
      </c>
      <c r="H4771" s="1542"/>
      <c r="I4771" s="1543"/>
      <c r="J4771" s="1543"/>
      <c r="K4771" s="1543"/>
      <c r="L4771" s="1543"/>
      <c r="M4771" s="1543"/>
      <c r="N4771" s="1566"/>
    </row>
    <row r="4772" spans="1:14">
      <c r="A4772" s="1544" t="s">
        <v>2662</v>
      </c>
      <c r="B4772" s="410"/>
      <c r="C4772" s="287"/>
      <c r="D4772" s="202"/>
      <c r="E4772" s="346"/>
      <c r="F4772" s="346"/>
      <c r="G4772" s="346"/>
      <c r="H4772" s="403"/>
      <c r="I4772" s="1567"/>
      <c r="J4772" s="1543"/>
      <c r="K4772" s="1543"/>
      <c r="L4772" s="1543"/>
      <c r="M4772" s="1543"/>
      <c r="N4772" s="1566"/>
    </row>
    <row r="4773" spans="1:14" ht="28.9" customHeight="1">
      <c r="A4773" s="1544"/>
      <c r="B4773" s="406" t="s">
        <v>2726</v>
      </c>
      <c r="C4773" s="291"/>
      <c r="D4773" s="292"/>
      <c r="E4773" s="341"/>
      <c r="F4773" s="341"/>
      <c r="G4773" s="341"/>
      <c r="H4773" s="423"/>
      <c r="I4773" s="1567"/>
      <c r="J4773" s="1543"/>
      <c r="K4773" s="1543"/>
      <c r="L4773" s="1543"/>
      <c r="M4773" s="1543"/>
      <c r="N4773" s="1566"/>
    </row>
    <row r="4774" spans="1:14">
      <c r="A4774" s="1544"/>
      <c r="B4774" s="406" t="s">
        <v>2727</v>
      </c>
      <c r="C4774" s="291">
        <v>21.06</v>
      </c>
      <c r="D4774" s="341"/>
      <c r="E4774" s="341"/>
      <c r="F4774" s="341"/>
      <c r="G4774" s="341"/>
      <c r="H4774" s="347">
        <f>C4774</f>
        <v>21.06</v>
      </c>
      <c r="I4774" s="1567"/>
      <c r="J4774" s="1543"/>
      <c r="K4774" s="1543"/>
      <c r="L4774" s="1543"/>
      <c r="M4774" s="1543"/>
      <c r="N4774" s="1566"/>
    </row>
    <row r="4775" spans="1:14">
      <c r="A4775" s="1544"/>
      <c r="B4775" s="406"/>
      <c r="C4775" s="292"/>
      <c r="D4775" s="341"/>
      <c r="E4775" s="341"/>
      <c r="F4775" s="341"/>
      <c r="G4775" s="341"/>
      <c r="H4775" s="347"/>
      <c r="I4775" s="1567"/>
      <c r="J4775" s="1543"/>
      <c r="K4775" s="1543"/>
      <c r="L4775" s="1543"/>
      <c r="M4775" s="1543"/>
      <c r="N4775" s="1566"/>
    </row>
    <row r="4776" spans="1:14">
      <c r="A4776" s="1544"/>
      <c r="B4776" s="413"/>
      <c r="C4776" s="294"/>
      <c r="D4776" s="348"/>
      <c r="E4776" s="348"/>
      <c r="F4776" s="348"/>
      <c r="G4776" s="348"/>
      <c r="H4776" s="349"/>
      <c r="I4776" s="1567"/>
      <c r="J4776" s="1543"/>
      <c r="K4776" s="1543"/>
      <c r="L4776" s="1543"/>
      <c r="M4776" s="1543"/>
      <c r="N4776" s="1566"/>
    </row>
    <row r="4777" spans="1:14">
      <c r="A4777" s="1514" t="s">
        <v>2895</v>
      </c>
      <c r="B4777" s="410" t="s">
        <v>2726</v>
      </c>
      <c r="C4777" s="287"/>
      <c r="D4777" s="346"/>
      <c r="E4777" s="346"/>
      <c r="F4777" s="346"/>
      <c r="G4777" s="346"/>
      <c r="H4777" s="403"/>
      <c r="I4777" s="1567"/>
      <c r="J4777" s="1543"/>
      <c r="K4777" s="1543"/>
      <c r="L4777" s="1543"/>
      <c r="M4777" s="1543"/>
      <c r="N4777" s="1566"/>
    </row>
    <row r="4778" spans="1:14">
      <c r="A4778" s="1523"/>
      <c r="B4778" s="406" t="s">
        <v>2727</v>
      </c>
      <c r="C4778" s="292">
        <v>14.77</v>
      </c>
      <c r="D4778" s="341"/>
      <c r="E4778" s="341">
        <v>0.5</v>
      </c>
      <c r="F4778" s="341"/>
      <c r="G4778" s="341"/>
      <c r="H4778" s="347">
        <f>C4778*E4778</f>
        <v>7.3849999999999998</v>
      </c>
      <c r="I4778" s="1567"/>
      <c r="J4778" s="1543"/>
      <c r="K4778" s="1543"/>
      <c r="L4778" s="1543"/>
      <c r="M4778" s="1543"/>
      <c r="N4778" s="1566"/>
    </row>
    <row r="4779" spans="1:14">
      <c r="A4779" s="1515"/>
      <c r="B4779" s="413"/>
      <c r="C4779" s="294"/>
      <c r="D4779" s="348"/>
      <c r="E4779" s="348"/>
      <c r="F4779" s="348"/>
      <c r="G4779" s="348"/>
      <c r="H4779" s="349"/>
      <c r="I4779" s="1567"/>
      <c r="J4779" s="1543"/>
      <c r="K4779" s="1543"/>
      <c r="L4779" s="1543"/>
      <c r="M4779" s="1543"/>
      <c r="N4779" s="1566"/>
    </row>
    <row r="4780" spans="1:14">
      <c r="A4780" s="1514" t="s">
        <v>2997</v>
      </c>
      <c r="B4780" s="429" t="s">
        <v>2726</v>
      </c>
      <c r="C4780" s="287"/>
      <c r="D4780" s="346"/>
      <c r="E4780" s="346"/>
      <c r="F4780" s="346"/>
      <c r="G4780" s="346"/>
      <c r="H4780" s="403"/>
      <c r="I4780" s="1567"/>
      <c r="J4780" s="1543"/>
      <c r="K4780" s="1543"/>
      <c r="L4780" s="1543"/>
      <c r="M4780" s="1543"/>
      <c r="N4780" s="1566"/>
    </row>
    <row r="4781" spans="1:14">
      <c r="A4781" s="1523"/>
      <c r="B4781" s="436" t="s">
        <v>2929</v>
      </c>
      <c r="C4781" s="292">
        <v>14.77</v>
      </c>
      <c r="D4781" s="341"/>
      <c r="E4781" s="341">
        <v>0.5</v>
      </c>
      <c r="F4781" s="341"/>
      <c r="G4781" s="341"/>
      <c r="H4781" s="347">
        <v>7.3955500000000001</v>
      </c>
      <c r="I4781" s="1567"/>
      <c r="J4781" s="1543"/>
      <c r="K4781" s="1543"/>
      <c r="L4781" s="1543"/>
      <c r="M4781" s="1543"/>
      <c r="N4781" s="1566"/>
    </row>
    <row r="4782" spans="1:14">
      <c r="A4782" s="1515"/>
      <c r="B4782" s="747"/>
      <c r="C4782" s="748"/>
      <c r="D4782" s="748"/>
      <c r="E4782" s="1361"/>
      <c r="F4782" s="748"/>
      <c r="G4782" s="748"/>
      <c r="H4782" s="749"/>
      <c r="I4782" s="1567"/>
      <c r="J4782" s="1543"/>
      <c r="K4782" s="1543"/>
      <c r="L4782" s="1543"/>
      <c r="M4782" s="1543"/>
      <c r="N4782" s="1566"/>
    </row>
    <row r="4783" spans="1:14">
      <c r="A4783" s="1542" t="s">
        <v>2218</v>
      </c>
      <c r="B4783" s="1542"/>
      <c r="C4783" s="1542"/>
      <c r="D4783" s="1542"/>
      <c r="E4783" s="1542"/>
      <c r="F4783" s="1542"/>
      <c r="G4783" s="1542"/>
      <c r="H4783" s="271">
        <f>SUM(H4772:H4782)</f>
        <v>35.84055</v>
      </c>
      <c r="I4783" s="1567"/>
      <c r="J4783" s="1543"/>
      <c r="K4783" s="1543"/>
      <c r="L4783" s="1543"/>
      <c r="M4783" s="1543"/>
      <c r="N4783" s="1566"/>
    </row>
    <row r="4784" spans="1:14">
      <c r="A4784" s="1519" t="s">
        <v>2219</v>
      </c>
      <c r="B4784" s="1517"/>
      <c r="C4784" s="1517"/>
      <c r="D4784" s="1551"/>
      <c r="E4784" s="1551"/>
      <c r="F4784" s="1551"/>
      <c r="G4784" s="1552"/>
      <c r="H4784" s="271">
        <f>SUM(H4773:H4779)</f>
        <v>28.445</v>
      </c>
      <c r="I4784" s="1543"/>
      <c r="J4784" s="1543"/>
      <c r="K4784" s="1543"/>
      <c r="L4784" s="1543"/>
      <c r="M4784" s="1543"/>
      <c r="N4784" s="1566"/>
    </row>
    <row r="4785" spans="1:14" ht="15.75" thickBot="1">
      <c r="A4785" s="1520" t="s">
        <v>2220</v>
      </c>
      <c r="B4785" s="1521"/>
      <c r="C4785" s="1521"/>
      <c r="D4785" s="1521"/>
      <c r="E4785" s="1521"/>
      <c r="F4785" s="1521"/>
      <c r="G4785" s="1522"/>
      <c r="H4785" s="216">
        <f>H4783-H4784</f>
        <v>7.3955500000000001</v>
      </c>
      <c r="I4785" s="1568"/>
      <c r="J4785" s="1568"/>
      <c r="K4785" s="1568"/>
      <c r="L4785" s="1568"/>
      <c r="M4785" s="1568"/>
      <c r="N4785" s="1569"/>
    </row>
    <row r="4786" spans="1:14" ht="15.75" thickBot="1"/>
    <row r="4787" spans="1:14">
      <c r="A4787" s="1085" t="s">
        <v>2728</v>
      </c>
      <c r="B4787" s="1494" t="s">
        <v>207</v>
      </c>
      <c r="C4787" s="1495"/>
      <c r="D4787" s="1495"/>
      <c r="E4787" s="1495"/>
      <c r="F4787" s="1495"/>
      <c r="G4787" s="1495"/>
      <c r="H4787" s="1495"/>
      <c r="I4787" s="1495"/>
      <c r="J4787" s="1496"/>
      <c r="K4787" s="196" t="s">
        <v>44</v>
      </c>
      <c r="L4787" s="1497">
        <f>'[8]BMS  5ª medição'!G298</f>
        <v>127.62</v>
      </c>
      <c r="M4787" s="1498"/>
      <c r="N4787" s="197">
        <f>L4787-H4807</f>
        <v>-1.4999999999929514E-3</v>
      </c>
    </row>
    <row r="4788" spans="1:14">
      <c r="A4788" s="1554"/>
      <c r="B4788" s="1541"/>
      <c r="C4788" s="366"/>
      <c r="D4788" s="367" t="s">
        <v>2183</v>
      </c>
      <c r="E4788" s="1320" t="s">
        <v>2184</v>
      </c>
      <c r="F4788" s="367" t="s">
        <v>2185</v>
      </c>
      <c r="G4788" s="367" t="s">
        <v>2186</v>
      </c>
      <c r="H4788" s="1542" t="s">
        <v>476</v>
      </c>
      <c r="I4788" s="1543"/>
      <c r="J4788" s="1543"/>
      <c r="K4788" s="1543"/>
      <c r="L4788" s="1543"/>
      <c r="M4788" s="1543"/>
      <c r="N4788" s="1566"/>
    </row>
    <row r="4789" spans="1:14" ht="24">
      <c r="A4789" s="1554"/>
      <c r="B4789" s="1541"/>
      <c r="C4789" s="368" t="s">
        <v>2627</v>
      </c>
      <c r="D4789" s="369" t="s">
        <v>2187</v>
      </c>
      <c r="E4789" s="1323" t="s">
        <v>2928</v>
      </c>
      <c r="F4789" s="369" t="s">
        <v>2649</v>
      </c>
      <c r="G4789" s="370" t="s">
        <v>2709</v>
      </c>
      <c r="H4789" s="1542"/>
      <c r="I4789" s="1543"/>
      <c r="J4789" s="1543"/>
      <c r="K4789" s="1543"/>
      <c r="L4789" s="1543"/>
      <c r="M4789" s="1543"/>
      <c r="N4789" s="1566"/>
    </row>
    <row r="4790" spans="1:14">
      <c r="A4790" s="1544" t="s">
        <v>2662</v>
      </c>
      <c r="B4790" s="410"/>
      <c r="C4790" s="287"/>
      <c r="D4790" s="202"/>
      <c r="E4790" s="346"/>
      <c r="F4790" s="346"/>
      <c r="G4790" s="346"/>
      <c r="H4790" s="403"/>
      <c r="I4790" s="1567"/>
      <c r="J4790" s="1543"/>
      <c r="K4790" s="1543"/>
      <c r="L4790" s="1543"/>
      <c r="M4790" s="1543"/>
      <c r="N4790" s="1566"/>
    </row>
    <row r="4791" spans="1:14">
      <c r="A4791" s="1544"/>
      <c r="B4791" s="406" t="s">
        <v>2726</v>
      </c>
      <c r="C4791" s="291"/>
      <c r="D4791" s="292"/>
      <c r="E4791" s="341"/>
      <c r="F4791" s="341"/>
      <c r="G4791" s="341"/>
      <c r="H4791" s="423"/>
      <c r="I4791" s="1567"/>
      <c r="J4791" s="1543"/>
      <c r="K4791" s="1543"/>
      <c r="L4791" s="1543"/>
      <c r="M4791" s="1543"/>
      <c r="N4791" s="1566"/>
    </row>
    <row r="4792" spans="1:14">
      <c r="A4792" s="1544"/>
      <c r="B4792" s="406" t="s">
        <v>2727</v>
      </c>
      <c r="C4792" s="292">
        <v>40.26</v>
      </c>
      <c r="D4792" s="341"/>
      <c r="E4792" s="341"/>
      <c r="F4792" s="341"/>
      <c r="G4792" s="341"/>
      <c r="H4792" s="347">
        <v>40.26</v>
      </c>
      <c r="I4792" s="1567"/>
      <c r="J4792" s="1543"/>
      <c r="K4792" s="1543"/>
      <c r="L4792" s="1543"/>
      <c r="M4792" s="1543"/>
      <c r="N4792" s="1566"/>
    </row>
    <row r="4793" spans="1:14">
      <c r="A4793" s="1544"/>
      <c r="B4793" s="406"/>
      <c r="C4793" s="292"/>
      <c r="D4793" s="341"/>
      <c r="E4793" s="341"/>
      <c r="F4793" s="341"/>
      <c r="G4793" s="341"/>
      <c r="H4793" s="347"/>
      <c r="I4793" s="1567"/>
      <c r="J4793" s="1543"/>
      <c r="K4793" s="1543"/>
      <c r="L4793" s="1543"/>
      <c r="M4793" s="1543"/>
      <c r="N4793" s="1566"/>
    </row>
    <row r="4794" spans="1:14">
      <c r="A4794" s="1544"/>
      <c r="B4794" s="412"/>
      <c r="C4794" s="312"/>
      <c r="D4794" s="351"/>
      <c r="E4794" s="351"/>
      <c r="F4794" s="351"/>
      <c r="G4794" s="351"/>
      <c r="H4794" s="364"/>
      <c r="I4794" s="1567"/>
      <c r="J4794" s="1543"/>
      <c r="K4794" s="1543"/>
      <c r="L4794" s="1543"/>
      <c r="M4794" s="1543"/>
      <c r="N4794" s="1566"/>
    </row>
    <row r="4795" spans="1:14">
      <c r="A4795" s="1514" t="s">
        <v>2749</v>
      </c>
      <c r="B4795" s="410" t="s">
        <v>2760</v>
      </c>
      <c r="C4795" s="287"/>
      <c r="D4795" s="346"/>
      <c r="E4795" s="346"/>
      <c r="F4795" s="346"/>
      <c r="G4795" s="346"/>
      <c r="H4795" s="403"/>
      <c r="I4795" s="1567"/>
      <c r="J4795" s="1543"/>
      <c r="K4795" s="1543"/>
      <c r="L4795" s="1543"/>
      <c r="M4795" s="1543"/>
      <c r="N4795" s="1566"/>
    </row>
    <row r="4796" spans="1:14">
      <c r="A4796" s="1523"/>
      <c r="B4796" s="406" t="s">
        <v>2727</v>
      </c>
      <c r="C4796" s="292">
        <v>18.53</v>
      </c>
      <c r="D4796" s="341"/>
      <c r="E4796" s="341"/>
      <c r="F4796" s="341"/>
      <c r="G4796" s="341"/>
      <c r="H4796" s="347">
        <f>C4796</f>
        <v>18.53</v>
      </c>
      <c r="I4796" s="1567"/>
      <c r="J4796" s="1543"/>
      <c r="K4796" s="1543"/>
      <c r="L4796" s="1543"/>
      <c r="M4796" s="1543"/>
      <c r="N4796" s="1566"/>
    </row>
    <row r="4797" spans="1:14" ht="25.15" customHeight="1">
      <c r="A4797" s="1523"/>
      <c r="B4797" s="406"/>
      <c r="C4797" s="292"/>
      <c r="D4797" s="341"/>
      <c r="E4797" s="341"/>
      <c r="F4797" s="341"/>
      <c r="G4797" s="341"/>
      <c r="H4797" s="347"/>
      <c r="I4797" s="1567"/>
      <c r="J4797" s="1543"/>
      <c r="K4797" s="1543"/>
      <c r="L4797" s="1543"/>
      <c r="M4797" s="1543"/>
      <c r="N4797" s="1566"/>
    </row>
    <row r="4798" spans="1:14">
      <c r="A4798" s="1515"/>
      <c r="B4798" s="413"/>
      <c r="C4798" s="294"/>
      <c r="D4798" s="348"/>
      <c r="E4798" s="348"/>
      <c r="F4798" s="348"/>
      <c r="G4798" s="348"/>
      <c r="H4798" s="349"/>
      <c r="I4798" s="1567"/>
      <c r="J4798" s="1543"/>
      <c r="K4798" s="1543"/>
      <c r="L4798" s="1543"/>
      <c r="M4798" s="1543"/>
      <c r="N4798" s="1566"/>
    </row>
    <row r="4799" spans="1:14">
      <c r="A4799" s="1514" t="s">
        <v>2895</v>
      </c>
      <c r="B4799" s="406" t="s">
        <v>2726</v>
      </c>
      <c r="C4799" s="292"/>
      <c r="D4799" s="341"/>
      <c r="E4799" s="341"/>
      <c r="F4799" s="341"/>
      <c r="G4799" s="341"/>
      <c r="H4799" s="347"/>
      <c r="I4799" s="1567"/>
      <c r="J4799" s="1543"/>
      <c r="K4799" s="1543"/>
      <c r="L4799" s="1543"/>
      <c r="M4799" s="1543"/>
      <c r="N4799" s="1566"/>
    </row>
    <row r="4800" spans="1:14">
      <c r="A4800" s="1523"/>
      <c r="B4800" s="406" t="s">
        <v>2929</v>
      </c>
      <c r="C4800" s="292">
        <v>18.53</v>
      </c>
      <c r="D4800" s="341"/>
      <c r="E4800" s="341"/>
      <c r="F4800" s="341"/>
      <c r="G4800" s="341"/>
      <c r="H4800" s="347">
        <f>C4800</f>
        <v>18.53</v>
      </c>
      <c r="I4800" s="1567"/>
      <c r="J4800" s="1543"/>
      <c r="K4800" s="1543"/>
      <c r="L4800" s="1543"/>
      <c r="M4800" s="1543"/>
      <c r="N4800" s="1566"/>
    </row>
    <row r="4801" spans="1:14">
      <c r="A4801" s="1523"/>
      <c r="B4801" s="406"/>
      <c r="C4801" s="292"/>
      <c r="D4801" s="341"/>
      <c r="E4801" s="341"/>
      <c r="F4801" s="341"/>
      <c r="G4801" s="341"/>
      <c r="H4801" s="347"/>
      <c r="I4801" s="1567"/>
      <c r="J4801" s="1543"/>
      <c r="K4801" s="1543"/>
      <c r="L4801" s="1543"/>
      <c r="M4801" s="1543"/>
      <c r="N4801" s="1566"/>
    </row>
    <row r="4802" spans="1:14">
      <c r="A4802" s="1515"/>
      <c r="B4802" s="413"/>
      <c r="C4802" s="294"/>
      <c r="D4802" s="348"/>
      <c r="E4802" s="348"/>
      <c r="F4802" s="348"/>
      <c r="G4802" s="348"/>
      <c r="H4802" s="349"/>
      <c r="I4802" s="1567"/>
      <c r="J4802" s="1543"/>
      <c r="K4802" s="1543"/>
      <c r="L4802" s="1543"/>
      <c r="M4802" s="1543"/>
      <c r="N4802" s="1566"/>
    </row>
    <row r="4803" spans="1:14">
      <c r="A4803" s="1667" t="s">
        <v>2997</v>
      </c>
      <c r="B4803" s="355" t="s">
        <v>2760</v>
      </c>
      <c r="C4803" s="292"/>
      <c r="D4803" s="341"/>
      <c r="E4803" s="341"/>
      <c r="F4803" s="341"/>
      <c r="G4803" s="341"/>
      <c r="H4803" s="377"/>
      <c r="I4803" s="1567"/>
      <c r="J4803" s="1543"/>
      <c r="K4803" s="1543"/>
      <c r="L4803" s="1543"/>
      <c r="M4803" s="1543"/>
      <c r="N4803" s="1566"/>
    </row>
    <row r="4804" spans="1:14">
      <c r="A4804" s="1668"/>
      <c r="B4804" s="355" t="s">
        <v>2727</v>
      </c>
      <c r="C4804" s="317">
        <v>19.66</v>
      </c>
      <c r="D4804" s="341"/>
      <c r="E4804" s="341"/>
      <c r="F4804" s="341"/>
      <c r="G4804" s="341"/>
      <c r="H4804" s="377">
        <v>19.66</v>
      </c>
      <c r="I4804" s="1567"/>
      <c r="J4804" s="1543"/>
      <c r="K4804" s="1543"/>
      <c r="L4804" s="1543"/>
      <c r="M4804" s="1543"/>
      <c r="N4804" s="1566"/>
    </row>
    <row r="4805" spans="1:14">
      <c r="A4805" s="1668"/>
      <c r="B4805" s="355" t="s">
        <v>2929</v>
      </c>
      <c r="C4805" s="317">
        <v>36.277499999999996</v>
      </c>
      <c r="D4805" s="341"/>
      <c r="E4805" s="341"/>
      <c r="F4805" s="341"/>
      <c r="G4805" s="341"/>
      <c r="H4805" s="347">
        <f>C4805-H4800</f>
        <v>17.747499999999995</v>
      </c>
      <c r="I4805" s="1567"/>
      <c r="J4805" s="1543"/>
      <c r="K4805" s="1543"/>
      <c r="L4805" s="1543"/>
      <c r="M4805" s="1543"/>
      <c r="N4805" s="1566"/>
    </row>
    <row r="4806" spans="1:14">
      <c r="A4806" s="1669"/>
      <c r="B4806" s="355" t="s">
        <v>3127</v>
      </c>
      <c r="C4806" s="317">
        <v>12.894</v>
      </c>
      <c r="D4806" s="348"/>
      <c r="E4806" s="348"/>
      <c r="F4806" s="348"/>
      <c r="G4806" s="348"/>
      <c r="H4806" s="349">
        <f>C4806</f>
        <v>12.894</v>
      </c>
      <c r="I4806" s="1567"/>
      <c r="J4806" s="1543"/>
      <c r="K4806" s="1543"/>
      <c r="L4806" s="1543"/>
      <c r="M4806" s="1543"/>
      <c r="N4806" s="1566"/>
    </row>
    <row r="4807" spans="1:14">
      <c r="A4807" s="1542" t="s">
        <v>2218</v>
      </c>
      <c r="B4807" s="1542"/>
      <c r="C4807" s="1542"/>
      <c r="D4807" s="1542"/>
      <c r="E4807" s="1542"/>
      <c r="F4807" s="1542"/>
      <c r="G4807" s="1542"/>
      <c r="H4807" s="271">
        <f>SUM(H4790:H4806)</f>
        <v>127.6215</v>
      </c>
      <c r="I4807" s="1567"/>
      <c r="J4807" s="1543"/>
      <c r="K4807" s="1543"/>
      <c r="L4807" s="1543"/>
      <c r="M4807" s="1543"/>
      <c r="N4807" s="1566"/>
    </row>
    <row r="4808" spans="1:14" ht="30.6" customHeight="1">
      <c r="A4808" s="1519" t="s">
        <v>2219</v>
      </c>
      <c r="B4808" s="1517"/>
      <c r="C4808" s="1517"/>
      <c r="D4808" s="1551"/>
      <c r="E4808" s="1551"/>
      <c r="F4808" s="1551"/>
      <c r="G4808" s="1552"/>
      <c r="H4808" s="272">
        <f>SUM(H4790:H4802)</f>
        <v>77.319999999999993</v>
      </c>
      <c r="I4808" s="1543"/>
      <c r="J4808" s="1543"/>
      <c r="K4808" s="1543"/>
      <c r="L4808" s="1543"/>
      <c r="M4808" s="1543"/>
      <c r="N4808" s="1566"/>
    </row>
    <row r="4809" spans="1:14" ht="15.75" thickBot="1">
      <c r="A4809" s="1520" t="s">
        <v>2220</v>
      </c>
      <c r="B4809" s="1521"/>
      <c r="C4809" s="1521"/>
      <c r="D4809" s="1521"/>
      <c r="E4809" s="1521"/>
      <c r="F4809" s="1521"/>
      <c r="G4809" s="1522"/>
      <c r="H4809" s="216">
        <f>H4807-H4808</f>
        <v>50.301500000000004</v>
      </c>
      <c r="I4809" s="1568"/>
      <c r="J4809" s="1568"/>
      <c r="K4809" s="1568"/>
      <c r="L4809" s="1568"/>
      <c r="M4809" s="1568"/>
      <c r="N4809" s="1569"/>
    </row>
    <row r="4810" spans="1:14" ht="15.75" thickBot="1"/>
    <row r="4811" spans="1:14">
      <c r="A4811" s="1085" t="s">
        <v>3144</v>
      </c>
      <c r="B4811" s="1494" t="s">
        <v>207</v>
      </c>
      <c r="C4811" s="1495"/>
      <c r="D4811" s="1495"/>
      <c r="E4811" s="1495"/>
      <c r="F4811" s="1495"/>
      <c r="G4811" s="1495"/>
      <c r="H4811" s="1495"/>
      <c r="I4811" s="1495"/>
      <c r="J4811" s="1496"/>
      <c r="K4811" s="196" t="s">
        <v>44</v>
      </c>
      <c r="L4811" s="1497">
        <f>'27ª MEDIÇÃO '!F299</f>
        <v>8.33</v>
      </c>
      <c r="M4811" s="1498"/>
      <c r="N4811" s="197">
        <f>L4811-H4818</f>
        <v>3.4999999999989484E-3</v>
      </c>
    </row>
    <row r="4812" spans="1:14">
      <c r="A4812" s="1554"/>
      <c r="B4812" s="1541"/>
      <c r="C4812" s="366"/>
      <c r="D4812" s="367" t="s">
        <v>2183</v>
      </c>
      <c r="E4812" s="1320" t="s">
        <v>2184</v>
      </c>
      <c r="F4812" s="367" t="s">
        <v>2185</v>
      </c>
      <c r="G4812" s="367" t="s">
        <v>2186</v>
      </c>
      <c r="H4812" s="1542" t="s">
        <v>476</v>
      </c>
      <c r="I4812" s="1543"/>
      <c r="J4812" s="1543"/>
      <c r="K4812" s="1543"/>
      <c r="L4812" s="1543"/>
      <c r="M4812" s="1543"/>
      <c r="N4812" s="1566"/>
    </row>
    <row r="4813" spans="1:14" ht="24">
      <c r="A4813" s="1554"/>
      <c r="B4813" s="1541"/>
      <c r="C4813" s="368" t="s">
        <v>2627</v>
      </c>
      <c r="D4813" s="369" t="s">
        <v>2187</v>
      </c>
      <c r="E4813" s="1323" t="s">
        <v>2928</v>
      </c>
      <c r="F4813" s="369" t="s">
        <v>2649</v>
      </c>
      <c r="G4813" s="370" t="s">
        <v>2709</v>
      </c>
      <c r="H4813" s="1542"/>
      <c r="I4813" s="1543"/>
      <c r="J4813" s="1543"/>
      <c r="K4813" s="1543"/>
      <c r="L4813" s="1543"/>
      <c r="M4813" s="1543"/>
      <c r="N4813" s="1566"/>
    </row>
    <row r="4814" spans="1:14">
      <c r="A4814" s="1667" t="s">
        <v>2997</v>
      </c>
      <c r="B4814" s="355" t="s">
        <v>2760</v>
      </c>
      <c r="C4814" s="292"/>
      <c r="D4814" s="341"/>
      <c r="E4814" s="341"/>
      <c r="F4814" s="341"/>
      <c r="G4814" s="341"/>
      <c r="H4814" s="377"/>
      <c r="I4814" s="1567"/>
      <c r="J4814" s="1543"/>
      <c r="K4814" s="1543"/>
      <c r="L4814" s="1543"/>
      <c r="M4814" s="1543"/>
      <c r="N4814" s="1566"/>
    </row>
    <row r="4815" spans="1:14">
      <c r="A4815" s="1668"/>
      <c r="B4815" s="355" t="s">
        <v>2929</v>
      </c>
      <c r="C4815" s="317">
        <v>5.0715000000000003</v>
      </c>
      <c r="D4815" s="341"/>
      <c r="E4815" s="341"/>
      <c r="F4815" s="341"/>
      <c r="G4815" s="341"/>
      <c r="H4815" s="377">
        <f>C4815</f>
        <v>5.0715000000000003</v>
      </c>
      <c r="I4815" s="1567"/>
      <c r="J4815" s="1543"/>
      <c r="K4815" s="1543"/>
      <c r="L4815" s="1543"/>
      <c r="M4815" s="1543"/>
      <c r="N4815" s="1566"/>
    </row>
    <row r="4816" spans="1:14">
      <c r="A4816" s="1668"/>
      <c r="B4816" s="355" t="s">
        <v>3127</v>
      </c>
      <c r="C4816" s="317">
        <v>3.2550000000000003</v>
      </c>
      <c r="D4816" s="341"/>
      <c r="E4816" s="341"/>
      <c r="F4816" s="341"/>
      <c r="G4816" s="341"/>
      <c r="H4816" s="377">
        <f>C4816</f>
        <v>3.2550000000000003</v>
      </c>
      <c r="I4816" s="1567"/>
      <c r="J4816" s="1543"/>
      <c r="K4816" s="1543"/>
      <c r="L4816" s="1543"/>
      <c r="M4816" s="1543"/>
      <c r="N4816" s="1566"/>
    </row>
    <row r="4817" spans="1:14">
      <c r="A4817" s="1669"/>
      <c r="B4817" s="355"/>
      <c r="C4817" s="317"/>
      <c r="D4817" s="348"/>
      <c r="E4817" s="348"/>
      <c r="F4817" s="348"/>
      <c r="G4817" s="348"/>
      <c r="H4817" s="377"/>
      <c r="I4817" s="1567"/>
      <c r="J4817" s="1543"/>
      <c r="K4817" s="1543"/>
      <c r="L4817" s="1543"/>
      <c r="M4817" s="1543"/>
      <c r="N4817" s="1566"/>
    </row>
    <row r="4818" spans="1:14">
      <c r="A4818" s="1542" t="s">
        <v>2218</v>
      </c>
      <c r="B4818" s="1542"/>
      <c r="C4818" s="1542"/>
      <c r="D4818" s="1542"/>
      <c r="E4818" s="1542"/>
      <c r="F4818" s="1542"/>
      <c r="G4818" s="1542"/>
      <c r="H4818" s="271">
        <f>SUM(H4814:H4817)</f>
        <v>8.3265000000000011</v>
      </c>
      <c r="I4818" s="1567"/>
      <c r="J4818" s="1543"/>
      <c r="K4818" s="1543"/>
      <c r="L4818" s="1543"/>
      <c r="M4818" s="1543"/>
      <c r="N4818" s="1566"/>
    </row>
    <row r="4819" spans="1:14">
      <c r="A4819" s="1519" t="s">
        <v>2219</v>
      </c>
      <c r="B4819" s="1517"/>
      <c r="C4819" s="1517"/>
      <c r="D4819" s="1551"/>
      <c r="E4819" s="1551"/>
      <c r="F4819" s="1551"/>
      <c r="G4819" s="1552"/>
      <c r="H4819" s="272">
        <v>0</v>
      </c>
      <c r="I4819" s="1543"/>
      <c r="J4819" s="1543"/>
      <c r="K4819" s="1543"/>
      <c r="L4819" s="1543"/>
      <c r="M4819" s="1543"/>
      <c r="N4819" s="1566"/>
    </row>
    <row r="4820" spans="1:14" ht="15.75" thickBot="1">
      <c r="A4820" s="1520" t="s">
        <v>2220</v>
      </c>
      <c r="B4820" s="1521"/>
      <c r="C4820" s="1521"/>
      <c r="D4820" s="1521"/>
      <c r="E4820" s="1521"/>
      <c r="F4820" s="1521"/>
      <c r="G4820" s="1522"/>
      <c r="H4820" s="216">
        <f>H4818-H4819</f>
        <v>8.3265000000000011</v>
      </c>
      <c r="I4820" s="1568"/>
      <c r="J4820" s="1568"/>
      <c r="K4820" s="1568"/>
      <c r="L4820" s="1568"/>
      <c r="M4820" s="1568"/>
      <c r="N4820" s="1569"/>
    </row>
    <row r="4821" spans="1:14" ht="15.75" thickBot="1"/>
    <row r="4822" spans="1:14">
      <c r="A4822" s="1085" t="s">
        <v>2729</v>
      </c>
      <c r="B4822" s="1494" t="s">
        <v>213</v>
      </c>
      <c r="C4822" s="1495"/>
      <c r="D4822" s="1495"/>
      <c r="E4822" s="1495"/>
      <c r="F4822" s="1495"/>
      <c r="G4822" s="1495"/>
      <c r="H4822" s="1495"/>
      <c r="I4822" s="1495"/>
      <c r="J4822" s="1496"/>
      <c r="K4822" s="196" t="s">
        <v>44</v>
      </c>
      <c r="L4822" s="1497">
        <f>'[8]BMS  5ª medição'!G300</f>
        <v>115.52</v>
      </c>
      <c r="M4822" s="1498"/>
      <c r="N4822" s="197">
        <f>L4822-H4840</f>
        <v>5.0000000000238742E-4</v>
      </c>
    </row>
    <row r="4823" spans="1:14">
      <c r="A4823" s="1554"/>
      <c r="B4823" s="1541"/>
      <c r="C4823" s="366"/>
      <c r="D4823" s="367" t="s">
        <v>2183</v>
      </c>
      <c r="E4823" s="1320" t="s">
        <v>2184</v>
      </c>
      <c r="F4823" s="367" t="s">
        <v>2185</v>
      </c>
      <c r="G4823" s="367" t="s">
        <v>2186</v>
      </c>
      <c r="H4823" s="1542" t="s">
        <v>476</v>
      </c>
      <c r="I4823" s="1543"/>
      <c r="J4823" s="1543"/>
      <c r="K4823" s="1543"/>
      <c r="L4823" s="1543"/>
      <c r="M4823" s="1543"/>
      <c r="N4823" s="1566"/>
    </row>
    <row r="4824" spans="1:14" ht="24">
      <c r="A4824" s="1554"/>
      <c r="B4824" s="1541"/>
      <c r="C4824" s="368" t="s">
        <v>2627</v>
      </c>
      <c r="D4824" s="369" t="s">
        <v>2187</v>
      </c>
      <c r="E4824" s="1323" t="s">
        <v>2928</v>
      </c>
      <c r="F4824" s="369" t="s">
        <v>2649</v>
      </c>
      <c r="G4824" s="370" t="s">
        <v>2709</v>
      </c>
      <c r="H4824" s="1542"/>
      <c r="I4824" s="1543"/>
      <c r="J4824" s="1543"/>
      <c r="K4824" s="1543"/>
      <c r="L4824" s="1543"/>
      <c r="M4824" s="1543"/>
      <c r="N4824" s="1566"/>
    </row>
    <row r="4825" spans="1:14">
      <c r="A4825" s="1514" t="s">
        <v>2662</v>
      </c>
      <c r="B4825" s="410"/>
      <c r="C4825" s="287"/>
      <c r="D4825" s="202"/>
      <c r="E4825" s="346"/>
      <c r="F4825" s="346"/>
      <c r="G4825" s="346"/>
      <c r="H4825" s="403"/>
      <c r="I4825" s="1567"/>
      <c r="J4825" s="1543"/>
      <c r="K4825" s="1543"/>
      <c r="L4825" s="1543"/>
      <c r="M4825" s="1543"/>
      <c r="N4825" s="1566"/>
    </row>
    <row r="4826" spans="1:14">
      <c r="A4826" s="1523"/>
      <c r="B4826" s="406" t="s">
        <v>2726</v>
      </c>
      <c r="C4826" s="291"/>
      <c r="D4826" s="292"/>
      <c r="E4826" s="341"/>
      <c r="F4826" s="341"/>
      <c r="G4826" s="341"/>
      <c r="H4826" s="423"/>
      <c r="I4826" s="1567"/>
      <c r="J4826" s="1543"/>
      <c r="K4826" s="1543"/>
      <c r="L4826" s="1543"/>
      <c r="M4826" s="1543"/>
      <c r="N4826" s="1566"/>
    </row>
    <row r="4827" spans="1:14">
      <c r="A4827" s="1523"/>
      <c r="B4827" s="406" t="s">
        <v>2727</v>
      </c>
      <c r="C4827" s="291">
        <v>41.75</v>
      </c>
      <c r="D4827" s="341"/>
      <c r="E4827" s="341"/>
      <c r="F4827" s="341"/>
      <c r="G4827" s="341"/>
      <c r="H4827" s="347">
        <f>C4827</f>
        <v>41.75</v>
      </c>
      <c r="I4827" s="1567"/>
      <c r="J4827" s="1543"/>
      <c r="K4827" s="1543"/>
      <c r="L4827" s="1543"/>
      <c r="M4827" s="1543"/>
      <c r="N4827" s="1566"/>
    </row>
    <row r="4828" spans="1:14">
      <c r="A4828" s="1523"/>
      <c r="B4828" s="413"/>
      <c r="C4828" s="294"/>
      <c r="D4828" s="348"/>
      <c r="E4828" s="348"/>
      <c r="F4828" s="348"/>
      <c r="G4828" s="348"/>
      <c r="H4828" s="349"/>
      <c r="I4828" s="1567"/>
      <c r="J4828" s="1543"/>
      <c r="K4828" s="1543"/>
      <c r="L4828" s="1543"/>
      <c r="M4828" s="1543"/>
      <c r="N4828" s="1566"/>
    </row>
    <row r="4829" spans="1:14">
      <c r="A4829" s="1544" t="s">
        <v>2749</v>
      </c>
      <c r="B4829" s="404" t="s">
        <v>2759</v>
      </c>
      <c r="C4829" s="297">
        <v>8</v>
      </c>
      <c r="D4829" s="350"/>
      <c r="E4829" s="350"/>
      <c r="F4829" s="350"/>
      <c r="G4829" s="350"/>
      <c r="H4829" s="371">
        <f>C4829</f>
        <v>8</v>
      </c>
      <c r="I4829" s="1567"/>
      <c r="J4829" s="1543"/>
      <c r="K4829" s="1543"/>
      <c r="L4829" s="1543"/>
      <c r="M4829" s="1543"/>
      <c r="N4829" s="1566"/>
    </row>
    <row r="4830" spans="1:14" ht="22.9" customHeight="1">
      <c r="A4830" s="1544"/>
      <c r="B4830" s="406" t="s">
        <v>2758</v>
      </c>
      <c r="C4830" s="292">
        <v>6.9</v>
      </c>
      <c r="D4830" s="341"/>
      <c r="E4830" s="341"/>
      <c r="F4830" s="341"/>
      <c r="G4830" s="341"/>
      <c r="H4830" s="347">
        <f>C4830</f>
        <v>6.9</v>
      </c>
      <c r="I4830" s="1567"/>
      <c r="J4830" s="1543"/>
      <c r="K4830" s="1543"/>
      <c r="L4830" s="1543"/>
      <c r="M4830" s="1543"/>
      <c r="N4830" s="1566"/>
    </row>
    <row r="4831" spans="1:14">
      <c r="A4831" s="1544"/>
      <c r="B4831" s="406" t="s">
        <v>2757</v>
      </c>
      <c r="C4831" s="292">
        <v>12.7</v>
      </c>
      <c r="D4831" s="341"/>
      <c r="E4831" s="341"/>
      <c r="F4831" s="341"/>
      <c r="G4831" s="341"/>
      <c r="H4831" s="347">
        <f>C4831</f>
        <v>12.7</v>
      </c>
      <c r="I4831" s="1567"/>
      <c r="J4831" s="1543"/>
      <c r="K4831" s="1543"/>
      <c r="L4831" s="1543"/>
      <c r="M4831" s="1543"/>
      <c r="N4831" s="1566"/>
    </row>
    <row r="4832" spans="1:14">
      <c r="A4832" s="1544"/>
      <c r="B4832" s="406" t="s">
        <v>2756</v>
      </c>
      <c r="C4832" s="292">
        <v>7.5</v>
      </c>
      <c r="D4832" s="341"/>
      <c r="E4832" s="341"/>
      <c r="F4832" s="341"/>
      <c r="G4832" s="341"/>
      <c r="H4832" s="347">
        <f>C4832</f>
        <v>7.5</v>
      </c>
      <c r="I4832" s="1567"/>
      <c r="J4832" s="1543"/>
      <c r="K4832" s="1543"/>
      <c r="L4832" s="1543"/>
      <c r="M4832" s="1543"/>
      <c r="N4832" s="1566"/>
    </row>
    <row r="4833" spans="1:14">
      <c r="A4833" s="1544"/>
      <c r="B4833" s="413"/>
      <c r="C4833" s="294"/>
      <c r="D4833" s="348"/>
      <c r="E4833" s="348"/>
      <c r="F4833" s="348"/>
      <c r="G4833" s="348"/>
      <c r="H4833" s="349"/>
      <c r="I4833" s="1567"/>
      <c r="J4833" s="1543"/>
      <c r="K4833" s="1543"/>
      <c r="L4833" s="1543"/>
      <c r="M4833" s="1543"/>
      <c r="N4833" s="1566"/>
    </row>
    <row r="4834" spans="1:14">
      <c r="A4834" s="1665" t="s">
        <v>2895</v>
      </c>
      <c r="B4834" s="410" t="s">
        <v>2726</v>
      </c>
      <c r="C4834" s="287"/>
      <c r="D4834" s="346"/>
      <c r="E4834" s="346"/>
      <c r="F4834" s="346"/>
      <c r="G4834" s="346"/>
      <c r="H4834" s="403"/>
      <c r="I4834" s="1567"/>
      <c r="J4834" s="1543"/>
      <c r="K4834" s="1543"/>
      <c r="L4834" s="1543"/>
      <c r="M4834" s="1543"/>
      <c r="N4834" s="1566"/>
    </row>
    <row r="4835" spans="1:14">
      <c r="A4835" s="1666"/>
      <c r="B4835" s="406" t="s">
        <v>2929</v>
      </c>
      <c r="C4835" s="292">
        <v>25.49</v>
      </c>
      <c r="D4835" s="341"/>
      <c r="E4835" s="341">
        <v>0.5</v>
      </c>
      <c r="F4835" s="341"/>
      <c r="G4835" s="341"/>
      <c r="H4835" s="347">
        <f>C4835*E4835</f>
        <v>12.744999999999999</v>
      </c>
      <c r="I4835" s="1567"/>
      <c r="J4835" s="1543"/>
      <c r="K4835" s="1543"/>
      <c r="L4835" s="1543"/>
      <c r="M4835" s="1543"/>
      <c r="N4835" s="1566"/>
    </row>
    <row r="4836" spans="1:14">
      <c r="A4836" s="1666"/>
      <c r="B4836" s="750" t="s">
        <v>2726</v>
      </c>
      <c r="C4836" s="312"/>
      <c r="D4836" s="351"/>
      <c r="E4836" s="351"/>
      <c r="F4836" s="351"/>
      <c r="G4836" s="351"/>
      <c r="H4836" s="364"/>
      <c r="I4836" s="1567"/>
      <c r="J4836" s="1543"/>
      <c r="K4836" s="1543"/>
      <c r="L4836" s="1543"/>
      <c r="M4836" s="1543"/>
      <c r="N4836" s="1566"/>
    </row>
    <row r="4837" spans="1:14">
      <c r="A4837" s="1665" t="s">
        <v>2997</v>
      </c>
      <c r="B4837" s="429"/>
      <c r="C4837" s="751"/>
      <c r="D4837" s="346"/>
      <c r="E4837" s="346"/>
      <c r="F4837" s="346"/>
      <c r="G4837" s="346"/>
      <c r="H4837" s="403"/>
      <c r="I4837" s="1567"/>
      <c r="J4837" s="1543"/>
      <c r="K4837" s="1543"/>
      <c r="L4837" s="1543"/>
      <c r="M4837" s="1543"/>
      <c r="N4837" s="1566"/>
    </row>
    <row r="4838" spans="1:14">
      <c r="A4838" s="1666"/>
      <c r="B4838" s="436" t="s">
        <v>2929</v>
      </c>
      <c r="C4838" s="752">
        <v>25.494000000000003</v>
      </c>
      <c r="D4838" s="341"/>
      <c r="E4838" s="341">
        <v>0.5</v>
      </c>
      <c r="F4838" s="341"/>
      <c r="G4838" s="341"/>
      <c r="H4838" s="347">
        <f>C4838*E4838</f>
        <v>12.747000000000002</v>
      </c>
      <c r="I4838" s="1567"/>
      <c r="J4838" s="1543"/>
      <c r="K4838" s="1543"/>
      <c r="L4838" s="1543"/>
      <c r="M4838" s="1543"/>
      <c r="N4838" s="1566"/>
    </row>
    <row r="4839" spans="1:14">
      <c r="A4839" s="1666"/>
      <c r="B4839" s="753" t="s">
        <v>3145</v>
      </c>
      <c r="C4839" s="754">
        <v>13.177500000000002</v>
      </c>
      <c r="D4839" s="348"/>
      <c r="E4839" s="348"/>
      <c r="F4839" s="348"/>
      <c r="G4839" s="348"/>
      <c r="H4839" s="349">
        <f>C4839</f>
        <v>13.177500000000002</v>
      </c>
      <c r="I4839" s="1567"/>
      <c r="J4839" s="1543"/>
      <c r="K4839" s="1543"/>
      <c r="L4839" s="1543"/>
      <c r="M4839" s="1543"/>
      <c r="N4839" s="1566"/>
    </row>
    <row r="4840" spans="1:14" ht="22.9" customHeight="1">
      <c r="A4840" s="1542" t="s">
        <v>2218</v>
      </c>
      <c r="B4840" s="1542"/>
      <c r="C4840" s="1542"/>
      <c r="D4840" s="1542"/>
      <c r="E4840" s="1542"/>
      <c r="F4840" s="1542"/>
      <c r="G4840" s="1542"/>
      <c r="H4840" s="271">
        <f>SUM(H4825:H4839)</f>
        <v>115.51949999999999</v>
      </c>
      <c r="I4840" s="1567"/>
      <c r="J4840" s="1543"/>
      <c r="K4840" s="1543"/>
      <c r="L4840" s="1543"/>
      <c r="M4840" s="1543"/>
      <c r="N4840" s="1566"/>
    </row>
    <row r="4841" spans="1:14">
      <c r="A4841" s="1519" t="s">
        <v>2219</v>
      </c>
      <c r="B4841" s="1517"/>
      <c r="C4841" s="1517"/>
      <c r="D4841" s="1551"/>
      <c r="E4841" s="1551"/>
      <c r="F4841" s="1551"/>
      <c r="G4841" s="1552"/>
      <c r="H4841" s="272">
        <f>SUM(H4825:H4836)</f>
        <v>89.594999999999999</v>
      </c>
      <c r="I4841" s="1543"/>
      <c r="J4841" s="1543"/>
      <c r="K4841" s="1543"/>
      <c r="L4841" s="1543"/>
      <c r="M4841" s="1543"/>
      <c r="N4841" s="1566"/>
    </row>
    <row r="4842" spans="1:14" ht="15.75" thickBot="1">
      <c r="A4842" s="1520" t="s">
        <v>2220</v>
      </c>
      <c r="B4842" s="1521"/>
      <c r="C4842" s="1521"/>
      <c r="D4842" s="1521"/>
      <c r="E4842" s="1521"/>
      <c r="F4842" s="1521"/>
      <c r="G4842" s="1522"/>
      <c r="H4842" s="216">
        <f>H4840-H4841</f>
        <v>25.924499999999995</v>
      </c>
      <c r="I4842" s="1568"/>
      <c r="J4842" s="1568"/>
      <c r="K4842" s="1568"/>
      <c r="L4842" s="1568"/>
      <c r="M4842" s="1568"/>
      <c r="N4842" s="1569"/>
    </row>
    <row r="4843" spans="1:14" ht="15.75" thickBot="1">
      <c r="A4843" s="278"/>
      <c r="B4843" s="428"/>
      <c r="C4843" s="278"/>
      <c r="D4843" s="281"/>
      <c r="E4843" s="631"/>
      <c r="F4843" s="281"/>
      <c r="G4843" s="281"/>
      <c r="H4843" s="217"/>
      <c r="I4843" s="279"/>
      <c r="J4843" s="279"/>
      <c r="K4843" s="279"/>
      <c r="L4843" s="279"/>
      <c r="M4843" s="279"/>
      <c r="N4843" s="279"/>
    </row>
    <row r="4844" spans="1:14">
      <c r="A4844" s="1085" t="s">
        <v>2755</v>
      </c>
      <c r="B4844" s="1555" t="s">
        <v>2754</v>
      </c>
      <c r="C4844" s="1556"/>
      <c r="D4844" s="1556"/>
      <c r="E4844" s="1556"/>
      <c r="F4844" s="1556"/>
      <c r="G4844" s="1556"/>
      <c r="H4844" s="1556"/>
      <c r="I4844" s="1556"/>
      <c r="J4844" s="1557"/>
      <c r="K4844" s="196" t="s">
        <v>44</v>
      </c>
      <c r="L4844" s="1497">
        <v>16.5</v>
      </c>
      <c r="M4844" s="1498"/>
      <c r="N4844" s="197">
        <f>L4844-H4850</f>
        <v>0</v>
      </c>
    </row>
    <row r="4845" spans="1:14">
      <c r="A4845" s="1554"/>
      <c r="B4845" s="1541"/>
      <c r="C4845" s="366"/>
      <c r="D4845" s="367" t="s">
        <v>2183</v>
      </c>
      <c r="E4845" s="1320" t="s">
        <v>2184</v>
      </c>
      <c r="F4845" s="367" t="s">
        <v>2185</v>
      </c>
      <c r="G4845" s="367" t="s">
        <v>2186</v>
      </c>
      <c r="H4845" s="1542" t="s">
        <v>476</v>
      </c>
      <c r="I4845" s="1543"/>
      <c r="J4845" s="1543"/>
      <c r="K4845" s="1543"/>
      <c r="L4845" s="1543"/>
      <c r="M4845" s="1543"/>
      <c r="N4845" s="1566"/>
    </row>
    <row r="4846" spans="1:14">
      <c r="A4846" s="1554"/>
      <c r="B4846" s="1541"/>
      <c r="C4846" s="368" t="s">
        <v>2627</v>
      </c>
      <c r="D4846" s="369" t="s">
        <v>2187</v>
      </c>
      <c r="E4846" s="529" t="s">
        <v>2596</v>
      </c>
      <c r="F4846" s="369" t="s">
        <v>2649</v>
      </c>
      <c r="G4846" s="370" t="s">
        <v>2709</v>
      </c>
      <c r="H4846" s="1542"/>
      <c r="I4846" s="1543"/>
      <c r="J4846" s="1543"/>
      <c r="K4846" s="1543"/>
      <c r="L4846" s="1543"/>
      <c r="M4846" s="1543"/>
      <c r="N4846" s="1566"/>
    </row>
    <row r="4847" spans="1:14">
      <c r="A4847" s="1544" t="s">
        <v>2749</v>
      </c>
      <c r="B4847" s="410"/>
      <c r="C4847" s="287"/>
      <c r="D4847" s="202"/>
      <c r="E4847" s="346"/>
      <c r="F4847" s="346"/>
      <c r="G4847" s="346"/>
      <c r="H4847" s="403"/>
      <c r="I4847" s="1567"/>
      <c r="J4847" s="1543"/>
      <c r="K4847" s="1543"/>
      <c r="L4847" s="1543"/>
      <c r="M4847" s="1543"/>
      <c r="N4847" s="1566"/>
    </row>
    <row r="4848" spans="1:14">
      <c r="A4848" s="1544"/>
      <c r="B4848" s="406" t="s">
        <v>2753</v>
      </c>
      <c r="C4848" s="292"/>
      <c r="D4848" s="292"/>
      <c r="E4848" s="341"/>
      <c r="F4848" s="341"/>
      <c r="G4848" s="341"/>
      <c r="H4848" s="423"/>
      <c r="I4848" s="1567"/>
      <c r="J4848" s="1543"/>
      <c r="K4848" s="1543"/>
      <c r="L4848" s="1543"/>
      <c r="M4848" s="1543"/>
      <c r="N4848" s="1566"/>
    </row>
    <row r="4849" spans="1:14">
      <c r="A4849" s="1544"/>
      <c r="B4849" s="413" t="s">
        <v>2752</v>
      </c>
      <c r="C4849" s="292">
        <v>16.5</v>
      </c>
      <c r="D4849" s="348"/>
      <c r="E4849" s="348"/>
      <c r="F4849" s="348"/>
      <c r="G4849" s="348"/>
      <c r="H4849" s="349">
        <f>C4849</f>
        <v>16.5</v>
      </c>
      <c r="I4849" s="1567"/>
      <c r="J4849" s="1543"/>
      <c r="K4849" s="1543"/>
      <c r="L4849" s="1543"/>
      <c r="M4849" s="1543"/>
      <c r="N4849" s="1566"/>
    </row>
    <row r="4850" spans="1:14" ht="22.9" customHeight="1">
      <c r="A4850" s="1542" t="s">
        <v>2218</v>
      </c>
      <c r="B4850" s="1542"/>
      <c r="C4850" s="1542"/>
      <c r="D4850" s="1542"/>
      <c r="E4850" s="1542"/>
      <c r="F4850" s="1542"/>
      <c r="G4850" s="1542"/>
      <c r="H4850" s="271">
        <f>SUM(H4847:H4849)</f>
        <v>16.5</v>
      </c>
      <c r="I4850" s="1567"/>
      <c r="J4850" s="1543"/>
      <c r="K4850" s="1543"/>
      <c r="L4850" s="1543"/>
      <c r="M4850" s="1543"/>
      <c r="N4850" s="1566"/>
    </row>
    <row r="4851" spans="1:14">
      <c r="A4851" s="1519" t="s">
        <v>2219</v>
      </c>
      <c r="B4851" s="1517"/>
      <c r="C4851" s="1517"/>
      <c r="D4851" s="1551"/>
      <c r="E4851" s="1551"/>
      <c r="F4851" s="1551"/>
      <c r="G4851" s="1552"/>
      <c r="H4851" s="272">
        <v>0</v>
      </c>
      <c r="I4851" s="1543"/>
      <c r="J4851" s="1543"/>
      <c r="K4851" s="1543"/>
      <c r="L4851" s="1543"/>
      <c r="M4851" s="1543"/>
      <c r="N4851" s="1566"/>
    </row>
    <row r="4852" spans="1:14" ht="15.75" thickBot="1">
      <c r="A4852" s="1520" t="s">
        <v>2220</v>
      </c>
      <c r="B4852" s="1521"/>
      <c r="C4852" s="1521"/>
      <c r="D4852" s="1521"/>
      <c r="E4852" s="1521"/>
      <c r="F4852" s="1521"/>
      <c r="G4852" s="1522"/>
      <c r="H4852" s="216">
        <f>H4850-H4851</f>
        <v>16.5</v>
      </c>
      <c r="I4852" s="1568"/>
      <c r="J4852" s="1568"/>
      <c r="K4852" s="1568"/>
      <c r="L4852" s="1568"/>
      <c r="M4852" s="1568"/>
      <c r="N4852" s="1569"/>
    </row>
    <row r="4853" spans="1:14" ht="15.75" thickBot="1">
      <c r="A4853" s="278"/>
      <c r="B4853" s="278"/>
      <c r="C4853" s="278"/>
      <c r="D4853" s="281"/>
      <c r="E4853" s="1319"/>
      <c r="F4853" s="278"/>
      <c r="G4853" s="278"/>
      <c r="H4853" s="217"/>
      <c r="I4853" s="279"/>
      <c r="J4853" s="279"/>
      <c r="K4853" s="279"/>
      <c r="L4853" s="279"/>
      <c r="M4853" s="279"/>
      <c r="N4853" s="279"/>
    </row>
    <row r="4854" spans="1:14">
      <c r="A4854" s="1085" t="s">
        <v>3146</v>
      </c>
      <c r="B4854" s="1555" t="s">
        <v>1214</v>
      </c>
      <c r="C4854" s="1556"/>
      <c r="D4854" s="1556"/>
      <c r="E4854" s="1556"/>
      <c r="F4854" s="1556"/>
      <c r="G4854" s="1556"/>
      <c r="H4854" s="1556"/>
      <c r="I4854" s="1556"/>
      <c r="J4854" s="1557"/>
      <c r="K4854" s="196" t="s">
        <v>3148</v>
      </c>
      <c r="L4854" s="1497">
        <f>'27ª MEDIÇÃO '!F302</f>
        <v>7</v>
      </c>
      <c r="M4854" s="1498"/>
      <c r="N4854" s="197">
        <f>L4854-H4860</f>
        <v>0</v>
      </c>
    </row>
    <row r="4855" spans="1:14">
      <c r="A4855" s="1554"/>
      <c r="B4855" s="1541"/>
      <c r="C4855" s="366"/>
      <c r="D4855" s="367" t="s">
        <v>2183</v>
      </c>
      <c r="E4855" s="1320" t="s">
        <v>2184</v>
      </c>
      <c r="F4855" s="367" t="s">
        <v>2185</v>
      </c>
      <c r="G4855" s="367" t="s">
        <v>2186</v>
      </c>
      <c r="H4855" s="1542" t="s">
        <v>476</v>
      </c>
      <c r="I4855" s="1543"/>
      <c r="J4855" s="1543"/>
      <c r="K4855" s="1543"/>
      <c r="L4855" s="1543"/>
      <c r="M4855" s="1543"/>
      <c r="N4855" s="1566"/>
    </row>
    <row r="4856" spans="1:14">
      <c r="A4856" s="1554"/>
      <c r="B4856" s="1541"/>
      <c r="C4856" s="368" t="s">
        <v>2627</v>
      </c>
      <c r="D4856" s="369" t="s">
        <v>2187</v>
      </c>
      <c r="E4856" s="529" t="s">
        <v>2596</v>
      </c>
      <c r="F4856" s="369" t="s">
        <v>2649</v>
      </c>
      <c r="G4856" s="370" t="s">
        <v>2709</v>
      </c>
      <c r="H4856" s="1542"/>
      <c r="I4856" s="1543"/>
      <c r="J4856" s="1543"/>
      <c r="K4856" s="1543"/>
      <c r="L4856" s="1543"/>
      <c r="M4856" s="1543"/>
      <c r="N4856" s="1566"/>
    </row>
    <row r="4857" spans="1:14">
      <c r="A4857" s="1544" t="s">
        <v>2997</v>
      </c>
      <c r="B4857" s="429" t="s">
        <v>2760</v>
      </c>
      <c r="C4857" s="287"/>
      <c r="D4857" s="202"/>
      <c r="E4857" s="346"/>
      <c r="F4857" s="346"/>
      <c r="G4857" s="346"/>
      <c r="H4857" s="403"/>
      <c r="I4857" s="1567"/>
      <c r="J4857" s="1543"/>
      <c r="K4857" s="1543"/>
      <c r="L4857" s="1543"/>
      <c r="M4857" s="1543"/>
      <c r="N4857" s="1566"/>
    </row>
    <row r="4858" spans="1:14">
      <c r="A4858" s="1544"/>
      <c r="B4858" s="436" t="s">
        <v>3127</v>
      </c>
      <c r="C4858" s="341">
        <v>7</v>
      </c>
      <c r="D4858" s="292"/>
      <c r="E4858" s="341"/>
      <c r="F4858" s="341"/>
      <c r="G4858" s="291"/>
      <c r="H4858" s="347">
        <f>C4858</f>
        <v>7</v>
      </c>
      <c r="I4858" s="1567"/>
      <c r="J4858" s="1543"/>
      <c r="K4858" s="1543"/>
      <c r="L4858" s="1543"/>
      <c r="M4858" s="1543"/>
      <c r="N4858" s="1566"/>
    </row>
    <row r="4859" spans="1:14">
      <c r="A4859" s="1544"/>
      <c r="B4859" s="413"/>
      <c r="C4859" s="294"/>
      <c r="D4859" s="348"/>
      <c r="E4859" s="348"/>
      <c r="F4859" s="348"/>
      <c r="G4859" s="348"/>
      <c r="H4859" s="349"/>
      <c r="I4859" s="1567"/>
      <c r="J4859" s="1543"/>
      <c r="K4859" s="1543"/>
      <c r="L4859" s="1543"/>
      <c r="M4859" s="1543"/>
      <c r="N4859" s="1566"/>
    </row>
    <row r="4860" spans="1:14" ht="22.9" customHeight="1">
      <c r="A4860" s="1542" t="s">
        <v>2218</v>
      </c>
      <c r="B4860" s="1542"/>
      <c r="C4860" s="1542"/>
      <c r="D4860" s="1542"/>
      <c r="E4860" s="1542"/>
      <c r="F4860" s="1542"/>
      <c r="G4860" s="1542"/>
      <c r="H4860" s="271">
        <f>SUM(H4857:H4859)</f>
        <v>7</v>
      </c>
      <c r="I4860" s="1567"/>
      <c r="J4860" s="1543"/>
      <c r="K4860" s="1543"/>
      <c r="L4860" s="1543"/>
      <c r="M4860" s="1543"/>
      <c r="N4860" s="1566"/>
    </row>
    <row r="4861" spans="1:14">
      <c r="A4861" s="1519" t="s">
        <v>2219</v>
      </c>
      <c r="B4861" s="1517"/>
      <c r="C4861" s="1517"/>
      <c r="D4861" s="1551"/>
      <c r="E4861" s="1551"/>
      <c r="F4861" s="1551"/>
      <c r="G4861" s="1552"/>
      <c r="H4861" s="272">
        <v>0</v>
      </c>
      <c r="I4861" s="1543"/>
      <c r="J4861" s="1543"/>
      <c r="K4861" s="1543"/>
      <c r="L4861" s="1543"/>
      <c r="M4861" s="1543"/>
      <c r="N4861" s="1566"/>
    </row>
    <row r="4862" spans="1:14" ht="15.75" thickBot="1">
      <c r="A4862" s="1520" t="s">
        <v>2220</v>
      </c>
      <c r="B4862" s="1521"/>
      <c r="C4862" s="1521"/>
      <c r="D4862" s="1521"/>
      <c r="E4862" s="1521"/>
      <c r="F4862" s="1521"/>
      <c r="G4862" s="1522"/>
      <c r="H4862" s="216">
        <f>H4860-H4861</f>
        <v>7</v>
      </c>
      <c r="I4862" s="1568"/>
      <c r="J4862" s="1568"/>
      <c r="K4862" s="1568"/>
      <c r="L4862" s="1568"/>
      <c r="M4862" s="1568"/>
      <c r="N4862" s="1569"/>
    </row>
    <row r="4863" spans="1:14" ht="15.75" thickBot="1">
      <c r="A4863" s="278"/>
      <c r="B4863" s="278"/>
      <c r="C4863" s="278"/>
      <c r="D4863" s="281"/>
      <c r="E4863" s="1319"/>
      <c r="F4863" s="278"/>
      <c r="G4863" s="278"/>
      <c r="H4863" s="217"/>
      <c r="I4863" s="279"/>
      <c r="J4863" s="279"/>
      <c r="K4863" s="279"/>
      <c r="L4863" s="279"/>
      <c r="M4863" s="279"/>
      <c r="N4863" s="279"/>
    </row>
    <row r="4864" spans="1:14">
      <c r="A4864" s="1085" t="s">
        <v>3147</v>
      </c>
      <c r="B4864" s="1555" t="s">
        <v>1217</v>
      </c>
      <c r="C4864" s="1556"/>
      <c r="D4864" s="1556"/>
      <c r="E4864" s="1556"/>
      <c r="F4864" s="1556"/>
      <c r="G4864" s="1556"/>
      <c r="H4864" s="1556"/>
      <c r="I4864" s="1556"/>
      <c r="J4864" s="1557"/>
      <c r="K4864" s="196" t="s">
        <v>3148</v>
      </c>
      <c r="L4864" s="1497">
        <f>'27ª MEDIÇÃO '!F303</f>
        <v>1</v>
      </c>
      <c r="M4864" s="1498"/>
      <c r="N4864" s="197">
        <f>L4864-H4870</f>
        <v>0</v>
      </c>
    </row>
    <row r="4865" spans="1:14">
      <c r="A4865" s="1554"/>
      <c r="B4865" s="1541"/>
      <c r="C4865" s="366"/>
      <c r="D4865" s="367" t="s">
        <v>2183</v>
      </c>
      <c r="E4865" s="1320" t="s">
        <v>2184</v>
      </c>
      <c r="F4865" s="367" t="s">
        <v>2185</v>
      </c>
      <c r="G4865" s="367" t="s">
        <v>2186</v>
      </c>
      <c r="H4865" s="1542" t="s">
        <v>476</v>
      </c>
      <c r="I4865" s="1543"/>
      <c r="J4865" s="1543"/>
      <c r="K4865" s="1543"/>
      <c r="L4865" s="1543"/>
      <c r="M4865" s="1543"/>
      <c r="N4865" s="1566"/>
    </row>
    <row r="4866" spans="1:14">
      <c r="A4866" s="1554"/>
      <c r="B4866" s="1541"/>
      <c r="C4866" s="368" t="s">
        <v>2627</v>
      </c>
      <c r="D4866" s="369" t="s">
        <v>2187</v>
      </c>
      <c r="E4866" s="529" t="s">
        <v>2596</v>
      </c>
      <c r="F4866" s="369" t="s">
        <v>2649</v>
      </c>
      <c r="G4866" s="370" t="s">
        <v>2709</v>
      </c>
      <c r="H4866" s="1542"/>
      <c r="I4866" s="1543"/>
      <c r="J4866" s="1543"/>
      <c r="K4866" s="1543"/>
      <c r="L4866" s="1543"/>
      <c r="M4866" s="1543"/>
      <c r="N4866" s="1566"/>
    </row>
    <row r="4867" spans="1:14">
      <c r="A4867" s="1544" t="s">
        <v>2997</v>
      </c>
      <c r="B4867" s="355" t="s">
        <v>2760</v>
      </c>
      <c r="C4867" s="287"/>
      <c r="D4867" s="202"/>
      <c r="E4867" s="346"/>
      <c r="F4867" s="346"/>
      <c r="G4867" s="346"/>
      <c r="H4867" s="403"/>
      <c r="I4867" s="1567"/>
      <c r="J4867" s="1543"/>
      <c r="K4867" s="1543"/>
      <c r="L4867" s="1543"/>
      <c r="M4867" s="1543"/>
      <c r="N4867" s="1566"/>
    </row>
    <row r="4868" spans="1:14">
      <c r="A4868" s="1544"/>
      <c r="B4868" s="355" t="s">
        <v>3127</v>
      </c>
      <c r="C4868" s="341">
        <v>1</v>
      </c>
      <c r="D4868" s="292"/>
      <c r="E4868" s="341"/>
      <c r="F4868" s="341"/>
      <c r="G4868" s="341"/>
      <c r="H4868" s="347">
        <f>C4868</f>
        <v>1</v>
      </c>
      <c r="I4868" s="1567"/>
      <c r="J4868" s="1543"/>
      <c r="K4868" s="1543"/>
      <c r="L4868" s="1543"/>
      <c r="M4868" s="1543"/>
      <c r="N4868" s="1566"/>
    </row>
    <row r="4869" spans="1:14">
      <c r="A4869" s="1544"/>
      <c r="B4869" s="413"/>
      <c r="C4869" s="292"/>
      <c r="D4869" s="348"/>
      <c r="E4869" s="348"/>
      <c r="F4869" s="348"/>
      <c r="G4869" s="348"/>
      <c r="H4869" s="349"/>
      <c r="I4869" s="1567"/>
      <c r="J4869" s="1543"/>
      <c r="K4869" s="1543"/>
      <c r="L4869" s="1543"/>
      <c r="M4869" s="1543"/>
      <c r="N4869" s="1566"/>
    </row>
    <row r="4870" spans="1:14">
      <c r="A4870" s="1542" t="s">
        <v>2218</v>
      </c>
      <c r="B4870" s="1542"/>
      <c r="C4870" s="1542"/>
      <c r="D4870" s="1542"/>
      <c r="E4870" s="1542"/>
      <c r="F4870" s="1542"/>
      <c r="G4870" s="1542"/>
      <c r="H4870" s="271">
        <f>SUM(H4867:H4869)</f>
        <v>1</v>
      </c>
      <c r="I4870" s="1567"/>
      <c r="J4870" s="1543"/>
      <c r="K4870" s="1543"/>
      <c r="L4870" s="1543"/>
      <c r="M4870" s="1543"/>
      <c r="N4870" s="1566"/>
    </row>
    <row r="4871" spans="1:14">
      <c r="A4871" s="1519" t="s">
        <v>2219</v>
      </c>
      <c r="B4871" s="1517"/>
      <c r="C4871" s="1517"/>
      <c r="D4871" s="1551"/>
      <c r="E4871" s="1551"/>
      <c r="F4871" s="1551"/>
      <c r="G4871" s="1552"/>
      <c r="H4871" s="272">
        <v>0</v>
      </c>
      <c r="I4871" s="1543"/>
      <c r="J4871" s="1543"/>
      <c r="K4871" s="1543"/>
      <c r="L4871" s="1543"/>
      <c r="M4871" s="1543"/>
      <c r="N4871" s="1566"/>
    </row>
    <row r="4872" spans="1:14" ht="15.75" thickBot="1">
      <c r="A4872" s="1520" t="s">
        <v>2220</v>
      </c>
      <c r="B4872" s="1521"/>
      <c r="C4872" s="1521"/>
      <c r="D4872" s="1521"/>
      <c r="E4872" s="1521"/>
      <c r="F4872" s="1521"/>
      <c r="G4872" s="1522"/>
      <c r="H4872" s="216">
        <f>H4870-H4871</f>
        <v>1</v>
      </c>
      <c r="I4872" s="1568"/>
      <c r="J4872" s="1568"/>
      <c r="K4872" s="1568"/>
      <c r="L4872" s="1568"/>
      <c r="M4872" s="1568"/>
      <c r="N4872" s="1569"/>
    </row>
    <row r="4873" spans="1:14" ht="14.45" customHeight="1" thickBot="1">
      <c r="A4873" s="1085" t="s">
        <v>3289</v>
      </c>
      <c r="B4873" s="1494" t="s">
        <v>3290</v>
      </c>
      <c r="C4873" s="1556"/>
      <c r="D4873" s="1556"/>
      <c r="E4873" s="1556"/>
      <c r="F4873" s="1556"/>
      <c r="G4873" s="1556"/>
      <c r="H4873" s="1556"/>
      <c r="I4873" s="1556"/>
      <c r="J4873" s="1557"/>
      <c r="K4873" s="322"/>
      <c r="L4873" s="322"/>
      <c r="M4873" s="321"/>
      <c r="N4873" s="323"/>
    </row>
    <row r="4874" spans="1:14">
      <c r="A4874" s="1085" t="s">
        <v>2930</v>
      </c>
      <c r="B4874" s="1494" t="s">
        <v>2931</v>
      </c>
      <c r="C4874" s="1556"/>
      <c r="D4874" s="1556"/>
      <c r="E4874" s="1556"/>
      <c r="F4874" s="1556"/>
      <c r="G4874" s="1556"/>
      <c r="H4874" s="1556"/>
      <c r="I4874" s="1556"/>
      <c r="J4874" s="1557"/>
      <c r="K4874" s="196" t="s">
        <v>28</v>
      </c>
      <c r="L4874" s="1497">
        <f>'27ª MEDIÇÃO '!F305</f>
        <v>11</v>
      </c>
      <c r="M4874" s="1498"/>
      <c r="N4874" s="197">
        <f>L4874-H4883</f>
        <v>0</v>
      </c>
    </row>
    <row r="4875" spans="1:14">
      <c r="A4875" s="1554"/>
      <c r="B4875" s="1541"/>
      <c r="C4875" s="366"/>
      <c r="D4875" s="367" t="s">
        <v>2183</v>
      </c>
      <c r="E4875" s="1320" t="s">
        <v>2184</v>
      </c>
      <c r="F4875" s="367" t="s">
        <v>2185</v>
      </c>
      <c r="G4875" s="367" t="s">
        <v>2186</v>
      </c>
      <c r="H4875" s="1542" t="s">
        <v>476</v>
      </c>
      <c r="I4875" s="1543"/>
      <c r="J4875" s="1543"/>
      <c r="K4875" s="1543"/>
      <c r="L4875" s="1543"/>
      <c r="M4875" s="1543"/>
      <c r="N4875" s="1566"/>
    </row>
    <row r="4876" spans="1:14" ht="24">
      <c r="A4876" s="1554"/>
      <c r="B4876" s="1541"/>
      <c r="C4876" s="368" t="s">
        <v>2627</v>
      </c>
      <c r="D4876" s="369" t="s">
        <v>2187</v>
      </c>
      <c r="E4876" s="1323" t="s">
        <v>2928</v>
      </c>
      <c r="F4876" s="369" t="s">
        <v>2649</v>
      </c>
      <c r="G4876" s="370" t="s">
        <v>2709</v>
      </c>
      <c r="H4876" s="1542"/>
      <c r="I4876" s="1543"/>
      <c r="J4876" s="1543"/>
      <c r="K4876" s="1543"/>
      <c r="L4876" s="1543"/>
      <c r="M4876" s="1543"/>
      <c r="N4876" s="1566"/>
    </row>
    <row r="4877" spans="1:14">
      <c r="A4877" s="1544" t="s">
        <v>2662</v>
      </c>
      <c r="B4877" s="355" t="s">
        <v>2726</v>
      </c>
      <c r="C4877" s="287"/>
      <c r="D4877" s="202"/>
      <c r="E4877" s="346"/>
      <c r="F4877" s="346"/>
      <c r="G4877" s="346"/>
      <c r="H4877" s="403"/>
      <c r="I4877" s="1567"/>
      <c r="J4877" s="1543"/>
      <c r="K4877" s="1543"/>
      <c r="L4877" s="1543"/>
      <c r="M4877" s="1543"/>
      <c r="N4877" s="1566"/>
    </row>
    <row r="4878" spans="1:14">
      <c r="A4878" s="1544"/>
      <c r="B4878" s="355" t="s">
        <v>2727</v>
      </c>
      <c r="C4878" s="317">
        <v>7</v>
      </c>
      <c r="D4878" s="292"/>
      <c r="E4878" s="341">
        <v>5</v>
      </c>
      <c r="F4878" s="341"/>
      <c r="G4878" s="341"/>
      <c r="H4878" s="755">
        <v>5</v>
      </c>
      <c r="I4878" s="1567"/>
      <c r="J4878" s="1543"/>
      <c r="K4878" s="1543"/>
      <c r="L4878" s="1543"/>
      <c r="M4878" s="1543"/>
      <c r="N4878" s="1566"/>
    </row>
    <row r="4879" spans="1:14">
      <c r="A4879" s="1544"/>
      <c r="B4879" s="691" t="s">
        <v>2929</v>
      </c>
      <c r="C4879" s="317">
        <v>4</v>
      </c>
      <c r="D4879" s="348"/>
      <c r="E4879" s="348">
        <v>2</v>
      </c>
      <c r="F4879" s="348"/>
      <c r="G4879" s="348"/>
      <c r="H4879" s="755">
        <v>2</v>
      </c>
      <c r="I4879" s="1567"/>
      <c r="J4879" s="1543"/>
      <c r="K4879" s="1543"/>
      <c r="L4879" s="1543"/>
      <c r="M4879" s="1543"/>
      <c r="N4879" s="1566"/>
    </row>
    <row r="4880" spans="1:14">
      <c r="A4880" s="1544" t="s">
        <v>3620</v>
      </c>
      <c r="B4880" s="1023" t="s">
        <v>2726</v>
      </c>
      <c r="C4880" s="287"/>
      <c r="D4880" s="202"/>
      <c r="E4880" s="346"/>
      <c r="F4880" s="346"/>
      <c r="G4880" s="346"/>
      <c r="H4880" s="403"/>
      <c r="I4880" s="1567"/>
      <c r="J4880" s="1543"/>
      <c r="K4880" s="1543"/>
      <c r="L4880" s="1543"/>
      <c r="M4880" s="1543"/>
      <c r="N4880" s="1566"/>
    </row>
    <row r="4881" spans="1:14">
      <c r="A4881" s="1544"/>
      <c r="B4881" s="355" t="s">
        <v>2727</v>
      </c>
      <c r="C4881" s="317">
        <v>7</v>
      </c>
      <c r="D4881" s="292"/>
      <c r="E4881" s="341">
        <v>2</v>
      </c>
      <c r="F4881" s="341"/>
      <c r="G4881" s="341"/>
      <c r="H4881" s="755">
        <v>2</v>
      </c>
      <c r="I4881" s="1567"/>
      <c r="J4881" s="1543"/>
      <c r="K4881" s="1543"/>
      <c r="L4881" s="1543"/>
      <c r="M4881" s="1543"/>
      <c r="N4881" s="1566"/>
    </row>
    <row r="4882" spans="1:14">
      <c r="A4882" s="1544"/>
      <c r="B4882" s="355" t="s">
        <v>2929</v>
      </c>
      <c r="C4882" s="317">
        <v>4</v>
      </c>
      <c r="D4882" s="348"/>
      <c r="E4882" s="348">
        <v>2</v>
      </c>
      <c r="F4882" s="348"/>
      <c r="G4882" s="348"/>
      <c r="H4882" s="755">
        <v>2</v>
      </c>
      <c r="I4882" s="1567"/>
      <c r="J4882" s="1543"/>
      <c r="K4882" s="1543"/>
      <c r="L4882" s="1543"/>
      <c r="M4882" s="1543"/>
      <c r="N4882" s="1566"/>
    </row>
    <row r="4883" spans="1:14">
      <c r="A4883" s="1542" t="s">
        <v>2218</v>
      </c>
      <c r="B4883" s="1542"/>
      <c r="C4883" s="1542"/>
      <c r="D4883" s="1542"/>
      <c r="E4883" s="1542"/>
      <c r="F4883" s="1542"/>
      <c r="G4883" s="1542"/>
      <c r="H4883" s="271">
        <f>SUM(H4877:H4882)</f>
        <v>11</v>
      </c>
      <c r="I4883" s="1567"/>
      <c r="J4883" s="1543"/>
      <c r="K4883" s="1543"/>
      <c r="L4883" s="1543"/>
      <c r="M4883" s="1543"/>
      <c r="N4883" s="1566"/>
    </row>
    <row r="4884" spans="1:14">
      <c r="A4884" s="1519" t="s">
        <v>2219</v>
      </c>
      <c r="B4884" s="1517"/>
      <c r="C4884" s="1517"/>
      <c r="D4884" s="1551"/>
      <c r="E4884" s="1551"/>
      <c r="F4884" s="1551"/>
      <c r="G4884" s="1552"/>
      <c r="H4884" s="272">
        <f>SUM(H4877:H4879)</f>
        <v>7</v>
      </c>
      <c r="I4884" s="1543"/>
      <c r="J4884" s="1543"/>
      <c r="K4884" s="1543"/>
      <c r="L4884" s="1543"/>
      <c r="M4884" s="1543"/>
      <c r="N4884" s="1566"/>
    </row>
    <row r="4885" spans="1:14" ht="15.75" thickBot="1">
      <c r="A4885" s="1520" t="s">
        <v>2220</v>
      </c>
      <c r="B4885" s="1521"/>
      <c r="C4885" s="1521"/>
      <c r="D4885" s="1521"/>
      <c r="E4885" s="1521"/>
      <c r="F4885" s="1521"/>
      <c r="G4885" s="1522"/>
      <c r="H4885" s="216">
        <f>H4883-H4884</f>
        <v>4</v>
      </c>
      <c r="I4885" s="1568"/>
      <c r="J4885" s="1568"/>
      <c r="K4885" s="1568"/>
      <c r="L4885" s="1568"/>
      <c r="M4885" s="1568"/>
      <c r="N4885" s="1569"/>
    </row>
    <row r="4886" spans="1:14" ht="14.45" hidden="1" customHeight="1">
      <c r="A4886" s="278"/>
      <c r="B4886" s="278"/>
      <c r="C4886" s="278"/>
      <c r="D4886" s="281"/>
      <c r="E4886" s="1319"/>
      <c r="F4886" s="278"/>
      <c r="G4886" s="278"/>
      <c r="H4886" s="217"/>
      <c r="I4886" s="279"/>
      <c r="J4886" s="279"/>
      <c r="K4886" s="279"/>
      <c r="L4886" s="279"/>
      <c r="M4886" s="279"/>
      <c r="N4886" s="279"/>
    </row>
    <row r="4887" spans="1:14" hidden="1">
      <c r="A4887" s="1085" t="s">
        <v>2932</v>
      </c>
      <c r="B4887" s="1494" t="s">
        <v>2933</v>
      </c>
      <c r="C4887" s="1556"/>
      <c r="D4887" s="1556"/>
      <c r="E4887" s="1556"/>
      <c r="F4887" s="1556"/>
      <c r="G4887" s="1556"/>
      <c r="H4887" s="1556"/>
      <c r="I4887" s="1556"/>
      <c r="J4887" s="1557"/>
      <c r="K4887" s="196" t="s">
        <v>28</v>
      </c>
      <c r="L4887" s="1497">
        <f>'27ª MEDIÇÃO '!F306</f>
        <v>16</v>
      </c>
      <c r="M4887" s="1498"/>
      <c r="N4887" s="197">
        <f>L4887-H4896</f>
        <v>0</v>
      </c>
    </row>
    <row r="4888" spans="1:14" hidden="1">
      <c r="A4888" s="1554"/>
      <c r="B4888" s="1541"/>
      <c r="C4888" s="366"/>
      <c r="D4888" s="367" t="s">
        <v>2183</v>
      </c>
      <c r="E4888" s="1320" t="s">
        <v>2184</v>
      </c>
      <c r="F4888" s="367" t="s">
        <v>2185</v>
      </c>
      <c r="G4888" s="367" t="s">
        <v>2186</v>
      </c>
      <c r="H4888" s="1542" t="s">
        <v>476</v>
      </c>
      <c r="I4888" s="1543"/>
      <c r="J4888" s="1543"/>
      <c r="K4888" s="1543"/>
      <c r="L4888" s="1543"/>
      <c r="M4888" s="1543"/>
      <c r="N4888" s="1566"/>
    </row>
    <row r="4889" spans="1:14" hidden="1">
      <c r="A4889" s="1554"/>
      <c r="B4889" s="1541"/>
      <c r="C4889" s="368" t="s">
        <v>2627</v>
      </c>
      <c r="D4889" s="369" t="s">
        <v>2187</v>
      </c>
      <c r="E4889" s="529" t="s">
        <v>2596</v>
      </c>
      <c r="F4889" s="369" t="s">
        <v>2649</v>
      </c>
      <c r="G4889" s="370" t="s">
        <v>2709</v>
      </c>
      <c r="H4889" s="1542"/>
      <c r="I4889" s="1543"/>
      <c r="J4889" s="1543"/>
      <c r="K4889" s="1543"/>
      <c r="L4889" s="1543"/>
      <c r="M4889" s="1543"/>
      <c r="N4889" s="1566"/>
    </row>
    <row r="4890" spans="1:14" hidden="1">
      <c r="A4890" s="1544" t="s">
        <v>2662</v>
      </c>
      <c r="B4890" s="355" t="s">
        <v>2726</v>
      </c>
      <c r="C4890" s="287"/>
      <c r="D4890" s="202"/>
      <c r="E4890" s="346"/>
      <c r="F4890" s="346"/>
      <c r="G4890" s="346"/>
      <c r="H4890" s="403"/>
      <c r="I4890" s="1567"/>
      <c r="J4890" s="1543"/>
      <c r="K4890" s="1543"/>
      <c r="L4890" s="1543"/>
      <c r="M4890" s="1543"/>
      <c r="N4890" s="1566"/>
    </row>
    <row r="4891" spans="1:14" hidden="1">
      <c r="A4891" s="1544"/>
      <c r="B4891" s="355" t="s">
        <v>2727</v>
      </c>
      <c r="C4891" s="292">
        <v>10</v>
      </c>
      <c r="D4891" s="292"/>
      <c r="E4891" s="341">
        <v>7</v>
      </c>
      <c r="F4891" s="341"/>
      <c r="G4891" s="341"/>
      <c r="H4891" s="755">
        <v>7</v>
      </c>
      <c r="I4891" s="1567"/>
      <c r="J4891" s="1543"/>
      <c r="K4891" s="1543"/>
      <c r="L4891" s="1543"/>
      <c r="M4891" s="1543"/>
      <c r="N4891" s="1566"/>
    </row>
    <row r="4892" spans="1:14" hidden="1">
      <c r="A4892" s="1544"/>
      <c r="B4892" s="691" t="s">
        <v>2929</v>
      </c>
      <c r="C4892" s="292">
        <v>6</v>
      </c>
      <c r="D4892" s="348"/>
      <c r="E4892" s="348">
        <v>3</v>
      </c>
      <c r="F4892" s="348"/>
      <c r="G4892" s="348"/>
      <c r="H4892" s="755">
        <v>3</v>
      </c>
      <c r="I4892" s="1567"/>
      <c r="J4892" s="1543"/>
      <c r="K4892" s="1543"/>
      <c r="L4892" s="1543"/>
      <c r="M4892" s="1543"/>
      <c r="N4892" s="1566"/>
    </row>
    <row r="4893" spans="1:14" hidden="1">
      <c r="A4893" s="1544" t="s">
        <v>3620</v>
      </c>
      <c r="B4893" s="355" t="s">
        <v>2726</v>
      </c>
      <c r="C4893" s="287"/>
      <c r="D4893" s="202"/>
      <c r="E4893" s="346"/>
      <c r="F4893" s="346"/>
      <c r="G4893" s="346"/>
      <c r="H4893" s="403"/>
      <c r="I4893" s="1567"/>
      <c r="J4893" s="1543"/>
      <c r="K4893" s="1543"/>
      <c r="L4893" s="1543"/>
      <c r="M4893" s="1543"/>
      <c r="N4893" s="1566"/>
    </row>
    <row r="4894" spans="1:14" hidden="1">
      <c r="A4894" s="1544"/>
      <c r="B4894" s="355" t="s">
        <v>2727</v>
      </c>
      <c r="C4894" s="292">
        <v>10</v>
      </c>
      <c r="D4894" s="292"/>
      <c r="E4894" s="341">
        <v>3</v>
      </c>
      <c r="F4894" s="341"/>
      <c r="G4894" s="341"/>
      <c r="H4894" s="755">
        <v>3</v>
      </c>
      <c r="I4894" s="1567"/>
      <c r="J4894" s="1543"/>
      <c r="K4894" s="1543"/>
      <c r="L4894" s="1543"/>
      <c r="M4894" s="1543"/>
      <c r="N4894" s="1566"/>
    </row>
    <row r="4895" spans="1:14" hidden="1">
      <c r="A4895" s="1544"/>
      <c r="B4895" s="691" t="s">
        <v>2929</v>
      </c>
      <c r="C4895" s="292">
        <v>6</v>
      </c>
      <c r="D4895" s="348"/>
      <c r="E4895" s="348">
        <v>3</v>
      </c>
      <c r="F4895" s="348"/>
      <c r="G4895" s="348"/>
      <c r="H4895" s="755">
        <v>3</v>
      </c>
      <c r="I4895" s="1567"/>
      <c r="J4895" s="1543"/>
      <c r="K4895" s="1543"/>
      <c r="L4895" s="1543"/>
      <c r="M4895" s="1543"/>
      <c r="N4895" s="1566"/>
    </row>
    <row r="4896" spans="1:14" ht="14.45" hidden="1" customHeight="1">
      <c r="A4896" s="1542" t="s">
        <v>2218</v>
      </c>
      <c r="B4896" s="1542"/>
      <c r="C4896" s="1542"/>
      <c r="D4896" s="1542"/>
      <c r="E4896" s="1542"/>
      <c r="F4896" s="1542"/>
      <c r="G4896" s="1542"/>
      <c r="H4896" s="271">
        <f>SUM(H4890:H4895)</f>
        <v>16</v>
      </c>
      <c r="I4896" s="1567"/>
      <c r="J4896" s="1543"/>
      <c r="K4896" s="1543"/>
      <c r="L4896" s="1543"/>
      <c r="M4896" s="1543"/>
      <c r="N4896" s="1566"/>
    </row>
    <row r="4897" spans="1:14" hidden="1">
      <c r="A4897" s="1519" t="s">
        <v>2219</v>
      </c>
      <c r="B4897" s="1517"/>
      <c r="C4897" s="1517"/>
      <c r="D4897" s="1551"/>
      <c r="E4897" s="1551"/>
      <c r="F4897" s="1551"/>
      <c r="G4897" s="1552"/>
      <c r="H4897" s="272">
        <f>SUM(H4890:H4892)</f>
        <v>10</v>
      </c>
      <c r="I4897" s="1543"/>
      <c r="J4897" s="1543"/>
      <c r="K4897" s="1543"/>
      <c r="L4897" s="1543"/>
      <c r="M4897" s="1543"/>
      <c r="N4897" s="1566"/>
    </row>
    <row r="4898" spans="1:14" ht="15.75" hidden="1" thickBot="1">
      <c r="A4898" s="1520" t="s">
        <v>2220</v>
      </c>
      <c r="B4898" s="1521"/>
      <c r="C4898" s="1521"/>
      <c r="D4898" s="1521"/>
      <c r="E4898" s="1521"/>
      <c r="F4898" s="1521"/>
      <c r="G4898" s="1522"/>
      <c r="H4898" s="216">
        <f>H4896-H4897</f>
        <v>6</v>
      </c>
      <c r="I4898" s="1568"/>
      <c r="J4898" s="1568"/>
      <c r="K4898" s="1568"/>
      <c r="L4898" s="1568"/>
      <c r="M4898" s="1568"/>
      <c r="N4898" s="1569"/>
    </row>
    <row r="4899" spans="1:14" hidden="1">
      <c r="A4899" s="278"/>
      <c r="B4899" s="278"/>
      <c r="C4899" s="278"/>
      <c r="D4899" s="281"/>
      <c r="E4899" s="1319"/>
      <c r="F4899" s="278"/>
      <c r="G4899" s="278"/>
      <c r="H4899" s="217"/>
      <c r="I4899" s="279"/>
      <c r="J4899" s="279"/>
      <c r="K4899" s="279"/>
      <c r="L4899" s="279"/>
      <c r="M4899" s="279"/>
      <c r="N4899" s="279"/>
    </row>
    <row r="4900" spans="1:14" hidden="1">
      <c r="A4900" s="1085" t="s">
        <v>2751</v>
      </c>
      <c r="B4900" s="1555" t="s">
        <v>1228</v>
      </c>
      <c r="C4900" s="1556"/>
      <c r="D4900" s="1556"/>
      <c r="E4900" s="1556"/>
      <c r="F4900" s="1556"/>
      <c r="G4900" s="1556"/>
      <c r="H4900" s="1556"/>
      <c r="I4900" s="1556"/>
      <c r="J4900" s="1557"/>
      <c r="K4900" s="196" t="s">
        <v>44</v>
      </c>
      <c r="L4900" s="1497">
        <v>1</v>
      </c>
      <c r="M4900" s="1498"/>
      <c r="N4900" s="197">
        <f>L4900-H4906</f>
        <v>0</v>
      </c>
    </row>
    <row r="4901" spans="1:14" hidden="1">
      <c r="A4901" s="1554"/>
      <c r="B4901" s="1541"/>
      <c r="C4901" s="366"/>
      <c r="D4901" s="367" t="s">
        <v>2183</v>
      </c>
      <c r="E4901" s="1320" t="s">
        <v>2184</v>
      </c>
      <c r="F4901" s="367" t="s">
        <v>2185</v>
      </c>
      <c r="G4901" s="367" t="s">
        <v>2186</v>
      </c>
      <c r="H4901" s="1542" t="s">
        <v>476</v>
      </c>
      <c r="I4901" s="1543"/>
      <c r="J4901" s="1543"/>
      <c r="K4901" s="1543"/>
      <c r="L4901" s="1543"/>
      <c r="M4901" s="1543"/>
      <c r="N4901" s="1566"/>
    </row>
    <row r="4902" spans="1:14" hidden="1">
      <c r="A4902" s="1554"/>
      <c r="B4902" s="1541"/>
      <c r="C4902" s="368" t="s">
        <v>2627</v>
      </c>
      <c r="D4902" s="369" t="s">
        <v>2187</v>
      </c>
      <c r="E4902" s="529" t="s">
        <v>2596</v>
      </c>
      <c r="F4902" s="369" t="s">
        <v>2649</v>
      </c>
      <c r="G4902" s="370" t="s">
        <v>2709</v>
      </c>
      <c r="H4902" s="1542"/>
      <c r="I4902" s="1543"/>
      <c r="J4902" s="1543"/>
      <c r="K4902" s="1543"/>
      <c r="L4902" s="1543"/>
      <c r="M4902" s="1543"/>
      <c r="N4902" s="1566"/>
    </row>
    <row r="4903" spans="1:14" hidden="1">
      <c r="A4903" s="1514" t="s">
        <v>2749</v>
      </c>
      <c r="B4903" s="410"/>
      <c r="C4903" s="287"/>
      <c r="D4903" s="202"/>
      <c r="E4903" s="346"/>
      <c r="F4903" s="346"/>
      <c r="G4903" s="346"/>
      <c r="H4903" s="403"/>
      <c r="I4903" s="1567"/>
      <c r="J4903" s="1543"/>
      <c r="K4903" s="1543"/>
      <c r="L4903" s="1543"/>
      <c r="M4903" s="1543"/>
      <c r="N4903" s="1566"/>
    </row>
    <row r="4904" spans="1:14" hidden="1">
      <c r="A4904" s="1523"/>
      <c r="B4904" s="406" t="s">
        <v>2727</v>
      </c>
      <c r="C4904" s="292">
        <v>1</v>
      </c>
      <c r="D4904" s="341"/>
      <c r="E4904" s="341"/>
      <c r="F4904" s="341"/>
      <c r="G4904" s="341"/>
      <c r="H4904" s="347">
        <f>C4904</f>
        <v>1</v>
      </c>
      <c r="I4904" s="1567"/>
      <c r="J4904" s="1543"/>
      <c r="K4904" s="1543"/>
      <c r="L4904" s="1543"/>
      <c r="M4904" s="1543"/>
      <c r="N4904" s="1566"/>
    </row>
    <row r="4905" spans="1:14" hidden="1">
      <c r="A4905" s="1515"/>
      <c r="B4905" s="413"/>
      <c r="C4905" s="748"/>
      <c r="D4905" s="348"/>
      <c r="E4905" s="348"/>
      <c r="F4905" s="348"/>
      <c r="G4905" s="348"/>
      <c r="H4905" s="349"/>
      <c r="I4905" s="1567"/>
      <c r="J4905" s="1543"/>
      <c r="K4905" s="1543"/>
      <c r="L4905" s="1543"/>
      <c r="M4905" s="1543"/>
      <c r="N4905" s="1566"/>
    </row>
    <row r="4906" spans="1:14" hidden="1">
      <c r="A4906" s="1542" t="s">
        <v>2218</v>
      </c>
      <c r="B4906" s="1542"/>
      <c r="C4906" s="1542"/>
      <c r="D4906" s="1542"/>
      <c r="E4906" s="1542"/>
      <c r="F4906" s="1542"/>
      <c r="G4906" s="1542"/>
      <c r="H4906" s="271">
        <f>SUM(H4903:H4905)</f>
        <v>1</v>
      </c>
      <c r="I4906" s="1567"/>
      <c r="J4906" s="1543"/>
      <c r="K4906" s="1543"/>
      <c r="L4906" s="1543"/>
      <c r="M4906" s="1543"/>
      <c r="N4906" s="1566"/>
    </row>
    <row r="4907" spans="1:14" hidden="1">
      <c r="A4907" s="1519" t="s">
        <v>2219</v>
      </c>
      <c r="B4907" s="1517"/>
      <c r="C4907" s="1517"/>
      <c r="D4907" s="1551"/>
      <c r="E4907" s="1551"/>
      <c r="F4907" s="1551"/>
      <c r="G4907" s="1552"/>
      <c r="H4907" s="272">
        <v>0</v>
      </c>
      <c r="I4907" s="1543"/>
      <c r="J4907" s="1543"/>
      <c r="K4907" s="1543"/>
      <c r="L4907" s="1543"/>
      <c r="M4907" s="1543"/>
      <c r="N4907" s="1566"/>
    </row>
    <row r="4908" spans="1:14" ht="14.45" customHeight="1" thickBot="1">
      <c r="A4908" s="1520" t="s">
        <v>2220</v>
      </c>
      <c r="B4908" s="1521"/>
      <c r="C4908" s="1521"/>
      <c r="D4908" s="1521"/>
      <c r="E4908" s="1521"/>
      <c r="F4908" s="1521"/>
      <c r="G4908" s="1522"/>
      <c r="H4908" s="216">
        <f>H4906-H4907</f>
        <v>1</v>
      </c>
      <c r="I4908" s="1568"/>
      <c r="J4908" s="1568"/>
      <c r="K4908" s="1568"/>
      <c r="L4908" s="1568"/>
      <c r="M4908" s="1568"/>
      <c r="N4908" s="1569"/>
    </row>
    <row r="4909" spans="1:14" ht="15.75" thickBot="1"/>
    <row r="4910" spans="1:14">
      <c r="A4910" s="1085" t="s">
        <v>2750</v>
      </c>
      <c r="B4910" s="1494" t="s">
        <v>1231</v>
      </c>
      <c r="C4910" s="1495"/>
      <c r="D4910" s="1495"/>
      <c r="E4910" s="1495"/>
      <c r="F4910" s="1495"/>
      <c r="G4910" s="1495"/>
      <c r="H4910" s="1495"/>
      <c r="I4910" s="1495"/>
      <c r="J4910" s="1496"/>
      <c r="K4910" s="196" t="s">
        <v>28</v>
      </c>
      <c r="L4910" s="1497">
        <v>3</v>
      </c>
      <c r="M4910" s="1498"/>
      <c r="N4910" s="197">
        <f>L4910-H4918</f>
        <v>0</v>
      </c>
    </row>
    <row r="4911" spans="1:14">
      <c r="A4911" s="1554"/>
      <c r="B4911" s="1541"/>
      <c r="C4911" s="366"/>
      <c r="D4911" s="367" t="s">
        <v>2183</v>
      </c>
      <c r="E4911" s="1320" t="s">
        <v>2184</v>
      </c>
      <c r="F4911" s="367" t="s">
        <v>2185</v>
      </c>
      <c r="G4911" s="367" t="s">
        <v>2186</v>
      </c>
      <c r="H4911" s="1542" t="s">
        <v>476</v>
      </c>
      <c r="I4911" s="1543"/>
      <c r="J4911" s="1543"/>
      <c r="K4911" s="1543"/>
      <c r="L4911" s="1543"/>
      <c r="M4911" s="1543"/>
      <c r="N4911" s="1566"/>
    </row>
    <row r="4912" spans="1:14">
      <c r="A4912" s="1554"/>
      <c r="B4912" s="1541"/>
      <c r="C4912" s="368" t="s">
        <v>2627</v>
      </c>
      <c r="D4912" s="369" t="s">
        <v>2187</v>
      </c>
      <c r="E4912" s="529" t="s">
        <v>2596</v>
      </c>
      <c r="F4912" s="369" t="s">
        <v>2649</v>
      </c>
      <c r="G4912" s="370" t="s">
        <v>2709</v>
      </c>
      <c r="H4912" s="1542"/>
      <c r="I4912" s="1543"/>
      <c r="J4912" s="1543"/>
      <c r="K4912" s="1543"/>
      <c r="L4912" s="1543"/>
      <c r="M4912" s="1543"/>
      <c r="N4912" s="1566"/>
    </row>
    <row r="4913" spans="1:14">
      <c r="A4913" s="1544" t="s">
        <v>2749</v>
      </c>
      <c r="B4913" s="410"/>
      <c r="C4913" s="287"/>
      <c r="D4913" s="202"/>
      <c r="E4913" s="346"/>
      <c r="F4913" s="346"/>
      <c r="G4913" s="346"/>
      <c r="H4913" s="403"/>
      <c r="I4913" s="1567"/>
      <c r="J4913" s="1543"/>
      <c r="K4913" s="1543"/>
      <c r="L4913" s="1543"/>
      <c r="M4913" s="1543"/>
      <c r="N4913" s="1566"/>
    </row>
    <row r="4914" spans="1:14">
      <c r="A4914" s="1544"/>
      <c r="B4914" s="406" t="s">
        <v>2726</v>
      </c>
      <c r="C4914" s="291"/>
      <c r="D4914" s="292"/>
      <c r="E4914" s="341"/>
      <c r="F4914" s="341"/>
      <c r="G4914" s="341"/>
      <c r="H4914" s="423"/>
      <c r="I4914" s="1567"/>
      <c r="J4914" s="1543"/>
      <c r="K4914" s="1543"/>
      <c r="L4914" s="1543"/>
      <c r="M4914" s="1543"/>
      <c r="N4914" s="1566"/>
    </row>
    <row r="4915" spans="1:14">
      <c r="A4915" s="1544"/>
      <c r="B4915" s="406" t="s">
        <v>2727</v>
      </c>
      <c r="C4915" s="292">
        <v>3</v>
      </c>
      <c r="D4915" s="341"/>
      <c r="E4915" s="341"/>
      <c r="F4915" s="341"/>
      <c r="G4915" s="341"/>
      <c r="H4915" s="347">
        <f>C4915</f>
        <v>3</v>
      </c>
      <c r="I4915" s="1567"/>
      <c r="J4915" s="1543"/>
      <c r="K4915" s="1543"/>
      <c r="L4915" s="1543"/>
      <c r="M4915" s="1543"/>
      <c r="N4915" s="1566"/>
    </row>
    <row r="4916" spans="1:14">
      <c r="A4916" s="1544"/>
      <c r="B4916" s="406"/>
      <c r="C4916" s="292"/>
      <c r="D4916" s="341"/>
      <c r="E4916" s="341"/>
      <c r="F4916" s="341"/>
      <c r="G4916" s="341"/>
      <c r="H4916" s="347"/>
      <c r="I4916" s="1567"/>
      <c r="J4916" s="1543"/>
      <c r="K4916" s="1543"/>
      <c r="L4916" s="1543"/>
      <c r="M4916" s="1543"/>
      <c r="N4916" s="1566"/>
    </row>
    <row r="4917" spans="1:14">
      <c r="A4917" s="1544"/>
      <c r="B4917" s="413"/>
      <c r="C4917" s="294"/>
      <c r="D4917" s="348"/>
      <c r="E4917" s="348"/>
      <c r="F4917" s="348"/>
      <c r="G4917" s="348"/>
      <c r="H4917" s="349"/>
      <c r="I4917" s="1567"/>
      <c r="J4917" s="1543"/>
      <c r="K4917" s="1543"/>
      <c r="L4917" s="1543"/>
      <c r="M4917" s="1543"/>
      <c r="N4917" s="1566"/>
    </row>
    <row r="4918" spans="1:14">
      <c r="A4918" s="1542" t="s">
        <v>2218</v>
      </c>
      <c r="B4918" s="1542"/>
      <c r="C4918" s="1542"/>
      <c r="D4918" s="1542"/>
      <c r="E4918" s="1542"/>
      <c r="F4918" s="1542"/>
      <c r="G4918" s="1542"/>
      <c r="H4918" s="271">
        <f>SUM(H4913:H4917)</f>
        <v>3</v>
      </c>
      <c r="I4918" s="1567"/>
      <c r="J4918" s="1543"/>
      <c r="K4918" s="1543"/>
      <c r="L4918" s="1543"/>
      <c r="M4918" s="1543"/>
      <c r="N4918" s="1566"/>
    </row>
    <row r="4919" spans="1:14">
      <c r="A4919" s="1519" t="s">
        <v>2219</v>
      </c>
      <c r="B4919" s="1517"/>
      <c r="C4919" s="1517"/>
      <c r="D4919" s="1551"/>
      <c r="E4919" s="1551"/>
      <c r="F4919" s="1551"/>
      <c r="G4919" s="1552"/>
      <c r="H4919" s="272"/>
      <c r="I4919" s="1543"/>
      <c r="J4919" s="1543"/>
      <c r="K4919" s="1543"/>
      <c r="L4919" s="1543"/>
      <c r="M4919" s="1543"/>
      <c r="N4919" s="1566"/>
    </row>
    <row r="4920" spans="1:14" ht="15.75" thickBot="1">
      <c r="A4920" s="1520" t="s">
        <v>2220</v>
      </c>
      <c r="B4920" s="1521"/>
      <c r="C4920" s="1521"/>
      <c r="D4920" s="1521"/>
      <c r="E4920" s="1521"/>
      <c r="F4920" s="1521"/>
      <c r="G4920" s="1522"/>
      <c r="H4920" s="216">
        <f>H4918-H4919</f>
        <v>3</v>
      </c>
      <c r="I4920" s="1568"/>
      <c r="J4920" s="1568"/>
      <c r="K4920" s="1568"/>
      <c r="L4920" s="1568"/>
      <c r="M4920" s="1568"/>
      <c r="N4920" s="1569"/>
    </row>
    <row r="4921" spans="1:14" ht="14.45" customHeight="1" thickBot="1">
      <c r="A4921" s="278"/>
      <c r="B4921" s="278"/>
      <c r="C4921" s="278"/>
      <c r="D4921" s="281"/>
      <c r="E4921" s="1319"/>
      <c r="F4921" s="278"/>
      <c r="G4921" s="278"/>
      <c r="H4921" s="217"/>
      <c r="I4921" s="279"/>
      <c r="J4921" s="279"/>
      <c r="K4921" s="279"/>
      <c r="L4921" s="279"/>
      <c r="M4921" s="279"/>
      <c r="N4921" s="279"/>
    </row>
    <row r="4922" spans="1:14" ht="15.75" thickBot="1">
      <c r="A4922" s="1106" t="s">
        <v>2934</v>
      </c>
      <c r="B4922" s="1655" t="s">
        <v>1234</v>
      </c>
      <c r="C4922" s="1656"/>
      <c r="D4922" s="1656"/>
      <c r="E4922" s="1656"/>
      <c r="F4922" s="1656"/>
      <c r="G4922" s="1656"/>
      <c r="H4922" s="1656"/>
      <c r="I4922" s="1656"/>
      <c r="J4922" s="1657"/>
      <c r="K4922" s="1024" t="s">
        <v>28</v>
      </c>
      <c r="L4922" s="1658">
        <f>'27ª MEDIÇÃO '!F309</f>
        <v>5</v>
      </c>
      <c r="M4922" s="1659"/>
      <c r="N4922" s="1025">
        <f>L4922-H4931</f>
        <v>0</v>
      </c>
    </row>
    <row r="4923" spans="1:14">
      <c r="A4923" s="1660"/>
      <c r="B4923" s="1661"/>
      <c r="C4923" s="1026"/>
      <c r="D4923" s="1027" t="s">
        <v>2183</v>
      </c>
      <c r="E4923" s="1362" t="s">
        <v>2184</v>
      </c>
      <c r="F4923" s="1027" t="s">
        <v>2185</v>
      </c>
      <c r="G4923" s="1027" t="s">
        <v>2186</v>
      </c>
      <c r="H4923" s="1662" t="s">
        <v>476</v>
      </c>
      <c r="I4923" s="1663"/>
      <c r="J4923" s="1663"/>
      <c r="K4923" s="1663"/>
      <c r="L4923" s="1663"/>
      <c r="M4923" s="1663"/>
      <c r="N4923" s="1664"/>
    </row>
    <row r="4924" spans="1:14">
      <c r="A4924" s="1554"/>
      <c r="B4924" s="1541"/>
      <c r="C4924" s="368" t="s">
        <v>2627</v>
      </c>
      <c r="D4924" s="369" t="s">
        <v>2187</v>
      </c>
      <c r="E4924" s="529" t="s">
        <v>2596</v>
      </c>
      <c r="F4924" s="369" t="s">
        <v>2649</v>
      </c>
      <c r="G4924" s="370" t="s">
        <v>2709</v>
      </c>
      <c r="H4924" s="1542"/>
      <c r="I4924" s="1543"/>
      <c r="J4924" s="1543"/>
      <c r="K4924" s="1543"/>
      <c r="L4924" s="1543"/>
      <c r="M4924" s="1543"/>
      <c r="N4924" s="1566"/>
    </row>
    <row r="4925" spans="1:14">
      <c r="A4925" s="1642" t="s">
        <v>3620</v>
      </c>
      <c r="B4925" s="406" t="s">
        <v>3657</v>
      </c>
      <c r="C4925" s="287"/>
      <c r="D4925" s="202"/>
      <c r="E4925" s="346"/>
      <c r="F4925" s="346"/>
      <c r="G4925" s="346"/>
      <c r="H4925" s="403"/>
      <c r="I4925" s="1567"/>
      <c r="J4925" s="1543"/>
      <c r="K4925" s="1543"/>
      <c r="L4925" s="1543"/>
      <c r="M4925" s="1543"/>
      <c r="N4925" s="1566"/>
    </row>
    <row r="4926" spans="1:14">
      <c r="A4926" s="1642"/>
      <c r="B4926" s="406" t="s">
        <v>3658</v>
      </c>
      <c r="C4926" s="297">
        <v>1</v>
      </c>
      <c r="D4926" s="201"/>
      <c r="E4926" s="350"/>
      <c r="F4926" s="350"/>
      <c r="G4926" s="350"/>
      <c r="H4926" s="371">
        <v>1</v>
      </c>
      <c r="I4926" s="1567"/>
      <c r="J4926" s="1543"/>
      <c r="K4926" s="1543"/>
      <c r="L4926" s="1543"/>
      <c r="M4926" s="1543"/>
      <c r="N4926" s="1566"/>
    </row>
    <row r="4927" spans="1:14">
      <c r="A4927" s="1642"/>
      <c r="B4927" s="406" t="s">
        <v>3659</v>
      </c>
      <c r="C4927" s="297">
        <v>1</v>
      </c>
      <c r="D4927" s="201"/>
      <c r="E4927" s="350"/>
      <c r="F4927" s="350"/>
      <c r="G4927" s="350"/>
      <c r="H4927" s="371">
        <v>1</v>
      </c>
      <c r="I4927" s="1567"/>
      <c r="J4927" s="1543"/>
      <c r="K4927" s="1543"/>
      <c r="L4927" s="1543"/>
      <c r="M4927" s="1543"/>
      <c r="N4927" s="1566"/>
    </row>
    <row r="4928" spans="1:14">
      <c r="A4928" s="1642"/>
      <c r="B4928" s="406" t="s">
        <v>3660</v>
      </c>
      <c r="C4928" s="297">
        <v>1</v>
      </c>
      <c r="D4928" s="201"/>
      <c r="E4928" s="350"/>
      <c r="F4928" s="350"/>
      <c r="G4928" s="350"/>
      <c r="H4928" s="371">
        <v>1</v>
      </c>
      <c r="I4928" s="1567"/>
      <c r="J4928" s="1543"/>
      <c r="K4928" s="1543"/>
      <c r="L4928" s="1543"/>
      <c r="M4928" s="1543"/>
      <c r="N4928" s="1566"/>
    </row>
    <row r="4929" spans="1:14">
      <c r="A4929" s="1642"/>
      <c r="B4929" s="406" t="s">
        <v>3661</v>
      </c>
      <c r="C4929" s="297">
        <v>1</v>
      </c>
      <c r="D4929" s="201"/>
      <c r="E4929" s="350"/>
      <c r="F4929" s="350"/>
      <c r="G4929" s="350"/>
      <c r="H4929" s="371">
        <v>1</v>
      </c>
      <c r="I4929" s="1567"/>
      <c r="J4929" s="1543"/>
      <c r="K4929" s="1543"/>
      <c r="L4929" s="1543"/>
      <c r="M4929" s="1543"/>
      <c r="N4929" s="1566"/>
    </row>
    <row r="4930" spans="1:14">
      <c r="A4930" s="1642"/>
      <c r="B4930" s="406" t="s">
        <v>3662</v>
      </c>
      <c r="C4930" s="297">
        <v>1</v>
      </c>
      <c r="D4930" s="292"/>
      <c r="E4930" s="341"/>
      <c r="F4930" s="341"/>
      <c r="G4930" s="341"/>
      <c r="H4930" s="371">
        <v>1</v>
      </c>
      <c r="I4930" s="1567"/>
      <c r="J4930" s="1543"/>
      <c r="K4930" s="1543"/>
      <c r="L4930" s="1543"/>
      <c r="M4930" s="1543"/>
      <c r="N4930" s="1566"/>
    </row>
    <row r="4931" spans="1:14" ht="26.45" customHeight="1">
      <c r="A4931" s="1577" t="s">
        <v>2218</v>
      </c>
      <c r="B4931" s="1542"/>
      <c r="C4931" s="1542"/>
      <c r="D4931" s="1542"/>
      <c r="E4931" s="1542"/>
      <c r="F4931" s="1542"/>
      <c r="G4931" s="1542"/>
      <c r="H4931" s="271">
        <f>SUM(H4925:H4930)</f>
        <v>5</v>
      </c>
      <c r="I4931" s="1567"/>
      <c r="J4931" s="1543"/>
      <c r="K4931" s="1543"/>
      <c r="L4931" s="1543"/>
      <c r="M4931" s="1543"/>
      <c r="N4931" s="1566"/>
    </row>
    <row r="4932" spans="1:14" ht="29.45" customHeight="1">
      <c r="A4932" s="1519" t="s">
        <v>2219</v>
      </c>
      <c r="B4932" s="1517"/>
      <c r="C4932" s="1517"/>
      <c r="D4932" s="1551"/>
      <c r="E4932" s="1551"/>
      <c r="F4932" s="1551"/>
      <c r="G4932" s="1552"/>
      <c r="H4932" s="272">
        <v>0</v>
      </c>
      <c r="I4932" s="1543"/>
      <c r="J4932" s="1543"/>
      <c r="K4932" s="1543"/>
      <c r="L4932" s="1543"/>
      <c r="M4932" s="1543"/>
      <c r="N4932" s="1566"/>
    </row>
    <row r="4933" spans="1:14" ht="15.75" thickBot="1">
      <c r="A4933" s="1520" t="s">
        <v>2220</v>
      </c>
      <c r="B4933" s="1521"/>
      <c r="C4933" s="1521"/>
      <c r="D4933" s="1521"/>
      <c r="E4933" s="1521"/>
      <c r="F4933" s="1521"/>
      <c r="G4933" s="1522"/>
      <c r="H4933" s="216">
        <f>H4931-H4932</f>
        <v>5</v>
      </c>
      <c r="I4933" s="1568"/>
      <c r="J4933" s="1568"/>
      <c r="K4933" s="1568"/>
      <c r="L4933" s="1568"/>
      <c r="M4933" s="1568"/>
      <c r="N4933" s="1569"/>
    </row>
    <row r="4934" spans="1:14" ht="15.75" thickBot="1">
      <c r="A4934" s="1104"/>
      <c r="B4934" s="278"/>
      <c r="C4934" s="278"/>
      <c r="D4934" s="278"/>
      <c r="E4934" s="1319"/>
      <c r="F4934" s="278"/>
      <c r="G4934" s="278"/>
      <c r="H4934" s="217"/>
      <c r="I4934" s="279"/>
      <c r="J4934" s="321"/>
      <c r="K4934" s="322"/>
      <c r="L4934" s="322"/>
      <c r="M4934" s="321"/>
      <c r="N4934" s="323"/>
    </row>
    <row r="4935" spans="1:14">
      <c r="A4935" s="1085" t="s">
        <v>2934</v>
      </c>
      <c r="B4935" s="1494" t="s">
        <v>1234</v>
      </c>
      <c r="C4935" s="1495"/>
      <c r="D4935" s="1495"/>
      <c r="E4935" s="1495"/>
      <c r="F4935" s="1495"/>
      <c r="G4935" s="1495"/>
      <c r="H4935" s="1495"/>
      <c r="I4935" s="1495"/>
      <c r="J4935" s="1496"/>
      <c r="K4935" s="196" t="s">
        <v>28</v>
      </c>
      <c r="L4935" s="1497">
        <f>'27ª MEDIÇÃO '!F310</f>
        <v>2</v>
      </c>
      <c r="M4935" s="1498"/>
      <c r="N4935" s="197">
        <f>L4935-H4941</f>
        <v>0</v>
      </c>
    </row>
    <row r="4936" spans="1:14">
      <c r="A4936" s="1554"/>
      <c r="B4936" s="1541"/>
      <c r="C4936" s="366"/>
      <c r="D4936" s="367" t="s">
        <v>2183</v>
      </c>
      <c r="E4936" s="1320" t="s">
        <v>2184</v>
      </c>
      <c r="F4936" s="367" t="s">
        <v>2185</v>
      </c>
      <c r="G4936" s="367" t="s">
        <v>2186</v>
      </c>
      <c r="H4936" s="1542" t="s">
        <v>476</v>
      </c>
      <c r="I4936" s="1543"/>
      <c r="J4936" s="1543"/>
      <c r="K4936" s="1543"/>
      <c r="L4936" s="1543"/>
      <c r="M4936" s="1543"/>
      <c r="N4936" s="1566"/>
    </row>
    <row r="4937" spans="1:14">
      <c r="A4937" s="1554"/>
      <c r="B4937" s="1541"/>
      <c r="C4937" s="368" t="s">
        <v>2627</v>
      </c>
      <c r="D4937" s="369" t="s">
        <v>2187</v>
      </c>
      <c r="E4937" s="529" t="s">
        <v>2596</v>
      </c>
      <c r="F4937" s="369" t="s">
        <v>2649</v>
      </c>
      <c r="G4937" s="370" t="s">
        <v>2709</v>
      </c>
      <c r="H4937" s="1542"/>
      <c r="I4937" s="1543"/>
      <c r="J4937" s="1543"/>
      <c r="K4937" s="1543"/>
      <c r="L4937" s="1543"/>
      <c r="M4937" s="1543"/>
      <c r="N4937" s="1566"/>
    </row>
    <row r="4938" spans="1:14">
      <c r="A4938" s="1642" t="s">
        <v>3620</v>
      </c>
      <c r="B4938" s="406" t="s">
        <v>3657</v>
      </c>
      <c r="C4938" s="287"/>
      <c r="D4938" s="202"/>
      <c r="E4938" s="346"/>
      <c r="F4938" s="346"/>
      <c r="G4938" s="346"/>
      <c r="H4938" s="403"/>
      <c r="I4938" s="1567"/>
      <c r="J4938" s="1543"/>
      <c r="K4938" s="1543"/>
      <c r="L4938" s="1543"/>
      <c r="M4938" s="1543"/>
      <c r="N4938" s="1566"/>
    </row>
    <row r="4939" spans="1:14">
      <c r="A4939" s="1642"/>
      <c r="B4939" s="406" t="s">
        <v>3663</v>
      </c>
      <c r="C4939" s="297">
        <v>1</v>
      </c>
      <c r="D4939" s="201"/>
      <c r="E4939" s="350"/>
      <c r="F4939" s="350"/>
      <c r="G4939" s="350"/>
      <c r="H4939" s="371">
        <v>1</v>
      </c>
      <c r="I4939" s="1567"/>
      <c r="J4939" s="1543"/>
      <c r="K4939" s="1543"/>
      <c r="L4939" s="1543"/>
      <c r="M4939" s="1543"/>
      <c r="N4939" s="1566"/>
    </row>
    <row r="4940" spans="1:14">
      <c r="A4940" s="1642"/>
      <c r="B4940" s="406" t="s">
        <v>3662</v>
      </c>
      <c r="C4940" s="297">
        <v>1</v>
      </c>
      <c r="D4940" s="292"/>
      <c r="E4940" s="341"/>
      <c r="F4940" s="341"/>
      <c r="G4940" s="341"/>
      <c r="H4940" s="371">
        <v>1</v>
      </c>
      <c r="I4940" s="1567"/>
      <c r="J4940" s="1543"/>
      <c r="K4940" s="1543"/>
      <c r="L4940" s="1543"/>
      <c r="M4940" s="1543"/>
      <c r="N4940" s="1566"/>
    </row>
    <row r="4941" spans="1:14" ht="27" customHeight="1">
      <c r="A4941" s="1577" t="s">
        <v>2218</v>
      </c>
      <c r="B4941" s="1542"/>
      <c r="C4941" s="1542"/>
      <c r="D4941" s="1542"/>
      <c r="E4941" s="1542"/>
      <c r="F4941" s="1542"/>
      <c r="G4941" s="1542"/>
      <c r="H4941" s="271">
        <f>SUM(H4938:H4940)</f>
        <v>2</v>
      </c>
      <c r="I4941" s="1567"/>
      <c r="J4941" s="1543"/>
      <c r="K4941" s="1543"/>
      <c r="L4941" s="1543"/>
      <c r="M4941" s="1543"/>
      <c r="N4941" s="1566"/>
    </row>
    <row r="4942" spans="1:14">
      <c r="A4942" s="1519" t="s">
        <v>2219</v>
      </c>
      <c r="B4942" s="1517"/>
      <c r="C4942" s="1517"/>
      <c r="D4942" s="1551"/>
      <c r="E4942" s="1551"/>
      <c r="F4942" s="1551"/>
      <c r="G4942" s="1552"/>
      <c r="H4942" s="272">
        <v>0</v>
      </c>
      <c r="I4942" s="1543"/>
      <c r="J4942" s="1543"/>
      <c r="K4942" s="1543"/>
      <c r="L4942" s="1543"/>
      <c r="M4942" s="1543"/>
      <c r="N4942" s="1566"/>
    </row>
    <row r="4943" spans="1:14" ht="15.75" thickBot="1">
      <c r="A4943" s="1520" t="s">
        <v>2220</v>
      </c>
      <c r="B4943" s="1521"/>
      <c r="C4943" s="1521"/>
      <c r="D4943" s="1521"/>
      <c r="E4943" s="1521"/>
      <c r="F4943" s="1521"/>
      <c r="G4943" s="1522"/>
      <c r="H4943" s="216">
        <f>H4941-H4942</f>
        <v>2</v>
      </c>
      <c r="I4943" s="1568"/>
      <c r="J4943" s="1568"/>
      <c r="K4943" s="1568"/>
      <c r="L4943" s="1568"/>
      <c r="M4943" s="1568"/>
      <c r="N4943" s="1569"/>
    </row>
    <row r="4944" spans="1:14">
      <c r="A4944" s="278"/>
      <c r="B4944" s="278"/>
      <c r="C4944" s="278"/>
      <c r="D4944" s="278"/>
      <c r="E4944" s="1319"/>
      <c r="F4944" s="278"/>
      <c r="G4944" s="894"/>
      <c r="H4944" s="895"/>
      <c r="I4944" s="896"/>
      <c r="J4944" s="896"/>
      <c r="K4944" s="896"/>
      <c r="L4944" s="896"/>
      <c r="M4944" s="896"/>
      <c r="N4944" s="322"/>
    </row>
    <row r="4945" spans="1:14">
      <c r="A4945" s="235" t="s">
        <v>1238</v>
      </c>
      <c r="B4945" s="1654" t="s">
        <v>1239</v>
      </c>
      <c r="C4945" s="1654"/>
      <c r="D4945" s="1654"/>
      <c r="E4945" s="1654"/>
      <c r="F4945" s="1654"/>
      <c r="G4945" s="1654"/>
      <c r="H4945" s="1654"/>
      <c r="I4945" s="1654"/>
      <c r="J4945" s="1654"/>
      <c r="K4945" s="1654"/>
      <c r="L4945" s="1654"/>
      <c r="M4945" s="1654"/>
      <c r="N4945" s="1654"/>
    </row>
    <row r="4946" spans="1:14">
      <c r="A4946" s="1114" t="str">
        <f>'27ª MEDIÇÃO '!A312</f>
        <v>'140901</v>
      </c>
      <c r="B4946" s="1550" t="s">
        <v>1242</v>
      </c>
      <c r="C4946" s="1550"/>
      <c r="D4946" s="1550"/>
      <c r="E4946" s="1550"/>
      <c r="F4946" s="1550"/>
      <c r="G4946" s="1550"/>
      <c r="H4946" s="1550"/>
      <c r="I4946" s="1550"/>
      <c r="J4946" s="1550"/>
      <c r="K4946" s="869" t="s">
        <v>2329</v>
      </c>
      <c r="L4946" s="1648">
        <f>'27ª MEDIÇÃO '!F312</f>
        <v>1</v>
      </c>
      <c r="M4946" s="1648"/>
      <c r="N4946" s="870">
        <f>L4946-H4951</f>
        <v>0</v>
      </c>
    </row>
    <row r="4947" spans="1:14" ht="14.45" customHeight="1">
      <c r="A4947" s="1544" t="s">
        <v>3158</v>
      </c>
      <c r="B4947" s="429"/>
      <c r="C4947" s="828"/>
      <c r="D4947" s="287"/>
      <c r="E4947" s="288"/>
      <c r="F4947" s="287"/>
      <c r="G4947" s="287"/>
      <c r="H4947" s="867" t="s">
        <v>476</v>
      </c>
      <c r="I4947" s="1543"/>
      <c r="J4947" s="1543"/>
      <c r="K4947" s="1543"/>
      <c r="L4947" s="1543"/>
      <c r="M4947" s="1543"/>
      <c r="N4947" s="1543"/>
    </row>
    <row r="4948" spans="1:14">
      <c r="A4948" s="1544"/>
      <c r="B4948" s="436"/>
      <c r="C4948" s="752"/>
      <c r="D4948" s="291"/>
      <c r="E4948" s="290"/>
      <c r="F4948" s="292"/>
      <c r="G4948" s="291"/>
      <c r="H4948" s="564">
        <v>1</v>
      </c>
      <c r="I4948" s="1543"/>
      <c r="J4948" s="1543"/>
      <c r="K4948" s="1543"/>
      <c r="L4948" s="1543"/>
      <c r="M4948" s="1543"/>
      <c r="N4948" s="1543"/>
    </row>
    <row r="4949" spans="1:14">
      <c r="A4949" s="1544"/>
      <c r="B4949" s="436"/>
      <c r="C4949" s="752"/>
      <c r="D4949" s="291"/>
      <c r="E4949" s="290"/>
      <c r="F4949" s="292"/>
      <c r="G4949" s="291"/>
      <c r="H4949" s="564"/>
      <c r="I4949" s="1543"/>
      <c r="J4949" s="1543"/>
      <c r="K4949" s="1543"/>
      <c r="L4949" s="1543"/>
      <c r="M4949" s="1543"/>
      <c r="N4949" s="1543"/>
    </row>
    <row r="4950" spans="1:14">
      <c r="A4950" s="1544"/>
      <c r="B4950" s="868"/>
      <c r="C4950" s="294"/>
      <c r="D4950" s="294"/>
      <c r="E4950" s="295"/>
      <c r="F4950" s="294"/>
      <c r="G4950" s="294"/>
      <c r="H4950" s="566"/>
      <c r="I4950" s="1543"/>
      <c r="J4950" s="1543"/>
      <c r="K4950" s="1543"/>
      <c r="L4950" s="1543"/>
      <c r="M4950" s="1543"/>
      <c r="N4950" s="1543"/>
    </row>
    <row r="4951" spans="1:14" ht="21" customHeight="1">
      <c r="A4951" s="1542" t="s">
        <v>2218</v>
      </c>
      <c r="B4951" s="1542"/>
      <c r="C4951" s="1542"/>
      <c r="D4951" s="1542"/>
      <c r="E4951" s="1542"/>
      <c r="F4951" s="1542"/>
      <c r="G4951" s="1542"/>
      <c r="H4951" s="271">
        <f>SUM(H4948:H4950)</f>
        <v>1</v>
      </c>
      <c r="I4951" s="1543"/>
      <c r="J4951" s="1543"/>
      <c r="K4951" s="1543"/>
      <c r="L4951" s="1543"/>
      <c r="M4951" s="1543"/>
      <c r="N4951" s="1543"/>
    </row>
    <row r="4952" spans="1:14">
      <c r="A4952" s="1538" t="s">
        <v>2219</v>
      </c>
      <c r="B4952" s="1538"/>
      <c r="C4952" s="1538"/>
      <c r="D4952" s="1538"/>
      <c r="E4952" s="1538"/>
      <c r="F4952" s="1538"/>
      <c r="G4952" s="1538"/>
      <c r="H4952" s="320">
        <v>0</v>
      </c>
      <c r="I4952" s="1543"/>
      <c r="J4952" s="1543"/>
      <c r="K4952" s="1543"/>
      <c r="L4952" s="1543"/>
      <c r="M4952" s="1543"/>
      <c r="N4952" s="1543"/>
    </row>
    <row r="4953" spans="1:14">
      <c r="A4953" s="1538" t="s">
        <v>2220</v>
      </c>
      <c r="B4953" s="1538"/>
      <c r="C4953" s="1538"/>
      <c r="D4953" s="1538"/>
      <c r="E4953" s="1538"/>
      <c r="F4953" s="1538"/>
      <c r="G4953" s="1538"/>
      <c r="H4953" s="269">
        <f>H4951</f>
        <v>1</v>
      </c>
      <c r="I4953" s="1543"/>
      <c r="J4953" s="1543"/>
      <c r="K4953" s="1543"/>
      <c r="L4953" s="1543"/>
      <c r="M4953" s="1543"/>
      <c r="N4953" s="1543"/>
    </row>
    <row r="4954" spans="1:14">
      <c r="A4954" s="278"/>
      <c r="B4954" s="278"/>
      <c r="C4954" s="278"/>
      <c r="D4954" s="281"/>
      <c r="E4954" s="1319"/>
      <c r="F4954" s="278"/>
      <c r="G4954" s="278"/>
      <c r="H4954" s="217"/>
      <c r="I4954" s="279"/>
      <c r="J4954" s="279"/>
      <c r="K4954" s="279"/>
      <c r="L4954" s="279"/>
      <c r="M4954" s="279"/>
      <c r="N4954" s="279"/>
    </row>
    <row r="4955" spans="1:14">
      <c r="A4955" s="1114" t="str">
        <f>'27ª MEDIÇÃO '!A313</f>
        <v>'140902</v>
      </c>
      <c r="B4955" s="1550" t="s">
        <v>1245</v>
      </c>
      <c r="C4955" s="1550"/>
      <c r="D4955" s="1550"/>
      <c r="E4955" s="1550"/>
      <c r="F4955" s="1550"/>
      <c r="G4955" s="1550"/>
      <c r="H4955" s="1550"/>
      <c r="I4955" s="1550"/>
      <c r="J4955" s="1550"/>
      <c r="K4955" s="869" t="s">
        <v>2329</v>
      </c>
      <c r="L4955" s="1648">
        <f>'27ª MEDIÇÃO '!F313</f>
        <v>2</v>
      </c>
      <c r="M4955" s="1648"/>
      <c r="N4955" s="870">
        <f>L4955-H4960</f>
        <v>0</v>
      </c>
    </row>
    <row r="4956" spans="1:14">
      <c r="A4956" s="1544" t="s">
        <v>3158</v>
      </c>
      <c r="B4956" s="429"/>
      <c r="C4956" s="828"/>
      <c r="D4956" s="287"/>
      <c r="E4956" s="288"/>
      <c r="F4956" s="287"/>
      <c r="G4956" s="287"/>
      <c r="H4956" s="867" t="s">
        <v>476</v>
      </c>
      <c r="I4956" s="1543"/>
      <c r="J4956" s="1543"/>
      <c r="K4956" s="1543"/>
      <c r="L4956" s="1543"/>
      <c r="M4956" s="1543"/>
      <c r="N4956" s="1543"/>
    </row>
    <row r="4957" spans="1:14">
      <c r="A4957" s="1544"/>
      <c r="B4957" s="436"/>
      <c r="C4957" s="752"/>
      <c r="D4957" s="291"/>
      <c r="E4957" s="290"/>
      <c r="F4957" s="292"/>
      <c r="G4957" s="291"/>
      <c r="H4957" s="564">
        <v>2</v>
      </c>
      <c r="I4957" s="1543"/>
      <c r="J4957" s="1543"/>
      <c r="K4957" s="1543"/>
      <c r="L4957" s="1543"/>
      <c r="M4957" s="1543"/>
      <c r="N4957" s="1543"/>
    </row>
    <row r="4958" spans="1:14">
      <c r="A4958" s="1544"/>
      <c r="B4958" s="436"/>
      <c r="C4958" s="752"/>
      <c r="D4958" s="291"/>
      <c r="E4958" s="290"/>
      <c r="F4958" s="292"/>
      <c r="G4958" s="291"/>
      <c r="H4958" s="564"/>
      <c r="I4958" s="1543"/>
      <c r="J4958" s="1543"/>
      <c r="K4958" s="1543"/>
      <c r="L4958" s="1543"/>
      <c r="M4958" s="1543"/>
      <c r="N4958" s="1543"/>
    </row>
    <row r="4959" spans="1:14">
      <c r="A4959" s="1544"/>
      <c r="B4959" s="868"/>
      <c r="C4959" s="294"/>
      <c r="D4959" s="294"/>
      <c r="E4959" s="295"/>
      <c r="F4959" s="294"/>
      <c r="G4959" s="294"/>
      <c r="H4959" s="566"/>
      <c r="I4959" s="1543"/>
      <c r="J4959" s="1543"/>
      <c r="K4959" s="1543"/>
      <c r="L4959" s="1543"/>
      <c r="M4959" s="1543"/>
      <c r="N4959" s="1543"/>
    </row>
    <row r="4960" spans="1:14">
      <c r="A4960" s="1542" t="s">
        <v>2218</v>
      </c>
      <c r="B4960" s="1542"/>
      <c r="C4960" s="1542"/>
      <c r="D4960" s="1542"/>
      <c r="E4960" s="1542"/>
      <c r="F4960" s="1542"/>
      <c r="G4960" s="1542"/>
      <c r="H4960" s="271">
        <f>SUM(H4957:H4959)</f>
        <v>2</v>
      </c>
      <c r="I4960" s="1543"/>
      <c r="J4960" s="1543"/>
      <c r="K4960" s="1543"/>
      <c r="L4960" s="1543"/>
      <c r="M4960" s="1543"/>
      <c r="N4960" s="1543"/>
    </row>
    <row r="4961" spans="1:14">
      <c r="A4961" s="1538" t="s">
        <v>2219</v>
      </c>
      <c r="B4961" s="1538"/>
      <c r="C4961" s="1538"/>
      <c r="D4961" s="1538"/>
      <c r="E4961" s="1538"/>
      <c r="F4961" s="1538"/>
      <c r="G4961" s="1538"/>
      <c r="H4961" s="320">
        <v>0</v>
      </c>
      <c r="I4961" s="1543"/>
      <c r="J4961" s="1543"/>
      <c r="K4961" s="1543"/>
      <c r="L4961" s="1543"/>
      <c r="M4961" s="1543"/>
      <c r="N4961" s="1543"/>
    </row>
    <row r="4962" spans="1:14">
      <c r="A4962" s="1538" t="s">
        <v>2220</v>
      </c>
      <c r="B4962" s="1538"/>
      <c r="C4962" s="1538"/>
      <c r="D4962" s="1538"/>
      <c r="E4962" s="1538"/>
      <c r="F4962" s="1538"/>
      <c r="G4962" s="1538"/>
      <c r="H4962" s="269">
        <f>H4960</f>
        <v>2</v>
      </c>
      <c r="I4962" s="1543"/>
      <c r="J4962" s="1543"/>
      <c r="K4962" s="1543"/>
      <c r="L4962" s="1543"/>
      <c r="M4962" s="1543"/>
      <c r="N4962" s="1543"/>
    </row>
    <row r="4963" spans="1:14" ht="15.75" thickBot="1">
      <c r="A4963" s="278"/>
      <c r="B4963" s="278"/>
      <c r="C4963" s="278"/>
      <c r="D4963" s="281"/>
      <c r="E4963" s="1319"/>
      <c r="F4963" s="278"/>
      <c r="G4963" s="278"/>
      <c r="H4963" s="217"/>
      <c r="I4963" s="279"/>
      <c r="J4963" s="279"/>
      <c r="K4963" s="279"/>
      <c r="L4963" s="279"/>
      <c r="M4963" s="279"/>
      <c r="N4963" s="279"/>
    </row>
    <row r="4964" spans="1:14" ht="15.75" thickBot="1">
      <c r="A4964" s="1084" t="s">
        <v>3291</v>
      </c>
      <c r="B4964" s="1652" t="s">
        <v>3292</v>
      </c>
      <c r="C4964" s="1653"/>
      <c r="D4964" s="1653"/>
      <c r="E4964" s="1653"/>
      <c r="F4964" s="1653"/>
      <c r="G4964" s="1653"/>
      <c r="H4964" s="1653"/>
      <c r="I4964" s="1653"/>
      <c r="J4964" s="1653"/>
      <c r="K4964" s="1653"/>
      <c r="L4964" s="1653"/>
      <c r="M4964" s="1653"/>
      <c r="N4964" s="1653"/>
    </row>
    <row r="4965" spans="1:14" ht="21" customHeight="1">
      <c r="A4965" s="1084" t="s">
        <v>3149</v>
      </c>
      <c r="B4965" s="1555" t="s">
        <v>195</v>
      </c>
      <c r="C4965" s="1556"/>
      <c r="D4965" s="1556"/>
      <c r="E4965" s="1556"/>
      <c r="F4965" s="1556"/>
      <c r="G4965" s="1556"/>
      <c r="H4965" s="1556"/>
      <c r="I4965" s="1556"/>
      <c r="J4965" s="1557"/>
      <c r="K4965" s="196" t="s">
        <v>44</v>
      </c>
      <c r="L4965" s="1497">
        <f>'27ª MEDIÇÃO '!F315</f>
        <v>110.75</v>
      </c>
      <c r="M4965" s="1498"/>
      <c r="N4965" s="197">
        <f>L4965-H4975</f>
        <v>0</v>
      </c>
    </row>
    <row r="4966" spans="1:14">
      <c r="A4966" s="1499"/>
      <c r="B4966" s="1500"/>
      <c r="C4966" s="366"/>
      <c r="D4966" s="367" t="s">
        <v>2183</v>
      </c>
      <c r="E4966" s="1320" t="s">
        <v>2184</v>
      </c>
      <c r="F4966" s="367" t="s">
        <v>2185</v>
      </c>
      <c r="G4966" s="367" t="s">
        <v>2186</v>
      </c>
      <c r="H4966" s="1503" t="s">
        <v>476</v>
      </c>
      <c r="I4966" s="1505"/>
      <c r="J4966" s="1506"/>
      <c r="K4966" s="1506"/>
      <c r="L4966" s="1506"/>
      <c r="M4966" s="1506"/>
      <c r="N4966" s="1507"/>
    </row>
    <row r="4967" spans="1:14" ht="24">
      <c r="A4967" s="1501"/>
      <c r="B4967" s="1502"/>
      <c r="C4967" s="368" t="s">
        <v>2627</v>
      </c>
      <c r="D4967" s="369" t="s">
        <v>2187</v>
      </c>
      <c r="E4967" s="529" t="s">
        <v>3152</v>
      </c>
      <c r="F4967" s="369" t="s">
        <v>2649</v>
      </c>
      <c r="G4967" s="370" t="s">
        <v>2709</v>
      </c>
      <c r="H4967" s="1504"/>
      <c r="I4967" s="1508"/>
      <c r="J4967" s="1509"/>
      <c r="K4967" s="1509"/>
      <c r="L4967" s="1509"/>
      <c r="M4967" s="1509"/>
      <c r="N4967" s="1510"/>
    </row>
    <row r="4968" spans="1:14">
      <c r="A4968" s="1514" t="s">
        <v>2997</v>
      </c>
      <c r="B4968" s="429" t="s">
        <v>3150</v>
      </c>
      <c r="C4968" s="756">
        <v>53.550000000000004</v>
      </c>
      <c r="D4968" s="202"/>
      <c r="E4968" s="346">
        <v>0.5</v>
      </c>
      <c r="F4968" s="346"/>
      <c r="G4968" s="346"/>
      <c r="H4968" s="403">
        <f>C4968*E4968</f>
        <v>26.775000000000002</v>
      </c>
      <c r="I4968" s="1508"/>
      <c r="J4968" s="1509"/>
      <c r="K4968" s="1509"/>
      <c r="L4968" s="1509"/>
      <c r="M4968" s="1509"/>
      <c r="N4968" s="1510"/>
    </row>
    <row r="4969" spans="1:14">
      <c r="A4969" s="1515"/>
      <c r="B4969" s="753" t="s">
        <v>3151</v>
      </c>
      <c r="C4969" s="757">
        <v>53.550000000000004</v>
      </c>
      <c r="D4969" s="294"/>
      <c r="E4969" s="348">
        <v>0.5</v>
      </c>
      <c r="F4969" s="348"/>
      <c r="G4969" s="348"/>
      <c r="H4969" s="349">
        <f>C4969*E4969</f>
        <v>26.775000000000002</v>
      </c>
      <c r="I4969" s="1508"/>
      <c r="J4969" s="1509"/>
      <c r="K4969" s="1509"/>
      <c r="L4969" s="1509"/>
      <c r="M4969" s="1509"/>
      <c r="N4969" s="1510"/>
    </row>
    <row r="4970" spans="1:14">
      <c r="A4970" s="1514" t="s">
        <v>3428</v>
      </c>
      <c r="B4970" s="429" t="s">
        <v>3150</v>
      </c>
      <c r="C4970" s="756">
        <v>53.550000000000004</v>
      </c>
      <c r="D4970" s="202"/>
      <c r="E4970" s="346">
        <v>0.5</v>
      </c>
      <c r="F4970" s="346"/>
      <c r="G4970" s="346"/>
      <c r="H4970" s="403">
        <f>C4970*E4970</f>
        <v>26.775000000000002</v>
      </c>
      <c r="I4970" s="1508"/>
      <c r="J4970" s="1509"/>
      <c r="K4970" s="1509"/>
      <c r="L4970" s="1509"/>
      <c r="M4970" s="1509"/>
      <c r="N4970" s="1510"/>
    </row>
    <row r="4971" spans="1:14">
      <c r="A4971" s="1515"/>
      <c r="B4971" s="753" t="s">
        <v>3151</v>
      </c>
      <c r="C4971" s="757">
        <v>53.550000000000004</v>
      </c>
      <c r="D4971" s="294"/>
      <c r="E4971" s="348">
        <v>0.5</v>
      </c>
      <c r="F4971" s="348"/>
      <c r="G4971" s="348"/>
      <c r="H4971" s="349">
        <f>C4971*E4971</f>
        <v>26.775000000000002</v>
      </c>
      <c r="I4971" s="1508"/>
      <c r="J4971" s="1509"/>
      <c r="K4971" s="1509"/>
      <c r="L4971" s="1509"/>
      <c r="M4971" s="1509"/>
      <c r="N4971" s="1510"/>
    </row>
    <row r="4972" spans="1:14">
      <c r="A4972" s="1139"/>
      <c r="B4972" s="777"/>
      <c r="C4972" s="1181"/>
      <c r="D4972" s="375"/>
      <c r="E4972" s="376"/>
      <c r="F4972" s="376"/>
      <c r="G4972" s="376"/>
      <c r="H4972" s="377"/>
      <c r="I4972" s="1508"/>
      <c r="J4972" s="1509"/>
      <c r="K4972" s="1509"/>
      <c r="L4972" s="1509"/>
      <c r="M4972" s="1509"/>
      <c r="N4972" s="1510"/>
    </row>
    <row r="4973" spans="1:14">
      <c r="A4973" s="1139" t="s">
        <v>3745</v>
      </c>
      <c r="B4973" s="1174" t="s">
        <v>3790</v>
      </c>
      <c r="C4973" s="1181">
        <v>3.65</v>
      </c>
      <c r="D4973" s="375"/>
      <c r="E4973" s="376">
        <v>1</v>
      </c>
      <c r="F4973" s="376"/>
      <c r="G4973" s="376"/>
      <c r="H4973" s="377">
        <f>C4973</f>
        <v>3.65</v>
      </c>
      <c r="I4973" s="1508"/>
      <c r="J4973" s="1509"/>
      <c r="K4973" s="1509"/>
      <c r="L4973" s="1509"/>
      <c r="M4973" s="1509"/>
      <c r="N4973" s="1510"/>
    </row>
    <row r="4974" spans="1:14">
      <c r="A4974" s="1139"/>
      <c r="B4974" s="777"/>
      <c r="C4974" s="1181"/>
      <c r="D4974" s="375"/>
      <c r="E4974" s="376"/>
      <c r="F4974" s="376"/>
      <c r="G4974" s="376"/>
      <c r="H4974" s="377"/>
      <c r="I4974" s="1508"/>
      <c r="J4974" s="1509"/>
      <c r="K4974" s="1509"/>
      <c r="L4974" s="1509"/>
      <c r="M4974" s="1509"/>
      <c r="N4974" s="1510"/>
    </row>
    <row r="4975" spans="1:14">
      <c r="A4975" s="1516" t="s">
        <v>2218</v>
      </c>
      <c r="B4975" s="1517"/>
      <c r="C4975" s="1517"/>
      <c r="D4975" s="1517"/>
      <c r="E4975" s="1517"/>
      <c r="F4975" s="1517"/>
      <c r="G4975" s="1518"/>
      <c r="H4975" s="271">
        <f>SUM(H4968:H4974)</f>
        <v>110.75000000000001</v>
      </c>
      <c r="I4975" s="1508"/>
      <c r="J4975" s="1509"/>
      <c r="K4975" s="1509"/>
      <c r="L4975" s="1509"/>
      <c r="M4975" s="1509"/>
      <c r="N4975" s="1510"/>
    </row>
    <row r="4976" spans="1:14">
      <c r="A4976" s="1589" t="s">
        <v>2219</v>
      </c>
      <c r="B4976" s="1590"/>
      <c r="C4976" s="1590"/>
      <c r="D4976" s="1590"/>
      <c r="E4976" s="1590"/>
      <c r="F4976" s="1590"/>
      <c r="G4976" s="1591"/>
      <c r="H4976" s="325">
        <f>SUM(H4968:H4971)</f>
        <v>107.10000000000001</v>
      </c>
      <c r="I4976" s="1508"/>
      <c r="J4976" s="1509"/>
      <c r="K4976" s="1509"/>
      <c r="L4976" s="1509"/>
      <c r="M4976" s="1509"/>
      <c r="N4976" s="1510"/>
    </row>
    <row r="4977" spans="1:14">
      <c r="A4977" s="1649" t="s">
        <v>2220</v>
      </c>
      <c r="B4977" s="1650"/>
      <c r="C4977" s="1650"/>
      <c r="D4977" s="1650"/>
      <c r="E4977" s="1650"/>
      <c r="F4977" s="1650"/>
      <c r="G4977" s="1651"/>
      <c r="H4977" s="220">
        <f>H4975-H4976</f>
        <v>3.6500000000000057</v>
      </c>
      <c r="I4977" s="1508"/>
      <c r="J4977" s="1509"/>
      <c r="K4977" s="1509"/>
      <c r="L4977" s="1509"/>
      <c r="M4977" s="1509"/>
      <c r="N4977" s="1510"/>
    </row>
    <row r="4978" spans="1:14" ht="15.75" thickBot="1">
      <c r="A4978" s="898"/>
      <c r="B4978" s="898"/>
      <c r="C4978" s="898"/>
      <c r="D4978" s="970"/>
      <c r="E4978" s="1363"/>
      <c r="F4978" s="898"/>
      <c r="G4978" s="899"/>
      <c r="H4978" s="220"/>
      <c r="I4978" s="322"/>
      <c r="J4978" s="279"/>
      <c r="K4978" s="279"/>
      <c r="L4978" s="279"/>
      <c r="M4978" s="279"/>
      <c r="N4978" s="279"/>
    </row>
    <row r="4979" spans="1:14">
      <c r="A4979" s="1084" t="s">
        <v>3435</v>
      </c>
      <c r="B4979" s="1555" t="s">
        <v>204</v>
      </c>
      <c r="C4979" s="1556"/>
      <c r="D4979" s="1556"/>
      <c r="E4979" s="1556"/>
      <c r="F4979" s="1556"/>
      <c r="G4979" s="1556"/>
      <c r="H4979" s="1556"/>
      <c r="I4979" s="1556"/>
      <c r="J4979" s="1557"/>
      <c r="K4979" s="196" t="s">
        <v>44</v>
      </c>
      <c r="L4979" s="1497">
        <f>'27ª MEDIÇÃO '!F316</f>
        <v>160.39999999999998</v>
      </c>
      <c r="M4979" s="1498"/>
      <c r="N4979" s="197">
        <f>L4979-H4992</f>
        <v>0</v>
      </c>
    </row>
    <row r="4980" spans="1:14">
      <c r="A4980" s="1499"/>
      <c r="B4980" s="1500"/>
      <c r="C4980" s="366"/>
      <c r="D4980" s="367" t="s">
        <v>2183</v>
      </c>
      <c r="E4980" s="1320" t="s">
        <v>2184</v>
      </c>
      <c r="F4980" s="367" t="s">
        <v>2185</v>
      </c>
      <c r="G4980" s="367" t="s">
        <v>2186</v>
      </c>
      <c r="H4980" s="1503" t="s">
        <v>476</v>
      </c>
      <c r="I4980" s="1505"/>
      <c r="J4980" s="1506"/>
      <c r="K4980" s="1506"/>
      <c r="L4980" s="1506"/>
      <c r="M4980" s="1506"/>
      <c r="N4980" s="1507"/>
    </row>
    <row r="4981" spans="1:14" ht="24">
      <c r="A4981" s="1501"/>
      <c r="B4981" s="1502"/>
      <c r="C4981" s="368" t="s">
        <v>2627</v>
      </c>
      <c r="D4981" s="369" t="s">
        <v>2187</v>
      </c>
      <c r="E4981" s="529" t="s">
        <v>3152</v>
      </c>
      <c r="F4981" s="369" t="s">
        <v>2649</v>
      </c>
      <c r="G4981" s="370" t="s">
        <v>2709</v>
      </c>
      <c r="H4981" s="1504"/>
      <c r="I4981" s="1508"/>
      <c r="J4981" s="1509"/>
      <c r="K4981" s="1509"/>
      <c r="L4981" s="1509"/>
      <c r="M4981" s="1509"/>
      <c r="N4981" s="1510"/>
    </row>
    <row r="4982" spans="1:14" ht="21" customHeight="1">
      <c r="A4982" s="1514" t="s">
        <v>2749</v>
      </c>
      <c r="B4982" s="429" t="s">
        <v>3150</v>
      </c>
      <c r="C4982" s="756">
        <v>64.489999999999995</v>
      </c>
      <c r="D4982" s="202"/>
      <c r="E4982" s="346"/>
      <c r="F4982" s="346"/>
      <c r="G4982" s="346"/>
      <c r="H4982" s="403">
        <f t="shared" ref="H4982:H4989" si="106">C4982*E4982</f>
        <v>0</v>
      </c>
      <c r="I4982" s="1508"/>
      <c r="J4982" s="1509"/>
      <c r="K4982" s="1509"/>
      <c r="L4982" s="1509"/>
      <c r="M4982" s="1509"/>
      <c r="N4982" s="1510"/>
    </row>
    <row r="4983" spans="1:14">
      <c r="A4983" s="1523"/>
      <c r="B4983" s="953" t="s">
        <v>3436</v>
      </c>
      <c r="C4983" s="956">
        <v>4.99</v>
      </c>
      <c r="D4983" s="919"/>
      <c r="E4983" s="693"/>
      <c r="F4983" s="693"/>
      <c r="G4983" s="693"/>
      <c r="H4983" s="403">
        <f t="shared" si="106"/>
        <v>0</v>
      </c>
      <c r="I4983" s="1508"/>
      <c r="J4983" s="1509"/>
      <c r="K4983" s="1509"/>
      <c r="L4983" s="1509"/>
      <c r="M4983" s="1509"/>
      <c r="N4983" s="1510"/>
    </row>
    <row r="4984" spans="1:14">
      <c r="A4984" s="1523"/>
      <c r="B4984" s="953" t="s">
        <v>3437</v>
      </c>
      <c r="C4984" s="956">
        <v>4.67</v>
      </c>
      <c r="D4984" s="919"/>
      <c r="E4984" s="693"/>
      <c r="F4984" s="693"/>
      <c r="G4984" s="693"/>
      <c r="H4984" s="403">
        <f t="shared" si="106"/>
        <v>0</v>
      </c>
      <c r="I4984" s="1508"/>
      <c r="J4984" s="1509"/>
      <c r="K4984" s="1509"/>
      <c r="L4984" s="1509"/>
      <c r="M4984" s="1509"/>
      <c r="N4984" s="1510"/>
    </row>
    <row r="4985" spans="1:14">
      <c r="A4985" s="1515"/>
      <c r="B4985" s="753" t="s">
        <v>3151</v>
      </c>
      <c r="C4985" s="757">
        <v>85.05</v>
      </c>
      <c r="D4985" s="294"/>
      <c r="E4985" s="348">
        <v>1</v>
      </c>
      <c r="F4985" s="348"/>
      <c r="G4985" s="348"/>
      <c r="H4985" s="349">
        <f t="shared" si="106"/>
        <v>85.05</v>
      </c>
      <c r="I4985" s="1508"/>
      <c r="J4985" s="1509"/>
      <c r="K4985" s="1509"/>
      <c r="L4985" s="1509"/>
      <c r="M4985" s="1509"/>
      <c r="N4985" s="1510"/>
    </row>
    <row r="4986" spans="1:14">
      <c r="A4986" s="1514" t="s">
        <v>3428</v>
      </c>
      <c r="B4986" s="429" t="s">
        <v>3150</v>
      </c>
      <c r="C4986" s="756">
        <v>64.489999999999995</v>
      </c>
      <c r="D4986" s="202"/>
      <c r="E4986" s="346">
        <v>1</v>
      </c>
      <c r="F4986" s="346"/>
      <c r="G4986" s="346"/>
      <c r="H4986" s="403">
        <f t="shared" si="106"/>
        <v>64.489999999999995</v>
      </c>
      <c r="I4986" s="1508"/>
      <c r="J4986" s="1509"/>
      <c r="K4986" s="1509"/>
      <c r="L4986" s="1509"/>
      <c r="M4986" s="1509"/>
      <c r="N4986" s="1510"/>
    </row>
    <row r="4987" spans="1:14">
      <c r="A4987" s="1523"/>
      <c r="B4987" s="953" t="s">
        <v>3436</v>
      </c>
      <c r="C4987" s="956">
        <v>4.99</v>
      </c>
      <c r="D4987" s="919"/>
      <c r="E4987" s="693">
        <v>1</v>
      </c>
      <c r="F4987" s="693"/>
      <c r="G4987" s="693"/>
      <c r="H4987" s="403">
        <f t="shared" si="106"/>
        <v>4.99</v>
      </c>
      <c r="I4987" s="1508"/>
      <c r="J4987" s="1509"/>
      <c r="K4987" s="1509"/>
      <c r="L4987" s="1509"/>
      <c r="M4987" s="1509"/>
      <c r="N4987" s="1510"/>
    </row>
    <row r="4988" spans="1:14">
      <c r="A4988" s="1523"/>
      <c r="B4988" s="953" t="s">
        <v>3437</v>
      </c>
      <c r="C4988" s="956">
        <v>4.67</v>
      </c>
      <c r="D4988" s="919"/>
      <c r="E4988" s="693">
        <v>1</v>
      </c>
      <c r="F4988" s="693"/>
      <c r="G4988" s="693"/>
      <c r="H4988" s="403">
        <f t="shared" si="106"/>
        <v>4.67</v>
      </c>
      <c r="I4988" s="1508"/>
      <c r="J4988" s="1509"/>
      <c r="K4988" s="1509"/>
      <c r="L4988" s="1509"/>
      <c r="M4988" s="1509"/>
      <c r="N4988" s="1510"/>
    </row>
    <row r="4989" spans="1:14">
      <c r="A4989" s="1638"/>
      <c r="B4989" s="753" t="s">
        <v>3151</v>
      </c>
      <c r="C4989" s="757">
        <v>85.05</v>
      </c>
      <c r="D4989" s="294"/>
      <c r="E4989" s="348">
        <v>0</v>
      </c>
      <c r="F4989" s="348"/>
      <c r="G4989" s="348"/>
      <c r="H4989" s="349">
        <f t="shared" si="106"/>
        <v>0</v>
      </c>
      <c r="I4989" s="1508"/>
      <c r="J4989" s="1509"/>
      <c r="K4989" s="1509"/>
      <c r="L4989" s="1509"/>
      <c r="M4989" s="1509"/>
      <c r="N4989" s="1510"/>
    </row>
    <row r="4990" spans="1:14">
      <c r="A4990" s="1139" t="s">
        <v>3745</v>
      </c>
      <c r="B4990" s="1174" t="s">
        <v>3790</v>
      </c>
      <c r="C4990" s="1181">
        <v>1.2</v>
      </c>
      <c r="D4990" s="375"/>
      <c r="E4990" s="376">
        <v>1</v>
      </c>
      <c r="F4990" s="376"/>
      <c r="G4990" s="376"/>
      <c r="H4990" s="377">
        <f>C4990</f>
        <v>1.2</v>
      </c>
      <c r="I4990" s="1508"/>
      <c r="J4990" s="1509"/>
      <c r="K4990" s="1509"/>
      <c r="L4990" s="1509"/>
      <c r="M4990" s="1509"/>
      <c r="N4990" s="1510"/>
    </row>
    <row r="4991" spans="1:14">
      <c r="A4991" s="1138"/>
      <c r="B4991" s="1182"/>
      <c r="C4991" s="1183"/>
      <c r="D4991" s="703"/>
      <c r="E4991" s="701"/>
      <c r="F4991" s="701"/>
      <c r="G4991" s="701"/>
      <c r="H4991" s="963"/>
      <c r="I4991" s="1508"/>
      <c r="J4991" s="1509"/>
      <c r="K4991" s="1509"/>
      <c r="L4991" s="1509"/>
      <c r="M4991" s="1509"/>
      <c r="N4991" s="1510"/>
    </row>
    <row r="4992" spans="1:14">
      <c r="A4992" s="1516" t="s">
        <v>2218</v>
      </c>
      <c r="B4992" s="1517"/>
      <c r="C4992" s="1517"/>
      <c r="D4992" s="1517"/>
      <c r="E4992" s="1517"/>
      <c r="F4992" s="1517"/>
      <c r="G4992" s="1518"/>
      <c r="H4992" s="271">
        <f>SUM(H4982:H4991)</f>
        <v>160.39999999999998</v>
      </c>
      <c r="I4992" s="1508"/>
      <c r="J4992" s="1509"/>
      <c r="K4992" s="1509"/>
      <c r="L4992" s="1509"/>
      <c r="M4992" s="1509"/>
      <c r="N4992" s="1510"/>
    </row>
    <row r="4993" spans="1:14">
      <c r="A4993" s="1519" t="s">
        <v>2219</v>
      </c>
      <c r="B4993" s="1517"/>
      <c r="C4993" s="1517"/>
      <c r="D4993" s="1517"/>
      <c r="E4993" s="1517"/>
      <c r="F4993" s="1517"/>
      <c r="G4993" s="1518"/>
      <c r="H4993" s="325">
        <f>SUM(H4982:H4989)</f>
        <v>159.19999999999999</v>
      </c>
      <c r="I4993" s="1508"/>
      <c r="J4993" s="1509"/>
      <c r="K4993" s="1509"/>
      <c r="L4993" s="1509"/>
      <c r="M4993" s="1509"/>
      <c r="N4993" s="1510"/>
    </row>
    <row r="4994" spans="1:14" ht="21" customHeight="1">
      <c r="A4994" s="1558" t="s">
        <v>2220</v>
      </c>
      <c r="B4994" s="1559"/>
      <c r="C4994" s="1559"/>
      <c r="D4994" s="1559"/>
      <c r="E4994" s="1559"/>
      <c r="F4994" s="1559"/>
      <c r="G4994" s="1560"/>
      <c r="H4994" s="220">
        <f>H4992-H4993</f>
        <v>1.1999999999999886</v>
      </c>
      <c r="I4994" s="1508"/>
      <c r="J4994" s="1509"/>
      <c r="K4994" s="1509"/>
      <c r="L4994" s="1509"/>
      <c r="M4994" s="1509"/>
      <c r="N4994" s="1510"/>
    </row>
    <row r="4995" spans="1:14" ht="15.75" thickBot="1">
      <c r="A4995" s="898"/>
      <c r="B4995" s="898"/>
      <c r="C4995" s="898"/>
      <c r="D4995" s="970"/>
      <c r="E4995" s="1363"/>
      <c r="F4995" s="898"/>
      <c r="G4995" s="899"/>
      <c r="H4995" s="220"/>
      <c r="I4995" s="322"/>
      <c r="J4995" s="279"/>
      <c r="K4995" s="279"/>
      <c r="L4995" s="279"/>
      <c r="M4995" s="279"/>
      <c r="N4995" s="279"/>
    </row>
    <row r="4996" spans="1:14">
      <c r="A4996" s="1084" t="s">
        <v>3438</v>
      </c>
      <c r="B4996" s="1555" t="s">
        <v>1252</v>
      </c>
      <c r="C4996" s="1556"/>
      <c r="D4996" s="1556"/>
      <c r="E4996" s="1556"/>
      <c r="F4996" s="1556"/>
      <c r="G4996" s="1556"/>
      <c r="H4996" s="1556"/>
      <c r="I4996" s="1556"/>
      <c r="J4996" s="1557"/>
      <c r="K4996" s="196" t="s">
        <v>44</v>
      </c>
      <c r="L4996" s="1497">
        <f>'27ª MEDIÇÃO '!F317</f>
        <v>110.64999999999999</v>
      </c>
      <c r="M4996" s="1498"/>
      <c r="N4996" s="197">
        <f>L4996-H5004</f>
        <v>0</v>
      </c>
    </row>
    <row r="4997" spans="1:14">
      <c r="A4997" s="1499"/>
      <c r="B4997" s="1500"/>
      <c r="C4997" s="366"/>
      <c r="D4997" s="367" t="s">
        <v>2183</v>
      </c>
      <c r="E4997" s="1320" t="s">
        <v>2184</v>
      </c>
      <c r="F4997" s="367" t="s">
        <v>2185</v>
      </c>
      <c r="G4997" s="367" t="s">
        <v>2186</v>
      </c>
      <c r="H4997" s="1503" t="s">
        <v>476</v>
      </c>
      <c r="I4997" s="1505"/>
      <c r="J4997" s="1506"/>
      <c r="K4997" s="1506"/>
      <c r="L4997" s="1506"/>
      <c r="M4997" s="1506"/>
      <c r="N4997" s="1507"/>
    </row>
    <row r="4998" spans="1:14" ht="24">
      <c r="A4998" s="1501"/>
      <c r="B4998" s="1502"/>
      <c r="C4998" s="368" t="s">
        <v>2627</v>
      </c>
      <c r="D4998" s="369" t="s">
        <v>2187</v>
      </c>
      <c r="E4998" s="529" t="s">
        <v>3152</v>
      </c>
      <c r="F4998" s="369" t="s">
        <v>2649</v>
      </c>
      <c r="G4998" s="370" t="s">
        <v>2709</v>
      </c>
      <c r="H4998" s="1504"/>
      <c r="I4998" s="1508"/>
      <c r="J4998" s="1509"/>
      <c r="K4998" s="1509"/>
      <c r="L4998" s="1509"/>
      <c r="M4998" s="1509"/>
      <c r="N4998" s="1510"/>
    </row>
    <row r="4999" spans="1:14">
      <c r="A4999" s="1514" t="s">
        <v>3428</v>
      </c>
      <c r="B4999" s="429" t="s">
        <v>3150</v>
      </c>
      <c r="C4999" s="756">
        <v>53.55</v>
      </c>
      <c r="D4999" s="202"/>
      <c r="E4999" s="346">
        <v>1</v>
      </c>
      <c r="F4999" s="346"/>
      <c r="G4999" s="346"/>
      <c r="H4999" s="403">
        <f>C4999*E4999</f>
        <v>53.55</v>
      </c>
      <c r="I4999" s="1508"/>
      <c r="J4999" s="1509"/>
      <c r="K4999" s="1509"/>
      <c r="L4999" s="1509"/>
      <c r="M4999" s="1509"/>
      <c r="N4999" s="1510"/>
    </row>
    <row r="5000" spans="1:14">
      <c r="A5000" s="1515"/>
      <c r="B5000" s="753" t="s">
        <v>3151</v>
      </c>
      <c r="C5000" s="757">
        <v>53.55</v>
      </c>
      <c r="D5000" s="294"/>
      <c r="E5000" s="348">
        <v>0.5</v>
      </c>
      <c r="F5000" s="348"/>
      <c r="G5000" s="348"/>
      <c r="H5000" s="349">
        <f>C5000*E5000</f>
        <v>26.774999999999999</v>
      </c>
      <c r="I5000" s="1508"/>
      <c r="J5000" s="1509"/>
      <c r="K5000" s="1509"/>
      <c r="L5000" s="1509"/>
      <c r="M5000" s="1509"/>
      <c r="N5000" s="1510"/>
    </row>
    <row r="5001" spans="1:14">
      <c r="A5001" s="1514" t="s">
        <v>3465</v>
      </c>
      <c r="B5001" s="429" t="s">
        <v>3150</v>
      </c>
      <c r="C5001" s="756">
        <v>53.55</v>
      </c>
      <c r="D5001" s="202"/>
      <c r="E5001" s="346">
        <v>0</v>
      </c>
      <c r="F5001" s="346"/>
      <c r="G5001" s="346"/>
      <c r="H5001" s="403">
        <f>C5001*E5001</f>
        <v>0</v>
      </c>
      <c r="I5001" s="1508"/>
      <c r="J5001" s="1509"/>
      <c r="K5001" s="1509"/>
      <c r="L5001" s="1509"/>
      <c r="M5001" s="1509"/>
      <c r="N5001" s="1510"/>
    </row>
    <row r="5002" spans="1:14">
      <c r="A5002" s="1523"/>
      <c r="B5002" s="436" t="s">
        <v>3151</v>
      </c>
      <c r="C5002" s="757">
        <v>53.55</v>
      </c>
      <c r="D5002" s="294"/>
      <c r="E5002" s="348">
        <v>0.5</v>
      </c>
      <c r="F5002" s="348"/>
      <c r="G5002" s="348"/>
      <c r="H5002" s="349">
        <f>C5002*E5002</f>
        <v>26.774999999999999</v>
      </c>
      <c r="I5002" s="1508"/>
      <c r="J5002" s="1509"/>
      <c r="K5002" s="1509"/>
      <c r="L5002" s="1509"/>
      <c r="M5002" s="1509"/>
      <c r="N5002" s="1510"/>
    </row>
    <row r="5003" spans="1:14">
      <c r="A5003" s="1139" t="s">
        <v>3745</v>
      </c>
      <c r="B5003" s="1174" t="s">
        <v>3790</v>
      </c>
      <c r="C5003" s="1181">
        <v>3.55</v>
      </c>
      <c r="D5003" s="375"/>
      <c r="E5003" s="376">
        <v>1</v>
      </c>
      <c r="F5003" s="376"/>
      <c r="G5003" s="376"/>
      <c r="H5003" s="377">
        <f>C5003</f>
        <v>3.55</v>
      </c>
      <c r="I5003" s="1508"/>
      <c r="J5003" s="1509"/>
      <c r="K5003" s="1509"/>
      <c r="L5003" s="1509"/>
      <c r="M5003" s="1509"/>
      <c r="N5003" s="1510"/>
    </row>
    <row r="5004" spans="1:14">
      <c r="A5004" s="1516" t="s">
        <v>2218</v>
      </c>
      <c r="B5004" s="1517"/>
      <c r="C5004" s="1517"/>
      <c r="D5004" s="1517"/>
      <c r="E5004" s="1517"/>
      <c r="F5004" s="1517"/>
      <c r="G5004" s="1518"/>
      <c r="H5004" s="271">
        <f>SUM(H4999:H5003)</f>
        <v>110.64999999999999</v>
      </c>
      <c r="I5004" s="1508"/>
      <c r="J5004" s="1509"/>
      <c r="K5004" s="1509"/>
      <c r="L5004" s="1509"/>
      <c r="M5004" s="1509"/>
      <c r="N5004" s="1510"/>
    </row>
    <row r="5005" spans="1:14">
      <c r="A5005" s="1519" t="s">
        <v>2219</v>
      </c>
      <c r="B5005" s="1517"/>
      <c r="C5005" s="1517"/>
      <c r="D5005" s="1517"/>
      <c r="E5005" s="1517"/>
      <c r="F5005" s="1517"/>
      <c r="G5005" s="1518"/>
      <c r="H5005" s="325">
        <f>SUM(H4998:H5002)</f>
        <v>107.1</v>
      </c>
      <c r="I5005" s="1508"/>
      <c r="J5005" s="1509"/>
      <c r="K5005" s="1509"/>
      <c r="L5005" s="1509"/>
      <c r="M5005" s="1509"/>
      <c r="N5005" s="1510"/>
    </row>
    <row r="5006" spans="1:14">
      <c r="A5006" s="1558" t="s">
        <v>2220</v>
      </c>
      <c r="B5006" s="1559"/>
      <c r="C5006" s="1559"/>
      <c r="D5006" s="1559"/>
      <c r="E5006" s="1559"/>
      <c r="F5006" s="1559"/>
      <c r="G5006" s="1560"/>
      <c r="H5006" s="220">
        <f>H5004-H5005</f>
        <v>3.5499999999999972</v>
      </c>
      <c r="I5006" s="1508"/>
      <c r="J5006" s="1509"/>
      <c r="K5006" s="1509"/>
      <c r="L5006" s="1509"/>
      <c r="M5006" s="1509"/>
      <c r="N5006" s="1510"/>
    </row>
    <row r="5007" spans="1:14" ht="15.75" thickBot="1">
      <c r="A5007" s="898"/>
      <c r="B5007" s="898"/>
      <c r="C5007" s="898"/>
      <c r="D5007" s="970"/>
      <c r="E5007" s="1363"/>
      <c r="F5007" s="898"/>
      <c r="G5007" s="899"/>
      <c r="H5007" s="220"/>
      <c r="I5007" s="322"/>
      <c r="J5007" s="279"/>
      <c r="K5007" s="279"/>
      <c r="L5007" s="279"/>
      <c r="M5007" s="279"/>
      <c r="N5007" s="279"/>
    </row>
    <row r="5008" spans="1:14">
      <c r="A5008" s="1084" t="s">
        <v>3439</v>
      </c>
      <c r="B5008" s="1555" t="s">
        <v>1255</v>
      </c>
      <c r="C5008" s="1556"/>
      <c r="D5008" s="1556"/>
      <c r="E5008" s="1556"/>
      <c r="F5008" s="1556"/>
      <c r="G5008" s="1556"/>
      <c r="H5008" s="1556"/>
      <c r="I5008" s="1556"/>
      <c r="J5008" s="1557"/>
      <c r="K5008" s="196" t="s">
        <v>44</v>
      </c>
      <c r="L5008" s="1497">
        <f>'27ª MEDIÇÃO '!F318</f>
        <v>108.2</v>
      </c>
      <c r="M5008" s="1498"/>
      <c r="N5008" s="197">
        <f>L5008-H5020</f>
        <v>0</v>
      </c>
    </row>
    <row r="5009" spans="1:14">
      <c r="A5009" s="1499"/>
      <c r="B5009" s="1500"/>
      <c r="C5009" s="366"/>
      <c r="D5009" s="367" t="s">
        <v>2183</v>
      </c>
      <c r="E5009" s="1320" t="s">
        <v>2184</v>
      </c>
      <c r="F5009" s="367" t="s">
        <v>2185</v>
      </c>
      <c r="G5009" s="367" t="s">
        <v>2186</v>
      </c>
      <c r="H5009" s="1503" t="s">
        <v>476</v>
      </c>
      <c r="I5009" s="1505"/>
      <c r="J5009" s="1506"/>
      <c r="K5009" s="1506"/>
      <c r="L5009" s="1506"/>
      <c r="M5009" s="1506"/>
      <c r="N5009" s="1507"/>
    </row>
    <row r="5010" spans="1:14" ht="24">
      <c r="A5010" s="1501"/>
      <c r="B5010" s="1502"/>
      <c r="C5010" s="368" t="s">
        <v>2627</v>
      </c>
      <c r="D5010" s="369" t="s">
        <v>2187</v>
      </c>
      <c r="E5010" s="529" t="s">
        <v>3152</v>
      </c>
      <c r="F5010" s="369" t="s">
        <v>2649</v>
      </c>
      <c r="G5010" s="370" t="s">
        <v>2709</v>
      </c>
      <c r="H5010" s="1504"/>
      <c r="I5010" s="1508"/>
      <c r="J5010" s="1509"/>
      <c r="K5010" s="1509"/>
      <c r="L5010" s="1509"/>
      <c r="M5010" s="1509"/>
      <c r="N5010" s="1510"/>
    </row>
    <row r="5011" spans="1:14" ht="21" customHeight="1">
      <c r="A5011" s="1514" t="s">
        <v>3428</v>
      </c>
      <c r="B5011" s="429" t="s">
        <v>3150</v>
      </c>
      <c r="C5011" s="756">
        <v>82.32</v>
      </c>
      <c r="D5011" s="202"/>
      <c r="E5011" s="346">
        <v>1</v>
      </c>
      <c r="F5011" s="346"/>
      <c r="G5011" s="346"/>
      <c r="H5011" s="403">
        <f t="shared" ref="H5011:H5018" si="107">C5011*E5011</f>
        <v>82.32</v>
      </c>
      <c r="I5011" s="1508"/>
      <c r="J5011" s="1509"/>
      <c r="K5011" s="1509"/>
      <c r="L5011" s="1509"/>
      <c r="M5011" s="1509"/>
      <c r="N5011" s="1510"/>
    </row>
    <row r="5012" spans="1:14">
      <c r="A5012" s="1523"/>
      <c r="B5012" s="953" t="s">
        <v>3436</v>
      </c>
      <c r="C5012" s="956">
        <v>3.41</v>
      </c>
      <c r="D5012" s="919"/>
      <c r="E5012" s="693">
        <v>1</v>
      </c>
      <c r="F5012" s="693"/>
      <c r="G5012" s="693"/>
      <c r="H5012" s="403">
        <f t="shared" si="107"/>
        <v>3.41</v>
      </c>
      <c r="I5012" s="1508"/>
      <c r="J5012" s="1509"/>
      <c r="K5012" s="1509"/>
      <c r="L5012" s="1509"/>
      <c r="M5012" s="1509"/>
      <c r="N5012" s="1510"/>
    </row>
    <row r="5013" spans="1:14">
      <c r="A5013" s="1523"/>
      <c r="B5013" s="953" t="s">
        <v>3437</v>
      </c>
      <c r="C5013" s="956">
        <v>3.41</v>
      </c>
      <c r="D5013" s="919"/>
      <c r="E5013" s="693">
        <v>1</v>
      </c>
      <c r="F5013" s="693"/>
      <c r="G5013" s="693"/>
      <c r="H5013" s="403">
        <f t="shared" si="107"/>
        <v>3.41</v>
      </c>
      <c r="I5013" s="1508"/>
      <c r="J5013" s="1509"/>
      <c r="K5013" s="1509"/>
      <c r="L5013" s="1509"/>
      <c r="M5013" s="1509"/>
      <c r="N5013" s="1510"/>
    </row>
    <row r="5014" spans="1:14">
      <c r="A5014" s="1515"/>
      <c r="B5014" s="753" t="s">
        <v>3151</v>
      </c>
      <c r="C5014" s="757">
        <v>17.850000000000001</v>
      </c>
      <c r="D5014" s="294"/>
      <c r="E5014" s="348">
        <v>0</v>
      </c>
      <c r="F5014" s="348"/>
      <c r="G5014" s="348"/>
      <c r="H5014" s="349">
        <f t="shared" si="107"/>
        <v>0</v>
      </c>
      <c r="I5014" s="1508"/>
      <c r="J5014" s="1509"/>
      <c r="K5014" s="1509"/>
      <c r="L5014" s="1509"/>
      <c r="M5014" s="1509"/>
      <c r="N5014" s="1510"/>
    </row>
    <row r="5015" spans="1:14">
      <c r="A5015" s="1514" t="s">
        <v>3465</v>
      </c>
      <c r="B5015" s="429" t="s">
        <v>3150</v>
      </c>
      <c r="C5015" s="756">
        <v>82.32</v>
      </c>
      <c r="D5015" s="202"/>
      <c r="E5015" s="346">
        <v>0</v>
      </c>
      <c r="F5015" s="346"/>
      <c r="G5015" s="346"/>
      <c r="H5015" s="403">
        <f t="shared" si="107"/>
        <v>0</v>
      </c>
      <c r="I5015" s="1508"/>
      <c r="J5015" s="1509"/>
      <c r="K5015" s="1509"/>
      <c r="L5015" s="1509"/>
      <c r="M5015" s="1509"/>
      <c r="N5015" s="1510"/>
    </row>
    <row r="5016" spans="1:14">
      <c r="A5016" s="1523"/>
      <c r="B5016" s="953" t="s">
        <v>3436</v>
      </c>
      <c r="C5016" s="956">
        <v>3.41</v>
      </c>
      <c r="D5016" s="919"/>
      <c r="E5016" s="693">
        <v>0</v>
      </c>
      <c r="F5016" s="693"/>
      <c r="G5016" s="693"/>
      <c r="H5016" s="403">
        <f t="shared" si="107"/>
        <v>0</v>
      </c>
      <c r="I5016" s="1508"/>
      <c r="J5016" s="1509"/>
      <c r="K5016" s="1509"/>
      <c r="L5016" s="1509"/>
      <c r="M5016" s="1509"/>
      <c r="N5016" s="1510"/>
    </row>
    <row r="5017" spans="1:14">
      <c r="A5017" s="1523"/>
      <c r="B5017" s="953" t="s">
        <v>3437</v>
      </c>
      <c r="C5017" s="956">
        <v>3.41</v>
      </c>
      <c r="D5017" s="919"/>
      <c r="E5017" s="693">
        <v>0</v>
      </c>
      <c r="F5017" s="693"/>
      <c r="G5017" s="693"/>
      <c r="H5017" s="403">
        <f t="shared" si="107"/>
        <v>0</v>
      </c>
      <c r="I5017" s="1508"/>
      <c r="J5017" s="1509"/>
      <c r="K5017" s="1509"/>
      <c r="L5017" s="1509"/>
      <c r="M5017" s="1509"/>
      <c r="N5017" s="1510"/>
    </row>
    <row r="5018" spans="1:14">
      <c r="A5018" s="1523"/>
      <c r="B5018" s="753" t="s">
        <v>3151</v>
      </c>
      <c r="C5018" s="757">
        <v>17.850000000000001</v>
      </c>
      <c r="D5018" s="294"/>
      <c r="E5018" s="348">
        <v>1</v>
      </c>
      <c r="F5018" s="348"/>
      <c r="G5018" s="348"/>
      <c r="H5018" s="349">
        <f t="shared" si="107"/>
        <v>17.850000000000001</v>
      </c>
      <c r="I5018" s="1508"/>
      <c r="J5018" s="1509"/>
      <c r="K5018" s="1509"/>
      <c r="L5018" s="1509"/>
      <c r="M5018" s="1509"/>
      <c r="N5018" s="1510"/>
    </row>
    <row r="5019" spans="1:14">
      <c r="A5019" s="1139" t="s">
        <v>3745</v>
      </c>
      <c r="B5019" s="1174" t="s">
        <v>3790</v>
      </c>
      <c r="C5019" s="1181">
        <v>1.21</v>
      </c>
      <c r="D5019" s="375"/>
      <c r="E5019" s="376">
        <v>1</v>
      </c>
      <c r="F5019" s="376"/>
      <c r="G5019" s="376"/>
      <c r="H5019" s="377">
        <f>C5019</f>
        <v>1.21</v>
      </c>
      <c r="I5019" s="1508"/>
      <c r="J5019" s="1509"/>
      <c r="K5019" s="1509"/>
      <c r="L5019" s="1509"/>
      <c r="M5019" s="1509"/>
      <c r="N5019" s="1510"/>
    </row>
    <row r="5020" spans="1:14">
      <c r="A5020" s="1516" t="s">
        <v>2218</v>
      </c>
      <c r="B5020" s="1517"/>
      <c r="C5020" s="1517"/>
      <c r="D5020" s="1517"/>
      <c r="E5020" s="1517"/>
      <c r="F5020" s="1517"/>
      <c r="G5020" s="1518"/>
      <c r="H5020" s="271">
        <f>SUM(H5011:H5019)</f>
        <v>108.19999999999997</v>
      </c>
      <c r="I5020" s="1508"/>
      <c r="J5020" s="1509"/>
      <c r="K5020" s="1509"/>
      <c r="L5020" s="1509"/>
      <c r="M5020" s="1509"/>
      <c r="N5020" s="1510"/>
    </row>
    <row r="5021" spans="1:14">
      <c r="A5021" s="1519" t="s">
        <v>2219</v>
      </c>
      <c r="B5021" s="1517"/>
      <c r="C5021" s="1517"/>
      <c r="D5021" s="1517"/>
      <c r="E5021" s="1517"/>
      <c r="F5021" s="1517"/>
      <c r="G5021" s="1518"/>
      <c r="H5021" s="325">
        <f>SUM(H5009:H5018)</f>
        <v>106.98999999999998</v>
      </c>
      <c r="I5021" s="1508"/>
      <c r="J5021" s="1509"/>
      <c r="K5021" s="1509"/>
      <c r="L5021" s="1509"/>
      <c r="M5021" s="1509"/>
      <c r="N5021" s="1510"/>
    </row>
    <row r="5022" spans="1:14">
      <c r="A5022" s="1558" t="s">
        <v>2220</v>
      </c>
      <c r="B5022" s="1559"/>
      <c r="C5022" s="1559"/>
      <c r="D5022" s="1559"/>
      <c r="E5022" s="1559"/>
      <c r="F5022" s="1559"/>
      <c r="G5022" s="1560"/>
      <c r="H5022" s="220">
        <f>H5020-H5021</f>
        <v>1.2099999999999937</v>
      </c>
      <c r="I5022" s="1508"/>
      <c r="J5022" s="1509"/>
      <c r="K5022" s="1509"/>
      <c r="L5022" s="1509"/>
      <c r="M5022" s="1509"/>
      <c r="N5022" s="1510"/>
    </row>
    <row r="5023" spans="1:14" ht="15.75" thickBot="1">
      <c r="A5023" s="898"/>
      <c r="B5023" s="898"/>
      <c r="C5023" s="898"/>
      <c r="D5023" s="970"/>
      <c r="E5023" s="1363"/>
      <c r="F5023" s="898"/>
      <c r="G5023" s="899"/>
      <c r="H5023" s="220"/>
      <c r="I5023" s="322"/>
      <c r="J5023" s="279"/>
      <c r="K5023" s="279"/>
      <c r="L5023" s="279"/>
      <c r="M5023" s="279"/>
      <c r="N5023" s="279"/>
    </row>
    <row r="5024" spans="1:14" ht="15.75" thickBot="1">
      <c r="A5024" s="1084" t="s">
        <v>3440</v>
      </c>
      <c r="B5024" s="1652" t="s">
        <v>1257</v>
      </c>
      <c r="C5024" s="1653"/>
      <c r="D5024" s="1653"/>
      <c r="E5024" s="1653"/>
      <c r="F5024" s="1653"/>
      <c r="G5024" s="1653"/>
      <c r="H5024" s="1653"/>
      <c r="I5024" s="1653"/>
      <c r="J5024" s="1653"/>
      <c r="K5024" s="1653"/>
      <c r="L5024" s="1653"/>
      <c r="M5024" s="1653"/>
      <c r="N5024" s="1653"/>
    </row>
    <row r="5025" spans="1:14">
      <c r="A5025" s="1084" t="s">
        <v>3441</v>
      </c>
      <c r="B5025" s="1555" t="s">
        <v>219</v>
      </c>
      <c r="C5025" s="1556"/>
      <c r="D5025" s="1556"/>
      <c r="E5025" s="1556"/>
      <c r="F5025" s="1556"/>
      <c r="G5025" s="1556"/>
      <c r="H5025" s="1556"/>
      <c r="I5025" s="1556"/>
      <c r="J5025" s="1557"/>
      <c r="K5025" s="196" t="s">
        <v>44</v>
      </c>
      <c r="L5025" s="1497">
        <f>'27ª MEDIÇÃO '!F320</f>
        <v>43.15</v>
      </c>
      <c r="M5025" s="1498"/>
      <c r="N5025" s="197">
        <f>L5025-H5036</f>
        <v>0</v>
      </c>
    </row>
    <row r="5026" spans="1:14" ht="21" customHeight="1">
      <c r="A5026" s="1499"/>
      <c r="B5026" s="1500"/>
      <c r="C5026" s="366"/>
      <c r="D5026" s="367" t="s">
        <v>2183</v>
      </c>
      <c r="E5026" s="1320" t="s">
        <v>2184</v>
      </c>
      <c r="F5026" s="367" t="s">
        <v>2185</v>
      </c>
      <c r="G5026" s="367" t="s">
        <v>2186</v>
      </c>
      <c r="H5026" s="1503" t="s">
        <v>476</v>
      </c>
      <c r="I5026" s="1505"/>
      <c r="J5026" s="1506"/>
      <c r="K5026" s="1506"/>
      <c r="L5026" s="1506"/>
      <c r="M5026" s="1506"/>
      <c r="N5026" s="1507"/>
    </row>
    <row r="5027" spans="1:14">
      <c r="A5027" s="1501"/>
      <c r="B5027" s="1502"/>
      <c r="C5027" s="368" t="s">
        <v>2627</v>
      </c>
      <c r="D5027" s="369" t="s">
        <v>2187</v>
      </c>
      <c r="E5027" s="529" t="s">
        <v>3442</v>
      </c>
      <c r="F5027" s="369" t="s">
        <v>2649</v>
      </c>
      <c r="G5027" s="370" t="s">
        <v>2709</v>
      </c>
      <c r="H5027" s="1504"/>
      <c r="I5027" s="1508"/>
      <c r="J5027" s="1509"/>
      <c r="K5027" s="1509"/>
      <c r="L5027" s="1509"/>
      <c r="M5027" s="1509"/>
      <c r="N5027" s="1510"/>
    </row>
    <row r="5028" spans="1:14">
      <c r="A5028" s="1514" t="s">
        <v>3428</v>
      </c>
      <c r="B5028" s="958" t="s">
        <v>2727</v>
      </c>
      <c r="C5028" s="756"/>
      <c r="D5028" s="202"/>
      <c r="E5028" s="346"/>
      <c r="F5028" s="346"/>
      <c r="G5028" s="346"/>
      <c r="H5028" s="403"/>
      <c r="I5028" s="1508"/>
      <c r="J5028" s="1509"/>
      <c r="K5028" s="1509"/>
      <c r="L5028" s="1509"/>
      <c r="M5028" s="1509"/>
      <c r="N5028" s="1510"/>
    </row>
    <row r="5029" spans="1:14">
      <c r="A5029" s="1523"/>
      <c r="B5029" s="953" t="s">
        <v>3448</v>
      </c>
      <c r="C5029" s="956">
        <v>11.81</v>
      </c>
      <c r="D5029" s="919"/>
      <c r="E5029" s="693">
        <v>25</v>
      </c>
      <c r="F5029" s="693"/>
      <c r="G5029" s="693"/>
      <c r="H5029" s="957">
        <f>C5029</f>
        <v>11.81</v>
      </c>
      <c r="I5029" s="1508"/>
      <c r="J5029" s="1509"/>
      <c r="K5029" s="1509"/>
      <c r="L5029" s="1509"/>
      <c r="M5029" s="1509"/>
      <c r="N5029" s="1510"/>
    </row>
    <row r="5030" spans="1:14">
      <c r="A5030" s="1523"/>
      <c r="B5030" s="958" t="s">
        <v>2929</v>
      </c>
      <c r="C5030" s="956"/>
      <c r="D5030" s="919"/>
      <c r="E5030" s="693"/>
      <c r="F5030" s="693"/>
      <c r="G5030" s="693"/>
      <c r="H5030" s="957"/>
      <c r="I5030" s="1508"/>
      <c r="J5030" s="1509"/>
      <c r="K5030" s="1509"/>
      <c r="L5030" s="1509"/>
      <c r="M5030" s="1509"/>
      <c r="N5030" s="1510"/>
    </row>
    <row r="5031" spans="1:14">
      <c r="A5031" s="1523"/>
      <c r="B5031" s="953" t="s">
        <v>3448</v>
      </c>
      <c r="C5031" s="956">
        <v>28.6</v>
      </c>
      <c r="D5031" s="919"/>
      <c r="E5031" s="693">
        <v>25</v>
      </c>
      <c r="F5031" s="693"/>
      <c r="G5031" s="693"/>
      <c r="H5031" s="957">
        <f>C5031</f>
        <v>28.6</v>
      </c>
      <c r="I5031" s="1508"/>
      <c r="J5031" s="1509"/>
      <c r="K5031" s="1509"/>
      <c r="L5031" s="1509"/>
      <c r="M5031" s="1509"/>
      <c r="N5031" s="1510"/>
    </row>
    <row r="5032" spans="1:14">
      <c r="A5032" s="1515"/>
      <c r="B5032" s="753"/>
      <c r="C5032" s="757"/>
      <c r="D5032" s="294"/>
      <c r="E5032" s="348"/>
      <c r="F5032" s="348"/>
      <c r="G5032" s="348"/>
      <c r="H5032" s="963"/>
      <c r="I5032" s="1508"/>
      <c r="J5032" s="1509"/>
      <c r="K5032" s="1509"/>
      <c r="L5032" s="1509"/>
      <c r="M5032" s="1509"/>
      <c r="N5032" s="1510"/>
    </row>
    <row r="5033" spans="1:14">
      <c r="A5033" s="1523" t="s">
        <v>3465</v>
      </c>
      <c r="B5033" s="958"/>
      <c r="C5033" s="956"/>
      <c r="D5033" s="919"/>
      <c r="E5033" s="693"/>
      <c r="F5033" s="693"/>
      <c r="G5033" s="693"/>
      <c r="H5033" s="957"/>
      <c r="I5033" s="1508"/>
      <c r="J5033" s="1509"/>
      <c r="K5033" s="1509"/>
      <c r="L5033" s="1509"/>
      <c r="M5033" s="1509"/>
      <c r="N5033" s="1510"/>
    </row>
    <row r="5034" spans="1:14">
      <c r="A5034" s="1523"/>
      <c r="B5034" s="953" t="s">
        <v>3167</v>
      </c>
      <c r="C5034" s="956"/>
      <c r="D5034" s="919"/>
      <c r="E5034" s="693"/>
      <c r="F5034" s="693"/>
      <c r="G5034" s="693"/>
      <c r="H5034" s="957">
        <v>2.74</v>
      </c>
      <c r="I5034" s="1508"/>
      <c r="J5034" s="1509"/>
      <c r="K5034" s="1509"/>
      <c r="L5034" s="1509"/>
      <c r="M5034" s="1509"/>
      <c r="N5034" s="1510"/>
    </row>
    <row r="5035" spans="1:14">
      <c r="A5035" s="1515"/>
      <c r="B5035" s="753"/>
      <c r="C5035" s="757"/>
      <c r="D5035" s="294"/>
      <c r="E5035" s="348"/>
      <c r="F5035" s="348"/>
      <c r="G5035" s="348"/>
      <c r="H5035" s="957"/>
      <c r="I5035" s="1508"/>
      <c r="J5035" s="1509"/>
      <c r="K5035" s="1509"/>
      <c r="L5035" s="1509"/>
      <c r="M5035" s="1509"/>
      <c r="N5035" s="1510"/>
    </row>
    <row r="5036" spans="1:14">
      <c r="A5036" s="1516" t="s">
        <v>2218</v>
      </c>
      <c r="B5036" s="1517"/>
      <c r="C5036" s="1517"/>
      <c r="D5036" s="1517"/>
      <c r="E5036" s="1517"/>
      <c r="F5036" s="1517"/>
      <c r="G5036" s="1518"/>
      <c r="H5036" s="271">
        <f>SUM(H5028:H5035)</f>
        <v>43.150000000000006</v>
      </c>
      <c r="I5036" s="1508"/>
      <c r="J5036" s="1509"/>
      <c r="K5036" s="1509"/>
      <c r="L5036" s="1509"/>
      <c r="M5036" s="1509"/>
      <c r="N5036" s="1510"/>
    </row>
    <row r="5037" spans="1:14">
      <c r="A5037" s="1519" t="s">
        <v>2219</v>
      </c>
      <c r="B5037" s="1517"/>
      <c r="C5037" s="1517"/>
      <c r="D5037" s="1517"/>
      <c r="E5037" s="1517"/>
      <c r="F5037" s="1517"/>
      <c r="G5037" s="1518"/>
      <c r="H5037" s="325">
        <f>SUM(H5026:H5032)</f>
        <v>40.410000000000004</v>
      </c>
      <c r="I5037" s="1508"/>
      <c r="J5037" s="1509"/>
      <c r="K5037" s="1509"/>
      <c r="L5037" s="1509"/>
      <c r="M5037" s="1509"/>
      <c r="N5037" s="1510"/>
    </row>
    <row r="5038" spans="1:14">
      <c r="A5038" s="1558" t="s">
        <v>2220</v>
      </c>
      <c r="B5038" s="1559"/>
      <c r="C5038" s="1559"/>
      <c r="D5038" s="1559"/>
      <c r="E5038" s="1559"/>
      <c r="F5038" s="1559"/>
      <c r="G5038" s="1560"/>
      <c r="H5038" s="220">
        <f>H5036-H5037</f>
        <v>2.740000000000002</v>
      </c>
      <c r="I5038" s="1508"/>
      <c r="J5038" s="1509"/>
      <c r="K5038" s="1509"/>
      <c r="L5038" s="1509"/>
      <c r="M5038" s="1509"/>
      <c r="N5038" s="1510"/>
    </row>
    <row r="5039" spans="1:14" ht="15.75" thickBot="1">
      <c r="A5039" s="898"/>
      <c r="B5039" s="898"/>
      <c r="C5039" s="898"/>
      <c r="D5039" s="970"/>
      <c r="E5039" s="1363"/>
      <c r="F5039" s="898"/>
      <c r="G5039" s="899"/>
      <c r="H5039" s="220"/>
      <c r="I5039" s="322"/>
      <c r="J5039" s="279"/>
      <c r="K5039" s="279"/>
      <c r="L5039" s="279"/>
      <c r="M5039" s="279"/>
      <c r="N5039" s="279"/>
    </row>
    <row r="5040" spans="1:14" ht="21" customHeight="1">
      <c r="A5040" s="1084" t="s">
        <v>3443</v>
      </c>
      <c r="B5040" s="1555" t="s">
        <v>231</v>
      </c>
      <c r="C5040" s="1556"/>
      <c r="D5040" s="1556"/>
      <c r="E5040" s="1556"/>
      <c r="F5040" s="1556"/>
      <c r="G5040" s="1556"/>
      <c r="H5040" s="1556"/>
      <c r="I5040" s="1556"/>
      <c r="J5040" s="1557"/>
      <c r="K5040" s="196" t="s">
        <v>44</v>
      </c>
      <c r="L5040" s="1497">
        <f>'27ª MEDIÇÃO '!F321</f>
        <v>92.8</v>
      </c>
      <c r="M5040" s="1498"/>
      <c r="N5040" s="197">
        <f>L5040-H5050</f>
        <v>0</v>
      </c>
    </row>
    <row r="5041" spans="1:14">
      <c r="A5041" s="1499"/>
      <c r="B5041" s="1500"/>
      <c r="C5041" s="367" t="s">
        <v>3410</v>
      </c>
      <c r="D5041" s="367"/>
      <c r="E5041" s="1320"/>
      <c r="F5041" s="367"/>
      <c r="G5041" s="367"/>
      <c r="H5041" s="955" t="s">
        <v>476</v>
      </c>
      <c r="I5041" s="1505"/>
      <c r="J5041" s="1506"/>
      <c r="K5041" s="1506"/>
      <c r="L5041" s="1506"/>
      <c r="M5041" s="1506"/>
      <c r="N5041" s="1507"/>
    </row>
    <row r="5042" spans="1:14">
      <c r="A5042" s="1514" t="s">
        <v>2749</v>
      </c>
      <c r="B5042" s="429" t="s">
        <v>3447</v>
      </c>
      <c r="C5042" s="756">
        <v>8.9499999999999993</v>
      </c>
      <c r="D5042" s="202"/>
      <c r="E5042" s="346"/>
      <c r="F5042" s="346"/>
      <c r="G5042" s="346"/>
      <c r="H5042" s="403">
        <f>C5042</f>
        <v>8.9499999999999993</v>
      </c>
      <c r="I5042" s="1508"/>
      <c r="J5042" s="1509"/>
      <c r="K5042" s="1509"/>
      <c r="L5042" s="1509"/>
      <c r="M5042" s="1509"/>
      <c r="N5042" s="1510"/>
    </row>
    <row r="5043" spans="1:14">
      <c r="A5043" s="1515"/>
      <c r="B5043" s="753"/>
      <c r="C5043" s="757"/>
      <c r="D5043" s="294"/>
      <c r="E5043" s="348"/>
      <c r="F5043" s="348"/>
      <c r="G5043" s="348"/>
      <c r="H5043" s="349"/>
      <c r="I5043" s="1508"/>
      <c r="J5043" s="1509"/>
      <c r="K5043" s="1509"/>
      <c r="L5043" s="1509"/>
      <c r="M5043" s="1509"/>
      <c r="N5043" s="1510"/>
    </row>
    <row r="5044" spans="1:14">
      <c r="A5044" s="1514" t="s">
        <v>3428</v>
      </c>
      <c r="B5044" s="429" t="s">
        <v>3444</v>
      </c>
      <c r="C5044" s="756"/>
      <c r="D5044" s="202"/>
      <c r="E5044" s="346"/>
      <c r="F5044" s="346"/>
      <c r="G5044" s="346"/>
      <c r="H5044" s="403"/>
      <c r="I5044" s="1508"/>
      <c r="J5044" s="1509"/>
      <c r="K5044" s="1509"/>
      <c r="L5044" s="1509"/>
      <c r="M5044" s="1509"/>
      <c r="N5044" s="1510"/>
    </row>
    <row r="5045" spans="1:14">
      <c r="A5045" s="1523"/>
      <c r="B5045" s="953" t="s">
        <v>3445</v>
      </c>
      <c r="C5045" s="956">
        <v>48.56</v>
      </c>
      <c r="D5045" s="919"/>
      <c r="E5045" s="693"/>
      <c r="F5045" s="693"/>
      <c r="G5045" s="693"/>
      <c r="H5045" s="349">
        <f>C5045</f>
        <v>48.56</v>
      </c>
      <c r="I5045" s="1508"/>
      <c r="J5045" s="1509"/>
      <c r="K5045" s="1509"/>
      <c r="L5045" s="1509"/>
      <c r="M5045" s="1509"/>
      <c r="N5045" s="1510"/>
    </row>
    <row r="5046" spans="1:14">
      <c r="A5046" s="1515"/>
      <c r="B5046" s="753" t="s">
        <v>3446</v>
      </c>
      <c r="C5046" s="757">
        <v>29.85</v>
      </c>
      <c r="D5046" s="294"/>
      <c r="E5046" s="348"/>
      <c r="F5046" s="348"/>
      <c r="G5046" s="348"/>
      <c r="H5046" s="403">
        <f>C5046</f>
        <v>29.85</v>
      </c>
      <c r="I5046" s="1508"/>
      <c r="J5046" s="1509"/>
      <c r="K5046" s="1509"/>
      <c r="L5046" s="1509"/>
      <c r="M5046" s="1509"/>
      <c r="N5046" s="1510"/>
    </row>
    <row r="5047" spans="1:14">
      <c r="A5047" s="1514" t="s">
        <v>3465</v>
      </c>
      <c r="B5047" s="429"/>
      <c r="C5047" s="756"/>
      <c r="D5047" s="202"/>
      <c r="E5047" s="346"/>
      <c r="F5047" s="346"/>
      <c r="G5047" s="346"/>
      <c r="H5047" s="403"/>
      <c r="I5047" s="1508"/>
      <c r="J5047" s="1509"/>
      <c r="K5047" s="1509"/>
      <c r="L5047" s="1509"/>
      <c r="M5047" s="1509"/>
      <c r="N5047" s="1510"/>
    </row>
    <row r="5048" spans="1:14" ht="21" customHeight="1">
      <c r="A5048" s="1523"/>
      <c r="B5048" s="953" t="s">
        <v>3167</v>
      </c>
      <c r="C5048" s="956"/>
      <c r="D5048" s="919"/>
      <c r="E5048" s="693"/>
      <c r="F5048" s="693"/>
      <c r="G5048" s="693"/>
      <c r="H5048" s="349">
        <v>5.44</v>
      </c>
      <c r="I5048" s="1508"/>
      <c r="J5048" s="1509"/>
      <c r="K5048" s="1509"/>
      <c r="L5048" s="1509"/>
      <c r="M5048" s="1509"/>
      <c r="N5048" s="1510"/>
    </row>
    <row r="5049" spans="1:14">
      <c r="A5049" s="1515"/>
      <c r="B5049" s="753"/>
      <c r="C5049" s="757"/>
      <c r="D5049" s="294"/>
      <c r="E5049" s="348"/>
      <c r="F5049" s="348"/>
      <c r="G5049" s="348"/>
      <c r="H5049" s="403"/>
      <c r="I5049" s="1508"/>
      <c r="J5049" s="1509"/>
      <c r="K5049" s="1509"/>
      <c r="L5049" s="1509"/>
      <c r="M5049" s="1509"/>
      <c r="N5049" s="1510"/>
    </row>
    <row r="5050" spans="1:14">
      <c r="A5050" s="1516" t="s">
        <v>2218</v>
      </c>
      <c r="B5050" s="1517"/>
      <c r="C5050" s="1517"/>
      <c r="D5050" s="1517"/>
      <c r="E5050" s="1517"/>
      <c r="F5050" s="1517"/>
      <c r="G5050" s="1518"/>
      <c r="H5050" s="271">
        <f>SUM(H5042:H5049)</f>
        <v>92.800000000000011</v>
      </c>
      <c r="I5050" s="1508"/>
      <c r="J5050" s="1509"/>
      <c r="K5050" s="1509"/>
      <c r="L5050" s="1509"/>
      <c r="M5050" s="1509"/>
      <c r="N5050" s="1510"/>
    </row>
    <row r="5051" spans="1:14">
      <c r="A5051" s="1519" t="s">
        <v>2219</v>
      </c>
      <c r="B5051" s="1517"/>
      <c r="C5051" s="1517"/>
      <c r="D5051" s="1517"/>
      <c r="E5051" s="1517"/>
      <c r="F5051" s="1517"/>
      <c r="G5051" s="1518"/>
      <c r="H5051" s="325">
        <f>SUM(H5042:H5046)</f>
        <v>87.360000000000014</v>
      </c>
      <c r="I5051" s="1508"/>
      <c r="J5051" s="1509"/>
      <c r="K5051" s="1509"/>
      <c r="L5051" s="1509"/>
      <c r="M5051" s="1509"/>
      <c r="N5051" s="1510"/>
    </row>
    <row r="5052" spans="1:14">
      <c r="A5052" s="1558" t="s">
        <v>2220</v>
      </c>
      <c r="B5052" s="1559"/>
      <c r="C5052" s="1559"/>
      <c r="D5052" s="1559"/>
      <c r="E5052" s="1559"/>
      <c r="F5052" s="1559"/>
      <c r="G5052" s="1560"/>
      <c r="H5052" s="220">
        <f>H5050-H5051</f>
        <v>5.4399999999999977</v>
      </c>
      <c r="I5052" s="1508"/>
      <c r="J5052" s="1509"/>
      <c r="K5052" s="1509"/>
      <c r="L5052" s="1509"/>
      <c r="M5052" s="1509"/>
      <c r="N5052" s="1510"/>
    </row>
    <row r="5053" spans="1:14" ht="15.75" thickBot="1">
      <c r="A5053" s="898"/>
      <c r="B5053" s="898"/>
      <c r="C5053" s="898"/>
      <c r="D5053" s="970"/>
      <c r="E5053" s="1363"/>
      <c r="F5053" s="898"/>
      <c r="G5053" s="899"/>
      <c r="H5053" s="220"/>
      <c r="I5053" s="322"/>
      <c r="J5053" s="279"/>
      <c r="K5053" s="279"/>
      <c r="L5053" s="279"/>
      <c r="M5053" s="279"/>
      <c r="N5053" s="279"/>
    </row>
    <row r="5054" spans="1:14">
      <c r="A5054" s="1084" t="s">
        <v>3476</v>
      </c>
      <c r="B5054" s="1555" t="s">
        <v>1263</v>
      </c>
      <c r="C5054" s="1556"/>
      <c r="D5054" s="1556"/>
      <c r="E5054" s="1556"/>
      <c r="F5054" s="1556"/>
      <c r="G5054" s="1556"/>
      <c r="H5054" s="1556"/>
      <c r="I5054" s="1556"/>
      <c r="J5054" s="1557"/>
      <c r="K5054" s="196" t="s">
        <v>44</v>
      </c>
      <c r="L5054" s="1497">
        <f>'27ª MEDIÇÃO '!F323</f>
        <v>2.25</v>
      </c>
      <c r="M5054" s="1498"/>
      <c r="N5054" s="197">
        <f>L5054-H5058</f>
        <v>0.60000000000000009</v>
      </c>
    </row>
    <row r="5055" spans="1:14">
      <c r="A5055" s="1499"/>
      <c r="B5055" s="1500"/>
      <c r="C5055" s="367" t="s">
        <v>3410</v>
      </c>
      <c r="D5055" s="367" t="s">
        <v>2945</v>
      </c>
      <c r="E5055" s="1320"/>
      <c r="F5055" s="367"/>
      <c r="G5055" s="367"/>
      <c r="H5055" s="955" t="s">
        <v>476</v>
      </c>
      <c r="I5055" s="1505"/>
      <c r="J5055" s="1506"/>
      <c r="K5055" s="1506"/>
      <c r="L5055" s="1506"/>
      <c r="M5055" s="1506"/>
      <c r="N5055" s="1507"/>
    </row>
    <row r="5056" spans="1:14">
      <c r="A5056" s="1514" t="s">
        <v>3465</v>
      </c>
      <c r="B5056" s="429" t="s">
        <v>3477</v>
      </c>
      <c r="C5056" s="756">
        <v>6</v>
      </c>
      <c r="D5056" s="346">
        <v>0.15</v>
      </c>
      <c r="E5056" s="346"/>
      <c r="F5056" s="346"/>
      <c r="G5056" s="346"/>
      <c r="H5056" s="403">
        <f>D5056*C5056</f>
        <v>0.89999999999999991</v>
      </c>
      <c r="I5056" s="1508"/>
      <c r="J5056" s="1509"/>
      <c r="K5056" s="1509"/>
      <c r="L5056" s="1509"/>
      <c r="M5056" s="1509"/>
      <c r="N5056" s="1510"/>
    </row>
    <row r="5057" spans="1:14">
      <c r="A5057" s="1515"/>
      <c r="B5057" s="753" t="s">
        <v>3478</v>
      </c>
      <c r="C5057" s="757">
        <v>5</v>
      </c>
      <c r="D5057" s="348">
        <v>0.15</v>
      </c>
      <c r="E5057" s="348"/>
      <c r="F5057" s="348"/>
      <c r="G5057" s="348"/>
      <c r="H5057" s="349">
        <f>C5057*D5057</f>
        <v>0.75</v>
      </c>
      <c r="I5057" s="1508"/>
      <c r="J5057" s="1509"/>
      <c r="K5057" s="1509"/>
      <c r="L5057" s="1509"/>
      <c r="M5057" s="1509"/>
      <c r="N5057" s="1510"/>
    </row>
    <row r="5058" spans="1:14" ht="21" customHeight="1">
      <c r="A5058" s="1516" t="s">
        <v>2218</v>
      </c>
      <c r="B5058" s="1517"/>
      <c r="C5058" s="1517"/>
      <c r="D5058" s="1517"/>
      <c r="E5058" s="1517"/>
      <c r="F5058" s="1517"/>
      <c r="G5058" s="1518"/>
      <c r="H5058" s="271">
        <f>SUM(H5056:H5057)</f>
        <v>1.65</v>
      </c>
      <c r="I5058" s="1508"/>
      <c r="J5058" s="1509"/>
      <c r="K5058" s="1509"/>
      <c r="L5058" s="1509"/>
      <c r="M5058" s="1509"/>
      <c r="N5058" s="1510"/>
    </row>
    <row r="5059" spans="1:14">
      <c r="A5059" s="1519" t="s">
        <v>2219</v>
      </c>
      <c r="B5059" s="1517"/>
      <c r="C5059" s="1517"/>
      <c r="D5059" s="1517"/>
      <c r="E5059" s="1517"/>
      <c r="F5059" s="1517"/>
      <c r="G5059" s="1518"/>
      <c r="H5059" s="325">
        <f>SUM(H5055)</f>
        <v>0</v>
      </c>
      <c r="I5059" s="1508"/>
      <c r="J5059" s="1509"/>
      <c r="K5059" s="1509"/>
      <c r="L5059" s="1509"/>
      <c r="M5059" s="1509"/>
      <c r="N5059" s="1510"/>
    </row>
    <row r="5060" spans="1:14">
      <c r="A5060" s="1558" t="s">
        <v>2220</v>
      </c>
      <c r="B5060" s="1559"/>
      <c r="C5060" s="1559"/>
      <c r="D5060" s="1559"/>
      <c r="E5060" s="1559"/>
      <c r="F5060" s="1559"/>
      <c r="G5060" s="1560"/>
      <c r="H5060" s="220">
        <f>H5058-H5059</f>
        <v>1.65</v>
      </c>
      <c r="I5060" s="1508"/>
      <c r="J5060" s="1509"/>
      <c r="K5060" s="1509"/>
      <c r="L5060" s="1509"/>
      <c r="M5060" s="1509"/>
      <c r="N5060" s="1510"/>
    </row>
    <row r="5061" spans="1:14" ht="15.75" thickBot="1">
      <c r="A5061" s="898"/>
      <c r="B5061" s="898"/>
      <c r="C5061" s="898"/>
      <c r="D5061" s="970"/>
      <c r="E5061" s="1363"/>
      <c r="F5061" s="898"/>
      <c r="G5061" s="899"/>
      <c r="H5061" s="220"/>
      <c r="I5061" s="322"/>
      <c r="J5061" s="279"/>
      <c r="K5061" s="279"/>
      <c r="L5061" s="279"/>
      <c r="M5061" s="279"/>
      <c r="N5061" s="279"/>
    </row>
    <row r="5062" spans="1:14">
      <c r="A5062" s="1084" t="s">
        <v>3479</v>
      </c>
      <c r="B5062" s="1555" t="s">
        <v>1267</v>
      </c>
      <c r="C5062" s="1556"/>
      <c r="D5062" s="1556"/>
      <c r="E5062" s="1556"/>
      <c r="F5062" s="1556"/>
      <c r="G5062" s="1556"/>
      <c r="H5062" s="1556"/>
      <c r="I5062" s="1556"/>
      <c r="J5062" s="1557"/>
      <c r="K5062" s="196" t="s">
        <v>44</v>
      </c>
      <c r="L5062" s="1497">
        <f>'27ª MEDIÇÃO '!F324</f>
        <v>3</v>
      </c>
      <c r="M5062" s="1498"/>
      <c r="N5062" s="197">
        <f>L5062-H5068</f>
        <v>1.2000000000000002</v>
      </c>
    </row>
    <row r="5063" spans="1:14">
      <c r="A5063" s="1499"/>
      <c r="B5063" s="1500"/>
      <c r="C5063" s="367" t="s">
        <v>3410</v>
      </c>
      <c r="D5063" s="367" t="s">
        <v>2945</v>
      </c>
      <c r="E5063" s="1320"/>
      <c r="F5063" s="367"/>
      <c r="G5063" s="367"/>
      <c r="H5063" s="955" t="s">
        <v>476</v>
      </c>
      <c r="I5063" s="1505"/>
      <c r="J5063" s="1506"/>
      <c r="K5063" s="1506"/>
      <c r="L5063" s="1506"/>
      <c r="M5063" s="1506"/>
      <c r="N5063" s="1507"/>
    </row>
    <row r="5064" spans="1:14">
      <c r="A5064" s="1514" t="s">
        <v>3465</v>
      </c>
      <c r="B5064" s="429" t="s">
        <v>3477</v>
      </c>
      <c r="C5064" s="756">
        <v>1</v>
      </c>
      <c r="D5064" s="346">
        <v>0.15</v>
      </c>
      <c r="E5064" s="346"/>
      <c r="F5064" s="346"/>
      <c r="G5064" s="346"/>
      <c r="H5064" s="403">
        <f>D5064*C5064</f>
        <v>0.15</v>
      </c>
      <c r="I5064" s="1508"/>
      <c r="J5064" s="1509"/>
      <c r="K5064" s="1509"/>
      <c r="L5064" s="1509"/>
      <c r="M5064" s="1509"/>
      <c r="N5064" s="1510"/>
    </row>
    <row r="5065" spans="1:14">
      <c r="A5065" s="1523"/>
      <c r="B5065" s="753" t="s">
        <v>3478</v>
      </c>
      <c r="C5065" s="956">
        <v>1</v>
      </c>
      <c r="D5065" s="693">
        <v>0.15</v>
      </c>
      <c r="E5065" s="693"/>
      <c r="F5065" s="693"/>
      <c r="G5065" s="693"/>
      <c r="H5065" s="957">
        <f>C5065*D5065</f>
        <v>0.15</v>
      </c>
      <c r="I5065" s="1508"/>
      <c r="J5065" s="1509"/>
      <c r="K5065" s="1509"/>
      <c r="L5065" s="1509"/>
      <c r="M5065" s="1509"/>
      <c r="N5065" s="1510"/>
    </row>
    <row r="5066" spans="1:14" ht="24" customHeight="1">
      <c r="A5066" s="1523"/>
      <c r="B5066" s="953" t="s">
        <v>3480</v>
      </c>
      <c r="C5066" s="956">
        <v>2</v>
      </c>
      <c r="D5066" s="693">
        <v>0.15</v>
      </c>
      <c r="E5066" s="693"/>
      <c r="F5066" s="693"/>
      <c r="G5066" s="693"/>
      <c r="H5066" s="957">
        <f>C5066*D5066</f>
        <v>0.3</v>
      </c>
      <c r="I5066" s="1508"/>
      <c r="J5066" s="1509"/>
      <c r="K5066" s="1509"/>
      <c r="L5066" s="1509"/>
      <c r="M5066" s="1509"/>
      <c r="N5066" s="1510"/>
    </row>
    <row r="5067" spans="1:14" ht="29.45" customHeight="1">
      <c r="A5067" s="1515"/>
      <c r="B5067" s="753" t="s">
        <v>3481</v>
      </c>
      <c r="C5067" s="757">
        <v>8</v>
      </c>
      <c r="D5067" s="348">
        <v>0.15</v>
      </c>
      <c r="E5067" s="348"/>
      <c r="F5067" s="348"/>
      <c r="G5067" s="348"/>
      <c r="H5067" s="349">
        <f>C5067*D5067</f>
        <v>1.2</v>
      </c>
      <c r="I5067" s="1508"/>
      <c r="J5067" s="1509"/>
      <c r="K5067" s="1509"/>
      <c r="L5067" s="1509"/>
      <c r="M5067" s="1509"/>
      <c r="N5067" s="1510"/>
    </row>
    <row r="5068" spans="1:14" ht="28.9" customHeight="1">
      <c r="A5068" s="1516" t="s">
        <v>2218</v>
      </c>
      <c r="B5068" s="1517"/>
      <c r="C5068" s="1517"/>
      <c r="D5068" s="1517"/>
      <c r="E5068" s="1517"/>
      <c r="F5068" s="1517"/>
      <c r="G5068" s="1518"/>
      <c r="H5068" s="271">
        <f>SUM(H5064:H5067)</f>
        <v>1.7999999999999998</v>
      </c>
      <c r="I5068" s="1508"/>
      <c r="J5068" s="1509"/>
      <c r="K5068" s="1509"/>
      <c r="L5068" s="1509"/>
      <c r="M5068" s="1509"/>
      <c r="N5068" s="1510"/>
    </row>
    <row r="5069" spans="1:14">
      <c r="A5069" s="1519" t="s">
        <v>2219</v>
      </c>
      <c r="B5069" s="1517"/>
      <c r="C5069" s="1517"/>
      <c r="D5069" s="1517"/>
      <c r="E5069" s="1517"/>
      <c r="F5069" s="1517"/>
      <c r="G5069" s="1518"/>
      <c r="H5069" s="325">
        <f>SUM(H5063)</f>
        <v>0</v>
      </c>
      <c r="I5069" s="1508"/>
      <c r="J5069" s="1509"/>
      <c r="K5069" s="1509"/>
      <c r="L5069" s="1509"/>
      <c r="M5069" s="1509"/>
      <c r="N5069" s="1510"/>
    </row>
    <row r="5070" spans="1:14">
      <c r="A5070" s="1558" t="s">
        <v>2220</v>
      </c>
      <c r="B5070" s="1559"/>
      <c r="C5070" s="1559"/>
      <c r="D5070" s="1559"/>
      <c r="E5070" s="1559"/>
      <c r="F5070" s="1559"/>
      <c r="G5070" s="1560"/>
      <c r="H5070" s="220">
        <f>H5068-H5069</f>
        <v>1.7999999999999998</v>
      </c>
      <c r="I5070" s="1508"/>
      <c r="J5070" s="1509"/>
      <c r="K5070" s="1509"/>
      <c r="L5070" s="1509"/>
      <c r="M5070" s="1509"/>
      <c r="N5070" s="1510"/>
    </row>
    <row r="5071" spans="1:14" ht="16.899999999999999" customHeight="1" thickBot="1">
      <c r="A5071" s="898"/>
      <c r="B5071" s="898"/>
      <c r="C5071" s="898"/>
      <c r="D5071" s="970"/>
      <c r="E5071" s="1363"/>
      <c r="F5071" s="898"/>
      <c r="G5071" s="899"/>
      <c r="H5071" s="220"/>
      <c r="I5071" s="322"/>
      <c r="J5071" s="279"/>
      <c r="K5071" s="279"/>
      <c r="L5071" s="279"/>
      <c r="M5071" s="279"/>
      <c r="N5071" s="279"/>
    </row>
    <row r="5072" spans="1:14" ht="16.899999999999999" customHeight="1">
      <c r="A5072" s="1084" t="s">
        <v>3482</v>
      </c>
      <c r="B5072" s="1555" t="s">
        <v>1270</v>
      </c>
      <c r="C5072" s="1556"/>
      <c r="D5072" s="1556"/>
      <c r="E5072" s="1556"/>
      <c r="F5072" s="1556"/>
      <c r="G5072" s="1556"/>
      <c r="H5072" s="1556"/>
      <c r="I5072" s="1556"/>
      <c r="J5072" s="1557"/>
      <c r="K5072" s="196" t="s">
        <v>44</v>
      </c>
      <c r="L5072" s="1497">
        <f>'27ª MEDIÇÃO '!F325</f>
        <v>1.95</v>
      </c>
      <c r="M5072" s="1498"/>
      <c r="N5072" s="197">
        <f>L5072-H5076</f>
        <v>1.2</v>
      </c>
    </row>
    <row r="5073" spans="1:14" ht="16.899999999999999" customHeight="1">
      <c r="A5073" s="1499"/>
      <c r="B5073" s="1500"/>
      <c r="C5073" s="367" t="s">
        <v>3410</v>
      </c>
      <c r="D5073" s="367" t="s">
        <v>2945</v>
      </c>
      <c r="E5073" s="1320"/>
      <c r="F5073" s="367"/>
      <c r="G5073" s="367"/>
      <c r="H5073" s="955" t="s">
        <v>476</v>
      </c>
      <c r="I5073" s="1505"/>
      <c r="J5073" s="1506"/>
      <c r="K5073" s="1506"/>
      <c r="L5073" s="1506"/>
      <c r="M5073" s="1506"/>
      <c r="N5073" s="1507"/>
    </row>
    <row r="5074" spans="1:14" ht="16.899999999999999" customHeight="1">
      <c r="A5074" s="1514" t="s">
        <v>3465</v>
      </c>
      <c r="B5074" s="429" t="s">
        <v>3480</v>
      </c>
      <c r="C5074" s="756">
        <v>2</v>
      </c>
      <c r="D5074" s="346">
        <v>0.15</v>
      </c>
      <c r="E5074" s="346"/>
      <c r="F5074" s="346"/>
      <c r="G5074" s="346"/>
      <c r="H5074" s="403">
        <f>D5074*C5074</f>
        <v>0.3</v>
      </c>
      <c r="I5074" s="1508"/>
      <c r="J5074" s="1509"/>
      <c r="K5074" s="1509"/>
      <c r="L5074" s="1509"/>
      <c r="M5074" s="1509"/>
      <c r="N5074" s="1510"/>
    </row>
    <row r="5075" spans="1:14" ht="16.899999999999999" customHeight="1">
      <c r="A5075" s="1515"/>
      <c r="B5075" s="753" t="s">
        <v>3483</v>
      </c>
      <c r="C5075" s="757">
        <v>3</v>
      </c>
      <c r="D5075" s="348">
        <v>0.15</v>
      </c>
      <c r="E5075" s="348"/>
      <c r="F5075" s="348"/>
      <c r="G5075" s="348"/>
      <c r="H5075" s="349">
        <f>C5075*D5075</f>
        <v>0.44999999999999996</v>
      </c>
      <c r="I5075" s="1508"/>
      <c r="J5075" s="1509"/>
      <c r="K5075" s="1509"/>
      <c r="L5075" s="1509"/>
      <c r="M5075" s="1509"/>
      <c r="N5075" s="1510"/>
    </row>
    <row r="5076" spans="1:14" ht="16.899999999999999" customHeight="1">
      <c r="A5076" s="1516" t="s">
        <v>2218</v>
      </c>
      <c r="B5076" s="1517"/>
      <c r="C5076" s="1517"/>
      <c r="D5076" s="1517"/>
      <c r="E5076" s="1517"/>
      <c r="F5076" s="1517"/>
      <c r="G5076" s="1518"/>
      <c r="H5076" s="271">
        <f>SUM(H5074:H5075)</f>
        <v>0.75</v>
      </c>
      <c r="I5076" s="1508"/>
      <c r="J5076" s="1509"/>
      <c r="K5076" s="1509"/>
      <c r="L5076" s="1509"/>
      <c r="M5076" s="1509"/>
      <c r="N5076" s="1510"/>
    </row>
    <row r="5077" spans="1:14" ht="16.899999999999999" customHeight="1">
      <c r="A5077" s="1519" t="s">
        <v>2219</v>
      </c>
      <c r="B5077" s="1517"/>
      <c r="C5077" s="1517"/>
      <c r="D5077" s="1517"/>
      <c r="E5077" s="1517"/>
      <c r="F5077" s="1517"/>
      <c r="G5077" s="1518"/>
      <c r="H5077" s="325">
        <f>SUM(H5073)</f>
        <v>0</v>
      </c>
      <c r="I5077" s="1508"/>
      <c r="J5077" s="1509"/>
      <c r="K5077" s="1509"/>
      <c r="L5077" s="1509"/>
      <c r="M5077" s="1509"/>
      <c r="N5077" s="1510"/>
    </row>
    <row r="5078" spans="1:14" ht="16.899999999999999" customHeight="1">
      <c r="A5078" s="1558" t="s">
        <v>2220</v>
      </c>
      <c r="B5078" s="1559"/>
      <c r="C5078" s="1559"/>
      <c r="D5078" s="1559"/>
      <c r="E5078" s="1559"/>
      <c r="F5078" s="1559"/>
      <c r="G5078" s="1560"/>
      <c r="H5078" s="220">
        <f>H5076-H5077</f>
        <v>0.75</v>
      </c>
      <c r="I5078" s="1508"/>
      <c r="J5078" s="1509"/>
      <c r="K5078" s="1509"/>
      <c r="L5078" s="1509"/>
      <c r="M5078" s="1509"/>
      <c r="N5078" s="1510"/>
    </row>
    <row r="5079" spans="1:14" ht="16.899999999999999" customHeight="1">
      <c r="A5079" s="898"/>
      <c r="B5079" s="898"/>
      <c r="C5079" s="898"/>
      <c r="D5079" s="970"/>
      <c r="E5079" s="1363"/>
      <c r="F5079" s="898"/>
      <c r="G5079" s="899"/>
      <c r="H5079" s="220"/>
      <c r="I5079" s="322"/>
      <c r="J5079" s="279"/>
      <c r="K5079" s="279"/>
      <c r="L5079" s="279"/>
      <c r="M5079" s="279"/>
      <c r="N5079" s="279"/>
    </row>
    <row r="5080" spans="1:14" ht="15.75">
      <c r="A5080" s="1118" t="s">
        <v>1271</v>
      </c>
      <c r="B5080" s="1570" t="s">
        <v>1272</v>
      </c>
      <c r="C5080" s="1570"/>
      <c r="D5080" s="1570"/>
      <c r="E5080" s="1570"/>
      <c r="F5080" s="1570"/>
      <c r="G5080" s="1570"/>
      <c r="H5080" s="1570"/>
      <c r="I5080" s="1570"/>
      <c r="J5080" s="1570"/>
      <c r="K5080" s="1570"/>
      <c r="L5080" s="1570"/>
      <c r="M5080" s="1570"/>
      <c r="N5080" s="1570"/>
    </row>
    <row r="5081" spans="1:14">
      <c r="A5081" s="1114" t="s">
        <v>3351</v>
      </c>
      <c r="B5081" s="1548" t="s">
        <v>3347</v>
      </c>
      <c r="C5081" s="1548"/>
      <c r="D5081" s="1548"/>
      <c r="E5081" s="1548"/>
      <c r="F5081" s="1548"/>
      <c r="G5081" s="1548"/>
      <c r="H5081" s="1548"/>
      <c r="I5081" s="1548"/>
      <c r="J5081" s="1548"/>
      <c r="K5081" s="1548"/>
      <c r="L5081" s="1548"/>
      <c r="M5081" s="1548"/>
      <c r="N5081" s="1548"/>
    </row>
    <row r="5082" spans="1:14">
      <c r="A5082" s="1119" t="s">
        <v>3902</v>
      </c>
      <c r="B5082" s="1561" t="s">
        <v>1277</v>
      </c>
      <c r="C5082" s="1562"/>
      <c r="D5082" s="1562"/>
      <c r="E5082" s="1562"/>
      <c r="F5082" s="1562"/>
      <c r="G5082" s="1562"/>
      <c r="H5082" s="1562"/>
      <c r="I5082" s="1562"/>
      <c r="J5082" s="1563"/>
      <c r="K5082" s="264" t="s">
        <v>44</v>
      </c>
      <c r="L5082" s="1564">
        <v>60</v>
      </c>
      <c r="M5082" s="1565"/>
      <c r="N5082" s="265">
        <f>L5082-H5088</f>
        <v>0</v>
      </c>
    </row>
    <row r="5083" spans="1:14">
      <c r="A5083" s="1554"/>
      <c r="B5083" s="1541"/>
      <c r="C5083" s="366"/>
      <c r="D5083" s="367" t="s">
        <v>2183</v>
      </c>
      <c r="E5083" s="1320" t="s">
        <v>2184</v>
      </c>
      <c r="F5083" s="367" t="s">
        <v>2185</v>
      </c>
      <c r="G5083" s="367" t="s">
        <v>2186</v>
      </c>
      <c r="H5083" s="1542" t="s">
        <v>476</v>
      </c>
      <c r="I5083" s="1543"/>
      <c r="J5083" s="1543"/>
      <c r="K5083" s="1543"/>
      <c r="L5083" s="1543"/>
      <c r="M5083" s="1543"/>
      <c r="N5083" s="1566"/>
    </row>
    <row r="5084" spans="1:14" ht="24">
      <c r="A5084" s="1554"/>
      <c r="B5084" s="1541"/>
      <c r="C5084" s="368" t="s">
        <v>2627</v>
      </c>
      <c r="D5084" s="369" t="s">
        <v>2187</v>
      </c>
      <c r="E5084" s="529" t="s">
        <v>3152</v>
      </c>
      <c r="F5084" s="369" t="s">
        <v>2649</v>
      </c>
      <c r="G5084" s="370" t="s">
        <v>2709</v>
      </c>
      <c r="H5084" s="1542"/>
      <c r="I5084" s="1543"/>
      <c r="J5084" s="1543"/>
      <c r="K5084" s="1543"/>
      <c r="L5084" s="1543"/>
      <c r="M5084" s="1543"/>
      <c r="N5084" s="1566"/>
    </row>
    <row r="5085" spans="1:14">
      <c r="A5085" s="1544" t="s">
        <v>3892</v>
      </c>
      <c r="B5085" s="429" t="s">
        <v>3907</v>
      </c>
      <c r="C5085" s="751"/>
      <c r="D5085" s="202">
        <v>60</v>
      </c>
      <c r="E5085" s="346"/>
      <c r="F5085" s="346"/>
      <c r="G5085" s="346"/>
      <c r="H5085" s="403">
        <f>D5085</f>
        <v>60</v>
      </c>
      <c r="I5085" s="1567"/>
      <c r="J5085" s="1543"/>
      <c r="K5085" s="1543"/>
      <c r="L5085" s="1543"/>
      <c r="M5085" s="1543"/>
      <c r="N5085" s="1566"/>
    </row>
    <row r="5086" spans="1:14" ht="14.45" customHeight="1">
      <c r="A5086" s="1544"/>
      <c r="B5086" s="953"/>
      <c r="C5086" s="954"/>
      <c r="D5086" s="919"/>
      <c r="E5086" s="693"/>
      <c r="F5086" s="693"/>
      <c r="G5086" s="693"/>
      <c r="H5086" s="403"/>
      <c r="I5086" s="1567"/>
      <c r="J5086" s="1543"/>
      <c r="K5086" s="1543"/>
      <c r="L5086" s="1543"/>
      <c r="M5086" s="1543"/>
      <c r="N5086" s="1566"/>
    </row>
    <row r="5087" spans="1:14" ht="14.45" customHeight="1">
      <c r="A5087" s="1544"/>
      <c r="B5087" s="753"/>
      <c r="C5087" s="754"/>
      <c r="D5087" s="294"/>
      <c r="E5087" s="348"/>
      <c r="F5087" s="348"/>
      <c r="G5087" s="348"/>
      <c r="H5087" s="403"/>
      <c r="I5087" s="1567"/>
      <c r="J5087" s="1543"/>
      <c r="K5087" s="1543"/>
      <c r="L5087" s="1543"/>
      <c r="M5087" s="1543"/>
      <c r="N5087" s="1566"/>
    </row>
    <row r="5088" spans="1:14">
      <c r="A5088" s="1538" t="s">
        <v>2218</v>
      </c>
      <c r="B5088" s="1538"/>
      <c r="C5088" s="1538"/>
      <c r="D5088" s="1538"/>
      <c r="E5088" s="1538"/>
      <c r="F5088" s="1538"/>
      <c r="G5088" s="1538"/>
      <c r="H5088" s="271">
        <f>SUM(H5085:H5087)</f>
        <v>60</v>
      </c>
      <c r="I5088" s="1567"/>
      <c r="J5088" s="1543"/>
      <c r="K5088" s="1543"/>
      <c r="L5088" s="1543"/>
      <c r="M5088" s="1543"/>
      <c r="N5088" s="1566"/>
    </row>
    <row r="5089" spans="1:14" ht="14.45" customHeight="1">
      <c r="A5089" s="1519" t="s">
        <v>2219</v>
      </c>
      <c r="B5089" s="1517"/>
      <c r="C5089" s="1517"/>
      <c r="D5089" s="1551"/>
      <c r="E5089" s="1551"/>
      <c r="F5089" s="1551"/>
      <c r="G5089" s="1552"/>
      <c r="H5089" s="325">
        <v>0</v>
      </c>
      <c r="I5089" s="1543"/>
      <c r="J5089" s="1543"/>
      <c r="K5089" s="1543"/>
      <c r="L5089" s="1543"/>
      <c r="M5089" s="1543"/>
      <c r="N5089" s="1566"/>
    </row>
    <row r="5090" spans="1:14" ht="14.45" customHeight="1" thickBot="1">
      <c r="A5090" s="1520" t="s">
        <v>2220</v>
      </c>
      <c r="B5090" s="1521"/>
      <c r="C5090" s="1521"/>
      <c r="D5090" s="1521"/>
      <c r="E5090" s="1521"/>
      <c r="F5090" s="1521"/>
      <c r="G5090" s="1522"/>
      <c r="H5090" s="216">
        <f>H5088-H5089</f>
        <v>60</v>
      </c>
      <c r="I5090" s="1568"/>
      <c r="J5090" s="1568"/>
      <c r="K5090" s="1568"/>
      <c r="L5090" s="1568"/>
      <c r="M5090" s="1568"/>
      <c r="N5090" s="1569"/>
    </row>
    <row r="5091" spans="1:14" ht="24" customHeight="1">
      <c r="A5091" s="1119" t="s">
        <v>3903</v>
      </c>
      <c r="B5091" s="1561" t="s">
        <v>1280</v>
      </c>
      <c r="C5091" s="1562"/>
      <c r="D5091" s="1562"/>
      <c r="E5091" s="1562"/>
      <c r="F5091" s="1562"/>
      <c r="G5091" s="1562"/>
      <c r="H5091" s="1562"/>
      <c r="I5091" s="1562"/>
      <c r="J5091" s="1563"/>
      <c r="K5091" s="264" t="s">
        <v>44</v>
      </c>
      <c r="L5091" s="1564">
        <v>40</v>
      </c>
      <c r="M5091" s="1565"/>
      <c r="N5091" s="265">
        <f>L5091-H5097</f>
        <v>0</v>
      </c>
    </row>
    <row r="5092" spans="1:14" ht="28.9" customHeight="1">
      <c r="A5092" s="1554"/>
      <c r="B5092" s="1541"/>
      <c r="C5092" s="366"/>
      <c r="D5092" s="367" t="s">
        <v>2183</v>
      </c>
      <c r="E5092" s="1320" t="s">
        <v>2184</v>
      </c>
      <c r="F5092" s="367" t="s">
        <v>2185</v>
      </c>
      <c r="G5092" s="367" t="s">
        <v>2186</v>
      </c>
      <c r="H5092" s="1542" t="s">
        <v>476</v>
      </c>
      <c r="I5092" s="1543"/>
      <c r="J5092" s="1543"/>
      <c r="K5092" s="1543"/>
      <c r="L5092" s="1543"/>
      <c r="M5092" s="1543"/>
      <c r="N5092" s="1566"/>
    </row>
    <row r="5093" spans="1:14" ht="24">
      <c r="A5093" s="1554"/>
      <c r="B5093" s="1541"/>
      <c r="C5093" s="368" t="s">
        <v>2627</v>
      </c>
      <c r="D5093" s="369" t="s">
        <v>2187</v>
      </c>
      <c r="E5093" s="529" t="s">
        <v>3152</v>
      </c>
      <c r="F5093" s="369" t="s">
        <v>2649</v>
      </c>
      <c r="G5093" s="370" t="s">
        <v>2709</v>
      </c>
      <c r="H5093" s="1542"/>
      <c r="I5093" s="1543"/>
      <c r="J5093" s="1543"/>
      <c r="K5093" s="1543"/>
      <c r="L5093" s="1543"/>
      <c r="M5093" s="1543"/>
      <c r="N5093" s="1566"/>
    </row>
    <row r="5094" spans="1:14">
      <c r="A5094" s="1544" t="s">
        <v>3937</v>
      </c>
      <c r="B5094" s="429"/>
      <c r="C5094" s="751"/>
      <c r="D5094" s="202"/>
      <c r="E5094" s="346"/>
      <c r="F5094" s="346"/>
      <c r="G5094" s="346"/>
      <c r="H5094" s="403"/>
      <c r="I5094" s="1567"/>
      <c r="J5094" s="1543"/>
      <c r="K5094" s="1543"/>
      <c r="L5094" s="1543"/>
      <c r="M5094" s="1543"/>
      <c r="N5094" s="1566"/>
    </row>
    <row r="5095" spans="1:14" ht="14.45" customHeight="1">
      <c r="A5095" s="1544"/>
      <c r="B5095" s="953" t="s">
        <v>3954</v>
      </c>
      <c r="C5095" s="954"/>
      <c r="D5095" s="919">
        <v>40</v>
      </c>
      <c r="E5095" s="693"/>
      <c r="F5095" s="693"/>
      <c r="G5095" s="693"/>
      <c r="H5095" s="403">
        <v>40</v>
      </c>
      <c r="I5095" s="1567"/>
      <c r="J5095" s="1543"/>
      <c r="K5095" s="1543"/>
      <c r="L5095" s="1543"/>
      <c r="M5095" s="1543"/>
      <c r="N5095" s="1566"/>
    </row>
    <row r="5096" spans="1:14" ht="14.45" customHeight="1">
      <c r="A5096" s="1544"/>
      <c r="B5096" s="753"/>
      <c r="C5096" s="754"/>
      <c r="D5096" s="294"/>
      <c r="E5096" s="348"/>
      <c r="F5096" s="348"/>
      <c r="G5096" s="348"/>
      <c r="H5096" s="403"/>
      <c r="I5096" s="1567"/>
      <c r="J5096" s="1543"/>
      <c r="K5096" s="1543"/>
      <c r="L5096" s="1543"/>
      <c r="M5096" s="1543"/>
      <c r="N5096" s="1566"/>
    </row>
    <row r="5097" spans="1:14">
      <c r="A5097" s="1538" t="s">
        <v>2218</v>
      </c>
      <c r="B5097" s="1538"/>
      <c r="C5097" s="1538"/>
      <c r="D5097" s="1538"/>
      <c r="E5097" s="1538"/>
      <c r="F5097" s="1538"/>
      <c r="G5097" s="1538"/>
      <c r="H5097" s="271">
        <f>SUM(H5094:H5096)</f>
        <v>40</v>
      </c>
      <c r="I5097" s="1567"/>
      <c r="J5097" s="1543"/>
      <c r="K5097" s="1543"/>
      <c r="L5097" s="1543"/>
      <c r="M5097" s="1543"/>
      <c r="N5097" s="1566"/>
    </row>
    <row r="5098" spans="1:14" ht="14.45" customHeight="1">
      <c r="A5098" s="1519" t="s">
        <v>2219</v>
      </c>
      <c r="B5098" s="1517"/>
      <c r="C5098" s="1517"/>
      <c r="D5098" s="1551"/>
      <c r="E5098" s="1551"/>
      <c r="F5098" s="1551"/>
      <c r="G5098" s="1552"/>
      <c r="H5098" s="325">
        <v>0</v>
      </c>
      <c r="I5098" s="1543"/>
      <c r="J5098" s="1543"/>
      <c r="K5098" s="1543"/>
      <c r="L5098" s="1543"/>
      <c r="M5098" s="1543"/>
      <c r="N5098" s="1566"/>
    </row>
    <row r="5099" spans="1:14" ht="14.45" customHeight="1" thickBot="1">
      <c r="A5099" s="1520" t="s">
        <v>2220</v>
      </c>
      <c r="B5099" s="1521"/>
      <c r="C5099" s="1521"/>
      <c r="D5099" s="1521"/>
      <c r="E5099" s="1521"/>
      <c r="F5099" s="1521"/>
      <c r="G5099" s="1522"/>
      <c r="H5099" s="216">
        <f>H5097-H5098</f>
        <v>40</v>
      </c>
      <c r="I5099" s="1568"/>
      <c r="J5099" s="1568"/>
      <c r="K5099" s="1568"/>
      <c r="L5099" s="1568"/>
      <c r="M5099" s="1568"/>
      <c r="N5099" s="1569"/>
    </row>
    <row r="5100" spans="1:14" ht="29.25" customHeight="1">
      <c r="A5100" s="1119" t="s">
        <v>3904</v>
      </c>
      <c r="B5100" s="1561" t="s">
        <v>1283</v>
      </c>
      <c r="C5100" s="1562"/>
      <c r="D5100" s="1562"/>
      <c r="E5100" s="1562"/>
      <c r="F5100" s="1562"/>
      <c r="G5100" s="1562"/>
      <c r="H5100" s="1562"/>
      <c r="I5100" s="1562"/>
      <c r="J5100" s="1563"/>
      <c r="K5100" s="264" t="s">
        <v>2329</v>
      </c>
      <c r="L5100" s="1564">
        <v>2</v>
      </c>
      <c r="M5100" s="1565"/>
      <c r="N5100" s="265">
        <f>L5100-H5105</f>
        <v>0</v>
      </c>
    </row>
    <row r="5101" spans="1:14">
      <c r="A5101" s="1554"/>
      <c r="B5101" s="1541"/>
      <c r="C5101" s="366"/>
      <c r="D5101" s="367" t="s">
        <v>2183</v>
      </c>
      <c r="E5101" s="1320" t="s">
        <v>2184</v>
      </c>
      <c r="F5101" s="367" t="s">
        <v>2185</v>
      </c>
      <c r="G5101" s="367" t="s">
        <v>2186</v>
      </c>
      <c r="H5101" s="1542" t="s">
        <v>476</v>
      </c>
      <c r="I5101" s="1543"/>
      <c r="J5101" s="1543"/>
      <c r="K5101" s="1543"/>
      <c r="L5101" s="1543"/>
      <c r="M5101" s="1543"/>
      <c r="N5101" s="1566"/>
    </row>
    <row r="5102" spans="1:14" ht="24">
      <c r="A5102" s="1554"/>
      <c r="B5102" s="1541"/>
      <c r="C5102" s="368" t="s">
        <v>2627</v>
      </c>
      <c r="D5102" s="369" t="s">
        <v>2187</v>
      </c>
      <c r="E5102" s="529" t="s">
        <v>3152</v>
      </c>
      <c r="F5102" s="369" t="s">
        <v>2649</v>
      </c>
      <c r="G5102" s="370" t="s">
        <v>2709</v>
      </c>
      <c r="H5102" s="1542"/>
      <c r="I5102" s="1543"/>
      <c r="J5102" s="1543"/>
      <c r="K5102" s="1543"/>
      <c r="L5102" s="1543"/>
      <c r="M5102" s="1543"/>
      <c r="N5102" s="1566"/>
    </row>
    <row r="5103" spans="1:14">
      <c r="A5103" s="1544" t="s">
        <v>3892</v>
      </c>
      <c r="B5103" s="429" t="s">
        <v>3910</v>
      </c>
      <c r="C5103" s="751">
        <v>1</v>
      </c>
      <c r="D5103" s="202"/>
      <c r="E5103" s="346"/>
      <c r="F5103" s="346"/>
      <c r="G5103" s="346"/>
      <c r="H5103" s="403">
        <v>1</v>
      </c>
      <c r="I5103" s="1567"/>
      <c r="J5103" s="1543"/>
      <c r="K5103" s="1543"/>
      <c r="L5103" s="1543"/>
      <c r="M5103" s="1543"/>
      <c r="N5103" s="1566"/>
    </row>
    <row r="5104" spans="1:14">
      <c r="A5104" s="1544"/>
      <c r="B5104" s="953" t="s">
        <v>3911</v>
      </c>
      <c r="C5104" s="954">
        <v>1</v>
      </c>
      <c r="D5104" s="919"/>
      <c r="E5104" s="693"/>
      <c r="F5104" s="693"/>
      <c r="G5104" s="693"/>
      <c r="H5104" s="403">
        <v>1</v>
      </c>
      <c r="I5104" s="1567"/>
      <c r="J5104" s="1543"/>
      <c r="K5104" s="1543"/>
      <c r="L5104" s="1543"/>
      <c r="M5104" s="1543"/>
      <c r="N5104" s="1566"/>
    </row>
    <row r="5105" spans="1:14">
      <c r="A5105" s="1538" t="s">
        <v>2218</v>
      </c>
      <c r="B5105" s="1538"/>
      <c r="C5105" s="1538"/>
      <c r="D5105" s="1538"/>
      <c r="E5105" s="1538"/>
      <c r="F5105" s="1538"/>
      <c r="G5105" s="1538"/>
      <c r="H5105" s="271">
        <f>SUM(H5103:H5104)</f>
        <v>2</v>
      </c>
      <c r="I5105" s="1567"/>
      <c r="J5105" s="1543"/>
      <c r="K5105" s="1543"/>
      <c r="L5105" s="1543"/>
      <c r="M5105" s="1543"/>
      <c r="N5105" s="1566"/>
    </row>
    <row r="5106" spans="1:14" ht="14.45" customHeight="1">
      <c r="A5106" s="1519" t="s">
        <v>2219</v>
      </c>
      <c r="B5106" s="1517"/>
      <c r="C5106" s="1517"/>
      <c r="D5106" s="1551"/>
      <c r="E5106" s="1551"/>
      <c r="F5106" s="1551"/>
      <c r="G5106" s="1552"/>
      <c r="H5106" s="325">
        <v>0</v>
      </c>
      <c r="I5106" s="1543"/>
      <c r="J5106" s="1543"/>
      <c r="K5106" s="1543"/>
      <c r="L5106" s="1543"/>
      <c r="M5106" s="1543"/>
      <c r="N5106" s="1566"/>
    </row>
    <row r="5107" spans="1:14" ht="14.45" customHeight="1" thickBot="1">
      <c r="A5107" s="1520" t="s">
        <v>2220</v>
      </c>
      <c r="B5107" s="1521"/>
      <c r="C5107" s="1521"/>
      <c r="D5107" s="1521"/>
      <c r="E5107" s="1521"/>
      <c r="F5107" s="1521"/>
      <c r="G5107" s="1522"/>
      <c r="H5107" s="216">
        <f>H5105-H5106</f>
        <v>2</v>
      </c>
      <c r="I5107" s="1568"/>
      <c r="J5107" s="1568"/>
      <c r="K5107" s="1568"/>
      <c r="L5107" s="1568"/>
      <c r="M5107" s="1568"/>
      <c r="N5107" s="1569"/>
    </row>
    <row r="5108" spans="1:14">
      <c r="A5108" s="1119" t="s">
        <v>3905</v>
      </c>
      <c r="B5108" s="1561" t="s">
        <v>1286</v>
      </c>
      <c r="C5108" s="1562"/>
      <c r="D5108" s="1562"/>
      <c r="E5108" s="1562"/>
      <c r="F5108" s="1562"/>
      <c r="G5108" s="1562"/>
      <c r="H5108" s="1562"/>
      <c r="I5108" s="1562"/>
      <c r="J5108" s="1563"/>
      <c r="K5108" s="264" t="s">
        <v>44</v>
      </c>
      <c r="L5108" s="1564">
        <v>12</v>
      </c>
      <c r="M5108" s="1565"/>
      <c r="N5108" s="265">
        <f>L5108-H5113</f>
        <v>0</v>
      </c>
    </row>
    <row r="5109" spans="1:14">
      <c r="A5109" s="1554"/>
      <c r="B5109" s="1541"/>
      <c r="C5109" s="366"/>
      <c r="D5109" s="367" t="s">
        <v>2183</v>
      </c>
      <c r="E5109" s="1320" t="s">
        <v>2184</v>
      </c>
      <c r="F5109" s="367" t="s">
        <v>2185</v>
      </c>
      <c r="G5109" s="367" t="s">
        <v>2186</v>
      </c>
      <c r="H5109" s="1542" t="s">
        <v>476</v>
      </c>
      <c r="I5109" s="1543"/>
      <c r="J5109" s="1543"/>
      <c r="K5109" s="1543"/>
      <c r="L5109" s="1543"/>
      <c r="M5109" s="1543"/>
      <c r="N5109" s="1566"/>
    </row>
    <row r="5110" spans="1:14" ht="24">
      <c r="A5110" s="1554"/>
      <c r="B5110" s="1541"/>
      <c r="C5110" s="368" t="s">
        <v>2627</v>
      </c>
      <c r="D5110" s="369" t="s">
        <v>2187</v>
      </c>
      <c r="E5110" s="529" t="s">
        <v>3152</v>
      </c>
      <c r="F5110" s="369" t="s">
        <v>2649</v>
      </c>
      <c r="G5110" s="370" t="s">
        <v>2709</v>
      </c>
      <c r="H5110" s="1542"/>
      <c r="I5110" s="1543"/>
      <c r="J5110" s="1543"/>
      <c r="K5110" s="1543"/>
      <c r="L5110" s="1543"/>
      <c r="M5110" s="1543"/>
      <c r="N5110" s="1566"/>
    </row>
    <row r="5111" spans="1:14">
      <c r="A5111" s="1544" t="s">
        <v>3892</v>
      </c>
      <c r="B5111" s="429" t="s">
        <v>3908</v>
      </c>
      <c r="C5111" s="751">
        <v>12</v>
      </c>
      <c r="D5111" s="202"/>
      <c r="E5111" s="346"/>
      <c r="F5111" s="346"/>
      <c r="G5111" s="346"/>
      <c r="H5111" s="403">
        <v>12</v>
      </c>
      <c r="I5111" s="1567"/>
      <c r="J5111" s="1543"/>
      <c r="K5111" s="1543"/>
      <c r="L5111" s="1543"/>
      <c r="M5111" s="1543"/>
      <c r="N5111" s="1566"/>
    </row>
    <row r="5112" spans="1:14">
      <c r="A5112" s="1544"/>
      <c r="B5112" s="953"/>
      <c r="C5112" s="954"/>
      <c r="D5112" s="919"/>
      <c r="E5112" s="693"/>
      <c r="F5112" s="693"/>
      <c r="G5112" s="693"/>
      <c r="H5112" s="403"/>
      <c r="I5112" s="1567"/>
      <c r="J5112" s="1543"/>
      <c r="K5112" s="1543"/>
      <c r="L5112" s="1543"/>
      <c r="M5112" s="1543"/>
      <c r="N5112" s="1566"/>
    </row>
    <row r="5113" spans="1:14">
      <c r="A5113" s="1538" t="s">
        <v>2218</v>
      </c>
      <c r="B5113" s="1538"/>
      <c r="C5113" s="1538"/>
      <c r="D5113" s="1538"/>
      <c r="E5113" s="1538"/>
      <c r="F5113" s="1538"/>
      <c r="G5113" s="1538"/>
      <c r="H5113" s="271">
        <f>SUM(H5111:H5112)</f>
        <v>12</v>
      </c>
      <c r="I5113" s="1567"/>
      <c r="J5113" s="1543"/>
      <c r="K5113" s="1543"/>
      <c r="L5113" s="1543"/>
      <c r="M5113" s="1543"/>
      <c r="N5113" s="1566"/>
    </row>
    <row r="5114" spans="1:14">
      <c r="A5114" s="1519" t="s">
        <v>2219</v>
      </c>
      <c r="B5114" s="1517"/>
      <c r="C5114" s="1517"/>
      <c r="D5114" s="1551"/>
      <c r="E5114" s="1551"/>
      <c r="F5114" s="1551"/>
      <c r="G5114" s="1552"/>
      <c r="H5114" s="325">
        <v>0</v>
      </c>
      <c r="I5114" s="1543"/>
      <c r="J5114" s="1543"/>
      <c r="K5114" s="1543"/>
      <c r="L5114" s="1543"/>
      <c r="M5114" s="1543"/>
      <c r="N5114" s="1566"/>
    </row>
    <row r="5115" spans="1:14" ht="14.45" customHeight="1" thickBot="1">
      <c r="A5115" s="1520" t="s">
        <v>2220</v>
      </c>
      <c r="B5115" s="1521"/>
      <c r="C5115" s="1521"/>
      <c r="D5115" s="1521"/>
      <c r="E5115" s="1521"/>
      <c r="F5115" s="1521"/>
      <c r="G5115" s="1522"/>
      <c r="H5115" s="216">
        <f>H5113-H5114</f>
        <v>12</v>
      </c>
      <c r="I5115" s="1568"/>
      <c r="J5115" s="1568"/>
      <c r="K5115" s="1568"/>
      <c r="L5115" s="1568"/>
      <c r="M5115" s="1568"/>
      <c r="N5115" s="1569"/>
    </row>
    <row r="5116" spans="1:14">
      <c r="A5116" s="1119" t="s">
        <v>3906</v>
      </c>
      <c r="B5116" s="1561" t="s">
        <v>1289</v>
      </c>
      <c r="C5116" s="1562"/>
      <c r="D5116" s="1562"/>
      <c r="E5116" s="1562"/>
      <c r="F5116" s="1562"/>
      <c r="G5116" s="1562"/>
      <c r="H5116" s="1562"/>
      <c r="I5116" s="1562"/>
      <c r="J5116" s="1563"/>
      <c r="K5116" s="264" t="s">
        <v>44</v>
      </c>
      <c r="L5116" s="1564">
        <v>35</v>
      </c>
      <c r="M5116" s="1565"/>
      <c r="N5116" s="265">
        <f>L5116-H5121</f>
        <v>0</v>
      </c>
    </row>
    <row r="5117" spans="1:14">
      <c r="A5117" s="1554"/>
      <c r="B5117" s="1541"/>
      <c r="C5117" s="366"/>
      <c r="D5117" s="367" t="s">
        <v>2183</v>
      </c>
      <c r="E5117" s="1320" t="s">
        <v>2184</v>
      </c>
      <c r="F5117" s="367" t="s">
        <v>2185</v>
      </c>
      <c r="G5117" s="367" t="s">
        <v>2186</v>
      </c>
      <c r="H5117" s="1542" t="s">
        <v>476</v>
      </c>
      <c r="I5117" s="1543"/>
      <c r="J5117" s="1543"/>
      <c r="K5117" s="1543"/>
      <c r="L5117" s="1543"/>
      <c r="M5117" s="1543"/>
      <c r="N5117" s="1566"/>
    </row>
    <row r="5118" spans="1:14" ht="24">
      <c r="A5118" s="1554"/>
      <c r="B5118" s="1541"/>
      <c r="C5118" s="368" t="s">
        <v>2627</v>
      </c>
      <c r="D5118" s="369" t="s">
        <v>2187</v>
      </c>
      <c r="E5118" s="529" t="s">
        <v>3152</v>
      </c>
      <c r="F5118" s="369" t="s">
        <v>2649</v>
      </c>
      <c r="G5118" s="370" t="s">
        <v>2709</v>
      </c>
      <c r="H5118" s="1542"/>
      <c r="I5118" s="1543"/>
      <c r="J5118" s="1543"/>
      <c r="K5118" s="1543"/>
      <c r="L5118" s="1543"/>
      <c r="M5118" s="1543"/>
      <c r="N5118" s="1566"/>
    </row>
    <row r="5119" spans="1:14">
      <c r="A5119" s="1544" t="s">
        <v>3892</v>
      </c>
      <c r="B5119" s="429" t="s">
        <v>3909</v>
      </c>
      <c r="C5119" s="751">
        <v>35</v>
      </c>
      <c r="D5119" s="202"/>
      <c r="E5119" s="346"/>
      <c r="F5119" s="346"/>
      <c r="G5119" s="346"/>
      <c r="H5119" s="403">
        <v>35</v>
      </c>
      <c r="I5119" s="1567"/>
      <c r="J5119" s="1543"/>
      <c r="K5119" s="1543"/>
      <c r="L5119" s="1543"/>
      <c r="M5119" s="1543"/>
      <c r="N5119" s="1566"/>
    </row>
    <row r="5120" spans="1:14">
      <c r="A5120" s="1544"/>
      <c r="B5120" s="953"/>
      <c r="C5120" s="954"/>
      <c r="D5120" s="919"/>
      <c r="E5120" s="693"/>
      <c r="F5120" s="693"/>
      <c r="G5120" s="693"/>
      <c r="H5120" s="403"/>
      <c r="I5120" s="1567"/>
      <c r="J5120" s="1543"/>
      <c r="K5120" s="1543"/>
      <c r="L5120" s="1543"/>
      <c r="M5120" s="1543"/>
      <c r="N5120" s="1566"/>
    </row>
    <row r="5121" spans="1:14">
      <c r="A5121" s="1538" t="s">
        <v>2218</v>
      </c>
      <c r="B5121" s="1538"/>
      <c r="C5121" s="1538"/>
      <c r="D5121" s="1538"/>
      <c r="E5121" s="1538"/>
      <c r="F5121" s="1538"/>
      <c r="G5121" s="1538"/>
      <c r="H5121" s="271">
        <f>SUM(H5119:H5120)</f>
        <v>35</v>
      </c>
      <c r="I5121" s="1567"/>
      <c r="J5121" s="1543"/>
      <c r="K5121" s="1543"/>
      <c r="L5121" s="1543"/>
      <c r="M5121" s="1543"/>
      <c r="N5121" s="1566"/>
    </row>
    <row r="5122" spans="1:14">
      <c r="A5122" s="1519" t="s">
        <v>2219</v>
      </c>
      <c r="B5122" s="1517"/>
      <c r="C5122" s="1517"/>
      <c r="D5122" s="1551"/>
      <c r="E5122" s="1551"/>
      <c r="F5122" s="1551"/>
      <c r="G5122" s="1552"/>
      <c r="H5122" s="325">
        <v>0</v>
      </c>
      <c r="I5122" s="1543"/>
      <c r="J5122" s="1543"/>
      <c r="K5122" s="1543"/>
      <c r="L5122" s="1543"/>
      <c r="M5122" s="1543"/>
      <c r="N5122" s="1566"/>
    </row>
    <row r="5123" spans="1:14" ht="15.75" thickBot="1">
      <c r="A5123" s="1520" t="s">
        <v>2220</v>
      </c>
      <c r="B5123" s="1521"/>
      <c r="C5123" s="1521"/>
      <c r="D5123" s="1521"/>
      <c r="E5123" s="1521"/>
      <c r="F5123" s="1521"/>
      <c r="G5123" s="1522"/>
      <c r="H5123" s="216">
        <f>H5121-H5122</f>
        <v>35</v>
      </c>
      <c r="I5123" s="1568"/>
      <c r="J5123" s="1568"/>
      <c r="K5123" s="1568"/>
      <c r="L5123" s="1568"/>
      <c r="M5123" s="1568"/>
      <c r="N5123" s="1569"/>
    </row>
    <row r="5124" spans="1:14" ht="30" customHeight="1">
      <c r="A5124" s="1119" t="s">
        <v>3348</v>
      </c>
      <c r="B5124" s="1561" t="s">
        <v>1292</v>
      </c>
      <c r="C5124" s="1562"/>
      <c r="D5124" s="1562"/>
      <c r="E5124" s="1562"/>
      <c r="F5124" s="1562"/>
      <c r="G5124" s="1562"/>
      <c r="H5124" s="1562"/>
      <c r="I5124" s="1562"/>
      <c r="J5124" s="1563"/>
      <c r="K5124" s="264" t="s">
        <v>44</v>
      </c>
      <c r="L5124" s="1564">
        <f>'27ª MEDIÇÃO '!F333</f>
        <v>5</v>
      </c>
      <c r="M5124" s="1565"/>
      <c r="N5124" s="265">
        <f>L5124-H5140</f>
        <v>0</v>
      </c>
    </row>
    <row r="5125" spans="1:14">
      <c r="A5125" s="1554"/>
      <c r="B5125" s="1541"/>
      <c r="C5125" s="366"/>
      <c r="D5125" s="367" t="s">
        <v>2183</v>
      </c>
      <c r="E5125" s="1320" t="s">
        <v>2184</v>
      </c>
      <c r="F5125" s="367" t="s">
        <v>2185</v>
      </c>
      <c r="G5125" s="367" t="s">
        <v>2186</v>
      </c>
      <c r="H5125" s="1542" t="s">
        <v>476</v>
      </c>
      <c r="I5125" s="1543"/>
      <c r="J5125" s="1543"/>
      <c r="K5125" s="1543"/>
      <c r="L5125" s="1543"/>
      <c r="M5125" s="1543"/>
      <c r="N5125" s="1566"/>
    </row>
    <row r="5126" spans="1:14" ht="24">
      <c r="A5126" s="1554"/>
      <c r="B5126" s="1541"/>
      <c r="C5126" s="368" t="s">
        <v>2627</v>
      </c>
      <c r="D5126" s="369" t="s">
        <v>2187</v>
      </c>
      <c r="E5126" s="529" t="s">
        <v>3152</v>
      </c>
      <c r="F5126" s="369" t="s">
        <v>2649</v>
      </c>
      <c r="G5126" s="370" t="s">
        <v>2709</v>
      </c>
      <c r="H5126" s="1542"/>
      <c r="I5126" s="1543"/>
      <c r="J5126" s="1543"/>
      <c r="K5126" s="1543"/>
      <c r="L5126" s="1543"/>
      <c r="M5126" s="1543"/>
      <c r="N5126" s="1566"/>
    </row>
    <row r="5127" spans="1:14">
      <c r="A5127" s="1544" t="s">
        <v>3294</v>
      </c>
      <c r="B5127" s="429"/>
      <c r="C5127" s="751"/>
      <c r="D5127" s="202"/>
      <c r="E5127" s="346"/>
      <c r="F5127" s="346"/>
      <c r="G5127" s="346"/>
      <c r="H5127" s="403"/>
      <c r="I5127" s="1567"/>
      <c r="J5127" s="1543"/>
      <c r="K5127" s="1543"/>
      <c r="L5127" s="1543"/>
      <c r="M5127" s="1543"/>
      <c r="N5127" s="1566"/>
    </row>
    <row r="5128" spans="1:14">
      <c r="A5128" s="1544"/>
      <c r="B5128" s="953" t="s">
        <v>3349</v>
      </c>
      <c r="C5128" s="954">
        <v>1</v>
      </c>
      <c r="D5128" s="919"/>
      <c r="E5128" s="693"/>
      <c r="F5128" s="693"/>
      <c r="G5128" s="693"/>
      <c r="H5128" s="403">
        <v>1</v>
      </c>
      <c r="I5128" s="1567"/>
      <c r="J5128" s="1543"/>
      <c r="K5128" s="1543"/>
      <c r="L5128" s="1543"/>
      <c r="M5128" s="1543"/>
      <c r="N5128" s="1566"/>
    </row>
    <row r="5129" spans="1:14">
      <c r="A5129" s="1544"/>
      <c r="B5129" s="753"/>
      <c r="C5129" s="754"/>
      <c r="D5129" s="294"/>
      <c r="E5129" s="348"/>
      <c r="F5129" s="348"/>
      <c r="G5129" s="348"/>
      <c r="H5129" s="403"/>
      <c r="I5129" s="1567"/>
      <c r="J5129" s="1543"/>
      <c r="K5129" s="1543"/>
      <c r="L5129" s="1543"/>
      <c r="M5129" s="1543"/>
      <c r="N5129" s="1566"/>
    </row>
    <row r="5130" spans="1:14">
      <c r="A5130" s="1544" t="s">
        <v>3428</v>
      </c>
      <c r="B5130" s="429"/>
      <c r="C5130" s="751"/>
      <c r="D5130" s="202"/>
      <c r="E5130" s="346"/>
      <c r="F5130" s="346"/>
      <c r="G5130" s="346"/>
      <c r="H5130" s="403"/>
      <c r="I5130" s="1567"/>
      <c r="J5130" s="1543"/>
      <c r="K5130" s="1543"/>
      <c r="L5130" s="1543"/>
      <c r="M5130" s="1543"/>
      <c r="N5130" s="1566"/>
    </row>
    <row r="5131" spans="1:14">
      <c r="A5131" s="1544"/>
      <c r="B5131" s="953" t="s">
        <v>3449</v>
      </c>
      <c r="C5131" s="954">
        <v>1</v>
      </c>
      <c r="D5131" s="919"/>
      <c r="E5131" s="693"/>
      <c r="F5131" s="693"/>
      <c r="G5131" s="693"/>
      <c r="H5131" s="403">
        <v>1</v>
      </c>
      <c r="I5131" s="1567"/>
      <c r="J5131" s="1543"/>
      <c r="K5131" s="1543"/>
      <c r="L5131" s="1543"/>
      <c r="M5131" s="1543"/>
      <c r="N5131" s="1566"/>
    </row>
    <row r="5132" spans="1:14">
      <c r="A5132" s="1544"/>
      <c r="B5132" s="753"/>
      <c r="C5132" s="754"/>
      <c r="D5132" s="294"/>
      <c r="E5132" s="348"/>
      <c r="F5132" s="348"/>
      <c r="G5132" s="348"/>
      <c r="H5132" s="403"/>
      <c r="I5132" s="1567"/>
      <c r="J5132" s="1543"/>
      <c r="K5132" s="1543"/>
      <c r="L5132" s="1543"/>
      <c r="M5132" s="1543"/>
      <c r="N5132" s="1566"/>
    </row>
    <row r="5133" spans="1:14">
      <c r="A5133" s="1544" t="s">
        <v>3745</v>
      </c>
      <c r="B5133" s="429"/>
      <c r="C5133" s="751"/>
      <c r="D5133" s="202"/>
      <c r="E5133" s="346"/>
      <c r="F5133" s="346"/>
      <c r="G5133" s="346"/>
      <c r="H5133" s="403"/>
      <c r="I5133" s="1567"/>
      <c r="J5133" s="1543"/>
      <c r="K5133" s="1543"/>
      <c r="L5133" s="1543"/>
      <c r="M5133" s="1543"/>
      <c r="N5133" s="1566"/>
    </row>
    <row r="5134" spans="1:14">
      <c r="A5134" s="1544"/>
      <c r="B5134" s="953" t="s">
        <v>3819</v>
      </c>
      <c r="C5134" s="954">
        <v>1</v>
      </c>
      <c r="D5134" s="919"/>
      <c r="E5134" s="693"/>
      <c r="F5134" s="693"/>
      <c r="G5134" s="693"/>
      <c r="H5134" s="403">
        <v>1</v>
      </c>
      <c r="I5134" s="1567"/>
      <c r="J5134" s="1543"/>
      <c r="K5134" s="1543"/>
      <c r="L5134" s="1543"/>
      <c r="M5134" s="1543"/>
      <c r="N5134" s="1566"/>
    </row>
    <row r="5135" spans="1:14">
      <c r="A5135" s="1544"/>
      <c r="B5135" s="753"/>
      <c r="C5135" s="754"/>
      <c r="D5135" s="294"/>
      <c r="E5135" s="348"/>
      <c r="F5135" s="348"/>
      <c r="G5135" s="348"/>
      <c r="H5135" s="403"/>
      <c r="I5135" s="1567"/>
      <c r="J5135" s="1543"/>
      <c r="K5135" s="1543"/>
      <c r="L5135" s="1543"/>
      <c r="M5135" s="1543"/>
      <c r="N5135" s="1566"/>
    </row>
    <row r="5136" spans="1:14">
      <c r="A5136" s="1514" t="s">
        <v>3850</v>
      </c>
      <c r="B5136" s="429"/>
      <c r="C5136" s="751"/>
      <c r="D5136" s="202"/>
      <c r="E5136" s="346"/>
      <c r="F5136" s="346"/>
      <c r="G5136" s="346"/>
      <c r="H5136" s="403"/>
      <c r="I5136" s="1567"/>
      <c r="J5136" s="1543"/>
      <c r="K5136" s="1543"/>
      <c r="L5136" s="1543"/>
      <c r="M5136" s="1543"/>
      <c r="N5136" s="1566"/>
    </row>
    <row r="5137" spans="1:14" ht="30" customHeight="1">
      <c r="A5137" s="1515"/>
      <c r="B5137" s="953" t="s">
        <v>3819</v>
      </c>
      <c r="C5137" s="954">
        <v>1</v>
      </c>
      <c r="D5137" s="919"/>
      <c r="E5137" s="693"/>
      <c r="F5137" s="693"/>
      <c r="G5137" s="693"/>
      <c r="H5137" s="403">
        <v>1</v>
      </c>
      <c r="I5137" s="1567"/>
      <c r="J5137" s="1543"/>
      <c r="K5137" s="1543"/>
      <c r="L5137" s="1543"/>
      <c r="M5137" s="1543"/>
      <c r="N5137" s="1566"/>
    </row>
    <row r="5138" spans="1:14" ht="30" customHeight="1">
      <c r="A5138" s="1094" t="s">
        <v>4003</v>
      </c>
      <c r="B5138" s="953" t="s">
        <v>4069</v>
      </c>
      <c r="C5138" s="954">
        <v>1</v>
      </c>
      <c r="D5138" s="919"/>
      <c r="E5138" s="693"/>
      <c r="F5138" s="693"/>
      <c r="G5138" s="693"/>
      <c r="H5138" s="403">
        <v>1</v>
      </c>
      <c r="I5138" s="1567"/>
      <c r="J5138" s="1543"/>
      <c r="K5138" s="1543"/>
      <c r="L5138" s="1543"/>
      <c r="M5138" s="1543"/>
      <c r="N5138" s="1566"/>
    </row>
    <row r="5139" spans="1:14">
      <c r="A5139" s="1094"/>
      <c r="B5139" s="753"/>
      <c r="C5139" s="754"/>
      <c r="D5139" s="294"/>
      <c r="E5139" s="348"/>
      <c r="F5139" s="348"/>
      <c r="G5139" s="348"/>
      <c r="H5139" s="403"/>
      <c r="I5139" s="1567"/>
      <c r="J5139" s="1543"/>
      <c r="K5139" s="1543"/>
      <c r="L5139" s="1543"/>
      <c r="M5139" s="1543"/>
      <c r="N5139" s="1566"/>
    </row>
    <row r="5140" spans="1:14">
      <c r="A5140" s="1538" t="s">
        <v>2218</v>
      </c>
      <c r="B5140" s="1538"/>
      <c r="C5140" s="1538"/>
      <c r="D5140" s="1538"/>
      <c r="E5140" s="1538"/>
      <c r="F5140" s="1538"/>
      <c r="G5140" s="1538"/>
      <c r="H5140" s="271">
        <f>SUM(H5127:H5139)</f>
        <v>5</v>
      </c>
      <c r="I5140" s="1567"/>
      <c r="J5140" s="1543"/>
      <c r="K5140" s="1543"/>
      <c r="L5140" s="1543"/>
      <c r="M5140" s="1543"/>
      <c r="N5140" s="1566"/>
    </row>
    <row r="5141" spans="1:14">
      <c r="A5141" s="1519" t="s">
        <v>2219</v>
      </c>
      <c r="B5141" s="1517"/>
      <c r="C5141" s="1517"/>
      <c r="D5141" s="1551"/>
      <c r="E5141" s="1551"/>
      <c r="F5141" s="1551"/>
      <c r="G5141" s="1552"/>
      <c r="H5141" s="325">
        <f>SUM(H5127:H5137)</f>
        <v>4</v>
      </c>
      <c r="I5141" s="1543"/>
      <c r="J5141" s="1543"/>
      <c r="K5141" s="1543"/>
      <c r="L5141" s="1543"/>
      <c r="M5141" s="1543"/>
      <c r="N5141" s="1566"/>
    </row>
    <row r="5142" spans="1:14" ht="15.75" thickBot="1">
      <c r="A5142" s="1520" t="s">
        <v>2220</v>
      </c>
      <c r="B5142" s="1521"/>
      <c r="C5142" s="1521"/>
      <c r="D5142" s="1521"/>
      <c r="E5142" s="1521"/>
      <c r="F5142" s="1521"/>
      <c r="G5142" s="1522"/>
      <c r="H5142" s="216">
        <f>H5140-H5141</f>
        <v>1</v>
      </c>
      <c r="I5142" s="1568"/>
      <c r="J5142" s="1568"/>
      <c r="K5142" s="1568"/>
      <c r="L5142" s="1568"/>
      <c r="M5142" s="1568"/>
      <c r="N5142" s="1569"/>
    </row>
    <row r="5143" spans="1:14">
      <c r="A5143" s="1119" t="s">
        <v>3885</v>
      </c>
      <c r="B5143" s="1561" t="s">
        <v>1295</v>
      </c>
      <c r="C5143" s="1562"/>
      <c r="D5143" s="1562"/>
      <c r="E5143" s="1562"/>
      <c r="F5143" s="1562"/>
      <c r="G5143" s="1562"/>
      <c r="H5143" s="1562"/>
      <c r="I5143" s="1562"/>
      <c r="J5143" s="1563"/>
      <c r="K5143" s="264" t="s">
        <v>44</v>
      </c>
      <c r="L5143" s="1564">
        <v>12</v>
      </c>
      <c r="M5143" s="1565"/>
      <c r="N5143" s="265">
        <f>L5143-H5148</f>
        <v>0</v>
      </c>
    </row>
    <row r="5144" spans="1:14">
      <c r="A5144" s="1554"/>
      <c r="B5144" s="1541"/>
      <c r="C5144" s="366"/>
      <c r="D5144" s="367" t="s">
        <v>2183</v>
      </c>
      <c r="E5144" s="1320" t="s">
        <v>2184</v>
      </c>
      <c r="F5144" s="367" t="s">
        <v>2185</v>
      </c>
      <c r="G5144" s="367" t="s">
        <v>2186</v>
      </c>
      <c r="H5144" s="1542" t="s">
        <v>476</v>
      </c>
      <c r="I5144" s="1543"/>
      <c r="J5144" s="1543"/>
      <c r="K5144" s="1543"/>
      <c r="L5144" s="1543"/>
      <c r="M5144" s="1543"/>
      <c r="N5144" s="1566"/>
    </row>
    <row r="5145" spans="1:14" ht="24">
      <c r="A5145" s="1554"/>
      <c r="B5145" s="1541"/>
      <c r="C5145" s="368" t="s">
        <v>2627</v>
      </c>
      <c r="D5145" s="369" t="s">
        <v>2187</v>
      </c>
      <c r="E5145" s="529" t="s">
        <v>3152</v>
      </c>
      <c r="F5145" s="369" t="s">
        <v>2649</v>
      </c>
      <c r="G5145" s="370" t="s">
        <v>2709</v>
      </c>
      <c r="H5145" s="1542"/>
      <c r="I5145" s="1543"/>
      <c r="J5145" s="1543"/>
      <c r="K5145" s="1543"/>
      <c r="L5145" s="1543"/>
      <c r="M5145" s="1543"/>
      <c r="N5145" s="1566"/>
    </row>
    <row r="5146" spans="1:14">
      <c r="A5146" s="1544" t="s">
        <v>3850</v>
      </c>
      <c r="B5146" s="429" t="s">
        <v>3199</v>
      </c>
      <c r="C5146" s="369">
        <v>12</v>
      </c>
      <c r="D5146" s="369"/>
      <c r="E5146" s="529">
        <v>1</v>
      </c>
      <c r="F5146" s="369"/>
      <c r="G5146" s="369"/>
      <c r="H5146" s="943">
        <f>E5146*C5146</f>
        <v>12</v>
      </c>
      <c r="I5146" s="1567"/>
      <c r="J5146" s="1543"/>
      <c r="K5146" s="1543"/>
      <c r="L5146" s="1543"/>
      <c r="M5146" s="1543"/>
      <c r="N5146" s="1566"/>
    </row>
    <row r="5147" spans="1:14">
      <c r="A5147" s="1544"/>
      <c r="B5147" s="753"/>
      <c r="C5147" s="369"/>
      <c r="D5147" s="369"/>
      <c r="E5147" s="529"/>
      <c r="F5147" s="369"/>
      <c r="G5147" s="369"/>
      <c r="H5147" s="943"/>
      <c r="I5147" s="1567"/>
      <c r="J5147" s="1543"/>
      <c r="K5147" s="1543"/>
      <c r="L5147" s="1543"/>
      <c r="M5147" s="1543"/>
      <c r="N5147" s="1566"/>
    </row>
    <row r="5148" spans="1:14">
      <c r="A5148" s="1538" t="s">
        <v>2218</v>
      </c>
      <c r="B5148" s="1538"/>
      <c r="C5148" s="1538"/>
      <c r="D5148" s="1538"/>
      <c r="E5148" s="1538"/>
      <c r="F5148" s="1538"/>
      <c r="G5148" s="1538"/>
      <c r="H5148" s="271">
        <f>SUM(H5146:H5147)</f>
        <v>12</v>
      </c>
      <c r="I5148" s="1567"/>
      <c r="J5148" s="1543"/>
      <c r="K5148" s="1543"/>
      <c r="L5148" s="1543"/>
      <c r="M5148" s="1543"/>
      <c r="N5148" s="1566"/>
    </row>
    <row r="5149" spans="1:14">
      <c r="A5149" s="1519" t="s">
        <v>2219</v>
      </c>
      <c r="B5149" s="1517"/>
      <c r="C5149" s="1517"/>
      <c r="D5149" s="1551"/>
      <c r="E5149" s="1551"/>
      <c r="F5149" s="1551"/>
      <c r="G5149" s="1552"/>
      <c r="H5149" s="325">
        <v>0</v>
      </c>
      <c r="I5149" s="1543"/>
      <c r="J5149" s="1543"/>
      <c r="K5149" s="1543"/>
      <c r="L5149" s="1543"/>
      <c r="M5149" s="1543"/>
      <c r="N5149" s="1566"/>
    </row>
    <row r="5150" spans="1:14" ht="15.75" thickBot="1">
      <c r="A5150" s="1520" t="s">
        <v>2220</v>
      </c>
      <c r="B5150" s="1521"/>
      <c r="C5150" s="1521"/>
      <c r="D5150" s="1521"/>
      <c r="E5150" s="1521"/>
      <c r="F5150" s="1521"/>
      <c r="G5150" s="1522"/>
      <c r="H5150" s="216">
        <f>H5148-H5149</f>
        <v>12</v>
      </c>
      <c r="I5150" s="1568"/>
      <c r="J5150" s="1568"/>
      <c r="K5150" s="1568"/>
      <c r="L5150" s="1568"/>
      <c r="M5150" s="1568"/>
      <c r="N5150" s="1569"/>
    </row>
    <row r="5151" spans="1:14" ht="30" customHeight="1"/>
    <row r="5152" spans="1:14">
      <c r="A5152" s="1119" t="s">
        <v>3450</v>
      </c>
      <c r="B5152" s="1561" t="s">
        <v>1298</v>
      </c>
      <c r="C5152" s="1562"/>
      <c r="D5152" s="1562"/>
      <c r="E5152" s="1562"/>
      <c r="F5152" s="1562"/>
      <c r="G5152" s="1562"/>
      <c r="H5152" s="1562"/>
      <c r="I5152" s="1562"/>
      <c r="J5152" s="1563"/>
      <c r="K5152" s="264" t="s">
        <v>44</v>
      </c>
      <c r="L5152" s="1564">
        <f>'27ª MEDIÇÃO '!F335</f>
        <v>13</v>
      </c>
      <c r="M5152" s="1565"/>
      <c r="N5152" s="265">
        <f>L5152-H5157</f>
        <v>0</v>
      </c>
    </row>
    <row r="5153" spans="1:14">
      <c r="A5153" s="1554"/>
      <c r="B5153" s="1541"/>
      <c r="C5153" s="366"/>
      <c r="D5153" s="367" t="s">
        <v>2183</v>
      </c>
      <c r="E5153" s="1320" t="s">
        <v>2184</v>
      </c>
      <c r="F5153" s="367" t="s">
        <v>2185</v>
      </c>
      <c r="G5153" s="367" t="s">
        <v>2186</v>
      </c>
      <c r="H5153" s="1542" t="s">
        <v>476</v>
      </c>
      <c r="I5153" s="1543"/>
      <c r="J5153" s="1543"/>
      <c r="K5153" s="1543"/>
      <c r="L5153" s="1543"/>
      <c r="M5153" s="1543"/>
      <c r="N5153" s="1566"/>
    </row>
    <row r="5154" spans="1:14" ht="24">
      <c r="A5154" s="1554"/>
      <c r="B5154" s="1541"/>
      <c r="C5154" s="368" t="s">
        <v>2627</v>
      </c>
      <c r="D5154" s="369" t="s">
        <v>2187</v>
      </c>
      <c r="E5154" s="529" t="s">
        <v>3152</v>
      </c>
      <c r="F5154" s="369" t="s">
        <v>2649</v>
      </c>
      <c r="G5154" s="370" t="s">
        <v>2709</v>
      </c>
      <c r="H5154" s="1542"/>
      <c r="I5154" s="1543"/>
      <c r="J5154" s="1543"/>
      <c r="K5154" s="1543"/>
      <c r="L5154" s="1543"/>
      <c r="M5154" s="1543"/>
      <c r="N5154" s="1566"/>
    </row>
    <row r="5155" spans="1:14">
      <c r="A5155" s="1544" t="s">
        <v>3428</v>
      </c>
      <c r="B5155" s="429" t="s">
        <v>3199</v>
      </c>
      <c r="C5155" s="369">
        <v>13</v>
      </c>
      <c r="D5155" s="369"/>
      <c r="E5155" s="529">
        <v>1</v>
      </c>
      <c r="F5155" s="369"/>
      <c r="G5155" s="369"/>
      <c r="H5155" s="943">
        <f>E5155*C5155</f>
        <v>13</v>
      </c>
      <c r="I5155" s="1567"/>
      <c r="J5155" s="1543"/>
      <c r="K5155" s="1543"/>
      <c r="L5155" s="1543"/>
      <c r="M5155" s="1543"/>
      <c r="N5155" s="1566"/>
    </row>
    <row r="5156" spans="1:14">
      <c r="A5156" s="1544"/>
      <c r="B5156" s="753"/>
      <c r="C5156" s="369"/>
      <c r="D5156" s="369"/>
      <c r="E5156" s="529"/>
      <c r="F5156" s="369"/>
      <c r="G5156" s="369"/>
      <c r="H5156" s="943"/>
      <c r="I5156" s="1567"/>
      <c r="J5156" s="1543"/>
      <c r="K5156" s="1543"/>
      <c r="L5156" s="1543"/>
      <c r="M5156" s="1543"/>
      <c r="N5156" s="1566"/>
    </row>
    <row r="5157" spans="1:14">
      <c r="A5157" s="1538" t="s">
        <v>2218</v>
      </c>
      <c r="B5157" s="1538"/>
      <c r="C5157" s="1538"/>
      <c r="D5157" s="1538"/>
      <c r="E5157" s="1538"/>
      <c r="F5157" s="1538"/>
      <c r="G5157" s="1538"/>
      <c r="H5157" s="271">
        <f>SUM(H5155:H5156)</f>
        <v>13</v>
      </c>
      <c r="I5157" s="1567"/>
      <c r="J5157" s="1543"/>
      <c r="K5157" s="1543"/>
      <c r="L5157" s="1543"/>
      <c r="M5157" s="1543"/>
      <c r="N5157" s="1566"/>
    </row>
    <row r="5158" spans="1:14">
      <c r="A5158" s="1519" t="s">
        <v>2219</v>
      </c>
      <c r="B5158" s="1517"/>
      <c r="C5158" s="1517"/>
      <c r="D5158" s="1551"/>
      <c r="E5158" s="1551"/>
      <c r="F5158" s="1551"/>
      <c r="G5158" s="1552"/>
      <c r="H5158" s="325">
        <v>0</v>
      </c>
      <c r="I5158" s="1543"/>
      <c r="J5158" s="1543"/>
      <c r="K5158" s="1543"/>
      <c r="L5158" s="1543"/>
      <c r="M5158" s="1543"/>
      <c r="N5158" s="1566"/>
    </row>
    <row r="5159" spans="1:14" ht="15.75" thickBot="1">
      <c r="A5159" s="1520" t="s">
        <v>2220</v>
      </c>
      <c r="B5159" s="1521"/>
      <c r="C5159" s="1521"/>
      <c r="D5159" s="1521"/>
      <c r="E5159" s="1521"/>
      <c r="F5159" s="1521"/>
      <c r="G5159" s="1522"/>
      <c r="H5159" s="216">
        <f>H5157-H5158</f>
        <v>13</v>
      </c>
      <c r="I5159" s="1568"/>
      <c r="J5159" s="1568"/>
      <c r="K5159" s="1568"/>
      <c r="L5159" s="1568"/>
      <c r="M5159" s="1568"/>
      <c r="N5159" s="1569"/>
    </row>
    <row r="5160" spans="1:14">
      <c r="A5160" s="1119" t="s">
        <v>4070</v>
      </c>
      <c r="B5160" s="1561" t="s">
        <v>1301</v>
      </c>
      <c r="C5160" s="1562"/>
      <c r="D5160" s="1562"/>
      <c r="E5160" s="1562"/>
      <c r="F5160" s="1562"/>
      <c r="G5160" s="1562"/>
      <c r="H5160" s="1562"/>
      <c r="I5160" s="1562"/>
      <c r="J5160" s="1563"/>
      <c r="K5160" s="264" t="s">
        <v>44</v>
      </c>
      <c r="L5160" s="1564">
        <v>6</v>
      </c>
      <c r="M5160" s="1565"/>
      <c r="N5160" s="265">
        <f>L5160-H5165</f>
        <v>0</v>
      </c>
    </row>
    <row r="5161" spans="1:14">
      <c r="A5161" s="1554"/>
      <c r="B5161" s="1541"/>
      <c r="C5161" s="366"/>
      <c r="D5161" s="367" t="s">
        <v>2183</v>
      </c>
      <c r="E5161" s="1320" t="s">
        <v>2184</v>
      </c>
      <c r="F5161" s="367" t="s">
        <v>2185</v>
      </c>
      <c r="G5161" s="367" t="s">
        <v>2186</v>
      </c>
      <c r="H5161" s="1542" t="s">
        <v>476</v>
      </c>
      <c r="I5161" s="1543"/>
      <c r="J5161" s="1543"/>
      <c r="K5161" s="1543"/>
      <c r="L5161" s="1543"/>
      <c r="M5161" s="1543"/>
      <c r="N5161" s="1566"/>
    </row>
    <row r="5162" spans="1:14" ht="24">
      <c r="A5162" s="1554"/>
      <c r="B5162" s="1541"/>
      <c r="C5162" s="368" t="s">
        <v>2627</v>
      </c>
      <c r="D5162" s="369" t="s">
        <v>2187</v>
      </c>
      <c r="E5162" s="529" t="s">
        <v>3152</v>
      </c>
      <c r="F5162" s="369" t="s">
        <v>2649</v>
      </c>
      <c r="G5162" s="370" t="s">
        <v>2709</v>
      </c>
      <c r="H5162" s="1542"/>
      <c r="I5162" s="1543"/>
      <c r="J5162" s="1543"/>
      <c r="K5162" s="1543"/>
      <c r="L5162" s="1543"/>
      <c r="M5162" s="1543"/>
      <c r="N5162" s="1566"/>
    </row>
    <row r="5163" spans="1:14">
      <c r="A5163" s="1544" t="s">
        <v>4003</v>
      </c>
      <c r="B5163" s="429" t="s">
        <v>4071</v>
      </c>
      <c r="C5163" s="369">
        <v>6</v>
      </c>
      <c r="D5163" s="369"/>
      <c r="E5163" s="529">
        <v>1</v>
      </c>
      <c r="F5163" s="369"/>
      <c r="G5163" s="369"/>
      <c r="H5163" s="943">
        <f>E5163*C5163</f>
        <v>6</v>
      </c>
      <c r="I5163" s="1567"/>
      <c r="J5163" s="1543"/>
      <c r="K5163" s="1543"/>
      <c r="L5163" s="1543"/>
      <c r="M5163" s="1543"/>
      <c r="N5163" s="1566"/>
    </row>
    <row r="5164" spans="1:14">
      <c r="A5164" s="1544"/>
      <c r="B5164" s="753"/>
      <c r="C5164" s="369"/>
      <c r="D5164" s="369"/>
      <c r="E5164" s="529"/>
      <c r="F5164" s="369"/>
      <c r="G5164" s="369"/>
      <c r="H5164" s="943"/>
      <c r="I5164" s="1567"/>
      <c r="J5164" s="1543"/>
      <c r="K5164" s="1543"/>
      <c r="L5164" s="1543"/>
      <c r="M5164" s="1543"/>
      <c r="N5164" s="1566"/>
    </row>
    <row r="5165" spans="1:14">
      <c r="A5165" s="1538" t="s">
        <v>2218</v>
      </c>
      <c r="B5165" s="1538"/>
      <c r="C5165" s="1538"/>
      <c r="D5165" s="1538"/>
      <c r="E5165" s="1538"/>
      <c r="F5165" s="1538"/>
      <c r="G5165" s="1538"/>
      <c r="H5165" s="271">
        <f>SUM(H5163:H5164)</f>
        <v>6</v>
      </c>
      <c r="I5165" s="1567"/>
      <c r="J5165" s="1543"/>
      <c r="K5165" s="1543"/>
      <c r="L5165" s="1543"/>
      <c r="M5165" s="1543"/>
      <c r="N5165" s="1566"/>
    </row>
    <row r="5166" spans="1:14">
      <c r="A5166" s="1519" t="s">
        <v>2219</v>
      </c>
      <c r="B5166" s="1517"/>
      <c r="C5166" s="1517"/>
      <c r="D5166" s="1551"/>
      <c r="E5166" s="1551"/>
      <c r="F5166" s="1551"/>
      <c r="G5166" s="1552"/>
      <c r="H5166" s="325">
        <v>0</v>
      </c>
      <c r="I5166" s="1543"/>
      <c r="J5166" s="1543"/>
      <c r="K5166" s="1543"/>
      <c r="L5166" s="1543"/>
      <c r="M5166" s="1543"/>
      <c r="N5166" s="1566"/>
    </row>
    <row r="5167" spans="1:14" ht="15.75" thickBot="1">
      <c r="A5167" s="1520" t="s">
        <v>2220</v>
      </c>
      <c r="B5167" s="1521"/>
      <c r="C5167" s="1521"/>
      <c r="D5167" s="1521"/>
      <c r="E5167" s="1521"/>
      <c r="F5167" s="1521"/>
      <c r="G5167" s="1522"/>
      <c r="H5167" s="216">
        <f>H5165-H5166</f>
        <v>6</v>
      </c>
      <c r="I5167" s="1568"/>
      <c r="J5167" s="1568"/>
      <c r="K5167" s="1568"/>
      <c r="L5167" s="1568"/>
      <c r="M5167" s="1568"/>
      <c r="N5167" s="1569"/>
    </row>
    <row r="5168" spans="1:14">
      <c r="A5168" s="1119" t="s">
        <v>3912</v>
      </c>
      <c r="B5168" s="1561" t="s">
        <v>1304</v>
      </c>
      <c r="C5168" s="1562"/>
      <c r="D5168" s="1562"/>
      <c r="E5168" s="1562"/>
      <c r="F5168" s="1562"/>
      <c r="G5168" s="1562"/>
      <c r="H5168" s="1562"/>
      <c r="I5168" s="1562"/>
      <c r="J5168" s="1563"/>
      <c r="K5168" s="264" t="s">
        <v>44</v>
      </c>
      <c r="L5168" s="1564">
        <v>10</v>
      </c>
      <c r="M5168" s="1565"/>
      <c r="N5168" s="265">
        <f>L5168-H5173</f>
        <v>0</v>
      </c>
    </row>
    <row r="5169" spans="1:14">
      <c r="A5169" s="1554"/>
      <c r="B5169" s="1541"/>
      <c r="C5169" s="366"/>
      <c r="D5169" s="367" t="s">
        <v>2183</v>
      </c>
      <c r="E5169" s="1320" t="s">
        <v>2184</v>
      </c>
      <c r="F5169" s="367" t="s">
        <v>2185</v>
      </c>
      <c r="G5169" s="367" t="s">
        <v>2186</v>
      </c>
      <c r="H5169" s="1542" t="s">
        <v>476</v>
      </c>
      <c r="I5169" s="1543"/>
      <c r="J5169" s="1543"/>
      <c r="K5169" s="1543"/>
      <c r="L5169" s="1543"/>
      <c r="M5169" s="1543"/>
      <c r="N5169" s="1566"/>
    </row>
    <row r="5170" spans="1:14" ht="24">
      <c r="A5170" s="1554"/>
      <c r="B5170" s="1541"/>
      <c r="C5170" s="368" t="s">
        <v>2627</v>
      </c>
      <c r="D5170" s="369" t="s">
        <v>2187</v>
      </c>
      <c r="E5170" s="529" t="s">
        <v>3152</v>
      </c>
      <c r="F5170" s="369" t="s">
        <v>2649</v>
      </c>
      <c r="G5170" s="370" t="s">
        <v>2709</v>
      </c>
      <c r="H5170" s="1542"/>
      <c r="I5170" s="1543"/>
      <c r="J5170" s="1543"/>
      <c r="K5170" s="1543"/>
      <c r="L5170" s="1543"/>
      <c r="M5170" s="1543"/>
      <c r="N5170" s="1566"/>
    </row>
    <row r="5171" spans="1:14">
      <c r="A5171" s="1544" t="s">
        <v>3892</v>
      </c>
      <c r="B5171" s="429" t="s">
        <v>3199</v>
      </c>
      <c r="C5171" s="369">
        <v>10</v>
      </c>
      <c r="D5171" s="369"/>
      <c r="E5171" s="529">
        <v>1</v>
      </c>
      <c r="F5171" s="369"/>
      <c r="G5171" s="369"/>
      <c r="H5171" s="943">
        <f>E5171*C5171</f>
        <v>10</v>
      </c>
      <c r="I5171" s="1567"/>
      <c r="J5171" s="1543"/>
      <c r="K5171" s="1543"/>
      <c r="L5171" s="1543"/>
      <c r="M5171" s="1543"/>
      <c r="N5171" s="1566"/>
    </row>
    <row r="5172" spans="1:14">
      <c r="A5172" s="1544"/>
      <c r="B5172" s="753"/>
      <c r="C5172" s="369"/>
      <c r="D5172" s="369"/>
      <c r="E5172" s="529"/>
      <c r="F5172" s="369"/>
      <c r="G5172" s="369"/>
      <c r="H5172" s="943"/>
      <c r="I5172" s="1567"/>
      <c r="J5172" s="1543"/>
      <c r="K5172" s="1543"/>
      <c r="L5172" s="1543"/>
      <c r="M5172" s="1543"/>
      <c r="N5172" s="1566"/>
    </row>
    <row r="5173" spans="1:14">
      <c r="A5173" s="1538" t="s">
        <v>2218</v>
      </c>
      <c r="B5173" s="1538"/>
      <c r="C5173" s="1538"/>
      <c r="D5173" s="1538"/>
      <c r="E5173" s="1538"/>
      <c r="F5173" s="1538"/>
      <c r="G5173" s="1538"/>
      <c r="H5173" s="271">
        <f>SUM(H5171:H5172)</f>
        <v>10</v>
      </c>
      <c r="I5173" s="1567"/>
      <c r="J5173" s="1543"/>
      <c r="K5173" s="1543"/>
      <c r="L5173" s="1543"/>
      <c r="M5173" s="1543"/>
      <c r="N5173" s="1566"/>
    </row>
    <row r="5174" spans="1:14">
      <c r="A5174" s="1519" t="s">
        <v>2219</v>
      </c>
      <c r="B5174" s="1517"/>
      <c r="C5174" s="1517"/>
      <c r="D5174" s="1551"/>
      <c r="E5174" s="1551"/>
      <c r="F5174" s="1551"/>
      <c r="G5174" s="1552"/>
      <c r="H5174" s="325">
        <v>0</v>
      </c>
      <c r="I5174" s="1543"/>
      <c r="J5174" s="1543"/>
      <c r="K5174" s="1543"/>
      <c r="L5174" s="1543"/>
      <c r="M5174" s="1543"/>
      <c r="N5174" s="1566"/>
    </row>
    <row r="5175" spans="1:14" ht="15.75" thickBot="1">
      <c r="A5175" s="1520" t="s">
        <v>2220</v>
      </c>
      <c r="B5175" s="1521"/>
      <c r="C5175" s="1521"/>
      <c r="D5175" s="1521"/>
      <c r="E5175" s="1521"/>
      <c r="F5175" s="1521"/>
      <c r="G5175" s="1522"/>
      <c r="H5175" s="216">
        <f>H5173-H5174</f>
        <v>10</v>
      </c>
      <c r="I5175" s="1568"/>
      <c r="J5175" s="1568"/>
      <c r="K5175" s="1568"/>
      <c r="L5175" s="1568"/>
      <c r="M5175" s="1568"/>
      <c r="N5175" s="1569"/>
    </row>
    <row r="5177" spans="1:14">
      <c r="A5177" s="1119" t="s">
        <v>3451</v>
      </c>
      <c r="B5177" s="1561" t="s">
        <v>1307</v>
      </c>
      <c r="C5177" s="1562"/>
      <c r="D5177" s="1562"/>
      <c r="E5177" s="1562"/>
      <c r="F5177" s="1562"/>
      <c r="G5177" s="1562"/>
      <c r="H5177" s="1562"/>
      <c r="I5177" s="1562"/>
      <c r="J5177" s="1563"/>
      <c r="K5177" s="264" t="s">
        <v>44</v>
      </c>
      <c r="L5177" s="1564">
        <f>'27ª MEDIÇÃO '!F338</f>
        <v>4</v>
      </c>
      <c r="M5177" s="1565"/>
      <c r="N5177" s="265">
        <f>L5177-H5182</f>
        <v>0</v>
      </c>
    </row>
    <row r="5178" spans="1:14" ht="30" customHeight="1">
      <c r="A5178" s="1554"/>
      <c r="B5178" s="1541"/>
      <c r="C5178" s="366"/>
      <c r="D5178" s="367" t="s">
        <v>2183</v>
      </c>
      <c r="E5178" s="1320" t="s">
        <v>2184</v>
      </c>
      <c r="F5178" s="367" t="s">
        <v>2185</v>
      </c>
      <c r="G5178" s="367" t="s">
        <v>2186</v>
      </c>
      <c r="H5178" s="1542" t="s">
        <v>476</v>
      </c>
      <c r="I5178" s="1543"/>
      <c r="J5178" s="1543"/>
      <c r="K5178" s="1543"/>
      <c r="L5178" s="1543"/>
      <c r="M5178" s="1543"/>
      <c r="N5178" s="1566"/>
    </row>
    <row r="5179" spans="1:14" ht="24">
      <c r="A5179" s="1554"/>
      <c r="B5179" s="1541"/>
      <c r="C5179" s="368" t="s">
        <v>2627</v>
      </c>
      <c r="D5179" s="369" t="s">
        <v>2187</v>
      </c>
      <c r="E5179" s="529" t="s">
        <v>3152</v>
      </c>
      <c r="F5179" s="369" t="s">
        <v>2649</v>
      </c>
      <c r="G5179" s="370" t="s">
        <v>2709</v>
      </c>
      <c r="H5179" s="1542"/>
      <c r="I5179" s="1543"/>
      <c r="J5179" s="1543"/>
      <c r="K5179" s="1543"/>
      <c r="L5179" s="1543"/>
      <c r="M5179" s="1543"/>
      <c r="N5179" s="1566"/>
    </row>
    <row r="5180" spans="1:14">
      <c r="A5180" s="1544" t="s">
        <v>3428</v>
      </c>
      <c r="B5180" s="429" t="s">
        <v>3199</v>
      </c>
      <c r="C5180" s="369">
        <v>4</v>
      </c>
      <c r="D5180" s="369"/>
      <c r="E5180" s="529">
        <v>1</v>
      </c>
      <c r="F5180" s="369"/>
      <c r="G5180" s="369"/>
      <c r="H5180" s="943">
        <f>E5180*C5180</f>
        <v>4</v>
      </c>
      <c r="I5180" s="1567"/>
      <c r="J5180" s="1543"/>
      <c r="K5180" s="1543"/>
      <c r="L5180" s="1543"/>
      <c r="M5180" s="1543"/>
      <c r="N5180" s="1566"/>
    </row>
    <row r="5181" spans="1:14">
      <c r="A5181" s="1544"/>
      <c r="B5181" s="753"/>
      <c r="C5181" s="369"/>
      <c r="D5181" s="369"/>
      <c r="E5181" s="529"/>
      <c r="F5181" s="369"/>
      <c r="G5181" s="369"/>
      <c r="H5181" s="943"/>
      <c r="I5181" s="1567"/>
      <c r="J5181" s="1543"/>
      <c r="K5181" s="1543"/>
      <c r="L5181" s="1543"/>
      <c r="M5181" s="1543"/>
      <c r="N5181" s="1566"/>
    </row>
    <row r="5182" spans="1:14">
      <c r="A5182" s="1538" t="s">
        <v>2218</v>
      </c>
      <c r="B5182" s="1538"/>
      <c r="C5182" s="1538"/>
      <c r="D5182" s="1538"/>
      <c r="E5182" s="1538"/>
      <c r="F5182" s="1538"/>
      <c r="G5182" s="1538"/>
      <c r="H5182" s="271">
        <f>SUM(H5180:H5181)</f>
        <v>4</v>
      </c>
      <c r="I5182" s="1567"/>
      <c r="J5182" s="1543"/>
      <c r="K5182" s="1543"/>
      <c r="L5182" s="1543"/>
      <c r="M5182" s="1543"/>
      <c r="N5182" s="1566"/>
    </row>
    <row r="5183" spans="1:14">
      <c r="A5183" s="1519" t="s">
        <v>2219</v>
      </c>
      <c r="B5183" s="1517"/>
      <c r="C5183" s="1517"/>
      <c r="D5183" s="1551"/>
      <c r="E5183" s="1551"/>
      <c r="F5183" s="1551"/>
      <c r="G5183" s="1552"/>
      <c r="H5183" s="325">
        <v>0</v>
      </c>
      <c r="I5183" s="1543"/>
      <c r="J5183" s="1543"/>
      <c r="K5183" s="1543"/>
      <c r="L5183" s="1543"/>
      <c r="M5183" s="1543"/>
      <c r="N5183" s="1566"/>
    </row>
    <row r="5184" spans="1:14" ht="15.75" thickBot="1">
      <c r="A5184" s="1520" t="s">
        <v>2220</v>
      </c>
      <c r="B5184" s="1521"/>
      <c r="C5184" s="1521"/>
      <c r="D5184" s="1521"/>
      <c r="E5184" s="1521"/>
      <c r="F5184" s="1521"/>
      <c r="G5184" s="1522"/>
      <c r="H5184" s="216">
        <f>H5182-H5183</f>
        <v>4</v>
      </c>
      <c r="I5184" s="1568"/>
      <c r="J5184" s="1568"/>
      <c r="K5184" s="1568"/>
      <c r="L5184" s="1568"/>
      <c r="M5184" s="1568"/>
      <c r="N5184" s="1569"/>
    </row>
    <row r="5186" spans="1:14">
      <c r="A5186" s="1119" t="s">
        <v>3886</v>
      </c>
      <c r="B5186" s="1561" t="s">
        <v>1310</v>
      </c>
      <c r="C5186" s="1562"/>
      <c r="D5186" s="1562"/>
      <c r="E5186" s="1562"/>
      <c r="F5186" s="1562"/>
      <c r="G5186" s="1562"/>
      <c r="H5186" s="1562"/>
      <c r="I5186" s="1562"/>
      <c r="J5186" s="1563"/>
      <c r="K5186" s="264" t="s">
        <v>44</v>
      </c>
      <c r="L5186" s="1564">
        <v>2</v>
      </c>
      <c r="M5186" s="1565"/>
      <c r="N5186" s="265">
        <f>L5186-H5191</f>
        <v>0</v>
      </c>
    </row>
    <row r="5187" spans="1:14">
      <c r="A5187" s="1554"/>
      <c r="B5187" s="1541"/>
      <c r="C5187" s="366"/>
      <c r="D5187" s="367" t="s">
        <v>2183</v>
      </c>
      <c r="E5187" s="1320" t="s">
        <v>2184</v>
      </c>
      <c r="F5187" s="367" t="s">
        <v>2185</v>
      </c>
      <c r="G5187" s="367" t="s">
        <v>2186</v>
      </c>
      <c r="H5187" s="1542" t="s">
        <v>476</v>
      </c>
      <c r="I5187" s="1543"/>
      <c r="J5187" s="1543"/>
      <c r="K5187" s="1543"/>
      <c r="L5187" s="1543"/>
      <c r="M5187" s="1543"/>
      <c r="N5187" s="1566"/>
    </row>
    <row r="5188" spans="1:14" ht="24">
      <c r="A5188" s="1554"/>
      <c r="B5188" s="1541"/>
      <c r="C5188" s="368" t="s">
        <v>2627</v>
      </c>
      <c r="D5188" s="369" t="s">
        <v>2187</v>
      </c>
      <c r="E5188" s="529" t="s">
        <v>3152</v>
      </c>
      <c r="F5188" s="369" t="s">
        <v>2649</v>
      </c>
      <c r="G5188" s="370" t="s">
        <v>2709</v>
      </c>
      <c r="H5188" s="1542"/>
      <c r="I5188" s="1543"/>
      <c r="J5188" s="1543"/>
      <c r="K5188" s="1543"/>
      <c r="L5188" s="1543"/>
      <c r="M5188" s="1543"/>
      <c r="N5188" s="1566"/>
    </row>
    <row r="5189" spans="1:14" ht="20.45" customHeight="1">
      <c r="A5189" s="1544" t="s">
        <v>3850</v>
      </c>
      <c r="B5189" s="429" t="s">
        <v>3199</v>
      </c>
      <c r="C5189" s="369">
        <v>2</v>
      </c>
      <c r="D5189" s="369"/>
      <c r="E5189" s="529">
        <v>1</v>
      </c>
      <c r="F5189" s="369"/>
      <c r="G5189" s="369"/>
      <c r="H5189" s="943">
        <f>E5189*C5189</f>
        <v>2</v>
      </c>
      <c r="I5189" s="1567"/>
      <c r="J5189" s="1543"/>
      <c r="K5189" s="1543"/>
      <c r="L5189" s="1543"/>
      <c r="M5189" s="1543"/>
      <c r="N5189" s="1566"/>
    </row>
    <row r="5190" spans="1:14">
      <c r="A5190" s="1544"/>
      <c r="B5190" s="753"/>
      <c r="C5190" s="369"/>
      <c r="D5190" s="369"/>
      <c r="E5190" s="529"/>
      <c r="F5190" s="369"/>
      <c r="G5190" s="369"/>
      <c r="H5190" s="943"/>
      <c r="I5190" s="1567"/>
      <c r="J5190" s="1543"/>
      <c r="K5190" s="1543"/>
      <c r="L5190" s="1543"/>
      <c r="M5190" s="1543"/>
      <c r="N5190" s="1566"/>
    </row>
    <row r="5191" spans="1:14">
      <c r="A5191" s="1538" t="s">
        <v>2218</v>
      </c>
      <c r="B5191" s="1538"/>
      <c r="C5191" s="1538"/>
      <c r="D5191" s="1538"/>
      <c r="E5191" s="1538"/>
      <c r="F5191" s="1538"/>
      <c r="G5191" s="1538"/>
      <c r="H5191" s="271">
        <f>SUM(H5189:H5190)</f>
        <v>2</v>
      </c>
      <c r="I5191" s="1567"/>
      <c r="J5191" s="1543"/>
      <c r="K5191" s="1543"/>
      <c r="L5191" s="1543"/>
      <c r="M5191" s="1543"/>
      <c r="N5191" s="1566"/>
    </row>
    <row r="5192" spans="1:14">
      <c r="A5192" s="1519" t="s">
        <v>2219</v>
      </c>
      <c r="B5192" s="1517"/>
      <c r="C5192" s="1517"/>
      <c r="D5192" s="1551"/>
      <c r="E5192" s="1551"/>
      <c r="F5192" s="1551"/>
      <c r="G5192" s="1552"/>
      <c r="H5192" s="325">
        <v>0</v>
      </c>
      <c r="I5192" s="1543"/>
      <c r="J5192" s="1543"/>
      <c r="K5192" s="1543"/>
      <c r="L5192" s="1543"/>
      <c r="M5192" s="1543"/>
      <c r="N5192" s="1566"/>
    </row>
    <row r="5193" spans="1:14" ht="15.75" thickBot="1">
      <c r="A5193" s="1520" t="s">
        <v>2220</v>
      </c>
      <c r="B5193" s="1521"/>
      <c r="C5193" s="1521"/>
      <c r="D5193" s="1521"/>
      <c r="E5193" s="1521"/>
      <c r="F5193" s="1521"/>
      <c r="G5193" s="1522"/>
      <c r="H5193" s="216">
        <f>H5191-H5192</f>
        <v>2</v>
      </c>
      <c r="I5193" s="1568"/>
      <c r="J5193" s="1568"/>
      <c r="K5193" s="1568"/>
      <c r="L5193" s="1568"/>
      <c r="M5193" s="1568"/>
      <c r="N5193" s="1569"/>
    </row>
    <row r="5195" spans="1:14">
      <c r="A5195" s="1119">
        <v>150114</v>
      </c>
      <c r="B5195" s="1561" t="str">
        <f>'27ª MEDIÇÃO '!C341</f>
        <v>Cruzeta de madeira de 2,44 m e ferragens para fixação</v>
      </c>
      <c r="C5195" s="1562"/>
      <c r="D5195" s="1562"/>
      <c r="E5195" s="1562"/>
      <c r="F5195" s="1562"/>
      <c r="G5195" s="1562"/>
      <c r="H5195" s="1562"/>
      <c r="I5195" s="1562"/>
      <c r="J5195" s="1563"/>
      <c r="K5195" s="264" t="s">
        <v>2329</v>
      </c>
      <c r="L5195" s="1564">
        <f>'27ª MEDIÇÃO '!F341</f>
        <v>2</v>
      </c>
      <c r="M5195" s="1565"/>
      <c r="N5195" s="265">
        <f>L5195-H5200</f>
        <v>2</v>
      </c>
    </row>
    <row r="5196" spans="1:14" ht="30" customHeight="1">
      <c r="A5196" s="1554"/>
      <c r="B5196" s="1541"/>
      <c r="C5196" s="366"/>
      <c r="D5196" s="367" t="s">
        <v>2183</v>
      </c>
      <c r="E5196" s="1320" t="s">
        <v>2184</v>
      </c>
      <c r="F5196" s="367" t="s">
        <v>2185</v>
      </c>
      <c r="G5196" s="367" t="s">
        <v>2186</v>
      </c>
      <c r="H5196" s="1542" t="s">
        <v>476</v>
      </c>
      <c r="I5196" s="1543"/>
      <c r="J5196" s="1543"/>
      <c r="K5196" s="1543"/>
      <c r="L5196" s="1543"/>
      <c r="M5196" s="1543"/>
      <c r="N5196" s="1566"/>
    </row>
    <row r="5197" spans="1:14" ht="24">
      <c r="A5197" s="1554"/>
      <c r="B5197" s="1541"/>
      <c r="C5197" s="368" t="s">
        <v>2627</v>
      </c>
      <c r="D5197" s="369" t="s">
        <v>2187</v>
      </c>
      <c r="E5197" s="529" t="s">
        <v>3152</v>
      </c>
      <c r="F5197" s="369" t="s">
        <v>2649</v>
      </c>
      <c r="G5197" s="370" t="s">
        <v>2709</v>
      </c>
      <c r="H5197" s="1542"/>
      <c r="I5197" s="1543"/>
      <c r="J5197" s="1543"/>
      <c r="K5197" s="1543"/>
      <c r="L5197" s="1543"/>
      <c r="M5197" s="1543"/>
      <c r="N5197" s="1566"/>
    </row>
    <row r="5198" spans="1:14">
      <c r="A5198" s="1544"/>
      <c r="B5198" s="429"/>
      <c r="C5198" s="369"/>
      <c r="D5198" s="369"/>
      <c r="E5198" s="529"/>
      <c r="F5198" s="369"/>
      <c r="G5198" s="369"/>
      <c r="H5198" s="943">
        <f>E5198*C5198</f>
        <v>0</v>
      </c>
      <c r="I5198" s="1567"/>
      <c r="J5198" s="1543"/>
      <c r="K5198" s="1543"/>
      <c r="L5198" s="1543"/>
      <c r="M5198" s="1543"/>
      <c r="N5198" s="1566"/>
    </row>
    <row r="5199" spans="1:14">
      <c r="A5199" s="1544"/>
      <c r="B5199" s="753"/>
      <c r="C5199" s="369"/>
      <c r="D5199" s="369"/>
      <c r="E5199" s="529"/>
      <c r="F5199" s="369"/>
      <c r="G5199" s="369"/>
      <c r="H5199" s="943"/>
      <c r="I5199" s="1567"/>
      <c r="J5199" s="1543"/>
      <c r="K5199" s="1543"/>
      <c r="L5199" s="1543"/>
      <c r="M5199" s="1543"/>
      <c r="N5199" s="1566"/>
    </row>
    <row r="5200" spans="1:14">
      <c r="A5200" s="1538" t="s">
        <v>2218</v>
      </c>
      <c r="B5200" s="1538"/>
      <c r="C5200" s="1538"/>
      <c r="D5200" s="1538"/>
      <c r="E5200" s="1538"/>
      <c r="F5200" s="1538"/>
      <c r="G5200" s="1538"/>
      <c r="H5200" s="271">
        <f>SUM(H5198:H5199)</f>
        <v>0</v>
      </c>
      <c r="I5200" s="1567"/>
      <c r="J5200" s="1543"/>
      <c r="K5200" s="1543"/>
      <c r="L5200" s="1543"/>
      <c r="M5200" s="1543"/>
      <c r="N5200" s="1566"/>
    </row>
    <row r="5201" spans="1:14">
      <c r="A5201" s="1519" t="s">
        <v>2219</v>
      </c>
      <c r="B5201" s="1517"/>
      <c r="C5201" s="1517"/>
      <c r="D5201" s="1551"/>
      <c r="E5201" s="1551"/>
      <c r="F5201" s="1551"/>
      <c r="G5201" s="1552"/>
      <c r="H5201" s="325">
        <v>0</v>
      </c>
      <c r="I5201" s="1543"/>
      <c r="J5201" s="1543"/>
      <c r="K5201" s="1543"/>
      <c r="L5201" s="1543"/>
      <c r="M5201" s="1543"/>
      <c r="N5201" s="1566"/>
    </row>
    <row r="5202" spans="1:14" ht="15.75" thickBot="1">
      <c r="A5202" s="1520" t="s">
        <v>2220</v>
      </c>
      <c r="B5202" s="1521"/>
      <c r="C5202" s="1521"/>
      <c r="D5202" s="1521"/>
      <c r="E5202" s="1521"/>
      <c r="F5202" s="1521"/>
      <c r="G5202" s="1522"/>
      <c r="H5202" s="216">
        <f>H5200-H5201</f>
        <v>0</v>
      </c>
      <c r="I5202" s="1568"/>
      <c r="J5202" s="1568"/>
      <c r="K5202" s="1568"/>
      <c r="L5202" s="1568"/>
      <c r="M5202" s="1568"/>
      <c r="N5202" s="1569"/>
    </row>
    <row r="5204" spans="1:14">
      <c r="A5204" s="1119">
        <v>150115</v>
      </c>
      <c r="B5204" s="1561" t="s">
        <v>1319</v>
      </c>
      <c r="C5204" s="1562"/>
      <c r="D5204" s="1562"/>
      <c r="E5204" s="1562"/>
      <c r="F5204" s="1562"/>
      <c r="G5204" s="1562"/>
      <c r="H5204" s="1562"/>
      <c r="I5204" s="1562"/>
      <c r="J5204" s="1563"/>
      <c r="K5204" s="264" t="s">
        <v>2329</v>
      </c>
      <c r="L5204" s="1564">
        <v>2</v>
      </c>
      <c r="M5204" s="1565"/>
      <c r="N5204" s="265">
        <f>L5204-H5209</f>
        <v>0</v>
      </c>
    </row>
    <row r="5205" spans="1:14" ht="30" customHeight="1">
      <c r="A5205" s="1554"/>
      <c r="B5205" s="1541"/>
      <c r="C5205" s="366"/>
      <c r="D5205" s="367" t="s">
        <v>2183</v>
      </c>
      <c r="E5205" s="1320" t="s">
        <v>2184</v>
      </c>
      <c r="F5205" s="367" t="s">
        <v>2185</v>
      </c>
      <c r="G5205" s="367" t="s">
        <v>2186</v>
      </c>
      <c r="H5205" s="1542" t="s">
        <v>476</v>
      </c>
      <c r="I5205" s="1543"/>
      <c r="J5205" s="1543"/>
      <c r="K5205" s="1543"/>
      <c r="L5205" s="1543"/>
      <c r="M5205" s="1543"/>
      <c r="N5205" s="1566"/>
    </row>
    <row r="5206" spans="1:14" ht="24">
      <c r="A5206" s="1554"/>
      <c r="B5206" s="1541"/>
      <c r="C5206" s="368" t="s">
        <v>2627</v>
      </c>
      <c r="D5206" s="369" t="s">
        <v>2187</v>
      </c>
      <c r="E5206" s="529" t="s">
        <v>3152</v>
      </c>
      <c r="F5206" s="369" t="s">
        <v>2649</v>
      </c>
      <c r="G5206" s="370" t="s">
        <v>2709</v>
      </c>
      <c r="H5206" s="1542"/>
      <c r="I5206" s="1543"/>
      <c r="J5206" s="1543"/>
      <c r="K5206" s="1543"/>
      <c r="L5206" s="1543"/>
      <c r="M5206" s="1543"/>
      <c r="N5206" s="1566"/>
    </row>
    <row r="5207" spans="1:14">
      <c r="A5207" s="1544" t="s">
        <v>4003</v>
      </c>
      <c r="B5207" s="429" t="s">
        <v>4071</v>
      </c>
      <c r="C5207" s="369">
        <v>2</v>
      </c>
      <c r="D5207" s="369"/>
      <c r="E5207" s="529">
        <v>1</v>
      </c>
      <c r="F5207" s="369"/>
      <c r="G5207" s="369"/>
      <c r="H5207" s="943">
        <f>E5207*C5207</f>
        <v>2</v>
      </c>
      <c r="I5207" s="1567"/>
      <c r="J5207" s="1543"/>
      <c r="K5207" s="1543"/>
      <c r="L5207" s="1543"/>
      <c r="M5207" s="1543"/>
      <c r="N5207" s="1566"/>
    </row>
    <row r="5208" spans="1:14">
      <c r="A5208" s="1544"/>
      <c r="B5208" s="753"/>
      <c r="C5208" s="369"/>
      <c r="D5208" s="369"/>
      <c r="E5208" s="529"/>
      <c r="F5208" s="369"/>
      <c r="G5208" s="369"/>
      <c r="H5208" s="943"/>
      <c r="I5208" s="1567"/>
      <c r="J5208" s="1543"/>
      <c r="K5208" s="1543"/>
      <c r="L5208" s="1543"/>
      <c r="M5208" s="1543"/>
      <c r="N5208" s="1566"/>
    </row>
    <row r="5209" spans="1:14">
      <c r="A5209" s="1538" t="s">
        <v>2218</v>
      </c>
      <c r="B5209" s="1538"/>
      <c r="C5209" s="1538"/>
      <c r="D5209" s="1538"/>
      <c r="E5209" s="1538"/>
      <c r="F5209" s="1538"/>
      <c r="G5209" s="1538"/>
      <c r="H5209" s="271">
        <f>SUM(H5207:H5208)</f>
        <v>2</v>
      </c>
      <c r="I5209" s="1567"/>
      <c r="J5209" s="1543"/>
      <c r="K5209" s="1543"/>
      <c r="L5209" s="1543"/>
      <c r="M5209" s="1543"/>
      <c r="N5209" s="1566"/>
    </row>
    <row r="5210" spans="1:14">
      <c r="A5210" s="1519" t="s">
        <v>2219</v>
      </c>
      <c r="B5210" s="1517"/>
      <c r="C5210" s="1517"/>
      <c r="D5210" s="1551"/>
      <c r="E5210" s="1551"/>
      <c r="F5210" s="1551"/>
      <c r="G5210" s="1552"/>
      <c r="H5210" s="325">
        <v>0</v>
      </c>
      <c r="I5210" s="1543"/>
      <c r="J5210" s="1543"/>
      <c r="K5210" s="1543"/>
      <c r="L5210" s="1543"/>
      <c r="M5210" s="1543"/>
      <c r="N5210" s="1566"/>
    </row>
    <row r="5211" spans="1:14" ht="15.75" thickBot="1">
      <c r="A5211" s="1520" t="s">
        <v>2220</v>
      </c>
      <c r="B5211" s="1521"/>
      <c r="C5211" s="1521"/>
      <c r="D5211" s="1521"/>
      <c r="E5211" s="1521"/>
      <c r="F5211" s="1521"/>
      <c r="G5211" s="1522"/>
      <c r="H5211" s="216">
        <f>H5209-H5210</f>
        <v>2</v>
      </c>
      <c r="I5211" s="1568"/>
      <c r="J5211" s="1568"/>
      <c r="K5211" s="1568"/>
      <c r="L5211" s="1568"/>
      <c r="M5211" s="1568"/>
      <c r="N5211" s="1569"/>
    </row>
    <row r="5213" spans="1:14">
      <c r="A5213" s="1119">
        <v>150116</v>
      </c>
      <c r="B5213" s="1561" t="str">
        <f>'27ª MEDIÇÃO '!C343</f>
        <v>Poste de concreto 11m/600kgf</v>
      </c>
      <c r="C5213" s="1562"/>
      <c r="D5213" s="1562"/>
      <c r="E5213" s="1562"/>
      <c r="F5213" s="1562"/>
      <c r="G5213" s="1562"/>
      <c r="H5213" s="1562"/>
      <c r="I5213" s="1562"/>
      <c r="J5213" s="1563"/>
      <c r="K5213" s="264" t="s">
        <v>2329</v>
      </c>
      <c r="L5213" s="1564">
        <f>'27ª MEDIÇÃO '!F343</f>
        <v>1</v>
      </c>
      <c r="M5213" s="1565"/>
      <c r="N5213" s="265">
        <f>L5213-H5218</f>
        <v>0</v>
      </c>
    </row>
    <row r="5214" spans="1:14" ht="30" customHeight="1">
      <c r="A5214" s="1554"/>
      <c r="B5214" s="1541"/>
      <c r="C5214" s="366"/>
      <c r="D5214" s="367" t="s">
        <v>2183</v>
      </c>
      <c r="E5214" s="1320" t="s">
        <v>2184</v>
      </c>
      <c r="F5214" s="367" t="s">
        <v>2185</v>
      </c>
      <c r="G5214" s="367" t="s">
        <v>2186</v>
      </c>
      <c r="H5214" s="1542" t="s">
        <v>476</v>
      </c>
      <c r="I5214" s="1543"/>
      <c r="J5214" s="1543"/>
      <c r="K5214" s="1543"/>
      <c r="L5214" s="1543"/>
      <c r="M5214" s="1543"/>
      <c r="N5214" s="1566"/>
    </row>
    <row r="5215" spans="1:14" ht="24">
      <c r="A5215" s="1554"/>
      <c r="B5215" s="1541"/>
      <c r="C5215" s="368" t="s">
        <v>2627</v>
      </c>
      <c r="D5215" s="369" t="s">
        <v>2187</v>
      </c>
      <c r="E5215" s="529" t="s">
        <v>3152</v>
      </c>
      <c r="F5215" s="369" t="s">
        <v>2649</v>
      </c>
      <c r="G5215" s="370" t="s">
        <v>2709</v>
      </c>
      <c r="H5215" s="1542"/>
      <c r="I5215" s="1543"/>
      <c r="J5215" s="1543"/>
      <c r="K5215" s="1543"/>
      <c r="L5215" s="1543"/>
      <c r="M5215" s="1543"/>
      <c r="N5215" s="1566"/>
    </row>
    <row r="5216" spans="1:14">
      <c r="A5216" s="1544" t="s">
        <v>4143</v>
      </c>
      <c r="B5216" s="429" t="s">
        <v>4148</v>
      </c>
      <c r="C5216" s="369">
        <v>1</v>
      </c>
      <c r="D5216" s="369"/>
      <c r="E5216" s="529"/>
      <c r="F5216" s="369"/>
      <c r="G5216" s="369"/>
      <c r="H5216" s="943">
        <v>1</v>
      </c>
      <c r="I5216" s="1567"/>
      <c r="J5216" s="1543"/>
      <c r="K5216" s="1543"/>
      <c r="L5216" s="1543"/>
      <c r="M5216" s="1543"/>
      <c r="N5216" s="1566"/>
    </row>
    <row r="5217" spans="1:14">
      <c r="A5217" s="1544"/>
      <c r="B5217" s="753"/>
      <c r="C5217" s="369"/>
      <c r="D5217" s="369"/>
      <c r="E5217" s="529"/>
      <c r="F5217" s="369"/>
      <c r="G5217" s="369"/>
      <c r="H5217" s="943"/>
      <c r="I5217" s="1567"/>
      <c r="J5217" s="1543"/>
      <c r="K5217" s="1543"/>
      <c r="L5217" s="1543"/>
      <c r="M5217" s="1543"/>
      <c r="N5217" s="1566"/>
    </row>
    <row r="5218" spans="1:14">
      <c r="A5218" s="1538" t="s">
        <v>2218</v>
      </c>
      <c r="B5218" s="1538"/>
      <c r="C5218" s="1538"/>
      <c r="D5218" s="1538"/>
      <c r="E5218" s="1538"/>
      <c r="F5218" s="1538"/>
      <c r="G5218" s="1538"/>
      <c r="H5218" s="271">
        <f>SUM(H5216:H5217)</f>
        <v>1</v>
      </c>
      <c r="I5218" s="1567"/>
      <c r="J5218" s="1543"/>
      <c r="K5218" s="1543"/>
      <c r="L5218" s="1543"/>
      <c r="M5218" s="1543"/>
      <c r="N5218" s="1566"/>
    </row>
    <row r="5219" spans="1:14">
      <c r="A5219" s="1519" t="s">
        <v>2219</v>
      </c>
      <c r="B5219" s="1517"/>
      <c r="C5219" s="1517"/>
      <c r="D5219" s="1551"/>
      <c r="E5219" s="1551"/>
      <c r="F5219" s="1551"/>
      <c r="G5219" s="1552"/>
      <c r="H5219" s="325">
        <v>0</v>
      </c>
      <c r="I5219" s="1543"/>
      <c r="J5219" s="1543"/>
      <c r="K5219" s="1543"/>
      <c r="L5219" s="1543"/>
      <c r="M5219" s="1543"/>
      <c r="N5219" s="1566"/>
    </row>
    <row r="5220" spans="1:14" ht="15.75" thickBot="1">
      <c r="A5220" s="1520" t="s">
        <v>2220</v>
      </c>
      <c r="B5220" s="1521"/>
      <c r="C5220" s="1521"/>
      <c r="D5220" s="1521"/>
      <c r="E5220" s="1521"/>
      <c r="F5220" s="1521"/>
      <c r="G5220" s="1522"/>
      <c r="H5220" s="216">
        <f>H5218-H5219</f>
        <v>1</v>
      </c>
      <c r="I5220" s="1568"/>
      <c r="J5220" s="1568"/>
      <c r="K5220" s="1568"/>
      <c r="L5220" s="1568"/>
      <c r="M5220" s="1568"/>
      <c r="N5220" s="1569"/>
    </row>
    <row r="5222" spans="1:14">
      <c r="A5222" s="1119">
        <v>150117</v>
      </c>
      <c r="B5222" s="1561" t="s">
        <v>289</v>
      </c>
      <c r="C5222" s="1562"/>
      <c r="D5222" s="1562"/>
      <c r="E5222" s="1562"/>
      <c r="F5222" s="1562"/>
      <c r="G5222" s="1562"/>
      <c r="H5222" s="1562"/>
      <c r="I5222" s="1562"/>
      <c r="J5222" s="1563"/>
      <c r="K5222" s="264" t="s">
        <v>44</v>
      </c>
      <c r="L5222" s="1564">
        <v>21</v>
      </c>
      <c r="M5222" s="1565"/>
      <c r="N5222" s="265">
        <f>L5222-H5229</f>
        <v>0</v>
      </c>
    </row>
    <row r="5223" spans="1:14" ht="30" customHeight="1">
      <c r="A5223" s="1554"/>
      <c r="B5223" s="1541"/>
      <c r="C5223" s="366"/>
      <c r="D5223" s="367" t="s">
        <v>2183</v>
      </c>
      <c r="E5223" s="1320" t="s">
        <v>2184</v>
      </c>
      <c r="F5223" s="367" t="s">
        <v>2185</v>
      </c>
      <c r="G5223" s="367" t="s">
        <v>2186</v>
      </c>
      <c r="H5223" s="1542" t="s">
        <v>476</v>
      </c>
      <c r="I5223" s="1543"/>
      <c r="J5223" s="1543"/>
      <c r="K5223" s="1543"/>
      <c r="L5223" s="1543"/>
      <c r="M5223" s="1543"/>
      <c r="N5223" s="1566"/>
    </row>
    <row r="5224" spans="1:14" ht="24">
      <c r="A5224" s="1554"/>
      <c r="B5224" s="1541"/>
      <c r="C5224" s="368" t="s">
        <v>2627</v>
      </c>
      <c r="D5224" s="369" t="s">
        <v>2187</v>
      </c>
      <c r="E5224" s="529" t="s">
        <v>3152</v>
      </c>
      <c r="F5224" s="369" t="s">
        <v>2649</v>
      </c>
      <c r="G5224" s="370" t="s">
        <v>2709</v>
      </c>
      <c r="H5224" s="1542"/>
      <c r="I5224" s="1543"/>
      <c r="J5224" s="1543"/>
      <c r="K5224" s="1543"/>
      <c r="L5224" s="1543"/>
      <c r="M5224" s="1543"/>
      <c r="N5224" s="1566"/>
    </row>
    <row r="5225" spans="1:14">
      <c r="A5225" s="1544" t="s">
        <v>4003</v>
      </c>
      <c r="B5225" s="429" t="s">
        <v>4071</v>
      </c>
      <c r="C5225" s="369">
        <v>2.2799999999999998</v>
      </c>
      <c r="D5225" s="369"/>
      <c r="E5225" s="529">
        <v>1</v>
      </c>
      <c r="F5225" s="369"/>
      <c r="G5225" s="369"/>
      <c r="H5225" s="943">
        <f>E5225*C5225</f>
        <v>2.2799999999999998</v>
      </c>
      <c r="I5225" s="1567"/>
      <c r="J5225" s="1543"/>
      <c r="K5225" s="1543"/>
      <c r="L5225" s="1543"/>
      <c r="M5225" s="1543"/>
      <c r="N5225" s="1566"/>
    </row>
    <row r="5226" spans="1:14">
      <c r="A5226" s="1544"/>
      <c r="B5226" s="753"/>
      <c r="C5226" s="369"/>
      <c r="D5226" s="369"/>
      <c r="E5226" s="529"/>
      <c r="F5226" s="369"/>
      <c r="G5226" s="369"/>
      <c r="H5226" s="943"/>
      <c r="I5226" s="1567"/>
      <c r="J5226" s="1543"/>
      <c r="K5226" s="1543"/>
      <c r="L5226" s="1543"/>
      <c r="M5226" s="1543"/>
      <c r="N5226" s="1566"/>
    </row>
    <row r="5227" spans="1:14">
      <c r="A5227" s="1544" t="s">
        <v>4080</v>
      </c>
      <c r="B5227" s="429" t="s">
        <v>4071</v>
      </c>
      <c r="C5227" s="369">
        <v>18.72</v>
      </c>
      <c r="D5227" s="369"/>
      <c r="E5227" s="529">
        <v>1</v>
      </c>
      <c r="F5227" s="369"/>
      <c r="G5227" s="369"/>
      <c r="H5227" s="943">
        <f>E5227*C5227</f>
        <v>18.72</v>
      </c>
      <c r="I5227" s="1567"/>
      <c r="J5227" s="1543"/>
      <c r="K5227" s="1543"/>
      <c r="L5227" s="1543"/>
      <c r="M5227" s="1543"/>
      <c r="N5227" s="1566"/>
    </row>
    <row r="5228" spans="1:14">
      <c r="A5228" s="1544"/>
      <c r="B5228" s="753"/>
      <c r="C5228" s="369"/>
      <c r="D5228" s="369"/>
      <c r="E5228" s="529"/>
      <c r="F5228" s="369"/>
      <c r="G5228" s="369"/>
      <c r="H5228" s="943"/>
      <c r="I5228" s="1567"/>
      <c r="J5228" s="1543"/>
      <c r="K5228" s="1543"/>
      <c r="L5228" s="1543"/>
      <c r="M5228" s="1543"/>
      <c r="N5228" s="1566"/>
    </row>
    <row r="5229" spans="1:14">
      <c r="A5229" s="1538" t="s">
        <v>2218</v>
      </c>
      <c r="B5229" s="1538"/>
      <c r="C5229" s="1538"/>
      <c r="D5229" s="1538"/>
      <c r="E5229" s="1538"/>
      <c r="F5229" s="1538"/>
      <c r="G5229" s="1538"/>
      <c r="H5229" s="271">
        <f>SUM(H5225:H5227)</f>
        <v>21</v>
      </c>
      <c r="I5229" s="1567"/>
      <c r="J5229" s="1543"/>
      <c r="K5229" s="1543"/>
      <c r="L5229" s="1543"/>
      <c r="M5229" s="1543"/>
      <c r="N5229" s="1566"/>
    </row>
    <row r="5230" spans="1:14">
      <c r="A5230" s="1519" t="s">
        <v>2219</v>
      </c>
      <c r="B5230" s="1517"/>
      <c r="C5230" s="1517"/>
      <c r="D5230" s="1551"/>
      <c r="E5230" s="1551"/>
      <c r="F5230" s="1551"/>
      <c r="G5230" s="1552"/>
      <c r="H5230" s="325">
        <f>H5225</f>
        <v>2.2799999999999998</v>
      </c>
      <c r="I5230" s="1543"/>
      <c r="J5230" s="1543"/>
      <c r="K5230" s="1543"/>
      <c r="L5230" s="1543"/>
      <c r="M5230" s="1543"/>
      <c r="N5230" s="1566"/>
    </row>
    <row r="5231" spans="1:14" ht="15.75" thickBot="1">
      <c r="A5231" s="1520" t="s">
        <v>2220</v>
      </c>
      <c r="B5231" s="1521"/>
      <c r="C5231" s="1521"/>
      <c r="D5231" s="1521"/>
      <c r="E5231" s="1521"/>
      <c r="F5231" s="1521"/>
      <c r="G5231" s="1522"/>
      <c r="H5231" s="216">
        <f>H5229-H5230</f>
        <v>18.72</v>
      </c>
      <c r="I5231" s="1568"/>
      <c r="J5231" s="1568"/>
      <c r="K5231" s="1568"/>
      <c r="L5231" s="1568"/>
      <c r="M5231" s="1568"/>
      <c r="N5231" s="1569"/>
    </row>
    <row r="5233" spans="1:14">
      <c r="A5233" s="1119">
        <v>150118</v>
      </c>
      <c r="B5233" s="1561" t="s">
        <v>1326</v>
      </c>
      <c r="C5233" s="1562"/>
      <c r="D5233" s="1562"/>
      <c r="E5233" s="1562"/>
      <c r="F5233" s="1562"/>
      <c r="G5233" s="1562"/>
      <c r="H5233" s="1562"/>
      <c r="I5233" s="1562"/>
      <c r="J5233" s="1563"/>
      <c r="K5233" s="264" t="s">
        <v>2329</v>
      </c>
      <c r="L5233" s="1564">
        <v>60</v>
      </c>
      <c r="M5233" s="1565"/>
      <c r="N5233" s="265">
        <f>L5233-H5240</f>
        <v>58</v>
      </c>
    </row>
    <row r="5234" spans="1:14" ht="30" customHeight="1">
      <c r="A5234" s="1554"/>
      <c r="B5234" s="1541"/>
      <c r="C5234" s="366"/>
      <c r="D5234" s="367" t="s">
        <v>2183</v>
      </c>
      <c r="E5234" s="1320" t="s">
        <v>2184</v>
      </c>
      <c r="F5234" s="367" t="s">
        <v>2185</v>
      </c>
      <c r="G5234" s="367" t="s">
        <v>2186</v>
      </c>
      <c r="H5234" s="1542" t="s">
        <v>476</v>
      </c>
      <c r="I5234" s="1543"/>
      <c r="J5234" s="1543"/>
      <c r="K5234" s="1543"/>
      <c r="L5234" s="1543"/>
      <c r="M5234" s="1543"/>
      <c r="N5234" s="1566"/>
    </row>
    <row r="5235" spans="1:14" ht="24">
      <c r="A5235" s="1554"/>
      <c r="B5235" s="1541"/>
      <c r="C5235" s="368" t="s">
        <v>2627</v>
      </c>
      <c r="D5235" s="369" t="s">
        <v>2187</v>
      </c>
      <c r="E5235" s="529" t="s">
        <v>3152</v>
      </c>
      <c r="F5235" s="369" t="s">
        <v>2649</v>
      </c>
      <c r="G5235" s="370" t="s">
        <v>2709</v>
      </c>
      <c r="H5235" s="1542"/>
      <c r="I5235" s="1543"/>
      <c r="J5235" s="1543"/>
      <c r="K5235" s="1543"/>
      <c r="L5235" s="1543"/>
      <c r="M5235" s="1543"/>
      <c r="N5235" s="1566"/>
    </row>
    <row r="5236" spans="1:14">
      <c r="A5236" s="1544" t="s">
        <v>4003</v>
      </c>
      <c r="B5236" s="429" t="s">
        <v>4071</v>
      </c>
      <c r="C5236" s="369">
        <v>2</v>
      </c>
      <c r="D5236" s="369"/>
      <c r="E5236" s="529">
        <v>1</v>
      </c>
      <c r="F5236" s="369"/>
      <c r="G5236" s="369"/>
      <c r="H5236" s="943">
        <f>E5236*C5236</f>
        <v>2</v>
      </c>
      <c r="I5236" s="1567"/>
      <c r="J5236" s="1543"/>
      <c r="K5236" s="1543"/>
      <c r="L5236" s="1543"/>
      <c r="M5236" s="1543"/>
      <c r="N5236" s="1566"/>
    </row>
    <row r="5237" spans="1:14">
      <c r="A5237" s="1544"/>
      <c r="B5237" s="753"/>
      <c r="C5237" s="369"/>
      <c r="D5237" s="369"/>
      <c r="E5237" s="529"/>
      <c r="F5237" s="369"/>
      <c r="G5237" s="369"/>
      <c r="H5237" s="943"/>
      <c r="I5237" s="1567"/>
      <c r="J5237" s="1543"/>
      <c r="K5237" s="1543"/>
      <c r="L5237" s="1543"/>
      <c r="M5237" s="1543"/>
      <c r="N5237" s="1566"/>
    </row>
    <row r="5238" spans="1:14">
      <c r="A5238" s="1544"/>
      <c r="B5238" s="429"/>
      <c r="C5238" s="369"/>
      <c r="D5238" s="369"/>
      <c r="E5238" s="529"/>
      <c r="F5238" s="369"/>
      <c r="G5238" s="369"/>
      <c r="H5238" s="943">
        <f>E5238*C5238</f>
        <v>0</v>
      </c>
      <c r="I5238" s="1567"/>
      <c r="J5238" s="1543"/>
      <c r="K5238" s="1543"/>
      <c r="L5238" s="1543"/>
      <c r="M5238" s="1543"/>
      <c r="N5238" s="1566"/>
    </row>
    <row r="5239" spans="1:14">
      <c r="A5239" s="1544"/>
      <c r="B5239" s="753"/>
      <c r="C5239" s="369"/>
      <c r="D5239" s="369"/>
      <c r="E5239" s="529"/>
      <c r="F5239" s="369"/>
      <c r="G5239" s="369"/>
      <c r="H5239" s="943"/>
      <c r="I5239" s="1567"/>
      <c r="J5239" s="1543"/>
      <c r="K5239" s="1543"/>
      <c r="L5239" s="1543"/>
      <c r="M5239" s="1543"/>
      <c r="N5239" s="1566"/>
    </row>
    <row r="5240" spans="1:14">
      <c r="A5240" s="1538" t="s">
        <v>2218</v>
      </c>
      <c r="B5240" s="1538"/>
      <c r="C5240" s="1538"/>
      <c r="D5240" s="1538"/>
      <c r="E5240" s="1538"/>
      <c r="F5240" s="1538"/>
      <c r="G5240" s="1538"/>
      <c r="H5240" s="271">
        <f>SUM(H5236:H5239)</f>
        <v>2</v>
      </c>
      <c r="I5240" s="1567"/>
      <c r="J5240" s="1543"/>
      <c r="K5240" s="1543"/>
      <c r="L5240" s="1543"/>
      <c r="M5240" s="1543"/>
      <c r="N5240" s="1566"/>
    </row>
    <row r="5241" spans="1:14">
      <c r="A5241" s="1519" t="s">
        <v>2219</v>
      </c>
      <c r="B5241" s="1517"/>
      <c r="C5241" s="1517"/>
      <c r="D5241" s="1551"/>
      <c r="E5241" s="1551"/>
      <c r="F5241" s="1551"/>
      <c r="G5241" s="1552"/>
      <c r="H5241" s="325">
        <f>H5236</f>
        <v>2</v>
      </c>
      <c r="I5241" s="1543"/>
      <c r="J5241" s="1543"/>
      <c r="K5241" s="1543"/>
      <c r="L5241" s="1543"/>
      <c r="M5241" s="1543"/>
      <c r="N5241" s="1566"/>
    </row>
    <row r="5242" spans="1:14" ht="15.75" thickBot="1">
      <c r="A5242" s="1520" t="s">
        <v>2220</v>
      </c>
      <c r="B5242" s="1521"/>
      <c r="C5242" s="1521"/>
      <c r="D5242" s="1521"/>
      <c r="E5242" s="1521"/>
      <c r="F5242" s="1521"/>
      <c r="G5242" s="1522"/>
      <c r="H5242" s="216">
        <f>H5240-H5241</f>
        <v>0</v>
      </c>
      <c r="I5242" s="1568"/>
      <c r="J5242" s="1568"/>
      <c r="K5242" s="1568"/>
      <c r="L5242" s="1568"/>
      <c r="M5242" s="1568"/>
      <c r="N5242" s="1569"/>
    </row>
    <row r="5244" spans="1:14">
      <c r="A5244" s="1119">
        <v>150119</v>
      </c>
      <c r="B5244" s="1561" t="s">
        <v>1329</v>
      </c>
      <c r="C5244" s="1562"/>
      <c r="D5244" s="1562"/>
      <c r="E5244" s="1562"/>
      <c r="F5244" s="1562"/>
      <c r="G5244" s="1562"/>
      <c r="H5244" s="1562"/>
      <c r="I5244" s="1562"/>
      <c r="J5244" s="1563"/>
      <c r="K5244" s="264" t="s">
        <v>2329</v>
      </c>
      <c r="L5244" s="1564">
        <v>4</v>
      </c>
      <c r="M5244" s="1565"/>
      <c r="N5244" s="265">
        <f>L5244-H5249</f>
        <v>0</v>
      </c>
    </row>
    <row r="5245" spans="1:14" ht="30" customHeight="1">
      <c r="A5245" s="1554"/>
      <c r="B5245" s="1541"/>
      <c r="C5245" s="366"/>
      <c r="D5245" s="367" t="s">
        <v>2183</v>
      </c>
      <c r="E5245" s="1320" t="s">
        <v>2184</v>
      </c>
      <c r="F5245" s="367" t="s">
        <v>2185</v>
      </c>
      <c r="G5245" s="367" t="s">
        <v>2186</v>
      </c>
      <c r="H5245" s="1542" t="s">
        <v>476</v>
      </c>
      <c r="I5245" s="1543"/>
      <c r="J5245" s="1543"/>
      <c r="K5245" s="1543"/>
      <c r="L5245" s="1543"/>
      <c r="M5245" s="1543"/>
      <c r="N5245" s="1566"/>
    </row>
    <row r="5246" spans="1:14" ht="24">
      <c r="A5246" s="1554"/>
      <c r="B5246" s="1541"/>
      <c r="C5246" s="368" t="s">
        <v>2627</v>
      </c>
      <c r="D5246" s="369" t="s">
        <v>2187</v>
      </c>
      <c r="E5246" s="529" t="s">
        <v>3152</v>
      </c>
      <c r="F5246" s="369" t="s">
        <v>2649</v>
      </c>
      <c r="G5246" s="370" t="s">
        <v>2709</v>
      </c>
      <c r="H5246" s="1542"/>
      <c r="I5246" s="1543"/>
      <c r="J5246" s="1543"/>
      <c r="K5246" s="1543"/>
      <c r="L5246" s="1543"/>
      <c r="M5246" s="1543"/>
      <c r="N5246" s="1566"/>
    </row>
    <row r="5247" spans="1:14">
      <c r="A5247" s="1544" t="s">
        <v>4003</v>
      </c>
      <c r="B5247" s="429" t="s">
        <v>4071</v>
      </c>
      <c r="C5247" s="369">
        <v>4</v>
      </c>
      <c r="D5247" s="369"/>
      <c r="E5247" s="529">
        <v>1</v>
      </c>
      <c r="F5247" s="369"/>
      <c r="G5247" s="369"/>
      <c r="H5247" s="943">
        <f>E5247*C5247</f>
        <v>4</v>
      </c>
      <c r="I5247" s="1567"/>
      <c r="J5247" s="1543"/>
      <c r="K5247" s="1543"/>
      <c r="L5247" s="1543"/>
      <c r="M5247" s="1543"/>
      <c r="N5247" s="1566"/>
    </row>
    <row r="5248" spans="1:14">
      <c r="A5248" s="1544"/>
      <c r="B5248" s="753"/>
      <c r="C5248" s="369"/>
      <c r="D5248" s="369"/>
      <c r="E5248" s="529"/>
      <c r="F5248" s="369"/>
      <c r="G5248" s="369"/>
      <c r="H5248" s="943"/>
      <c r="I5248" s="1567"/>
      <c r="J5248" s="1543"/>
      <c r="K5248" s="1543"/>
      <c r="L5248" s="1543"/>
      <c r="M5248" s="1543"/>
      <c r="N5248" s="1566"/>
    </row>
    <row r="5249" spans="1:14">
      <c r="A5249" s="1538" t="s">
        <v>2218</v>
      </c>
      <c r="B5249" s="1538"/>
      <c r="C5249" s="1538"/>
      <c r="D5249" s="1538"/>
      <c r="E5249" s="1538"/>
      <c r="F5249" s="1538"/>
      <c r="G5249" s="1538"/>
      <c r="H5249" s="271">
        <f>SUM(H5247:H5248)</f>
        <v>4</v>
      </c>
      <c r="I5249" s="1567"/>
      <c r="J5249" s="1543"/>
      <c r="K5249" s="1543"/>
      <c r="L5249" s="1543"/>
      <c r="M5249" s="1543"/>
      <c r="N5249" s="1566"/>
    </row>
    <row r="5250" spans="1:14">
      <c r="A5250" s="1519" t="s">
        <v>2219</v>
      </c>
      <c r="B5250" s="1517"/>
      <c r="C5250" s="1517"/>
      <c r="D5250" s="1551"/>
      <c r="E5250" s="1551"/>
      <c r="F5250" s="1551"/>
      <c r="G5250" s="1552"/>
      <c r="H5250" s="325">
        <v>0</v>
      </c>
      <c r="I5250" s="1543"/>
      <c r="J5250" s="1543"/>
      <c r="K5250" s="1543"/>
      <c r="L5250" s="1543"/>
      <c r="M5250" s="1543"/>
      <c r="N5250" s="1566"/>
    </row>
    <row r="5251" spans="1:14" ht="15.75" thickBot="1">
      <c r="A5251" s="1520" t="s">
        <v>2220</v>
      </c>
      <c r="B5251" s="1521"/>
      <c r="C5251" s="1521"/>
      <c r="D5251" s="1521"/>
      <c r="E5251" s="1521"/>
      <c r="F5251" s="1521"/>
      <c r="G5251" s="1522"/>
      <c r="H5251" s="216">
        <f>H5249-H5250</f>
        <v>4</v>
      </c>
      <c r="I5251" s="1568"/>
      <c r="J5251" s="1568"/>
      <c r="K5251" s="1568"/>
      <c r="L5251" s="1568"/>
      <c r="M5251" s="1568"/>
      <c r="N5251" s="1569"/>
    </row>
    <row r="5253" spans="1:14" ht="71.25" customHeight="1">
      <c r="A5253" s="1119" t="s">
        <v>3887</v>
      </c>
      <c r="B5253" s="1561" t="s">
        <v>2136</v>
      </c>
      <c r="C5253" s="1562"/>
      <c r="D5253" s="1562"/>
      <c r="E5253" s="1562"/>
      <c r="F5253" s="1562"/>
      <c r="G5253" s="1562"/>
      <c r="H5253" s="1562"/>
      <c r="I5253" s="1562"/>
      <c r="J5253" s="1563"/>
      <c r="K5253" s="264" t="s">
        <v>44</v>
      </c>
      <c r="L5253" s="1564">
        <v>1</v>
      </c>
      <c r="M5253" s="1565"/>
      <c r="N5253" s="265">
        <f>L5253-H5260</f>
        <v>0</v>
      </c>
    </row>
    <row r="5254" spans="1:14">
      <c r="A5254" s="1554"/>
      <c r="B5254" s="1541"/>
      <c r="C5254" s="366"/>
      <c r="D5254" s="367" t="s">
        <v>2183</v>
      </c>
      <c r="E5254" s="1320" t="s">
        <v>2184</v>
      </c>
      <c r="F5254" s="367" t="s">
        <v>2185</v>
      </c>
      <c r="G5254" s="367" t="s">
        <v>2186</v>
      </c>
      <c r="H5254" s="1542" t="s">
        <v>476</v>
      </c>
      <c r="I5254" s="1543"/>
      <c r="J5254" s="1543"/>
      <c r="K5254" s="1543"/>
      <c r="L5254" s="1543"/>
      <c r="M5254" s="1543"/>
      <c r="N5254" s="1566"/>
    </row>
    <row r="5255" spans="1:14" ht="24">
      <c r="A5255" s="1554"/>
      <c r="B5255" s="1541"/>
      <c r="C5255" s="368" t="s">
        <v>2627</v>
      </c>
      <c r="D5255" s="369" t="s">
        <v>2187</v>
      </c>
      <c r="E5255" s="529" t="s">
        <v>3152</v>
      </c>
      <c r="F5255" s="369" t="s">
        <v>2649</v>
      </c>
      <c r="G5255" s="370" t="s">
        <v>2709</v>
      </c>
      <c r="H5255" s="1542"/>
      <c r="I5255" s="1543"/>
      <c r="J5255" s="1543"/>
      <c r="K5255" s="1543"/>
      <c r="L5255" s="1543"/>
      <c r="M5255" s="1543"/>
      <c r="N5255" s="1566"/>
    </row>
    <row r="5256" spans="1:14">
      <c r="A5256" s="1098" t="s">
        <v>3850</v>
      </c>
      <c r="B5256" s="429" t="s">
        <v>3888</v>
      </c>
      <c r="C5256" s="369">
        <v>1</v>
      </c>
      <c r="D5256" s="369"/>
      <c r="E5256" s="529">
        <v>0.5</v>
      </c>
      <c r="F5256" s="369"/>
      <c r="G5256" s="369"/>
      <c r="H5256" s="943">
        <f>E5256*C5256</f>
        <v>0.5</v>
      </c>
      <c r="I5256" s="1567"/>
      <c r="J5256" s="1543"/>
      <c r="K5256" s="1543"/>
      <c r="L5256" s="1543"/>
      <c r="M5256" s="1543"/>
      <c r="N5256" s="1566"/>
    </row>
    <row r="5257" spans="1:14">
      <c r="A5257" s="1098" t="s">
        <v>3892</v>
      </c>
      <c r="B5257" s="429" t="s">
        <v>3888</v>
      </c>
      <c r="C5257" s="369">
        <v>1</v>
      </c>
      <c r="D5257" s="369"/>
      <c r="E5257" s="529">
        <v>0.15</v>
      </c>
      <c r="F5257" s="369"/>
      <c r="G5257" s="369"/>
      <c r="H5257" s="943">
        <f>E5257*C5257</f>
        <v>0.15</v>
      </c>
      <c r="I5257" s="1567"/>
      <c r="J5257" s="1543"/>
      <c r="K5257" s="1543"/>
      <c r="L5257" s="1543"/>
      <c r="M5257" s="1543"/>
      <c r="N5257" s="1566"/>
    </row>
    <row r="5258" spans="1:14">
      <c r="A5258" s="1094" t="s">
        <v>3981</v>
      </c>
      <c r="B5258" s="429" t="s">
        <v>3888</v>
      </c>
      <c r="C5258" s="369">
        <v>1</v>
      </c>
      <c r="D5258" s="369"/>
      <c r="E5258" s="529">
        <v>0.15</v>
      </c>
      <c r="F5258" s="369"/>
      <c r="G5258" s="369"/>
      <c r="H5258" s="943">
        <f>E5258*C5258</f>
        <v>0.15</v>
      </c>
      <c r="I5258" s="1567"/>
      <c r="J5258" s="1543"/>
      <c r="K5258" s="1543"/>
      <c r="L5258" s="1543"/>
      <c r="M5258" s="1543"/>
      <c r="N5258" s="1566"/>
    </row>
    <row r="5259" spans="1:14">
      <c r="A5259" s="1094" t="s">
        <v>4080</v>
      </c>
      <c r="B5259" s="429" t="s">
        <v>3888</v>
      </c>
      <c r="C5259" s="369">
        <v>1</v>
      </c>
      <c r="D5259" s="369"/>
      <c r="E5259" s="529">
        <v>0.2</v>
      </c>
      <c r="F5259" s="369"/>
      <c r="G5259" s="369"/>
      <c r="H5259" s="943">
        <f>E5259*C5259</f>
        <v>0.2</v>
      </c>
      <c r="I5259" s="1567"/>
      <c r="J5259" s="1543"/>
      <c r="K5259" s="1543"/>
      <c r="L5259" s="1543"/>
      <c r="M5259" s="1543"/>
      <c r="N5259" s="1566"/>
    </row>
    <row r="5260" spans="1:14">
      <c r="A5260" s="1538" t="s">
        <v>2218</v>
      </c>
      <c r="B5260" s="1538"/>
      <c r="C5260" s="1538"/>
      <c r="D5260" s="1538"/>
      <c r="E5260" s="1538"/>
      <c r="F5260" s="1538"/>
      <c r="G5260" s="1538"/>
      <c r="H5260" s="271">
        <f>SUM(H5256:H5259)</f>
        <v>1</v>
      </c>
      <c r="I5260" s="1567"/>
      <c r="J5260" s="1543"/>
      <c r="K5260" s="1543"/>
      <c r="L5260" s="1543"/>
      <c r="M5260" s="1543"/>
      <c r="N5260" s="1566"/>
    </row>
    <row r="5261" spans="1:14">
      <c r="A5261" s="1519" t="s">
        <v>2219</v>
      </c>
      <c r="B5261" s="1517"/>
      <c r="C5261" s="1517"/>
      <c r="D5261" s="1551"/>
      <c r="E5261" s="1551"/>
      <c r="F5261" s="1551"/>
      <c r="G5261" s="1552"/>
      <c r="H5261" s="325">
        <f>SUM(H5256:H5258)</f>
        <v>0.8</v>
      </c>
      <c r="I5261" s="1543"/>
      <c r="J5261" s="1543"/>
      <c r="K5261" s="1543"/>
      <c r="L5261" s="1543"/>
      <c r="M5261" s="1543"/>
      <c r="N5261" s="1566"/>
    </row>
    <row r="5262" spans="1:14" ht="15.75" thickBot="1">
      <c r="A5262" s="1520" t="s">
        <v>2220</v>
      </c>
      <c r="B5262" s="1521"/>
      <c r="C5262" s="1521"/>
      <c r="D5262" s="1521"/>
      <c r="E5262" s="1521"/>
      <c r="F5262" s="1521"/>
      <c r="G5262" s="1522"/>
      <c r="H5262" s="216">
        <f>H5260-H5261</f>
        <v>0.19999999999999996</v>
      </c>
      <c r="I5262" s="1568"/>
      <c r="J5262" s="1568"/>
      <c r="K5262" s="1568"/>
      <c r="L5262" s="1568"/>
      <c r="M5262" s="1568"/>
      <c r="N5262" s="1569"/>
    </row>
    <row r="5264" spans="1:14">
      <c r="A5264" s="253" t="s">
        <v>4072</v>
      </c>
      <c r="B5264" s="1584" t="s">
        <v>1334</v>
      </c>
      <c r="C5264" s="1585"/>
      <c r="D5264" s="1585"/>
      <c r="E5264" s="1585"/>
      <c r="F5264" s="1585"/>
      <c r="G5264" s="1585"/>
      <c r="H5264" s="1585"/>
      <c r="I5264" s="1585"/>
      <c r="J5264" s="1586"/>
      <c r="K5264" s="874" t="s">
        <v>2329</v>
      </c>
      <c r="L5264" s="1587">
        <v>4</v>
      </c>
      <c r="M5264" s="1588"/>
      <c r="N5264" s="1028">
        <f>L5264-H5270</f>
        <v>0</v>
      </c>
    </row>
    <row r="5265" spans="1:14">
      <c r="A5265" s="1554"/>
      <c r="B5265" s="1541"/>
      <c r="C5265" s="366"/>
      <c r="D5265" s="367" t="s">
        <v>2183</v>
      </c>
      <c r="E5265" s="1320" t="s">
        <v>2184</v>
      </c>
      <c r="F5265" s="367" t="s">
        <v>2185</v>
      </c>
      <c r="G5265" s="367" t="s">
        <v>2186</v>
      </c>
      <c r="H5265" s="1542" t="s">
        <v>476</v>
      </c>
      <c r="I5265" s="1543"/>
      <c r="J5265" s="1543"/>
      <c r="K5265" s="1543"/>
      <c r="L5265" s="1543"/>
      <c r="M5265" s="1543"/>
      <c r="N5265" s="1566"/>
    </row>
    <row r="5266" spans="1:14" ht="24">
      <c r="A5266" s="1554"/>
      <c r="B5266" s="1541"/>
      <c r="C5266" s="368" t="s">
        <v>2627</v>
      </c>
      <c r="D5266" s="369" t="s">
        <v>2187</v>
      </c>
      <c r="E5266" s="529" t="s">
        <v>3152</v>
      </c>
      <c r="F5266" s="369" t="s">
        <v>2649</v>
      </c>
      <c r="G5266" s="370" t="s">
        <v>2709</v>
      </c>
      <c r="H5266" s="1542"/>
      <c r="I5266" s="1543"/>
      <c r="J5266" s="1543"/>
      <c r="K5266" s="1543"/>
      <c r="L5266" s="1543"/>
      <c r="M5266" s="1543"/>
      <c r="N5266" s="1566"/>
    </row>
    <row r="5267" spans="1:14">
      <c r="A5267" s="1094"/>
      <c r="B5267" s="429"/>
      <c r="C5267" s="369"/>
      <c r="D5267" s="369"/>
      <c r="E5267" s="529"/>
      <c r="F5267" s="369"/>
      <c r="G5267" s="369"/>
      <c r="H5267" s="943"/>
      <c r="I5267" s="1567"/>
      <c r="J5267" s="1543"/>
      <c r="K5267" s="1543"/>
      <c r="L5267" s="1543"/>
      <c r="M5267" s="1543"/>
      <c r="N5267" s="1566"/>
    </row>
    <row r="5268" spans="1:14">
      <c r="A5268" s="1094" t="s">
        <v>4003</v>
      </c>
      <c r="B5268" s="429" t="s">
        <v>4071</v>
      </c>
      <c r="C5268" s="369">
        <v>4</v>
      </c>
      <c r="D5268" s="369"/>
      <c r="E5268" s="529">
        <v>1</v>
      </c>
      <c r="F5268" s="369"/>
      <c r="G5268" s="369"/>
      <c r="H5268" s="943">
        <f>E5268*C5268</f>
        <v>4</v>
      </c>
      <c r="I5268" s="1567"/>
      <c r="J5268" s="1543"/>
      <c r="K5268" s="1543"/>
      <c r="L5268" s="1543"/>
      <c r="M5268" s="1543"/>
      <c r="N5268" s="1566"/>
    </row>
    <row r="5269" spans="1:14">
      <c r="A5269" s="1094"/>
      <c r="B5269" s="753"/>
      <c r="C5269" s="369"/>
      <c r="D5269" s="369"/>
      <c r="E5269" s="529"/>
      <c r="F5269" s="369"/>
      <c r="G5269" s="369"/>
      <c r="H5269" s="943"/>
      <c r="I5269" s="1567"/>
      <c r="J5269" s="1543"/>
      <c r="K5269" s="1543"/>
      <c r="L5269" s="1543"/>
      <c r="M5269" s="1543"/>
      <c r="N5269" s="1566"/>
    </row>
    <row r="5270" spans="1:14">
      <c r="A5270" s="1538" t="s">
        <v>2218</v>
      </c>
      <c r="B5270" s="1538"/>
      <c r="C5270" s="1538"/>
      <c r="D5270" s="1538"/>
      <c r="E5270" s="1538"/>
      <c r="F5270" s="1538"/>
      <c r="G5270" s="1538"/>
      <c r="H5270" s="271">
        <f>SUM(H5267:H5269)</f>
        <v>4</v>
      </c>
      <c r="I5270" s="1567"/>
      <c r="J5270" s="1543"/>
      <c r="K5270" s="1543"/>
      <c r="L5270" s="1543"/>
      <c r="M5270" s="1543"/>
      <c r="N5270" s="1566"/>
    </row>
    <row r="5271" spans="1:14">
      <c r="A5271" s="1519" t="s">
        <v>2219</v>
      </c>
      <c r="B5271" s="1517"/>
      <c r="C5271" s="1517"/>
      <c r="D5271" s="1551"/>
      <c r="E5271" s="1551"/>
      <c r="F5271" s="1551"/>
      <c r="G5271" s="1552"/>
      <c r="H5271" s="325">
        <v>0</v>
      </c>
      <c r="I5271" s="1543"/>
      <c r="J5271" s="1543"/>
      <c r="K5271" s="1543"/>
      <c r="L5271" s="1543"/>
      <c r="M5271" s="1543"/>
      <c r="N5271" s="1566"/>
    </row>
    <row r="5272" spans="1:14" ht="15.75" thickBot="1">
      <c r="A5272" s="1520" t="s">
        <v>2220</v>
      </c>
      <c r="B5272" s="1521"/>
      <c r="C5272" s="1521"/>
      <c r="D5272" s="1521"/>
      <c r="E5272" s="1521"/>
      <c r="F5272" s="1521"/>
      <c r="G5272" s="1522"/>
      <c r="H5272" s="216">
        <f>H5270-H5271</f>
        <v>4</v>
      </c>
      <c r="I5272" s="1568"/>
      <c r="J5272" s="1568"/>
      <c r="K5272" s="1568"/>
      <c r="L5272" s="1568"/>
      <c r="M5272" s="1568"/>
      <c r="N5272" s="1569"/>
    </row>
    <row r="5274" spans="1:14" ht="38.25" customHeight="1">
      <c r="A5274" s="253" t="s">
        <v>3664</v>
      </c>
      <c r="B5274" s="1584" t="s">
        <v>3665</v>
      </c>
      <c r="C5274" s="1585"/>
      <c r="D5274" s="1585"/>
      <c r="E5274" s="1585"/>
      <c r="F5274" s="1585"/>
      <c r="G5274" s="1585"/>
      <c r="H5274" s="1585"/>
      <c r="I5274" s="1585"/>
      <c r="J5274" s="1586"/>
      <c r="K5274" s="874" t="s">
        <v>44</v>
      </c>
      <c r="L5274" s="1587">
        <f>'27ª MEDIÇÃO '!F349</f>
        <v>1</v>
      </c>
      <c r="M5274" s="1588"/>
      <c r="N5274" s="1028">
        <f>L5274-H5280</f>
        <v>0</v>
      </c>
    </row>
    <row r="5275" spans="1:14">
      <c r="A5275" s="1554"/>
      <c r="B5275" s="1541"/>
      <c r="C5275" s="366"/>
      <c r="D5275" s="367" t="s">
        <v>2183</v>
      </c>
      <c r="E5275" s="1320" t="s">
        <v>2184</v>
      </c>
      <c r="F5275" s="367" t="s">
        <v>2185</v>
      </c>
      <c r="G5275" s="367" t="s">
        <v>2186</v>
      </c>
      <c r="H5275" s="1542" t="s">
        <v>476</v>
      </c>
      <c r="I5275" s="1543"/>
      <c r="J5275" s="1543"/>
      <c r="K5275" s="1543"/>
      <c r="L5275" s="1543"/>
      <c r="M5275" s="1543"/>
      <c r="N5275" s="1566"/>
    </row>
    <row r="5276" spans="1:14" ht="24">
      <c r="A5276" s="1554"/>
      <c r="B5276" s="1541"/>
      <c r="C5276" s="368" t="s">
        <v>2627</v>
      </c>
      <c r="D5276" s="369" t="s">
        <v>2187</v>
      </c>
      <c r="E5276" s="529" t="s">
        <v>3152</v>
      </c>
      <c r="F5276" s="369" t="s">
        <v>2649</v>
      </c>
      <c r="G5276" s="370" t="s">
        <v>2709</v>
      </c>
      <c r="H5276" s="1542"/>
      <c r="I5276" s="1543"/>
      <c r="J5276" s="1543"/>
      <c r="K5276" s="1543"/>
      <c r="L5276" s="1543"/>
      <c r="M5276" s="1543"/>
      <c r="N5276" s="1566"/>
    </row>
    <row r="5277" spans="1:14">
      <c r="A5277" s="1094" t="s">
        <v>3620</v>
      </c>
      <c r="B5277" s="429" t="s">
        <v>3199</v>
      </c>
      <c r="C5277" s="369">
        <v>1</v>
      </c>
      <c r="D5277" s="369"/>
      <c r="E5277" s="529">
        <v>0.5</v>
      </c>
      <c r="F5277" s="369"/>
      <c r="G5277" s="369"/>
      <c r="H5277" s="943">
        <f>E5277*C5277</f>
        <v>0.5</v>
      </c>
      <c r="I5277" s="1567"/>
      <c r="J5277" s="1543"/>
      <c r="K5277" s="1543"/>
      <c r="L5277" s="1543"/>
      <c r="M5277" s="1543"/>
      <c r="N5277" s="1566"/>
    </row>
    <row r="5278" spans="1:14">
      <c r="A5278" s="1094" t="s">
        <v>3892</v>
      </c>
      <c r="B5278" s="429" t="s">
        <v>3199</v>
      </c>
      <c r="C5278" s="369">
        <v>1</v>
      </c>
      <c r="D5278" s="369"/>
      <c r="E5278" s="529">
        <v>0.5</v>
      </c>
      <c r="F5278" s="369"/>
      <c r="G5278" s="369"/>
      <c r="H5278" s="943">
        <f>E5278*C5278</f>
        <v>0.5</v>
      </c>
      <c r="I5278" s="1567"/>
      <c r="J5278" s="1543"/>
      <c r="K5278" s="1543"/>
      <c r="L5278" s="1543"/>
      <c r="M5278" s="1543"/>
      <c r="N5278" s="1566"/>
    </row>
    <row r="5279" spans="1:14">
      <c r="A5279" s="1094"/>
      <c r="B5279" s="753"/>
      <c r="C5279" s="369"/>
      <c r="D5279" s="369"/>
      <c r="E5279" s="529"/>
      <c r="F5279" s="369"/>
      <c r="G5279" s="369"/>
      <c r="H5279" s="943"/>
      <c r="I5279" s="1567"/>
      <c r="J5279" s="1543"/>
      <c r="K5279" s="1543"/>
      <c r="L5279" s="1543"/>
      <c r="M5279" s="1543"/>
      <c r="N5279" s="1566"/>
    </row>
    <row r="5280" spans="1:14">
      <c r="A5280" s="1538" t="s">
        <v>2218</v>
      </c>
      <c r="B5280" s="1538"/>
      <c r="C5280" s="1538"/>
      <c r="D5280" s="1538"/>
      <c r="E5280" s="1538"/>
      <c r="F5280" s="1538"/>
      <c r="G5280" s="1538"/>
      <c r="H5280" s="271">
        <f>SUM(H5277:H5279)</f>
        <v>1</v>
      </c>
      <c r="I5280" s="1567"/>
      <c r="J5280" s="1543"/>
      <c r="K5280" s="1543"/>
      <c r="L5280" s="1543"/>
      <c r="M5280" s="1543"/>
      <c r="N5280" s="1566"/>
    </row>
    <row r="5281" spans="1:14">
      <c r="A5281" s="1519" t="s">
        <v>2219</v>
      </c>
      <c r="B5281" s="1517"/>
      <c r="C5281" s="1517"/>
      <c r="D5281" s="1551"/>
      <c r="E5281" s="1551"/>
      <c r="F5281" s="1551"/>
      <c r="G5281" s="1552"/>
      <c r="H5281" s="325">
        <v>0</v>
      </c>
      <c r="I5281" s="1543"/>
      <c r="J5281" s="1543"/>
      <c r="K5281" s="1543"/>
      <c r="L5281" s="1543"/>
      <c r="M5281" s="1543"/>
      <c r="N5281" s="1566"/>
    </row>
    <row r="5282" spans="1:14" ht="15.75" thickBot="1">
      <c r="A5282" s="1520" t="s">
        <v>2220</v>
      </c>
      <c r="B5282" s="1521"/>
      <c r="C5282" s="1521"/>
      <c r="D5282" s="1521"/>
      <c r="E5282" s="1521"/>
      <c r="F5282" s="1521"/>
      <c r="G5282" s="1522"/>
      <c r="H5282" s="216">
        <f>H5280-H5281</f>
        <v>1</v>
      </c>
      <c r="I5282" s="1568"/>
      <c r="J5282" s="1568"/>
      <c r="K5282" s="1568"/>
      <c r="L5282" s="1568"/>
      <c r="M5282" s="1568"/>
      <c r="N5282" s="1569"/>
    </row>
    <row r="5284" spans="1:14" ht="26.25" customHeight="1">
      <c r="A5284" s="253" t="s">
        <v>4073</v>
      </c>
      <c r="B5284" s="1584" t="s">
        <v>4074</v>
      </c>
      <c r="C5284" s="1585"/>
      <c r="D5284" s="1585"/>
      <c r="E5284" s="1585"/>
      <c r="F5284" s="1585"/>
      <c r="G5284" s="1585"/>
      <c r="H5284" s="1585"/>
      <c r="I5284" s="1585"/>
      <c r="J5284" s="1586"/>
      <c r="K5284" s="874" t="s">
        <v>2329</v>
      </c>
      <c r="L5284" s="1587">
        <v>8</v>
      </c>
      <c r="M5284" s="1588"/>
      <c r="N5284" s="1028">
        <f>L5284-H5290</f>
        <v>0</v>
      </c>
    </row>
    <row r="5285" spans="1:14">
      <c r="A5285" s="1554"/>
      <c r="B5285" s="1541"/>
      <c r="C5285" s="366"/>
      <c r="D5285" s="367" t="s">
        <v>2183</v>
      </c>
      <c r="E5285" s="1320" t="s">
        <v>2184</v>
      </c>
      <c r="F5285" s="367" t="s">
        <v>2185</v>
      </c>
      <c r="G5285" s="367" t="s">
        <v>2186</v>
      </c>
      <c r="H5285" s="1542" t="s">
        <v>476</v>
      </c>
      <c r="I5285" s="1543"/>
      <c r="J5285" s="1543"/>
      <c r="K5285" s="1543"/>
      <c r="L5285" s="1543"/>
      <c r="M5285" s="1543"/>
      <c r="N5285" s="1566"/>
    </row>
    <row r="5286" spans="1:14" ht="24">
      <c r="A5286" s="1554"/>
      <c r="B5286" s="1541"/>
      <c r="C5286" s="368" t="s">
        <v>2627</v>
      </c>
      <c r="D5286" s="369" t="s">
        <v>2187</v>
      </c>
      <c r="E5286" s="529" t="s">
        <v>3152</v>
      </c>
      <c r="F5286" s="369" t="s">
        <v>2649</v>
      </c>
      <c r="G5286" s="370" t="s">
        <v>2709</v>
      </c>
      <c r="H5286" s="1542"/>
      <c r="I5286" s="1543"/>
      <c r="J5286" s="1543"/>
      <c r="K5286" s="1543"/>
      <c r="L5286" s="1543"/>
      <c r="M5286" s="1543"/>
      <c r="N5286" s="1566"/>
    </row>
    <row r="5287" spans="1:14">
      <c r="A5287" s="1094"/>
      <c r="B5287" s="429"/>
      <c r="C5287" s="369"/>
      <c r="D5287" s="369"/>
      <c r="E5287" s="529"/>
      <c r="F5287" s="369"/>
      <c r="G5287" s="369"/>
      <c r="H5287" s="943"/>
      <c r="I5287" s="1567"/>
      <c r="J5287" s="1543"/>
      <c r="K5287" s="1543"/>
      <c r="L5287" s="1543"/>
      <c r="M5287" s="1543"/>
      <c r="N5287" s="1566"/>
    </row>
    <row r="5288" spans="1:14">
      <c r="A5288" s="1094" t="s">
        <v>4003</v>
      </c>
      <c r="B5288" s="429" t="s">
        <v>4071</v>
      </c>
      <c r="C5288" s="369">
        <v>8</v>
      </c>
      <c r="D5288" s="369"/>
      <c r="E5288" s="529">
        <v>1</v>
      </c>
      <c r="F5288" s="369"/>
      <c r="G5288" s="369"/>
      <c r="H5288" s="943">
        <f>E5288*C5288</f>
        <v>8</v>
      </c>
      <c r="I5288" s="1567"/>
      <c r="J5288" s="1543"/>
      <c r="K5288" s="1543"/>
      <c r="L5288" s="1543"/>
      <c r="M5288" s="1543"/>
      <c r="N5288" s="1566"/>
    </row>
    <row r="5289" spans="1:14">
      <c r="A5289" s="1094"/>
      <c r="B5289" s="753"/>
      <c r="C5289" s="369"/>
      <c r="D5289" s="369"/>
      <c r="E5289" s="529"/>
      <c r="F5289" s="369"/>
      <c r="G5289" s="369"/>
      <c r="H5289" s="943"/>
      <c r="I5289" s="1567"/>
      <c r="J5289" s="1543"/>
      <c r="K5289" s="1543"/>
      <c r="L5289" s="1543"/>
      <c r="M5289" s="1543"/>
      <c r="N5289" s="1566"/>
    </row>
    <row r="5290" spans="1:14">
      <c r="A5290" s="1538" t="s">
        <v>2218</v>
      </c>
      <c r="B5290" s="1538"/>
      <c r="C5290" s="1538"/>
      <c r="D5290" s="1538"/>
      <c r="E5290" s="1538"/>
      <c r="F5290" s="1538"/>
      <c r="G5290" s="1538"/>
      <c r="H5290" s="271">
        <f>SUM(H5287:H5289)</f>
        <v>8</v>
      </c>
      <c r="I5290" s="1567"/>
      <c r="J5290" s="1543"/>
      <c r="K5290" s="1543"/>
      <c r="L5290" s="1543"/>
      <c r="M5290" s="1543"/>
      <c r="N5290" s="1566"/>
    </row>
    <row r="5291" spans="1:14">
      <c r="A5291" s="1519" t="s">
        <v>2219</v>
      </c>
      <c r="B5291" s="1517"/>
      <c r="C5291" s="1517"/>
      <c r="D5291" s="1551"/>
      <c r="E5291" s="1551"/>
      <c r="F5291" s="1551"/>
      <c r="G5291" s="1552"/>
      <c r="H5291" s="325">
        <v>0</v>
      </c>
      <c r="I5291" s="1543"/>
      <c r="J5291" s="1543"/>
      <c r="K5291" s="1543"/>
      <c r="L5291" s="1543"/>
      <c r="M5291" s="1543"/>
      <c r="N5291" s="1566"/>
    </row>
    <row r="5292" spans="1:14" ht="15.75" thickBot="1">
      <c r="A5292" s="1520" t="s">
        <v>2220</v>
      </c>
      <c r="B5292" s="1521"/>
      <c r="C5292" s="1521"/>
      <c r="D5292" s="1521"/>
      <c r="E5292" s="1521"/>
      <c r="F5292" s="1521"/>
      <c r="G5292" s="1522"/>
      <c r="H5292" s="216">
        <f>H5290-H5291</f>
        <v>8</v>
      </c>
      <c r="I5292" s="1568"/>
      <c r="J5292" s="1568"/>
      <c r="K5292" s="1568"/>
      <c r="L5292" s="1568"/>
      <c r="M5292" s="1568"/>
      <c r="N5292" s="1569"/>
    </row>
    <row r="5294" spans="1:14">
      <c r="A5294" s="235" t="s">
        <v>1340</v>
      </c>
      <c r="B5294" s="1548" t="s">
        <v>1341</v>
      </c>
      <c r="C5294" s="1548"/>
      <c r="D5294" s="1548"/>
      <c r="E5294" s="1548"/>
      <c r="F5294" s="1548"/>
      <c r="G5294" s="1548"/>
      <c r="H5294" s="1548"/>
      <c r="I5294" s="1548"/>
      <c r="J5294" s="1548"/>
      <c r="K5294" s="1548"/>
      <c r="L5294" s="1548"/>
      <c r="M5294" s="1548"/>
      <c r="N5294" s="1548"/>
    </row>
    <row r="5295" spans="1:14">
      <c r="A5295" s="1120" t="s">
        <v>1342</v>
      </c>
      <c r="B5295" s="1561" t="s">
        <v>313</v>
      </c>
      <c r="C5295" s="1562"/>
      <c r="D5295" s="1562"/>
      <c r="E5295" s="1562"/>
      <c r="F5295" s="1562"/>
      <c r="G5295" s="1562"/>
      <c r="H5295" s="1562"/>
      <c r="I5295" s="1562"/>
      <c r="J5295" s="1563"/>
      <c r="K5295" s="264" t="s">
        <v>44</v>
      </c>
      <c r="L5295" s="1564">
        <f>'27ª MEDIÇÃO '!F352</f>
        <v>320</v>
      </c>
      <c r="M5295" s="1565"/>
      <c r="N5295" s="265">
        <f>L5295-H5304</f>
        <v>0</v>
      </c>
    </row>
    <row r="5296" spans="1:14" ht="30" customHeight="1">
      <c r="A5296" s="1554"/>
      <c r="B5296" s="1541"/>
      <c r="C5296" s="366"/>
      <c r="D5296" s="367" t="s">
        <v>2183</v>
      </c>
      <c r="E5296" s="1320" t="s">
        <v>2184</v>
      </c>
      <c r="F5296" s="367" t="s">
        <v>2185</v>
      </c>
      <c r="G5296" s="367" t="s">
        <v>2186</v>
      </c>
      <c r="H5296" s="1542" t="s">
        <v>476</v>
      </c>
      <c r="I5296" s="1543"/>
      <c r="J5296" s="1543"/>
      <c r="K5296" s="1543"/>
      <c r="L5296" s="1543"/>
      <c r="M5296" s="1543"/>
      <c r="N5296" s="1566"/>
    </row>
    <row r="5297" spans="1:14" ht="24">
      <c r="A5297" s="1554"/>
      <c r="B5297" s="1541"/>
      <c r="C5297" s="368" t="s">
        <v>2627</v>
      </c>
      <c r="D5297" s="369" t="s">
        <v>2187</v>
      </c>
      <c r="E5297" s="529" t="s">
        <v>3152</v>
      </c>
      <c r="F5297" s="369" t="s">
        <v>2649</v>
      </c>
      <c r="G5297" s="370" t="s">
        <v>2709</v>
      </c>
      <c r="H5297" s="1542"/>
      <c r="I5297" s="1543"/>
      <c r="J5297" s="1543"/>
      <c r="K5297" s="1543"/>
      <c r="L5297" s="1543"/>
      <c r="M5297" s="1543"/>
      <c r="N5297" s="1566"/>
    </row>
    <row r="5298" spans="1:14">
      <c r="A5298" s="1544" t="s">
        <v>3364</v>
      </c>
      <c r="B5298" s="429" t="s">
        <v>3197</v>
      </c>
      <c r="C5298" s="369">
        <v>176</v>
      </c>
      <c r="D5298" s="369"/>
      <c r="E5298" s="529">
        <v>0.4</v>
      </c>
      <c r="F5298" s="369"/>
      <c r="G5298" s="369"/>
      <c r="H5298" s="943">
        <f t="shared" ref="H5298:H5303" si="108">E5298*C5298</f>
        <v>70.400000000000006</v>
      </c>
      <c r="I5298" s="1567"/>
      <c r="J5298" s="1543"/>
      <c r="K5298" s="1543"/>
      <c r="L5298" s="1543"/>
      <c r="M5298" s="1543"/>
      <c r="N5298" s="1566"/>
    </row>
    <row r="5299" spans="1:14">
      <c r="A5299" s="1544"/>
      <c r="B5299" s="753" t="s">
        <v>3198</v>
      </c>
      <c r="C5299" s="369">
        <v>144</v>
      </c>
      <c r="D5299" s="369"/>
      <c r="E5299" s="529">
        <v>0.4</v>
      </c>
      <c r="F5299" s="369"/>
      <c r="G5299" s="369"/>
      <c r="H5299" s="943">
        <f t="shared" si="108"/>
        <v>57.6</v>
      </c>
      <c r="I5299" s="1567"/>
      <c r="J5299" s="1543"/>
      <c r="K5299" s="1543"/>
      <c r="L5299" s="1543"/>
      <c r="M5299" s="1543"/>
      <c r="N5299" s="1566"/>
    </row>
    <row r="5300" spans="1:14">
      <c r="A5300" s="1544" t="s">
        <v>3428</v>
      </c>
      <c r="B5300" s="429" t="s">
        <v>3197</v>
      </c>
      <c r="C5300" s="369">
        <v>176</v>
      </c>
      <c r="D5300" s="369"/>
      <c r="E5300" s="529">
        <v>0.2</v>
      </c>
      <c r="F5300" s="369"/>
      <c r="G5300" s="369"/>
      <c r="H5300" s="943">
        <f t="shared" si="108"/>
        <v>35.200000000000003</v>
      </c>
      <c r="I5300" s="1567"/>
      <c r="J5300" s="1543"/>
      <c r="K5300" s="1543"/>
      <c r="L5300" s="1543"/>
      <c r="M5300" s="1543"/>
      <c r="N5300" s="1566"/>
    </row>
    <row r="5301" spans="1:14">
      <c r="A5301" s="1544"/>
      <c r="B5301" s="753" t="s">
        <v>3198</v>
      </c>
      <c r="C5301" s="369">
        <v>144</v>
      </c>
      <c r="D5301" s="369"/>
      <c r="E5301" s="529">
        <v>0.6</v>
      </c>
      <c r="F5301" s="369"/>
      <c r="G5301" s="369"/>
      <c r="H5301" s="943">
        <f t="shared" si="108"/>
        <v>86.399999999999991</v>
      </c>
      <c r="I5301" s="1567"/>
      <c r="J5301" s="1543"/>
      <c r="K5301" s="1543"/>
      <c r="L5301" s="1543"/>
      <c r="M5301" s="1543"/>
      <c r="N5301" s="1566"/>
    </row>
    <row r="5302" spans="1:14">
      <c r="A5302" s="1544" t="s">
        <v>3465</v>
      </c>
      <c r="B5302" s="429" t="s">
        <v>3197</v>
      </c>
      <c r="C5302" s="369">
        <v>176</v>
      </c>
      <c r="D5302" s="369"/>
      <c r="E5302" s="529">
        <v>0.4</v>
      </c>
      <c r="F5302" s="369"/>
      <c r="G5302" s="369"/>
      <c r="H5302" s="943">
        <f t="shared" si="108"/>
        <v>70.400000000000006</v>
      </c>
      <c r="I5302" s="1567"/>
      <c r="J5302" s="1543"/>
      <c r="K5302" s="1543"/>
      <c r="L5302" s="1543"/>
      <c r="M5302" s="1543"/>
      <c r="N5302" s="1566"/>
    </row>
    <row r="5303" spans="1:14">
      <c r="A5303" s="1544"/>
      <c r="B5303" s="753" t="s">
        <v>3198</v>
      </c>
      <c r="C5303" s="369">
        <v>144</v>
      </c>
      <c r="D5303" s="369"/>
      <c r="E5303" s="529">
        <v>0</v>
      </c>
      <c r="F5303" s="369"/>
      <c r="G5303" s="369"/>
      <c r="H5303" s="943">
        <f t="shared" si="108"/>
        <v>0</v>
      </c>
      <c r="I5303" s="1567"/>
      <c r="J5303" s="1543"/>
      <c r="K5303" s="1543"/>
      <c r="L5303" s="1543"/>
      <c r="M5303" s="1543"/>
      <c r="N5303" s="1566"/>
    </row>
    <row r="5304" spans="1:14">
      <c r="A5304" s="1538" t="s">
        <v>2218</v>
      </c>
      <c r="B5304" s="1538"/>
      <c r="C5304" s="1538"/>
      <c r="D5304" s="1538"/>
      <c r="E5304" s="1538"/>
      <c r="F5304" s="1538"/>
      <c r="G5304" s="1538"/>
      <c r="H5304" s="271">
        <f>SUM(H5298:H5303)</f>
        <v>320</v>
      </c>
      <c r="I5304" s="1567"/>
      <c r="J5304" s="1543"/>
      <c r="K5304" s="1543"/>
      <c r="L5304" s="1543"/>
      <c r="M5304" s="1543"/>
      <c r="N5304" s="1566"/>
    </row>
    <row r="5305" spans="1:14">
      <c r="A5305" s="1519" t="s">
        <v>2219</v>
      </c>
      <c r="B5305" s="1517"/>
      <c r="C5305" s="1517"/>
      <c r="D5305" s="1551"/>
      <c r="E5305" s="1551"/>
      <c r="F5305" s="1551"/>
      <c r="G5305" s="1552"/>
      <c r="H5305" s="325">
        <f>SUM(H5298:H5301)</f>
        <v>249.59999999999997</v>
      </c>
      <c r="I5305" s="1543"/>
      <c r="J5305" s="1543"/>
      <c r="K5305" s="1543"/>
      <c r="L5305" s="1543"/>
      <c r="M5305" s="1543"/>
      <c r="N5305" s="1566"/>
    </row>
    <row r="5306" spans="1:14" ht="15.75" thickBot="1">
      <c r="A5306" s="1520" t="s">
        <v>2220</v>
      </c>
      <c r="B5306" s="1521"/>
      <c r="C5306" s="1521"/>
      <c r="D5306" s="1521"/>
      <c r="E5306" s="1521"/>
      <c r="F5306" s="1521"/>
      <c r="G5306" s="1522"/>
      <c r="H5306" s="216">
        <f>H5304-H5305</f>
        <v>70.400000000000034</v>
      </c>
      <c r="I5306" s="1568"/>
      <c r="J5306" s="1568"/>
      <c r="K5306" s="1568"/>
      <c r="L5306" s="1568"/>
      <c r="M5306" s="1568"/>
      <c r="N5306" s="1569"/>
    </row>
    <row r="5307" spans="1:14" ht="18" customHeight="1"/>
    <row r="5308" spans="1:14">
      <c r="A5308" s="211" t="s">
        <v>1343</v>
      </c>
      <c r="B5308" s="1550" t="s">
        <v>316</v>
      </c>
      <c r="C5308" s="1550"/>
      <c r="D5308" s="1550"/>
      <c r="E5308" s="1550"/>
      <c r="F5308" s="1550"/>
      <c r="G5308" s="1550"/>
      <c r="H5308" s="1550"/>
      <c r="I5308" s="1550"/>
      <c r="J5308" s="1550"/>
      <c r="K5308" s="864" t="s">
        <v>44</v>
      </c>
      <c r="L5308" s="1540">
        <f>'27ª MEDIÇÃO '!F353</f>
        <v>43</v>
      </c>
      <c r="M5308" s="1540"/>
      <c r="N5308" s="865">
        <f>L5308-H5317</f>
        <v>0</v>
      </c>
    </row>
    <row r="5309" spans="1:14">
      <c r="A5309" s="1541"/>
      <c r="B5309" s="1541"/>
      <c r="C5309" s="366"/>
      <c r="D5309" s="367" t="s">
        <v>2183</v>
      </c>
      <c r="E5309" s="1320" t="s">
        <v>2184</v>
      </c>
      <c r="F5309" s="367" t="s">
        <v>2185</v>
      </c>
      <c r="G5309" s="367" t="s">
        <v>2186</v>
      </c>
      <c r="H5309" s="1542" t="s">
        <v>476</v>
      </c>
      <c r="I5309" s="1543"/>
      <c r="J5309" s="1543"/>
      <c r="K5309" s="1543"/>
      <c r="L5309" s="1543"/>
      <c r="M5309" s="1543"/>
      <c r="N5309" s="1543"/>
    </row>
    <row r="5310" spans="1:14" ht="19.899999999999999" customHeight="1">
      <c r="A5310" s="1541"/>
      <c r="B5310" s="1541"/>
      <c r="C5310" s="368" t="s">
        <v>2627</v>
      </c>
      <c r="D5310" s="369" t="s">
        <v>2187</v>
      </c>
      <c r="E5310" s="529" t="s">
        <v>3152</v>
      </c>
      <c r="F5310" s="369" t="s">
        <v>2649</v>
      </c>
      <c r="G5310" s="370" t="s">
        <v>2709</v>
      </c>
      <c r="H5310" s="1542"/>
      <c r="I5310" s="1543"/>
      <c r="J5310" s="1543"/>
      <c r="K5310" s="1543"/>
      <c r="L5310" s="1543"/>
      <c r="M5310" s="1543"/>
      <c r="N5310" s="1543"/>
    </row>
    <row r="5311" spans="1:14" ht="19.899999999999999" customHeight="1">
      <c r="A5311" s="1544" t="s">
        <v>3364</v>
      </c>
      <c r="B5311" s="429" t="s">
        <v>3197</v>
      </c>
      <c r="C5311" s="369">
        <v>17</v>
      </c>
      <c r="D5311" s="369"/>
      <c r="E5311" s="529">
        <v>0.5</v>
      </c>
      <c r="F5311" s="369"/>
      <c r="G5311" s="369"/>
      <c r="H5311" s="943">
        <f t="shared" ref="H5311:H5316" si="109">E5311*C5311</f>
        <v>8.5</v>
      </c>
      <c r="I5311" s="1543"/>
      <c r="J5311" s="1543"/>
      <c r="K5311" s="1543"/>
      <c r="L5311" s="1543"/>
      <c r="M5311" s="1543"/>
      <c r="N5311" s="1543"/>
    </row>
    <row r="5312" spans="1:14" ht="19.899999999999999" customHeight="1">
      <c r="A5312" s="1544"/>
      <c r="B5312" s="753" t="s">
        <v>3198</v>
      </c>
      <c r="C5312" s="369">
        <v>26</v>
      </c>
      <c r="D5312" s="369"/>
      <c r="E5312" s="529">
        <v>0.5</v>
      </c>
      <c r="F5312" s="369"/>
      <c r="G5312" s="369"/>
      <c r="H5312" s="943">
        <f t="shared" si="109"/>
        <v>13</v>
      </c>
      <c r="I5312" s="1543"/>
      <c r="J5312" s="1543"/>
      <c r="K5312" s="1543"/>
      <c r="L5312" s="1543"/>
      <c r="M5312" s="1543"/>
      <c r="N5312" s="1543"/>
    </row>
    <row r="5313" spans="1:14" ht="19.899999999999999" customHeight="1">
      <c r="A5313" s="1544" t="s">
        <v>3428</v>
      </c>
      <c r="B5313" s="429" t="s">
        <v>3197</v>
      </c>
      <c r="C5313" s="369">
        <v>17</v>
      </c>
      <c r="D5313" s="369"/>
      <c r="E5313" s="529">
        <v>0.2</v>
      </c>
      <c r="F5313" s="369"/>
      <c r="G5313" s="369"/>
      <c r="H5313" s="943">
        <f t="shared" si="109"/>
        <v>3.4000000000000004</v>
      </c>
      <c r="I5313" s="1543"/>
      <c r="J5313" s="1543"/>
      <c r="K5313" s="1543"/>
      <c r="L5313" s="1543"/>
      <c r="M5313" s="1543"/>
      <c r="N5313" s="1543"/>
    </row>
    <row r="5314" spans="1:14">
      <c r="A5314" s="1544"/>
      <c r="B5314" s="753" t="s">
        <v>3198</v>
      </c>
      <c r="C5314" s="369">
        <v>26</v>
      </c>
      <c r="D5314" s="369"/>
      <c r="E5314" s="529">
        <v>0.5</v>
      </c>
      <c r="F5314" s="369"/>
      <c r="G5314" s="369"/>
      <c r="H5314" s="943">
        <f t="shared" si="109"/>
        <v>13</v>
      </c>
      <c r="I5314" s="1543"/>
      <c r="J5314" s="1543"/>
      <c r="K5314" s="1543"/>
      <c r="L5314" s="1543"/>
      <c r="M5314" s="1543"/>
      <c r="N5314" s="1543"/>
    </row>
    <row r="5315" spans="1:14">
      <c r="A5315" s="1544" t="s">
        <v>3465</v>
      </c>
      <c r="B5315" s="429" t="s">
        <v>3197</v>
      </c>
      <c r="C5315" s="369">
        <v>17</v>
      </c>
      <c r="D5315" s="369"/>
      <c r="E5315" s="529">
        <v>0.3</v>
      </c>
      <c r="F5315" s="369"/>
      <c r="G5315" s="369"/>
      <c r="H5315" s="943">
        <f t="shared" si="109"/>
        <v>5.0999999999999996</v>
      </c>
      <c r="I5315" s="1543"/>
      <c r="J5315" s="1543"/>
      <c r="K5315" s="1543"/>
      <c r="L5315" s="1543"/>
      <c r="M5315" s="1543"/>
      <c r="N5315" s="1543"/>
    </row>
    <row r="5316" spans="1:14">
      <c r="A5316" s="1544"/>
      <c r="B5316" s="753" t="s">
        <v>3198</v>
      </c>
      <c r="C5316" s="369">
        <v>26</v>
      </c>
      <c r="D5316" s="369"/>
      <c r="E5316" s="529">
        <v>0</v>
      </c>
      <c r="F5316" s="369"/>
      <c r="G5316" s="369"/>
      <c r="H5316" s="943">
        <f t="shared" si="109"/>
        <v>0</v>
      </c>
      <c r="I5316" s="1543"/>
      <c r="J5316" s="1543"/>
      <c r="K5316" s="1543"/>
      <c r="L5316" s="1543"/>
      <c r="M5316" s="1543"/>
      <c r="N5316" s="1543"/>
    </row>
    <row r="5317" spans="1:14">
      <c r="A5317" s="1538" t="s">
        <v>2218</v>
      </c>
      <c r="B5317" s="1538"/>
      <c r="C5317" s="1538"/>
      <c r="D5317" s="1538"/>
      <c r="E5317" s="1538"/>
      <c r="F5317" s="1538"/>
      <c r="G5317" s="1538"/>
      <c r="H5317" s="271">
        <f>SUM(H5311:H5316)</f>
        <v>43</v>
      </c>
      <c r="I5317" s="1543"/>
      <c r="J5317" s="1543"/>
      <c r="K5317" s="1543"/>
      <c r="L5317" s="1543"/>
      <c r="M5317" s="1543"/>
      <c r="N5317" s="1543"/>
    </row>
    <row r="5318" spans="1:14" ht="19.149999999999999" customHeight="1">
      <c r="A5318" s="1538" t="s">
        <v>2219</v>
      </c>
      <c r="B5318" s="1538"/>
      <c r="C5318" s="1538"/>
      <c r="D5318" s="1538"/>
      <c r="E5318" s="1538"/>
      <c r="F5318" s="1538"/>
      <c r="G5318" s="1538"/>
      <c r="H5318" s="271">
        <f>SUM(H5311:H5314)</f>
        <v>37.9</v>
      </c>
      <c r="I5318" s="1543"/>
      <c r="J5318" s="1543"/>
      <c r="K5318" s="1543"/>
      <c r="L5318" s="1543"/>
      <c r="M5318" s="1543"/>
      <c r="N5318" s="1543"/>
    </row>
    <row r="5319" spans="1:14">
      <c r="A5319" s="1538" t="s">
        <v>2220</v>
      </c>
      <c r="B5319" s="1538"/>
      <c r="C5319" s="1538"/>
      <c r="D5319" s="1538"/>
      <c r="E5319" s="1538"/>
      <c r="F5319" s="1538"/>
      <c r="G5319" s="1538"/>
      <c r="H5319" s="269">
        <f>H5317-H5318</f>
        <v>5.1000000000000014</v>
      </c>
      <c r="I5319" s="1543"/>
      <c r="J5319" s="1543"/>
      <c r="K5319" s="1543"/>
      <c r="L5319" s="1543"/>
      <c r="M5319" s="1543"/>
      <c r="N5319" s="1543"/>
    </row>
    <row r="5321" spans="1:14">
      <c r="A5321" s="253" t="s">
        <v>3419</v>
      </c>
      <c r="B5321" s="1550" t="s">
        <v>1346</v>
      </c>
      <c r="C5321" s="1550"/>
      <c r="D5321" s="1550"/>
      <c r="E5321" s="1550"/>
      <c r="F5321" s="1550"/>
      <c r="G5321" s="1550"/>
      <c r="H5321" s="1550"/>
      <c r="I5321" s="1550"/>
      <c r="J5321" s="1550"/>
      <c r="K5321" s="864" t="s">
        <v>44</v>
      </c>
      <c r="L5321" s="1540">
        <f>'27ª MEDIÇÃO '!F354</f>
        <v>16</v>
      </c>
      <c r="M5321" s="1540"/>
      <c r="N5321" s="865">
        <f>L5321-H5330</f>
        <v>0</v>
      </c>
    </row>
    <row r="5322" spans="1:14">
      <c r="A5322" s="1541"/>
      <c r="B5322" s="1541"/>
      <c r="C5322" s="366"/>
      <c r="D5322" s="367" t="s">
        <v>2183</v>
      </c>
      <c r="E5322" s="1320" t="s">
        <v>2184</v>
      </c>
      <c r="F5322" s="367" t="s">
        <v>2185</v>
      </c>
      <c r="G5322" s="367" t="s">
        <v>2186</v>
      </c>
      <c r="H5322" s="1542" t="s">
        <v>476</v>
      </c>
      <c r="I5322" s="1543"/>
      <c r="J5322" s="1543"/>
      <c r="K5322" s="1543"/>
      <c r="L5322" s="1543"/>
      <c r="M5322" s="1543"/>
      <c r="N5322" s="1543"/>
    </row>
    <row r="5323" spans="1:14" ht="24">
      <c r="A5323" s="1541"/>
      <c r="B5323" s="1541"/>
      <c r="C5323" s="368" t="s">
        <v>2627</v>
      </c>
      <c r="D5323" s="369" t="s">
        <v>2187</v>
      </c>
      <c r="E5323" s="529" t="s">
        <v>3152</v>
      </c>
      <c r="F5323" s="369" t="s">
        <v>2649</v>
      </c>
      <c r="G5323" s="370" t="s">
        <v>2709</v>
      </c>
      <c r="H5323" s="1542"/>
      <c r="I5323" s="1543"/>
      <c r="J5323" s="1543"/>
      <c r="K5323" s="1543"/>
      <c r="L5323" s="1543"/>
      <c r="M5323" s="1543"/>
      <c r="N5323" s="1543"/>
    </row>
    <row r="5324" spans="1:14">
      <c r="A5324" s="1544" t="s">
        <v>3364</v>
      </c>
      <c r="B5324" s="429" t="s">
        <v>3197</v>
      </c>
      <c r="C5324" s="369">
        <v>8</v>
      </c>
      <c r="D5324" s="369"/>
      <c r="E5324" s="529">
        <v>0.5</v>
      </c>
      <c r="F5324" s="369"/>
      <c r="G5324" s="369"/>
      <c r="H5324" s="943">
        <f t="shared" ref="H5324:H5329" si="110">E5324*C5324</f>
        <v>4</v>
      </c>
      <c r="I5324" s="1543"/>
      <c r="J5324" s="1543"/>
      <c r="K5324" s="1543"/>
      <c r="L5324" s="1543"/>
      <c r="M5324" s="1543"/>
      <c r="N5324" s="1543"/>
    </row>
    <row r="5325" spans="1:14">
      <c r="A5325" s="1544"/>
      <c r="B5325" s="753" t="s">
        <v>3198</v>
      </c>
      <c r="C5325" s="369">
        <v>8</v>
      </c>
      <c r="D5325" s="369"/>
      <c r="E5325" s="529">
        <v>0.5</v>
      </c>
      <c r="F5325" s="369"/>
      <c r="G5325" s="369"/>
      <c r="H5325" s="943">
        <f t="shared" si="110"/>
        <v>4</v>
      </c>
      <c r="I5325" s="1543"/>
      <c r="J5325" s="1543"/>
      <c r="K5325" s="1543"/>
      <c r="L5325" s="1543"/>
      <c r="M5325" s="1543"/>
      <c r="N5325" s="1543"/>
    </row>
    <row r="5326" spans="1:14">
      <c r="A5326" s="1544" t="s">
        <v>3428</v>
      </c>
      <c r="B5326" s="429" t="s">
        <v>3197</v>
      </c>
      <c r="C5326" s="369">
        <v>8</v>
      </c>
      <c r="D5326" s="369"/>
      <c r="E5326" s="529">
        <v>0.2</v>
      </c>
      <c r="F5326" s="369"/>
      <c r="G5326" s="369"/>
      <c r="H5326" s="943">
        <f t="shared" si="110"/>
        <v>1.6</v>
      </c>
      <c r="I5326" s="1543"/>
      <c r="J5326" s="1543"/>
      <c r="K5326" s="1543"/>
      <c r="L5326" s="1543"/>
      <c r="M5326" s="1543"/>
      <c r="N5326" s="1543"/>
    </row>
    <row r="5327" spans="1:14">
      <c r="A5327" s="1544"/>
      <c r="B5327" s="753" t="s">
        <v>3198</v>
      </c>
      <c r="C5327" s="369">
        <v>8</v>
      </c>
      <c r="D5327" s="369"/>
      <c r="E5327" s="529">
        <v>0.5</v>
      </c>
      <c r="F5327" s="369"/>
      <c r="G5327" s="369"/>
      <c r="H5327" s="943">
        <f t="shared" si="110"/>
        <v>4</v>
      </c>
      <c r="I5327" s="1543"/>
      <c r="J5327" s="1543"/>
      <c r="K5327" s="1543"/>
      <c r="L5327" s="1543"/>
      <c r="M5327" s="1543"/>
      <c r="N5327" s="1543"/>
    </row>
    <row r="5328" spans="1:14">
      <c r="A5328" s="1544" t="s">
        <v>3465</v>
      </c>
      <c r="B5328" s="429" t="s">
        <v>3197</v>
      </c>
      <c r="C5328" s="369">
        <v>8</v>
      </c>
      <c r="D5328" s="369"/>
      <c r="E5328" s="529">
        <v>0.3</v>
      </c>
      <c r="F5328" s="369"/>
      <c r="G5328" s="369"/>
      <c r="H5328" s="943">
        <f t="shared" si="110"/>
        <v>2.4</v>
      </c>
      <c r="I5328" s="1543"/>
      <c r="J5328" s="1543"/>
      <c r="K5328" s="1543"/>
      <c r="L5328" s="1543"/>
      <c r="M5328" s="1543"/>
      <c r="N5328" s="1543"/>
    </row>
    <row r="5329" spans="1:17">
      <c r="A5329" s="1544"/>
      <c r="B5329" s="753" t="s">
        <v>3198</v>
      </c>
      <c r="C5329" s="369">
        <v>8</v>
      </c>
      <c r="D5329" s="369"/>
      <c r="E5329" s="529"/>
      <c r="F5329" s="369"/>
      <c r="G5329" s="369"/>
      <c r="H5329" s="943">
        <f t="shared" si="110"/>
        <v>0</v>
      </c>
      <c r="I5329" s="1543"/>
      <c r="J5329" s="1543"/>
      <c r="K5329" s="1543"/>
      <c r="L5329" s="1543"/>
      <c r="M5329" s="1543"/>
      <c r="N5329" s="1543"/>
    </row>
    <row r="5330" spans="1:17">
      <c r="A5330" s="1538" t="s">
        <v>2218</v>
      </c>
      <c r="B5330" s="1538"/>
      <c r="C5330" s="1538"/>
      <c r="D5330" s="1538"/>
      <c r="E5330" s="1538"/>
      <c r="F5330" s="1538"/>
      <c r="G5330" s="1538"/>
      <c r="H5330" s="271">
        <f>SUM(H5324:H5329)</f>
        <v>16</v>
      </c>
      <c r="I5330" s="1543"/>
      <c r="J5330" s="1543"/>
      <c r="K5330" s="1543"/>
      <c r="L5330" s="1543"/>
      <c r="M5330" s="1543"/>
      <c r="N5330" s="1543"/>
    </row>
    <row r="5331" spans="1:17">
      <c r="A5331" s="1538" t="s">
        <v>2219</v>
      </c>
      <c r="B5331" s="1538"/>
      <c r="C5331" s="1538"/>
      <c r="D5331" s="1538"/>
      <c r="E5331" s="1538"/>
      <c r="F5331" s="1538"/>
      <c r="G5331" s="1538"/>
      <c r="H5331" s="271">
        <f>SUM(H5324:H5327)</f>
        <v>13.6</v>
      </c>
      <c r="I5331" s="1543"/>
      <c r="J5331" s="1543"/>
      <c r="K5331" s="1543"/>
      <c r="L5331" s="1543"/>
      <c r="M5331" s="1543"/>
      <c r="N5331" s="1543"/>
    </row>
    <row r="5332" spans="1:17">
      <c r="A5332" s="1538" t="s">
        <v>2220</v>
      </c>
      <c r="B5332" s="1538"/>
      <c r="C5332" s="1538"/>
      <c r="D5332" s="1538"/>
      <c r="E5332" s="1538"/>
      <c r="F5332" s="1538"/>
      <c r="G5332" s="1538"/>
      <c r="H5332" s="269">
        <f>H5330-H5331</f>
        <v>2.4000000000000004</v>
      </c>
      <c r="I5332" s="1543"/>
      <c r="J5332" s="1543"/>
      <c r="K5332" s="1543"/>
      <c r="L5332" s="1543"/>
      <c r="M5332" s="1543"/>
      <c r="N5332" s="1543"/>
      <c r="Q5332" s="897"/>
    </row>
    <row r="5334" spans="1:17">
      <c r="A5334" s="253" t="s">
        <v>3484</v>
      </c>
      <c r="B5334" s="1550" t="s">
        <v>1349</v>
      </c>
      <c r="C5334" s="1550"/>
      <c r="D5334" s="1550"/>
      <c r="E5334" s="1550"/>
      <c r="F5334" s="1550"/>
      <c r="G5334" s="1550"/>
      <c r="H5334" s="1550"/>
      <c r="I5334" s="1550"/>
      <c r="J5334" s="1550"/>
      <c r="K5334" s="864" t="s">
        <v>44</v>
      </c>
      <c r="L5334" s="1540">
        <f>'27ª MEDIÇÃO '!F355</f>
        <v>104</v>
      </c>
      <c r="M5334" s="1540"/>
      <c r="N5334" s="865">
        <f>L5334-H5341</f>
        <v>0</v>
      </c>
    </row>
    <row r="5335" spans="1:17">
      <c r="A5335" s="1541"/>
      <c r="B5335" s="1541"/>
      <c r="C5335" s="366"/>
      <c r="D5335" s="367" t="s">
        <v>2183</v>
      </c>
      <c r="E5335" s="1320" t="s">
        <v>2184</v>
      </c>
      <c r="F5335" s="367" t="s">
        <v>2185</v>
      </c>
      <c r="G5335" s="367" t="s">
        <v>2186</v>
      </c>
      <c r="H5335" s="1542" t="s">
        <v>476</v>
      </c>
      <c r="I5335" s="1543"/>
      <c r="J5335" s="1543"/>
      <c r="K5335" s="1543"/>
      <c r="L5335" s="1543"/>
      <c r="M5335" s="1543"/>
      <c r="N5335" s="1543"/>
    </row>
    <row r="5336" spans="1:17" ht="24">
      <c r="A5336" s="1541"/>
      <c r="B5336" s="1541"/>
      <c r="C5336" s="368" t="s">
        <v>2627</v>
      </c>
      <c r="D5336" s="369" t="s">
        <v>2187</v>
      </c>
      <c r="E5336" s="529" t="s">
        <v>3152</v>
      </c>
      <c r="F5336" s="369" t="s">
        <v>2649</v>
      </c>
      <c r="G5336" s="370" t="s">
        <v>2709</v>
      </c>
      <c r="H5336" s="1542"/>
      <c r="I5336" s="1543"/>
      <c r="J5336" s="1543"/>
      <c r="K5336" s="1543"/>
      <c r="L5336" s="1543"/>
      <c r="M5336" s="1543"/>
      <c r="N5336" s="1543"/>
    </row>
    <row r="5337" spans="1:17">
      <c r="A5337" s="1544" t="s">
        <v>3465</v>
      </c>
      <c r="B5337" s="429" t="s">
        <v>3197</v>
      </c>
      <c r="C5337" s="369">
        <v>47</v>
      </c>
      <c r="D5337" s="369"/>
      <c r="E5337" s="529">
        <v>0.5</v>
      </c>
      <c r="F5337" s="369"/>
      <c r="G5337" s="369"/>
      <c r="H5337" s="943">
        <f>E5337*C5337</f>
        <v>23.5</v>
      </c>
      <c r="I5337" s="1543"/>
      <c r="J5337" s="1543"/>
      <c r="K5337" s="1543"/>
      <c r="L5337" s="1543"/>
      <c r="M5337" s="1543"/>
      <c r="N5337" s="1543"/>
    </row>
    <row r="5338" spans="1:17">
      <c r="A5338" s="1544"/>
      <c r="B5338" s="753" t="s">
        <v>3198</v>
      </c>
      <c r="C5338" s="369">
        <v>57</v>
      </c>
      <c r="D5338" s="369"/>
      <c r="E5338" s="529">
        <v>0.5</v>
      </c>
      <c r="F5338" s="369"/>
      <c r="G5338" s="369"/>
      <c r="H5338" s="943">
        <f>E5338*C5338</f>
        <v>28.5</v>
      </c>
      <c r="I5338" s="1543"/>
      <c r="J5338" s="1543"/>
      <c r="K5338" s="1543"/>
      <c r="L5338" s="1543"/>
      <c r="M5338" s="1543"/>
      <c r="N5338" s="1543"/>
    </row>
    <row r="5339" spans="1:17">
      <c r="A5339" s="1544" t="s">
        <v>3521</v>
      </c>
      <c r="B5339" s="429" t="s">
        <v>3197</v>
      </c>
      <c r="C5339" s="369">
        <v>47</v>
      </c>
      <c r="D5339" s="369"/>
      <c r="E5339" s="529">
        <v>0.5</v>
      </c>
      <c r="F5339" s="369"/>
      <c r="G5339" s="369"/>
      <c r="H5339" s="943">
        <f>E5339*C5339</f>
        <v>23.5</v>
      </c>
      <c r="I5339" s="1543"/>
      <c r="J5339" s="1543"/>
      <c r="K5339" s="1543"/>
      <c r="L5339" s="1543"/>
      <c r="M5339" s="1543"/>
      <c r="N5339" s="1543"/>
    </row>
    <row r="5340" spans="1:17">
      <c r="A5340" s="1544"/>
      <c r="B5340" s="753" t="s">
        <v>3198</v>
      </c>
      <c r="C5340" s="369">
        <v>57</v>
      </c>
      <c r="D5340" s="369"/>
      <c r="E5340" s="529">
        <v>0.5</v>
      </c>
      <c r="F5340" s="369"/>
      <c r="G5340" s="369"/>
      <c r="H5340" s="943">
        <f>E5340*C5340</f>
        <v>28.5</v>
      </c>
      <c r="I5340" s="1543"/>
      <c r="J5340" s="1543"/>
      <c r="K5340" s="1543"/>
      <c r="L5340" s="1543"/>
      <c r="M5340" s="1543"/>
      <c r="N5340" s="1543"/>
    </row>
    <row r="5341" spans="1:17">
      <c r="A5341" s="1538" t="s">
        <v>2218</v>
      </c>
      <c r="B5341" s="1538"/>
      <c r="C5341" s="1538"/>
      <c r="D5341" s="1538"/>
      <c r="E5341" s="1538"/>
      <c r="F5341" s="1538"/>
      <c r="G5341" s="1538"/>
      <c r="H5341" s="271">
        <f>SUM(H5337:H5340)</f>
        <v>104</v>
      </c>
      <c r="I5341" s="1543"/>
      <c r="J5341" s="1543"/>
      <c r="K5341" s="1543"/>
      <c r="L5341" s="1543"/>
      <c r="M5341" s="1543"/>
      <c r="N5341" s="1543"/>
    </row>
    <row r="5342" spans="1:17">
      <c r="A5342" s="1538" t="s">
        <v>2219</v>
      </c>
      <c r="B5342" s="1538"/>
      <c r="C5342" s="1538"/>
      <c r="D5342" s="1538"/>
      <c r="E5342" s="1538"/>
      <c r="F5342" s="1538"/>
      <c r="G5342" s="1538"/>
      <c r="H5342" s="271">
        <f>SUM(H5337:H5338)</f>
        <v>52</v>
      </c>
      <c r="I5342" s="1543"/>
      <c r="J5342" s="1543"/>
      <c r="K5342" s="1543"/>
      <c r="L5342" s="1543"/>
      <c r="M5342" s="1543"/>
      <c r="N5342" s="1543"/>
    </row>
    <row r="5343" spans="1:17">
      <c r="A5343" s="1538" t="s">
        <v>2220</v>
      </c>
      <c r="B5343" s="1538"/>
      <c r="C5343" s="1538"/>
      <c r="D5343" s="1538"/>
      <c r="E5343" s="1538"/>
      <c r="F5343" s="1538"/>
      <c r="G5343" s="1538"/>
      <c r="H5343" s="269">
        <f>H5341-H5342</f>
        <v>52</v>
      </c>
      <c r="I5343" s="1543"/>
      <c r="J5343" s="1543"/>
      <c r="K5343" s="1543"/>
      <c r="L5343" s="1543"/>
      <c r="M5343" s="1543"/>
      <c r="N5343" s="1543"/>
    </row>
    <row r="5345" spans="1:14" ht="30" customHeight="1">
      <c r="A5345" s="253" t="s">
        <v>3485</v>
      </c>
      <c r="B5345" s="1550" t="s">
        <v>1352</v>
      </c>
      <c r="C5345" s="1550"/>
      <c r="D5345" s="1550"/>
      <c r="E5345" s="1550"/>
      <c r="F5345" s="1550"/>
      <c r="G5345" s="1550"/>
      <c r="H5345" s="1550"/>
      <c r="I5345" s="1550"/>
      <c r="J5345" s="1550"/>
      <c r="K5345" s="864" t="s">
        <v>44</v>
      </c>
      <c r="L5345" s="1540">
        <f>'27ª MEDIÇÃO '!F356</f>
        <v>80</v>
      </c>
      <c r="M5345" s="1540"/>
      <c r="N5345" s="865">
        <f>L5345-H5352</f>
        <v>0</v>
      </c>
    </row>
    <row r="5346" spans="1:14">
      <c r="A5346" s="1541"/>
      <c r="B5346" s="1541"/>
      <c r="C5346" s="366"/>
      <c r="D5346" s="367" t="s">
        <v>2183</v>
      </c>
      <c r="E5346" s="1320" t="s">
        <v>2184</v>
      </c>
      <c r="F5346" s="367" t="s">
        <v>2185</v>
      </c>
      <c r="G5346" s="367" t="s">
        <v>2186</v>
      </c>
      <c r="H5346" s="1542" t="s">
        <v>476</v>
      </c>
      <c r="I5346" s="1543"/>
      <c r="J5346" s="1543"/>
      <c r="K5346" s="1543"/>
      <c r="L5346" s="1543"/>
      <c r="M5346" s="1543"/>
      <c r="N5346" s="1543"/>
    </row>
    <row r="5347" spans="1:14" ht="24">
      <c r="A5347" s="1541"/>
      <c r="B5347" s="1541"/>
      <c r="C5347" s="368" t="s">
        <v>2627</v>
      </c>
      <c r="D5347" s="369" t="s">
        <v>2187</v>
      </c>
      <c r="E5347" s="529" t="s">
        <v>3152</v>
      </c>
      <c r="F5347" s="369" t="s">
        <v>2649</v>
      </c>
      <c r="G5347" s="370" t="s">
        <v>2709</v>
      </c>
      <c r="H5347" s="1542"/>
      <c r="I5347" s="1543"/>
      <c r="J5347" s="1543"/>
      <c r="K5347" s="1543"/>
      <c r="L5347" s="1543"/>
      <c r="M5347" s="1543"/>
      <c r="N5347" s="1543"/>
    </row>
    <row r="5348" spans="1:14">
      <c r="A5348" s="1544" t="s">
        <v>3465</v>
      </c>
      <c r="B5348" s="429" t="s">
        <v>3197</v>
      </c>
      <c r="C5348" s="369">
        <v>50</v>
      </c>
      <c r="D5348" s="369"/>
      <c r="E5348" s="529">
        <v>0.5</v>
      </c>
      <c r="F5348" s="369"/>
      <c r="G5348" s="369"/>
      <c r="H5348" s="943">
        <f>E5348*C5348</f>
        <v>25</v>
      </c>
      <c r="I5348" s="1543"/>
      <c r="J5348" s="1543"/>
      <c r="K5348" s="1543"/>
      <c r="L5348" s="1543"/>
      <c r="M5348" s="1543"/>
      <c r="N5348" s="1543"/>
    </row>
    <row r="5349" spans="1:14">
      <c r="A5349" s="1544"/>
      <c r="B5349" s="753" t="s">
        <v>3198</v>
      </c>
      <c r="C5349" s="369">
        <v>30</v>
      </c>
      <c r="D5349" s="369"/>
      <c r="E5349" s="529">
        <v>0.5</v>
      </c>
      <c r="F5349" s="369"/>
      <c r="G5349" s="369"/>
      <c r="H5349" s="943">
        <f>E5349*C5349</f>
        <v>15</v>
      </c>
      <c r="I5349" s="1543"/>
      <c r="J5349" s="1543"/>
      <c r="K5349" s="1543"/>
      <c r="L5349" s="1543"/>
      <c r="M5349" s="1543"/>
      <c r="N5349" s="1543"/>
    </row>
    <row r="5350" spans="1:14">
      <c r="A5350" s="1544" t="s">
        <v>3521</v>
      </c>
      <c r="B5350" s="429" t="s">
        <v>3197</v>
      </c>
      <c r="C5350" s="369">
        <v>50</v>
      </c>
      <c r="D5350" s="369"/>
      <c r="E5350" s="529">
        <v>0.5</v>
      </c>
      <c r="F5350" s="369"/>
      <c r="G5350" s="369"/>
      <c r="H5350" s="943">
        <f>E5350*C5350</f>
        <v>25</v>
      </c>
      <c r="I5350" s="1543"/>
      <c r="J5350" s="1543"/>
      <c r="K5350" s="1543"/>
      <c r="L5350" s="1543"/>
      <c r="M5350" s="1543"/>
      <c r="N5350" s="1543"/>
    </row>
    <row r="5351" spans="1:14">
      <c r="A5351" s="1544"/>
      <c r="B5351" s="753" t="s">
        <v>3198</v>
      </c>
      <c r="C5351" s="369">
        <v>30</v>
      </c>
      <c r="D5351" s="369"/>
      <c r="E5351" s="529">
        <v>0.5</v>
      </c>
      <c r="F5351" s="369"/>
      <c r="G5351" s="369"/>
      <c r="H5351" s="943">
        <f>E5351*C5351</f>
        <v>15</v>
      </c>
      <c r="I5351" s="1543"/>
      <c r="J5351" s="1543"/>
      <c r="K5351" s="1543"/>
      <c r="L5351" s="1543"/>
      <c r="M5351" s="1543"/>
      <c r="N5351" s="1543"/>
    </row>
    <row r="5352" spans="1:14">
      <c r="A5352" s="1538" t="s">
        <v>2218</v>
      </c>
      <c r="B5352" s="1538"/>
      <c r="C5352" s="1538"/>
      <c r="D5352" s="1538"/>
      <c r="E5352" s="1538"/>
      <c r="F5352" s="1538"/>
      <c r="G5352" s="1538"/>
      <c r="H5352" s="271">
        <f>SUM(H5348:H5351)</f>
        <v>80</v>
      </c>
      <c r="I5352" s="1543"/>
      <c r="J5352" s="1543"/>
      <c r="K5352" s="1543"/>
      <c r="L5352" s="1543"/>
      <c r="M5352" s="1543"/>
      <c r="N5352" s="1543"/>
    </row>
    <row r="5353" spans="1:14">
      <c r="A5353" s="1538" t="s">
        <v>2219</v>
      </c>
      <c r="B5353" s="1538"/>
      <c r="C5353" s="1538"/>
      <c r="D5353" s="1538"/>
      <c r="E5353" s="1538"/>
      <c r="F5353" s="1538"/>
      <c r="G5353" s="1538"/>
      <c r="H5353" s="271">
        <f>SUM(H5348:H5349)</f>
        <v>40</v>
      </c>
      <c r="I5353" s="1543"/>
      <c r="J5353" s="1543"/>
      <c r="K5353" s="1543"/>
      <c r="L5353" s="1543"/>
      <c r="M5353" s="1543"/>
      <c r="N5353" s="1543"/>
    </row>
    <row r="5354" spans="1:14">
      <c r="A5354" s="1538" t="s">
        <v>2220</v>
      </c>
      <c r="B5354" s="1538"/>
      <c r="C5354" s="1538"/>
      <c r="D5354" s="1538"/>
      <c r="E5354" s="1538"/>
      <c r="F5354" s="1538"/>
      <c r="G5354" s="1538"/>
      <c r="H5354" s="269">
        <f>H5352-H5353</f>
        <v>40</v>
      </c>
      <c r="I5354" s="1543"/>
      <c r="J5354" s="1543"/>
      <c r="K5354" s="1543"/>
      <c r="L5354" s="1543"/>
      <c r="M5354" s="1543"/>
      <c r="N5354" s="1543"/>
    </row>
    <row r="5356" spans="1:14">
      <c r="A5356" s="211" t="s">
        <v>1353</v>
      </c>
      <c r="B5356" s="1550" t="s">
        <v>1355</v>
      </c>
      <c r="C5356" s="1550"/>
      <c r="D5356" s="1550"/>
      <c r="E5356" s="1550"/>
      <c r="F5356" s="1550"/>
      <c r="G5356" s="1550"/>
      <c r="H5356" s="1550"/>
      <c r="I5356" s="1550"/>
      <c r="J5356" s="1550"/>
      <c r="K5356" s="864" t="s">
        <v>44</v>
      </c>
      <c r="L5356" s="1540">
        <f>'27ª MEDIÇÃO '!F357</f>
        <v>100</v>
      </c>
      <c r="M5356" s="1540"/>
      <c r="N5356" s="865">
        <f>L5356-H5365</f>
        <v>0</v>
      </c>
    </row>
    <row r="5357" spans="1:14">
      <c r="A5357" s="1541"/>
      <c r="B5357" s="1541"/>
      <c r="C5357" s="366"/>
      <c r="D5357" s="367" t="s">
        <v>2183</v>
      </c>
      <c r="E5357" s="1320" t="s">
        <v>2184</v>
      </c>
      <c r="F5357" s="367" t="s">
        <v>2185</v>
      </c>
      <c r="G5357" s="367" t="s">
        <v>2186</v>
      </c>
      <c r="H5357" s="1542" t="s">
        <v>476</v>
      </c>
      <c r="I5357" s="1543"/>
      <c r="J5357" s="1543"/>
      <c r="K5357" s="1543"/>
      <c r="L5357" s="1543"/>
      <c r="M5357" s="1543"/>
      <c r="N5357" s="1543"/>
    </row>
    <row r="5358" spans="1:14" ht="24">
      <c r="A5358" s="1541"/>
      <c r="B5358" s="1541"/>
      <c r="C5358" s="368" t="s">
        <v>2627</v>
      </c>
      <c r="D5358" s="369" t="s">
        <v>2187</v>
      </c>
      <c r="E5358" s="529" t="s">
        <v>3152</v>
      </c>
      <c r="F5358" s="369" t="s">
        <v>2649</v>
      </c>
      <c r="G5358" s="370" t="s">
        <v>2709</v>
      </c>
      <c r="H5358" s="1542"/>
      <c r="I5358" s="1543"/>
      <c r="J5358" s="1543"/>
      <c r="K5358" s="1543"/>
      <c r="L5358" s="1543"/>
      <c r="M5358" s="1543"/>
      <c r="N5358" s="1543"/>
    </row>
    <row r="5359" spans="1:14" ht="30.6" customHeight="1">
      <c r="A5359" s="1544" t="s">
        <v>3364</v>
      </c>
      <c r="B5359" s="429" t="s">
        <v>3197</v>
      </c>
      <c r="C5359" s="369">
        <v>73</v>
      </c>
      <c r="D5359" s="369"/>
      <c r="E5359" s="529"/>
      <c r="F5359" s="369"/>
      <c r="G5359" s="369"/>
      <c r="H5359" s="943">
        <f t="shared" ref="H5359:H5364" si="111">E5359*C5359</f>
        <v>0</v>
      </c>
      <c r="I5359" s="1543"/>
      <c r="J5359" s="1543"/>
      <c r="K5359" s="1543"/>
      <c r="L5359" s="1543"/>
      <c r="M5359" s="1543"/>
      <c r="N5359" s="1543"/>
    </row>
    <row r="5360" spans="1:14">
      <c r="A5360" s="1544"/>
      <c r="B5360" s="753" t="s">
        <v>3198</v>
      </c>
      <c r="C5360" s="369">
        <v>27</v>
      </c>
      <c r="D5360" s="369"/>
      <c r="E5360" s="529">
        <v>0.65</v>
      </c>
      <c r="F5360" s="369"/>
      <c r="G5360" s="369"/>
      <c r="H5360" s="943">
        <f t="shared" si="111"/>
        <v>17.55</v>
      </c>
      <c r="I5360" s="1543"/>
      <c r="J5360" s="1543"/>
      <c r="K5360" s="1543"/>
      <c r="L5360" s="1543"/>
      <c r="M5360" s="1543"/>
      <c r="N5360" s="1543"/>
    </row>
    <row r="5361" spans="1:14">
      <c r="A5361" s="1544" t="s">
        <v>3428</v>
      </c>
      <c r="B5361" s="429" t="s">
        <v>3197</v>
      </c>
      <c r="C5361" s="369">
        <v>73</v>
      </c>
      <c r="D5361" s="369"/>
      <c r="E5361" s="529"/>
      <c r="F5361" s="369"/>
      <c r="G5361" s="369"/>
      <c r="H5361" s="943">
        <f t="shared" si="111"/>
        <v>0</v>
      </c>
      <c r="I5361" s="1543"/>
      <c r="J5361" s="1543"/>
      <c r="K5361" s="1543"/>
      <c r="L5361" s="1543"/>
      <c r="M5361" s="1543"/>
      <c r="N5361" s="1543"/>
    </row>
    <row r="5362" spans="1:14">
      <c r="A5362" s="1544"/>
      <c r="B5362" s="753" t="s">
        <v>3198</v>
      </c>
      <c r="C5362" s="369">
        <v>27</v>
      </c>
      <c r="D5362" s="369"/>
      <c r="E5362" s="529">
        <v>0.35</v>
      </c>
      <c r="F5362" s="369"/>
      <c r="G5362" s="369"/>
      <c r="H5362" s="943">
        <f t="shared" si="111"/>
        <v>9.4499999999999993</v>
      </c>
      <c r="I5362" s="1543"/>
      <c r="J5362" s="1543"/>
      <c r="K5362" s="1543"/>
      <c r="L5362" s="1543"/>
      <c r="M5362" s="1543"/>
      <c r="N5362" s="1543"/>
    </row>
    <row r="5363" spans="1:14" ht="20.45" customHeight="1">
      <c r="A5363" s="1544" t="s">
        <v>3465</v>
      </c>
      <c r="B5363" s="429" t="s">
        <v>3197</v>
      </c>
      <c r="C5363" s="369">
        <v>73</v>
      </c>
      <c r="D5363" s="369"/>
      <c r="E5363" s="529">
        <v>1</v>
      </c>
      <c r="F5363" s="369"/>
      <c r="G5363" s="369"/>
      <c r="H5363" s="943">
        <f t="shared" si="111"/>
        <v>73</v>
      </c>
      <c r="I5363" s="1543"/>
      <c r="J5363" s="1543"/>
      <c r="K5363" s="1543"/>
      <c r="L5363" s="1543"/>
      <c r="M5363" s="1543"/>
      <c r="N5363" s="1543"/>
    </row>
    <row r="5364" spans="1:14" ht="20.45" customHeight="1">
      <c r="A5364" s="1544"/>
      <c r="B5364" s="753" t="s">
        <v>3198</v>
      </c>
      <c r="C5364" s="369">
        <v>27</v>
      </c>
      <c r="D5364" s="369"/>
      <c r="E5364" s="529">
        <v>0</v>
      </c>
      <c r="F5364" s="369"/>
      <c r="G5364" s="369"/>
      <c r="H5364" s="943">
        <f t="shared" si="111"/>
        <v>0</v>
      </c>
      <c r="I5364" s="1543"/>
      <c r="J5364" s="1543"/>
      <c r="K5364" s="1543"/>
      <c r="L5364" s="1543"/>
      <c r="M5364" s="1543"/>
      <c r="N5364" s="1543"/>
    </row>
    <row r="5365" spans="1:14">
      <c r="A5365" s="1538" t="s">
        <v>2218</v>
      </c>
      <c r="B5365" s="1538"/>
      <c r="C5365" s="1538"/>
      <c r="D5365" s="1538"/>
      <c r="E5365" s="1538"/>
      <c r="F5365" s="1538"/>
      <c r="G5365" s="1538"/>
      <c r="H5365" s="271">
        <f>SUM(H5359:H5364)</f>
        <v>100</v>
      </c>
      <c r="I5365" s="1543"/>
      <c r="J5365" s="1543"/>
      <c r="K5365" s="1543"/>
      <c r="L5365" s="1543"/>
      <c r="M5365" s="1543"/>
      <c r="N5365" s="1543"/>
    </row>
    <row r="5366" spans="1:14" ht="20.45" customHeight="1">
      <c r="A5366" s="1538" t="s">
        <v>2219</v>
      </c>
      <c r="B5366" s="1538"/>
      <c r="C5366" s="1538"/>
      <c r="D5366" s="1538"/>
      <c r="E5366" s="1538"/>
      <c r="F5366" s="1538"/>
      <c r="G5366" s="1538"/>
      <c r="H5366" s="271">
        <f>SUM(H5359:H5362)</f>
        <v>27</v>
      </c>
      <c r="I5366" s="1543"/>
      <c r="J5366" s="1543"/>
      <c r="K5366" s="1543"/>
      <c r="L5366" s="1543"/>
      <c r="M5366" s="1543"/>
      <c r="N5366" s="1543"/>
    </row>
    <row r="5367" spans="1:14" ht="20.45" customHeight="1">
      <c r="A5367" s="1538" t="s">
        <v>2220</v>
      </c>
      <c r="B5367" s="1538"/>
      <c r="C5367" s="1538"/>
      <c r="D5367" s="1538"/>
      <c r="E5367" s="1538"/>
      <c r="F5367" s="1538"/>
      <c r="G5367" s="1538"/>
      <c r="H5367" s="269">
        <f>H5365-H5366</f>
        <v>73</v>
      </c>
      <c r="I5367" s="1543"/>
      <c r="J5367" s="1543"/>
      <c r="K5367" s="1543"/>
      <c r="L5367" s="1543"/>
      <c r="M5367" s="1543"/>
      <c r="N5367" s="1543"/>
    </row>
    <row r="5369" spans="1:14" ht="20.45" customHeight="1">
      <c r="A5369" s="211" t="s">
        <v>1356</v>
      </c>
      <c r="B5369" s="1550" t="s">
        <v>1358</v>
      </c>
      <c r="C5369" s="1550"/>
      <c r="D5369" s="1550"/>
      <c r="E5369" s="1550"/>
      <c r="F5369" s="1550"/>
      <c r="G5369" s="1550"/>
      <c r="H5369" s="1550"/>
      <c r="I5369" s="1550"/>
      <c r="J5369" s="1550"/>
      <c r="K5369" s="864" t="s">
        <v>44</v>
      </c>
      <c r="L5369" s="1540">
        <v>18</v>
      </c>
      <c r="M5369" s="1540"/>
      <c r="N5369" s="865">
        <f>L5369-H5378</f>
        <v>0</v>
      </c>
    </row>
    <row r="5370" spans="1:14" ht="20.45" customHeight="1">
      <c r="A5370" s="1541"/>
      <c r="B5370" s="1541"/>
      <c r="C5370" s="366"/>
      <c r="D5370" s="367" t="s">
        <v>2183</v>
      </c>
      <c r="E5370" s="1320" t="s">
        <v>2184</v>
      </c>
      <c r="F5370" s="367" t="s">
        <v>2185</v>
      </c>
      <c r="G5370" s="367" t="s">
        <v>2186</v>
      </c>
      <c r="H5370" s="1542" t="s">
        <v>476</v>
      </c>
      <c r="I5370" s="1543"/>
      <c r="J5370" s="1543"/>
      <c r="K5370" s="1543"/>
      <c r="L5370" s="1543"/>
      <c r="M5370" s="1543"/>
      <c r="N5370" s="1543"/>
    </row>
    <row r="5371" spans="1:14" ht="24">
      <c r="A5371" s="1541"/>
      <c r="B5371" s="1541"/>
      <c r="C5371" s="368" t="s">
        <v>2627</v>
      </c>
      <c r="D5371" s="369" t="s">
        <v>2187</v>
      </c>
      <c r="E5371" s="529" t="s">
        <v>3152</v>
      </c>
      <c r="F5371" s="369" t="s">
        <v>2649</v>
      </c>
      <c r="G5371" s="370" t="s">
        <v>2709</v>
      </c>
      <c r="H5371" s="1542"/>
      <c r="I5371" s="1543"/>
      <c r="J5371" s="1543"/>
      <c r="K5371" s="1543"/>
      <c r="L5371" s="1543"/>
      <c r="M5371" s="1543"/>
      <c r="N5371" s="1543"/>
    </row>
    <row r="5372" spans="1:14">
      <c r="A5372" s="1544" t="s">
        <v>3364</v>
      </c>
      <c r="B5372" s="429" t="s">
        <v>3197</v>
      </c>
      <c r="C5372" s="369">
        <v>11</v>
      </c>
      <c r="D5372" s="369"/>
      <c r="E5372" s="529"/>
      <c r="F5372" s="369"/>
      <c r="G5372" s="369"/>
      <c r="H5372" s="943">
        <f t="shared" ref="H5372:H5377" si="112">E5372*C5372</f>
        <v>0</v>
      </c>
      <c r="I5372" s="1543"/>
      <c r="J5372" s="1543"/>
      <c r="K5372" s="1543"/>
      <c r="L5372" s="1543"/>
      <c r="M5372" s="1543"/>
      <c r="N5372" s="1543"/>
    </row>
    <row r="5373" spans="1:14">
      <c r="A5373" s="1544"/>
      <c r="B5373" s="753" t="s">
        <v>3198</v>
      </c>
      <c r="C5373" s="369">
        <v>7</v>
      </c>
      <c r="D5373" s="369"/>
      <c r="E5373" s="529">
        <v>0.6</v>
      </c>
      <c r="F5373" s="369"/>
      <c r="G5373" s="369"/>
      <c r="H5373" s="943">
        <f t="shared" si="112"/>
        <v>4.2</v>
      </c>
      <c r="I5373" s="1543"/>
      <c r="J5373" s="1543"/>
      <c r="K5373" s="1543"/>
      <c r="L5373" s="1543"/>
      <c r="M5373" s="1543"/>
      <c r="N5373" s="1543"/>
    </row>
    <row r="5374" spans="1:14">
      <c r="A5374" s="1544" t="s">
        <v>3428</v>
      </c>
      <c r="B5374" s="429" t="s">
        <v>3197</v>
      </c>
      <c r="C5374" s="369">
        <v>11</v>
      </c>
      <c r="D5374" s="369"/>
      <c r="E5374" s="529"/>
      <c r="F5374" s="369"/>
      <c r="G5374" s="369"/>
      <c r="H5374" s="943">
        <f t="shared" si="112"/>
        <v>0</v>
      </c>
      <c r="I5374" s="1543"/>
      <c r="J5374" s="1543"/>
      <c r="K5374" s="1543"/>
      <c r="L5374" s="1543"/>
      <c r="M5374" s="1543"/>
      <c r="N5374" s="1543"/>
    </row>
    <row r="5375" spans="1:14" ht="22.15" customHeight="1">
      <c r="A5375" s="1544"/>
      <c r="B5375" s="753" t="s">
        <v>3198</v>
      </c>
      <c r="C5375" s="369">
        <v>7</v>
      </c>
      <c r="D5375" s="369"/>
      <c r="E5375" s="529">
        <v>0.4</v>
      </c>
      <c r="F5375" s="369"/>
      <c r="G5375" s="369"/>
      <c r="H5375" s="943">
        <f t="shared" si="112"/>
        <v>2.8000000000000003</v>
      </c>
      <c r="I5375" s="1543"/>
      <c r="J5375" s="1543"/>
      <c r="K5375" s="1543"/>
      <c r="L5375" s="1543"/>
      <c r="M5375" s="1543"/>
      <c r="N5375" s="1543"/>
    </row>
    <row r="5376" spans="1:14">
      <c r="A5376" s="1544" t="s">
        <v>3465</v>
      </c>
      <c r="B5376" s="429" t="s">
        <v>3197</v>
      </c>
      <c r="C5376" s="369">
        <v>11</v>
      </c>
      <c r="D5376" s="369"/>
      <c r="E5376" s="529">
        <v>1</v>
      </c>
      <c r="F5376" s="369"/>
      <c r="G5376" s="369"/>
      <c r="H5376" s="943">
        <f t="shared" si="112"/>
        <v>11</v>
      </c>
      <c r="I5376" s="1543"/>
      <c r="J5376" s="1543"/>
      <c r="K5376" s="1543"/>
      <c r="L5376" s="1543"/>
      <c r="M5376" s="1543"/>
      <c r="N5376" s="1543"/>
    </row>
    <row r="5377" spans="1:14">
      <c r="A5377" s="1544"/>
      <c r="B5377" s="753" t="s">
        <v>3198</v>
      </c>
      <c r="C5377" s="369">
        <v>7</v>
      </c>
      <c r="D5377" s="369"/>
      <c r="E5377" s="529"/>
      <c r="F5377" s="369"/>
      <c r="G5377" s="369"/>
      <c r="H5377" s="943">
        <f t="shared" si="112"/>
        <v>0</v>
      </c>
      <c r="I5377" s="1543"/>
      <c r="J5377" s="1543"/>
      <c r="K5377" s="1543"/>
      <c r="L5377" s="1543"/>
      <c r="M5377" s="1543"/>
      <c r="N5377" s="1543"/>
    </row>
    <row r="5378" spans="1:14">
      <c r="A5378" s="1538" t="s">
        <v>2218</v>
      </c>
      <c r="B5378" s="1538"/>
      <c r="C5378" s="1538"/>
      <c r="D5378" s="1538"/>
      <c r="E5378" s="1538"/>
      <c r="F5378" s="1538"/>
      <c r="G5378" s="1538"/>
      <c r="H5378" s="271">
        <f>SUM(H5372:H5377)</f>
        <v>18</v>
      </c>
      <c r="I5378" s="1543"/>
      <c r="J5378" s="1543"/>
      <c r="K5378" s="1543"/>
      <c r="L5378" s="1543"/>
      <c r="M5378" s="1543"/>
      <c r="N5378" s="1543"/>
    </row>
    <row r="5379" spans="1:14">
      <c r="A5379" s="1538" t="s">
        <v>2219</v>
      </c>
      <c r="B5379" s="1538"/>
      <c r="C5379" s="1538"/>
      <c r="D5379" s="1538"/>
      <c r="E5379" s="1538"/>
      <c r="F5379" s="1538"/>
      <c r="G5379" s="1538"/>
      <c r="H5379" s="271">
        <f>SUM(H5372:H5375)</f>
        <v>7</v>
      </c>
      <c r="I5379" s="1543"/>
      <c r="J5379" s="1543"/>
      <c r="K5379" s="1543"/>
      <c r="L5379" s="1543"/>
      <c r="M5379" s="1543"/>
      <c r="N5379" s="1543"/>
    </row>
    <row r="5380" spans="1:14">
      <c r="A5380" s="1538" t="s">
        <v>2220</v>
      </c>
      <c r="B5380" s="1538"/>
      <c r="C5380" s="1538"/>
      <c r="D5380" s="1538"/>
      <c r="E5380" s="1538"/>
      <c r="F5380" s="1538"/>
      <c r="G5380" s="1538"/>
      <c r="H5380" s="269">
        <f>H5378-H5379</f>
        <v>11</v>
      </c>
      <c r="I5380" s="1543"/>
      <c r="J5380" s="1543"/>
      <c r="K5380" s="1543"/>
      <c r="L5380" s="1543"/>
      <c r="M5380" s="1543"/>
      <c r="N5380" s="1543"/>
    </row>
    <row r="5382" spans="1:14">
      <c r="A5382" s="253" t="s">
        <v>3486</v>
      </c>
      <c r="B5382" s="1550" t="s">
        <v>1361</v>
      </c>
      <c r="C5382" s="1550"/>
      <c r="D5382" s="1550"/>
      <c r="E5382" s="1550"/>
      <c r="F5382" s="1550"/>
      <c r="G5382" s="1550"/>
      <c r="H5382" s="1550"/>
      <c r="I5382" s="1550"/>
      <c r="J5382" s="1550"/>
      <c r="K5382" s="864" t="s">
        <v>44</v>
      </c>
      <c r="L5382" s="1540">
        <f>'27ª MEDIÇÃO '!F359</f>
        <v>36</v>
      </c>
      <c r="M5382" s="1540"/>
      <c r="N5382" s="865">
        <f>L5382-H5389</f>
        <v>0</v>
      </c>
    </row>
    <row r="5383" spans="1:14">
      <c r="A5383" s="1541"/>
      <c r="B5383" s="1541"/>
      <c r="C5383" s="366"/>
      <c r="D5383" s="367" t="s">
        <v>2183</v>
      </c>
      <c r="E5383" s="1320" t="s">
        <v>2184</v>
      </c>
      <c r="F5383" s="367" t="s">
        <v>2185</v>
      </c>
      <c r="G5383" s="367" t="s">
        <v>2186</v>
      </c>
      <c r="H5383" s="1542" t="s">
        <v>476</v>
      </c>
      <c r="I5383" s="1543"/>
      <c r="J5383" s="1543"/>
      <c r="K5383" s="1543"/>
      <c r="L5383" s="1543"/>
      <c r="M5383" s="1543"/>
      <c r="N5383" s="1543"/>
    </row>
    <row r="5384" spans="1:14" ht="24">
      <c r="A5384" s="1541"/>
      <c r="B5384" s="1541"/>
      <c r="C5384" s="368" t="s">
        <v>2627</v>
      </c>
      <c r="D5384" s="369" t="s">
        <v>2187</v>
      </c>
      <c r="E5384" s="529" t="s">
        <v>3152</v>
      </c>
      <c r="F5384" s="369" t="s">
        <v>2649</v>
      </c>
      <c r="G5384" s="370" t="s">
        <v>2709</v>
      </c>
      <c r="H5384" s="1542"/>
      <c r="I5384" s="1543"/>
      <c r="J5384" s="1543"/>
      <c r="K5384" s="1543"/>
      <c r="L5384" s="1543"/>
      <c r="M5384" s="1543"/>
      <c r="N5384" s="1543"/>
    </row>
    <row r="5385" spans="1:14">
      <c r="A5385" s="1544" t="s">
        <v>3465</v>
      </c>
      <c r="B5385" s="429" t="s">
        <v>3487</v>
      </c>
      <c r="C5385" s="369">
        <v>36</v>
      </c>
      <c r="D5385" s="369"/>
      <c r="E5385" s="529">
        <v>0.7</v>
      </c>
      <c r="F5385" s="369"/>
      <c r="G5385" s="369"/>
      <c r="H5385" s="943">
        <f>E5385*C5385</f>
        <v>25.2</v>
      </c>
      <c r="I5385" s="1543"/>
      <c r="J5385" s="1543"/>
      <c r="K5385" s="1543"/>
      <c r="L5385" s="1543"/>
      <c r="M5385" s="1543"/>
      <c r="N5385" s="1543"/>
    </row>
    <row r="5386" spans="1:14" ht="31.15" customHeight="1">
      <c r="A5386" s="1544"/>
      <c r="B5386" s="753"/>
      <c r="C5386" s="369"/>
      <c r="D5386" s="369"/>
      <c r="E5386" s="529"/>
      <c r="F5386" s="369"/>
      <c r="G5386" s="369"/>
      <c r="H5386" s="943"/>
      <c r="I5386" s="1543"/>
      <c r="J5386" s="1543"/>
      <c r="K5386" s="1543"/>
      <c r="L5386" s="1543"/>
      <c r="M5386" s="1543"/>
      <c r="N5386" s="1543"/>
    </row>
    <row r="5387" spans="1:14">
      <c r="A5387" s="1544" t="s">
        <v>3521</v>
      </c>
      <c r="B5387" s="429" t="s">
        <v>3487</v>
      </c>
      <c r="C5387" s="369">
        <v>36</v>
      </c>
      <c r="D5387" s="369"/>
      <c r="E5387" s="529">
        <v>0.3</v>
      </c>
      <c r="F5387" s="369"/>
      <c r="G5387" s="369"/>
      <c r="H5387" s="943">
        <f>E5387*C5387</f>
        <v>10.799999999999999</v>
      </c>
      <c r="I5387" s="1543"/>
      <c r="J5387" s="1543"/>
      <c r="K5387" s="1543"/>
      <c r="L5387" s="1543"/>
      <c r="M5387" s="1543"/>
      <c r="N5387" s="1543"/>
    </row>
    <row r="5388" spans="1:14">
      <c r="A5388" s="1544"/>
      <c r="B5388" s="753"/>
      <c r="C5388" s="369"/>
      <c r="D5388" s="369"/>
      <c r="E5388" s="529"/>
      <c r="F5388" s="369"/>
      <c r="G5388" s="369"/>
      <c r="H5388" s="943"/>
      <c r="I5388" s="1543"/>
      <c r="J5388" s="1543"/>
      <c r="K5388" s="1543"/>
      <c r="L5388" s="1543"/>
      <c r="M5388" s="1543"/>
      <c r="N5388" s="1543"/>
    </row>
    <row r="5389" spans="1:14">
      <c r="A5389" s="1538" t="s">
        <v>2218</v>
      </c>
      <c r="B5389" s="1538"/>
      <c r="C5389" s="1538"/>
      <c r="D5389" s="1538"/>
      <c r="E5389" s="1538"/>
      <c r="F5389" s="1538"/>
      <c r="G5389" s="1538"/>
      <c r="H5389" s="271">
        <f>SUM(H5385:H5388)</f>
        <v>36</v>
      </c>
      <c r="I5389" s="1543"/>
      <c r="J5389" s="1543"/>
      <c r="K5389" s="1543"/>
      <c r="L5389" s="1543"/>
      <c r="M5389" s="1543"/>
      <c r="N5389" s="1543"/>
    </row>
    <row r="5390" spans="1:14">
      <c r="A5390" s="1538" t="s">
        <v>2219</v>
      </c>
      <c r="B5390" s="1538"/>
      <c r="C5390" s="1538"/>
      <c r="D5390" s="1538"/>
      <c r="E5390" s="1538"/>
      <c r="F5390" s="1538"/>
      <c r="G5390" s="1538"/>
      <c r="H5390" s="271">
        <f>SUM(H5384:H5386)</f>
        <v>25.2</v>
      </c>
      <c r="I5390" s="1543"/>
      <c r="J5390" s="1543"/>
      <c r="K5390" s="1543"/>
      <c r="L5390" s="1543"/>
      <c r="M5390" s="1543"/>
      <c r="N5390" s="1543"/>
    </row>
    <row r="5391" spans="1:14">
      <c r="A5391" s="1538" t="s">
        <v>2220</v>
      </c>
      <c r="B5391" s="1538"/>
      <c r="C5391" s="1538"/>
      <c r="D5391" s="1538"/>
      <c r="E5391" s="1538"/>
      <c r="F5391" s="1538"/>
      <c r="G5391" s="1538"/>
      <c r="H5391" s="269">
        <f>H5389-H5390</f>
        <v>10.8</v>
      </c>
      <c r="I5391" s="1543"/>
      <c r="J5391" s="1543"/>
      <c r="K5391" s="1543"/>
      <c r="L5391" s="1543"/>
      <c r="M5391" s="1543"/>
      <c r="N5391" s="1543"/>
    </row>
    <row r="5392" spans="1:14" ht="15.75" thickBot="1"/>
    <row r="5393" spans="1:14">
      <c r="A5393" s="1121" t="s">
        <v>1362</v>
      </c>
      <c r="B5393" s="1494" t="s">
        <v>1364</v>
      </c>
      <c r="C5393" s="1495"/>
      <c r="D5393" s="1495"/>
      <c r="E5393" s="1495"/>
      <c r="F5393" s="1495"/>
      <c r="G5393" s="1495"/>
      <c r="H5393" s="1495"/>
      <c r="I5393" s="1495"/>
      <c r="J5393" s="1496"/>
      <c r="K5393" s="196" t="s">
        <v>44</v>
      </c>
      <c r="L5393" s="1497">
        <f>'27ª MEDIÇÃO '!F360</f>
        <v>117</v>
      </c>
      <c r="M5393" s="1498"/>
      <c r="N5393" s="197">
        <f>L5393-H5400</f>
        <v>0</v>
      </c>
    </row>
    <row r="5394" spans="1:14">
      <c r="A5394" s="1554"/>
      <c r="B5394" s="1541"/>
      <c r="C5394" s="366"/>
      <c r="D5394" s="367" t="s">
        <v>2183</v>
      </c>
      <c r="E5394" s="1320" t="s">
        <v>2184</v>
      </c>
      <c r="F5394" s="367" t="s">
        <v>2185</v>
      </c>
      <c r="G5394" s="367" t="s">
        <v>2186</v>
      </c>
      <c r="H5394" s="1542" t="s">
        <v>476</v>
      </c>
      <c r="I5394" s="1543"/>
      <c r="J5394" s="1543"/>
      <c r="K5394" s="1543"/>
      <c r="L5394" s="1543"/>
      <c r="M5394" s="1543"/>
      <c r="N5394" s="1566"/>
    </row>
    <row r="5395" spans="1:14" ht="24">
      <c r="A5395" s="1554"/>
      <c r="B5395" s="1541"/>
      <c r="C5395" s="368" t="s">
        <v>2627</v>
      </c>
      <c r="D5395" s="369" t="s">
        <v>2187</v>
      </c>
      <c r="E5395" s="529" t="s">
        <v>3152</v>
      </c>
      <c r="F5395" s="369" t="s">
        <v>2649</v>
      </c>
      <c r="G5395" s="370" t="s">
        <v>2709</v>
      </c>
      <c r="H5395" s="1542"/>
      <c r="I5395" s="1543"/>
      <c r="J5395" s="1543"/>
      <c r="K5395" s="1543"/>
      <c r="L5395" s="1543"/>
      <c r="M5395" s="1543"/>
      <c r="N5395" s="1566"/>
    </row>
    <row r="5396" spans="1:14">
      <c r="A5396" s="1642" t="s">
        <v>3158</v>
      </c>
      <c r="B5396" s="866" t="s">
        <v>3197</v>
      </c>
      <c r="C5396" s="881">
        <v>87</v>
      </c>
      <c r="D5396" s="212"/>
      <c r="E5396" s="379">
        <v>0.65</v>
      </c>
      <c r="F5396" s="379"/>
      <c r="G5396" s="379"/>
      <c r="H5396" s="380">
        <f>C5396*E5396</f>
        <v>56.550000000000004</v>
      </c>
      <c r="I5396" s="1567"/>
      <c r="J5396" s="1543"/>
      <c r="K5396" s="1543"/>
      <c r="L5396" s="1543"/>
      <c r="M5396" s="1543"/>
      <c r="N5396" s="1566"/>
    </row>
    <row r="5397" spans="1:14" ht="28.9" customHeight="1">
      <c r="A5397" s="1642"/>
      <c r="B5397" s="866" t="s">
        <v>3198</v>
      </c>
      <c r="C5397" s="881">
        <v>30</v>
      </c>
      <c r="D5397" s="212"/>
      <c r="E5397" s="379">
        <v>0.35</v>
      </c>
      <c r="F5397" s="379"/>
      <c r="G5397" s="379"/>
      <c r="H5397" s="380">
        <f>C5397*E5397</f>
        <v>10.5</v>
      </c>
      <c r="I5397" s="1567"/>
      <c r="J5397" s="1543"/>
      <c r="K5397" s="1543"/>
      <c r="L5397" s="1543"/>
      <c r="M5397" s="1543"/>
      <c r="N5397" s="1566"/>
    </row>
    <row r="5398" spans="1:14">
      <c r="A5398" s="1642" t="s">
        <v>3217</v>
      </c>
      <c r="B5398" s="866" t="s">
        <v>3197</v>
      </c>
      <c r="C5398" s="881">
        <v>87</v>
      </c>
      <c r="D5398" s="212"/>
      <c r="E5398" s="379">
        <v>0.35</v>
      </c>
      <c r="F5398" s="379"/>
      <c r="G5398" s="379"/>
      <c r="H5398" s="380">
        <f>C5398*E5398</f>
        <v>30.45</v>
      </c>
      <c r="I5398" s="1567"/>
      <c r="J5398" s="1543"/>
      <c r="K5398" s="1543"/>
      <c r="L5398" s="1543"/>
      <c r="M5398" s="1543"/>
      <c r="N5398" s="1566"/>
    </row>
    <row r="5399" spans="1:14">
      <c r="A5399" s="1642"/>
      <c r="B5399" s="866" t="s">
        <v>3198</v>
      </c>
      <c r="C5399" s="881">
        <v>30</v>
      </c>
      <c r="D5399" s="212"/>
      <c r="E5399" s="379">
        <v>0.65</v>
      </c>
      <c r="F5399" s="379"/>
      <c r="G5399" s="379"/>
      <c r="H5399" s="380">
        <f>C5399*E5399</f>
        <v>19.5</v>
      </c>
      <c r="I5399" s="1567"/>
      <c r="J5399" s="1543"/>
      <c r="K5399" s="1543"/>
      <c r="L5399" s="1543"/>
      <c r="M5399" s="1543"/>
      <c r="N5399" s="1566"/>
    </row>
    <row r="5400" spans="1:14">
      <c r="A5400" s="1578" t="s">
        <v>2218</v>
      </c>
      <c r="B5400" s="1538"/>
      <c r="C5400" s="1538"/>
      <c r="D5400" s="1538"/>
      <c r="E5400" s="1538"/>
      <c r="F5400" s="1538"/>
      <c r="G5400" s="1538"/>
      <c r="H5400" s="271">
        <f>SUM(H5396:H5399)</f>
        <v>117.00000000000001</v>
      </c>
      <c r="I5400" s="1567"/>
      <c r="J5400" s="1543"/>
      <c r="K5400" s="1543"/>
      <c r="L5400" s="1543"/>
      <c r="M5400" s="1543"/>
      <c r="N5400" s="1566"/>
    </row>
    <row r="5401" spans="1:14">
      <c r="A5401" s="1519" t="s">
        <v>2219</v>
      </c>
      <c r="B5401" s="1517"/>
      <c r="C5401" s="1517"/>
      <c r="D5401" s="1551"/>
      <c r="E5401" s="1551"/>
      <c r="F5401" s="1551"/>
      <c r="G5401" s="1552"/>
      <c r="H5401" s="325">
        <f>SUM(H5396:H5397)</f>
        <v>67.050000000000011</v>
      </c>
      <c r="I5401" s="1543"/>
      <c r="J5401" s="1543"/>
      <c r="K5401" s="1543"/>
      <c r="L5401" s="1543"/>
      <c r="M5401" s="1543"/>
      <c r="N5401" s="1566"/>
    </row>
    <row r="5402" spans="1:14" ht="15.75" thickBot="1">
      <c r="A5402" s="1520" t="s">
        <v>2220</v>
      </c>
      <c r="B5402" s="1521"/>
      <c r="C5402" s="1521"/>
      <c r="D5402" s="1521"/>
      <c r="E5402" s="1521"/>
      <c r="F5402" s="1521"/>
      <c r="G5402" s="1522"/>
      <c r="H5402" s="216">
        <f>H5400-H5401</f>
        <v>49.95</v>
      </c>
      <c r="I5402" s="1568"/>
      <c r="J5402" s="1568"/>
      <c r="K5402" s="1568"/>
      <c r="L5402" s="1568"/>
      <c r="M5402" s="1568"/>
      <c r="N5402" s="1569"/>
    </row>
    <row r="5403" spans="1:14" ht="15.75" thickBot="1"/>
    <row r="5404" spans="1:14">
      <c r="A5404" s="1121" t="s">
        <v>1365</v>
      </c>
      <c r="B5404" s="1494" t="s">
        <v>1367</v>
      </c>
      <c r="C5404" s="1495"/>
      <c r="D5404" s="1495"/>
      <c r="E5404" s="1495"/>
      <c r="F5404" s="1495"/>
      <c r="G5404" s="1495"/>
      <c r="H5404" s="1495"/>
      <c r="I5404" s="1495"/>
      <c r="J5404" s="1496"/>
      <c r="K5404" s="196" t="s">
        <v>44</v>
      </c>
      <c r="L5404" s="1497">
        <f>'27ª MEDIÇÃO '!F361</f>
        <v>213</v>
      </c>
      <c r="M5404" s="1498"/>
      <c r="N5404" s="197">
        <f>L5404-H5428</f>
        <v>0</v>
      </c>
    </row>
    <row r="5405" spans="1:14">
      <c r="A5405" s="1554"/>
      <c r="B5405" s="1541"/>
      <c r="C5405" s="366"/>
      <c r="D5405" s="367" t="s">
        <v>2183</v>
      </c>
      <c r="E5405" s="1320" t="s">
        <v>2184</v>
      </c>
      <c r="F5405" s="367" t="s">
        <v>2185</v>
      </c>
      <c r="G5405" s="367" t="s">
        <v>2186</v>
      </c>
      <c r="H5405" s="1542" t="s">
        <v>476</v>
      </c>
      <c r="I5405" s="1543"/>
      <c r="J5405" s="1543"/>
      <c r="K5405" s="1543"/>
      <c r="L5405" s="1543"/>
      <c r="M5405" s="1543"/>
      <c r="N5405" s="1566"/>
    </row>
    <row r="5406" spans="1:14" ht="24">
      <c r="A5406" s="1554"/>
      <c r="B5406" s="1541"/>
      <c r="C5406" s="368" t="s">
        <v>2627</v>
      </c>
      <c r="D5406" s="369" t="s">
        <v>2187</v>
      </c>
      <c r="E5406" s="529" t="s">
        <v>3152</v>
      </c>
      <c r="F5406" s="369" t="s">
        <v>2649</v>
      </c>
      <c r="G5406" s="370" t="s">
        <v>2709</v>
      </c>
      <c r="H5406" s="1542"/>
      <c r="I5406" s="1543"/>
      <c r="J5406" s="1543"/>
      <c r="K5406" s="1543"/>
      <c r="L5406" s="1543"/>
      <c r="M5406" s="1543"/>
      <c r="N5406" s="1566"/>
    </row>
    <row r="5407" spans="1:14">
      <c r="A5407" s="1535" t="s">
        <v>3158</v>
      </c>
      <c r="B5407" s="866" t="s">
        <v>3199</v>
      </c>
      <c r="C5407" s="212">
        <v>15</v>
      </c>
      <c r="D5407" s="991"/>
      <c r="E5407" s="529"/>
      <c r="F5407" s="369"/>
      <c r="G5407" s="370"/>
      <c r="H5407" s="819"/>
      <c r="I5407" s="1567"/>
      <c r="J5407" s="1543"/>
      <c r="K5407" s="1543"/>
      <c r="L5407" s="1543"/>
      <c r="M5407" s="1543"/>
      <c r="N5407" s="1566"/>
    </row>
    <row r="5408" spans="1:14" ht="27" customHeight="1">
      <c r="A5408" s="1529"/>
      <c r="B5408" s="866" t="s">
        <v>3197</v>
      </c>
      <c r="C5408" s="212">
        <v>173</v>
      </c>
      <c r="D5408" s="991"/>
      <c r="E5408" s="379">
        <v>0.25</v>
      </c>
      <c r="F5408" s="379"/>
      <c r="G5408" s="379"/>
      <c r="H5408" s="380">
        <f>C5408*E5408</f>
        <v>43.25</v>
      </c>
      <c r="I5408" s="1567"/>
      <c r="J5408" s="1543"/>
      <c r="K5408" s="1543"/>
      <c r="L5408" s="1543"/>
      <c r="M5408" s="1543"/>
      <c r="N5408" s="1566"/>
    </row>
    <row r="5409" spans="1:14">
      <c r="A5409" s="1545"/>
      <c r="B5409" s="866" t="s">
        <v>3198</v>
      </c>
      <c r="C5409" s="212">
        <v>25</v>
      </c>
      <c r="D5409" s="991"/>
      <c r="E5409" s="379">
        <v>0.35</v>
      </c>
      <c r="F5409" s="379"/>
      <c r="G5409" s="379"/>
      <c r="H5409" s="380">
        <f>C5409*E5409</f>
        <v>8.75</v>
      </c>
      <c r="I5409" s="1567"/>
      <c r="J5409" s="1543"/>
      <c r="K5409" s="1543"/>
      <c r="L5409" s="1543"/>
      <c r="M5409" s="1543"/>
      <c r="N5409" s="1566"/>
    </row>
    <row r="5410" spans="1:14">
      <c r="A5410" s="1535" t="s">
        <v>3217</v>
      </c>
      <c r="B5410" s="866" t="s">
        <v>3199</v>
      </c>
      <c r="C5410" s="212">
        <v>15</v>
      </c>
      <c r="D5410" s="991"/>
      <c r="E5410" s="529"/>
      <c r="F5410" s="369"/>
      <c r="G5410" s="370"/>
      <c r="H5410" s="819"/>
      <c r="I5410" s="1567"/>
      <c r="J5410" s="1543"/>
      <c r="K5410" s="1543"/>
      <c r="L5410" s="1543"/>
      <c r="M5410" s="1543"/>
      <c r="N5410" s="1566"/>
    </row>
    <row r="5411" spans="1:14" ht="18" customHeight="1">
      <c r="A5411" s="1529"/>
      <c r="B5411" s="866" t="s">
        <v>3197</v>
      </c>
      <c r="C5411" s="212">
        <v>173</v>
      </c>
      <c r="D5411" s="991"/>
      <c r="E5411" s="379">
        <v>0.25</v>
      </c>
      <c r="F5411" s="379"/>
      <c r="G5411" s="379"/>
      <c r="H5411" s="380">
        <f>C5411*E5411</f>
        <v>43.25</v>
      </c>
      <c r="I5411" s="1567"/>
      <c r="J5411" s="1543"/>
      <c r="K5411" s="1543"/>
      <c r="L5411" s="1543"/>
      <c r="M5411" s="1543"/>
      <c r="N5411" s="1566"/>
    </row>
    <row r="5412" spans="1:14" ht="18" customHeight="1">
      <c r="A5412" s="1545"/>
      <c r="B5412" s="866" t="s">
        <v>3198</v>
      </c>
      <c r="C5412" s="212">
        <v>25</v>
      </c>
      <c r="D5412" s="991"/>
      <c r="E5412" s="379">
        <v>0.15</v>
      </c>
      <c r="F5412" s="379"/>
      <c r="G5412" s="379"/>
      <c r="H5412" s="380">
        <f>C5412*E5412</f>
        <v>3.75</v>
      </c>
      <c r="I5412" s="1567"/>
      <c r="J5412" s="1543"/>
      <c r="K5412" s="1543"/>
      <c r="L5412" s="1543"/>
      <c r="M5412" s="1543"/>
      <c r="N5412" s="1566"/>
    </row>
    <row r="5413" spans="1:14">
      <c r="A5413" s="1535" t="s">
        <v>3294</v>
      </c>
      <c r="B5413" s="866" t="s">
        <v>3199</v>
      </c>
      <c r="C5413" s="212">
        <v>15</v>
      </c>
      <c r="D5413" s="991"/>
      <c r="E5413" s="529"/>
      <c r="F5413" s="369"/>
      <c r="G5413" s="370"/>
      <c r="H5413" s="819"/>
      <c r="I5413" s="1567"/>
      <c r="J5413" s="1543"/>
      <c r="K5413" s="1543"/>
      <c r="L5413" s="1543"/>
      <c r="M5413" s="1543"/>
      <c r="N5413" s="1566"/>
    </row>
    <row r="5414" spans="1:14">
      <c r="A5414" s="1529"/>
      <c r="B5414" s="866" t="s">
        <v>3197</v>
      </c>
      <c r="C5414" s="212">
        <v>173</v>
      </c>
      <c r="D5414" s="991"/>
      <c r="E5414" s="379">
        <v>0.15</v>
      </c>
      <c r="F5414" s="379"/>
      <c r="G5414" s="379"/>
      <c r="H5414" s="380">
        <f>C5414*E5414</f>
        <v>25.95</v>
      </c>
      <c r="I5414" s="1567"/>
      <c r="J5414" s="1543"/>
      <c r="K5414" s="1543"/>
      <c r="L5414" s="1543"/>
      <c r="M5414" s="1543"/>
      <c r="N5414" s="1566"/>
    </row>
    <row r="5415" spans="1:14">
      <c r="A5415" s="1545"/>
      <c r="B5415" s="866" t="s">
        <v>3198</v>
      </c>
      <c r="C5415" s="212">
        <v>25</v>
      </c>
      <c r="D5415" s="991"/>
      <c r="E5415" s="379">
        <v>0.15</v>
      </c>
      <c r="F5415" s="379"/>
      <c r="G5415" s="379"/>
      <c r="H5415" s="380">
        <f>C5415*E5415</f>
        <v>3.75</v>
      </c>
      <c r="I5415" s="1567"/>
      <c r="J5415" s="1543"/>
      <c r="K5415" s="1543"/>
      <c r="L5415" s="1543"/>
      <c r="M5415" s="1543"/>
      <c r="N5415" s="1566"/>
    </row>
    <row r="5416" spans="1:14">
      <c r="A5416" s="1535" t="s">
        <v>3364</v>
      </c>
      <c r="B5416" s="866" t="s">
        <v>3199</v>
      </c>
      <c r="C5416" s="212">
        <v>15</v>
      </c>
      <c r="D5416" s="991"/>
      <c r="E5416" s="529"/>
      <c r="F5416" s="369"/>
      <c r="G5416" s="370"/>
      <c r="H5416" s="819"/>
      <c r="I5416" s="1567"/>
      <c r="J5416" s="1543"/>
      <c r="K5416" s="1543"/>
      <c r="L5416" s="1543"/>
      <c r="M5416" s="1543"/>
      <c r="N5416" s="1566"/>
    </row>
    <row r="5417" spans="1:14" ht="27" customHeight="1">
      <c r="A5417" s="1529"/>
      <c r="B5417" s="866" t="s">
        <v>3197</v>
      </c>
      <c r="C5417" s="212">
        <v>173</v>
      </c>
      <c r="D5417" s="991"/>
      <c r="E5417" s="379">
        <v>0.1</v>
      </c>
      <c r="F5417" s="379"/>
      <c r="G5417" s="379"/>
      <c r="H5417" s="380">
        <f>C5417*E5417</f>
        <v>17.3</v>
      </c>
      <c r="I5417" s="1567"/>
      <c r="J5417" s="1543"/>
      <c r="K5417" s="1543"/>
      <c r="L5417" s="1543"/>
      <c r="M5417" s="1543"/>
      <c r="N5417" s="1566"/>
    </row>
    <row r="5418" spans="1:14">
      <c r="A5418" s="1545"/>
      <c r="B5418" s="866" t="s">
        <v>3198</v>
      </c>
      <c r="C5418" s="212">
        <v>25</v>
      </c>
      <c r="D5418" s="991"/>
      <c r="E5418" s="379">
        <v>0.35</v>
      </c>
      <c r="F5418" s="379"/>
      <c r="G5418" s="379"/>
      <c r="H5418" s="380">
        <f>C5418*E5418</f>
        <v>8.75</v>
      </c>
      <c r="I5418" s="1567"/>
      <c r="J5418" s="1543"/>
      <c r="K5418" s="1543"/>
      <c r="L5418" s="1543"/>
      <c r="M5418" s="1543"/>
      <c r="N5418" s="1566"/>
    </row>
    <row r="5419" spans="1:14">
      <c r="A5419" s="1535" t="s">
        <v>3428</v>
      </c>
      <c r="B5419" s="866" t="s">
        <v>3199</v>
      </c>
      <c r="C5419" s="212">
        <v>15</v>
      </c>
      <c r="D5419" s="991"/>
      <c r="E5419" s="529"/>
      <c r="F5419" s="369"/>
      <c r="G5419" s="370"/>
      <c r="H5419" s="819"/>
      <c r="I5419" s="1567"/>
      <c r="J5419" s="1543"/>
      <c r="K5419" s="1543"/>
      <c r="L5419" s="1543"/>
      <c r="M5419" s="1543"/>
      <c r="N5419" s="1566"/>
    </row>
    <row r="5420" spans="1:14" ht="18" customHeight="1">
      <c r="A5420" s="1529"/>
      <c r="B5420" s="866" t="s">
        <v>3197</v>
      </c>
      <c r="C5420" s="212">
        <v>173</v>
      </c>
      <c r="D5420" s="991"/>
      <c r="E5420" s="379">
        <v>0.15</v>
      </c>
      <c r="F5420" s="379"/>
      <c r="G5420" s="379"/>
      <c r="H5420" s="380">
        <f>C5420*E5420</f>
        <v>25.95</v>
      </c>
      <c r="I5420" s="1567"/>
      <c r="J5420" s="1543"/>
      <c r="K5420" s="1543"/>
      <c r="L5420" s="1543"/>
      <c r="M5420" s="1543"/>
      <c r="N5420" s="1566"/>
    </row>
    <row r="5421" spans="1:14" ht="18" customHeight="1">
      <c r="A5421" s="1545"/>
      <c r="B5421" s="866" t="s">
        <v>3198</v>
      </c>
      <c r="C5421" s="212">
        <v>25</v>
      </c>
      <c r="D5421" s="991"/>
      <c r="E5421" s="379"/>
      <c r="F5421" s="379"/>
      <c r="G5421" s="379"/>
      <c r="H5421" s="380"/>
      <c r="I5421" s="1567"/>
      <c r="J5421" s="1543"/>
      <c r="K5421" s="1543"/>
      <c r="L5421" s="1543"/>
      <c r="M5421" s="1543"/>
      <c r="N5421" s="1566"/>
    </row>
    <row r="5422" spans="1:14" ht="18" customHeight="1">
      <c r="A5422" s="1535" t="s">
        <v>3465</v>
      </c>
      <c r="B5422" s="866" t="s">
        <v>3199</v>
      </c>
      <c r="C5422" s="212">
        <v>15</v>
      </c>
      <c r="D5422" s="991"/>
      <c r="E5422" s="529"/>
      <c r="F5422" s="369"/>
      <c r="G5422" s="370"/>
      <c r="H5422" s="819"/>
      <c r="I5422" s="1567"/>
      <c r="J5422" s="1543"/>
      <c r="K5422" s="1543"/>
      <c r="L5422" s="1543"/>
      <c r="M5422" s="1543"/>
      <c r="N5422" s="1566"/>
    </row>
    <row r="5423" spans="1:14" ht="18" customHeight="1">
      <c r="A5423" s="1529"/>
      <c r="B5423" s="866" t="s">
        <v>3197</v>
      </c>
      <c r="C5423" s="212">
        <v>173</v>
      </c>
      <c r="D5423" s="991"/>
      <c r="E5423" s="379">
        <v>0.1</v>
      </c>
      <c r="F5423" s="379"/>
      <c r="G5423" s="379"/>
      <c r="H5423" s="380">
        <f>C5423*E5423</f>
        <v>17.3</v>
      </c>
      <c r="I5423" s="1567"/>
      <c r="J5423" s="1543"/>
      <c r="K5423" s="1543"/>
      <c r="L5423" s="1543"/>
      <c r="M5423" s="1543"/>
      <c r="N5423" s="1566"/>
    </row>
    <row r="5424" spans="1:14">
      <c r="A5424" s="1545"/>
      <c r="B5424" s="866" t="s">
        <v>3198</v>
      </c>
      <c r="C5424" s="212">
        <v>25</v>
      </c>
      <c r="D5424" s="991"/>
      <c r="E5424" s="379"/>
      <c r="F5424" s="379"/>
      <c r="G5424" s="379"/>
      <c r="H5424" s="380"/>
      <c r="I5424" s="1567"/>
      <c r="J5424" s="1543"/>
      <c r="K5424" s="1543"/>
      <c r="L5424" s="1543"/>
      <c r="M5424" s="1543"/>
      <c r="N5424" s="1566"/>
    </row>
    <row r="5425" spans="1:14">
      <c r="A5425" s="1535" t="s">
        <v>3521</v>
      </c>
      <c r="B5425" s="866" t="s">
        <v>3199</v>
      </c>
      <c r="C5425" s="212">
        <v>15</v>
      </c>
      <c r="D5425" s="991"/>
      <c r="E5425" s="529">
        <v>1</v>
      </c>
      <c r="F5425" s="369"/>
      <c r="G5425" s="370"/>
      <c r="H5425" s="380">
        <f>C5425*E5425</f>
        <v>15</v>
      </c>
      <c r="I5425" s="1567"/>
      <c r="J5425" s="1543"/>
      <c r="K5425" s="1543"/>
      <c r="L5425" s="1543"/>
      <c r="M5425" s="1543"/>
      <c r="N5425" s="1566"/>
    </row>
    <row r="5426" spans="1:14">
      <c r="A5426" s="1529"/>
      <c r="B5426" s="866" t="s">
        <v>3197</v>
      </c>
      <c r="C5426" s="212">
        <v>173</v>
      </c>
      <c r="D5426" s="991"/>
      <c r="E5426" s="379"/>
      <c r="F5426" s="379"/>
      <c r="G5426" s="379"/>
      <c r="H5426" s="380"/>
      <c r="I5426" s="1567"/>
      <c r="J5426" s="1543"/>
      <c r="K5426" s="1543"/>
      <c r="L5426" s="1543"/>
      <c r="M5426" s="1543"/>
      <c r="N5426" s="1566"/>
    </row>
    <row r="5427" spans="1:14">
      <c r="A5427" s="1545"/>
      <c r="B5427" s="866" t="s">
        <v>3198</v>
      </c>
      <c r="C5427" s="212">
        <v>25</v>
      </c>
      <c r="D5427" s="991"/>
      <c r="E5427" s="379"/>
      <c r="F5427" s="379"/>
      <c r="G5427" s="379"/>
      <c r="H5427" s="380"/>
      <c r="I5427" s="1567"/>
      <c r="J5427" s="1543"/>
      <c r="K5427" s="1543"/>
      <c r="L5427" s="1543"/>
      <c r="M5427" s="1543"/>
      <c r="N5427" s="1566"/>
    </row>
    <row r="5428" spans="1:14" ht="20.45" customHeight="1">
      <c r="A5428" s="1578" t="s">
        <v>2218</v>
      </c>
      <c r="B5428" s="1538"/>
      <c r="C5428" s="1538"/>
      <c r="D5428" s="1538"/>
      <c r="E5428" s="1538"/>
      <c r="F5428" s="1538"/>
      <c r="G5428" s="1538"/>
      <c r="H5428" s="271">
        <f>SUM(H5408:H5427)</f>
        <v>213</v>
      </c>
      <c r="I5428" s="1567"/>
      <c r="J5428" s="1543"/>
      <c r="K5428" s="1543"/>
      <c r="L5428" s="1543"/>
      <c r="M5428" s="1543"/>
      <c r="N5428" s="1566"/>
    </row>
    <row r="5429" spans="1:14">
      <c r="A5429" s="1519" t="s">
        <v>2219</v>
      </c>
      <c r="B5429" s="1517"/>
      <c r="C5429" s="1517"/>
      <c r="D5429" s="1551"/>
      <c r="E5429" s="1551"/>
      <c r="F5429" s="1551"/>
      <c r="G5429" s="1552"/>
      <c r="H5429" s="325">
        <f>SUM(H5407:H5424)</f>
        <v>198</v>
      </c>
      <c r="I5429" s="1543"/>
      <c r="J5429" s="1543"/>
      <c r="K5429" s="1543"/>
      <c r="L5429" s="1543"/>
      <c r="M5429" s="1543"/>
      <c r="N5429" s="1566"/>
    </row>
    <row r="5430" spans="1:14" ht="15.75" thickBot="1">
      <c r="A5430" s="1520" t="s">
        <v>2220</v>
      </c>
      <c r="B5430" s="1521"/>
      <c r="C5430" s="1521"/>
      <c r="D5430" s="1521"/>
      <c r="E5430" s="1521"/>
      <c r="F5430" s="1521"/>
      <c r="G5430" s="1522"/>
      <c r="H5430" s="216">
        <f>H5428-H5429</f>
        <v>15</v>
      </c>
      <c r="I5430" s="1568"/>
      <c r="J5430" s="1568"/>
      <c r="K5430" s="1568"/>
      <c r="L5430" s="1568"/>
      <c r="M5430" s="1568"/>
      <c r="N5430" s="1569"/>
    </row>
    <row r="5431" spans="1:14" ht="21.6" customHeight="1">
      <c r="A5431" s="253" t="s">
        <v>3488</v>
      </c>
      <c r="B5431" s="1550" t="s">
        <v>1373</v>
      </c>
      <c r="C5431" s="1550"/>
      <c r="D5431" s="1550"/>
      <c r="E5431" s="1550"/>
      <c r="F5431" s="1550"/>
      <c r="G5431" s="1550"/>
      <c r="H5431" s="1550"/>
      <c r="I5431" s="1550"/>
      <c r="J5431" s="1550"/>
      <c r="K5431" s="864" t="s">
        <v>44</v>
      </c>
      <c r="L5431" s="1540">
        <f>'27ª MEDIÇÃO '!F363</f>
        <v>82</v>
      </c>
      <c r="M5431" s="1540"/>
      <c r="N5431" s="865">
        <f>L5431-H5440</f>
        <v>0</v>
      </c>
    </row>
    <row r="5432" spans="1:14" ht="21" customHeight="1">
      <c r="A5432" s="1541"/>
      <c r="B5432" s="1541"/>
      <c r="C5432" s="366"/>
      <c r="D5432" s="367" t="s">
        <v>2183</v>
      </c>
      <c r="E5432" s="1320" t="s">
        <v>2184</v>
      </c>
      <c r="F5432" s="367" t="s">
        <v>2185</v>
      </c>
      <c r="G5432" s="367" t="s">
        <v>2186</v>
      </c>
      <c r="H5432" s="1542" t="s">
        <v>476</v>
      </c>
      <c r="I5432" s="1543"/>
      <c r="J5432" s="1543"/>
      <c r="K5432" s="1543"/>
      <c r="L5432" s="1543"/>
      <c r="M5432" s="1543"/>
      <c r="N5432" s="1543"/>
    </row>
    <row r="5433" spans="1:14" ht="21.6" customHeight="1">
      <c r="A5433" s="1541"/>
      <c r="B5433" s="1541"/>
      <c r="C5433" s="368" t="s">
        <v>2627</v>
      </c>
      <c r="D5433" s="369" t="s">
        <v>2187</v>
      </c>
      <c r="E5433" s="529" t="s">
        <v>3152</v>
      </c>
      <c r="F5433" s="369" t="s">
        <v>2649</v>
      </c>
      <c r="G5433" s="370" t="s">
        <v>2709</v>
      </c>
      <c r="H5433" s="1542"/>
      <c r="I5433" s="1543"/>
      <c r="J5433" s="1543"/>
      <c r="K5433" s="1543"/>
      <c r="L5433" s="1543"/>
      <c r="M5433" s="1543"/>
      <c r="N5433" s="1543"/>
    </row>
    <row r="5434" spans="1:14" ht="21" customHeight="1">
      <c r="A5434" s="1544" t="s">
        <v>3465</v>
      </c>
      <c r="B5434" s="429" t="s">
        <v>3487</v>
      </c>
      <c r="C5434" s="369">
        <v>82</v>
      </c>
      <c r="D5434" s="369"/>
      <c r="E5434" s="529">
        <v>0.4</v>
      </c>
      <c r="F5434" s="369"/>
      <c r="G5434" s="369"/>
      <c r="H5434" s="943">
        <f>E5434*C5434</f>
        <v>32.800000000000004</v>
      </c>
      <c r="I5434" s="1543"/>
      <c r="J5434" s="1543"/>
      <c r="K5434" s="1543"/>
      <c r="L5434" s="1543"/>
      <c r="M5434" s="1543"/>
      <c r="N5434" s="1543"/>
    </row>
    <row r="5435" spans="1:14">
      <c r="A5435" s="1544"/>
      <c r="B5435" s="753"/>
      <c r="C5435" s="369"/>
      <c r="D5435" s="369"/>
      <c r="E5435" s="529"/>
      <c r="F5435" s="369"/>
      <c r="G5435" s="369"/>
      <c r="H5435" s="943"/>
      <c r="I5435" s="1543"/>
      <c r="J5435" s="1543"/>
      <c r="K5435" s="1543"/>
      <c r="L5435" s="1543"/>
      <c r="M5435" s="1543"/>
      <c r="N5435" s="1543"/>
    </row>
    <row r="5436" spans="1:14">
      <c r="A5436" s="1544" t="s">
        <v>3521</v>
      </c>
      <c r="B5436" s="429" t="s">
        <v>3487</v>
      </c>
      <c r="C5436" s="369">
        <v>82</v>
      </c>
      <c r="D5436" s="369"/>
      <c r="E5436" s="529">
        <v>0.35</v>
      </c>
      <c r="F5436" s="369"/>
      <c r="G5436" s="369"/>
      <c r="H5436" s="943">
        <f>E5436*C5436</f>
        <v>28.7</v>
      </c>
      <c r="I5436" s="1543"/>
      <c r="J5436" s="1543"/>
      <c r="K5436" s="1543"/>
      <c r="L5436" s="1543"/>
      <c r="M5436" s="1543"/>
      <c r="N5436" s="1543"/>
    </row>
    <row r="5437" spans="1:14">
      <c r="A5437" s="1544"/>
      <c r="B5437" s="753"/>
      <c r="C5437" s="369"/>
      <c r="D5437" s="369"/>
      <c r="E5437" s="529"/>
      <c r="F5437" s="369"/>
      <c r="G5437" s="369"/>
      <c r="H5437" s="943"/>
      <c r="I5437" s="1543"/>
      <c r="J5437" s="1543"/>
      <c r="K5437" s="1543"/>
      <c r="L5437" s="1543"/>
      <c r="M5437" s="1543"/>
      <c r="N5437" s="1543"/>
    </row>
    <row r="5438" spans="1:14">
      <c r="A5438" s="1544" t="s">
        <v>3569</v>
      </c>
      <c r="B5438" s="429" t="s">
        <v>3487</v>
      </c>
      <c r="C5438" s="369">
        <v>82</v>
      </c>
      <c r="D5438" s="369"/>
      <c r="E5438" s="529">
        <v>0.25</v>
      </c>
      <c r="F5438" s="369"/>
      <c r="G5438" s="369"/>
      <c r="H5438" s="943">
        <f>E5438*C5438</f>
        <v>20.5</v>
      </c>
      <c r="I5438" s="1543"/>
      <c r="J5438" s="1543"/>
      <c r="K5438" s="1543"/>
      <c r="L5438" s="1543"/>
      <c r="M5438" s="1543"/>
      <c r="N5438" s="1543"/>
    </row>
    <row r="5439" spans="1:14" ht="16.899999999999999" customHeight="1">
      <c r="A5439" s="1544"/>
      <c r="B5439" s="753"/>
      <c r="C5439" s="369"/>
      <c r="D5439" s="369"/>
      <c r="E5439" s="529"/>
      <c r="F5439" s="369"/>
      <c r="G5439" s="369"/>
      <c r="H5439" s="943"/>
      <c r="I5439" s="1543"/>
      <c r="J5439" s="1543"/>
      <c r="K5439" s="1543"/>
      <c r="L5439" s="1543"/>
      <c r="M5439" s="1543"/>
      <c r="N5439" s="1543"/>
    </row>
    <row r="5440" spans="1:14">
      <c r="A5440" s="1538" t="s">
        <v>2218</v>
      </c>
      <c r="B5440" s="1538"/>
      <c r="C5440" s="1538"/>
      <c r="D5440" s="1538"/>
      <c r="E5440" s="1538"/>
      <c r="F5440" s="1538"/>
      <c r="G5440" s="1538"/>
      <c r="H5440" s="271">
        <f>SUM(H5434:H5439)</f>
        <v>82</v>
      </c>
      <c r="I5440" s="1543"/>
      <c r="J5440" s="1543"/>
      <c r="K5440" s="1543"/>
      <c r="L5440" s="1543"/>
      <c r="M5440" s="1543"/>
      <c r="N5440" s="1543"/>
    </row>
    <row r="5441" spans="1:14">
      <c r="A5441" s="1538" t="s">
        <v>2219</v>
      </c>
      <c r="B5441" s="1538"/>
      <c r="C5441" s="1538"/>
      <c r="D5441" s="1538"/>
      <c r="E5441" s="1538"/>
      <c r="F5441" s="1538"/>
      <c r="G5441" s="1538"/>
      <c r="H5441" s="271">
        <f>SUM(H5433:H5437)</f>
        <v>61.5</v>
      </c>
      <c r="I5441" s="1543"/>
      <c r="J5441" s="1543"/>
      <c r="K5441" s="1543"/>
      <c r="L5441" s="1543"/>
      <c r="M5441" s="1543"/>
      <c r="N5441" s="1543"/>
    </row>
    <row r="5442" spans="1:14">
      <c r="A5442" s="1538" t="s">
        <v>2220</v>
      </c>
      <c r="B5442" s="1538"/>
      <c r="C5442" s="1538"/>
      <c r="D5442" s="1538"/>
      <c r="E5442" s="1538"/>
      <c r="F5442" s="1538"/>
      <c r="G5442" s="1538"/>
      <c r="H5442" s="269">
        <f>H5440-H5441</f>
        <v>20.5</v>
      </c>
      <c r="I5442" s="1543"/>
      <c r="J5442" s="1543"/>
      <c r="K5442" s="1543"/>
      <c r="L5442" s="1543"/>
      <c r="M5442" s="1543"/>
      <c r="N5442" s="1543"/>
    </row>
    <row r="5444" spans="1:14" ht="15.75" thickBot="1"/>
    <row r="5445" spans="1:14">
      <c r="A5445" s="1121" t="s">
        <v>1374</v>
      </c>
      <c r="B5445" s="1494" t="s">
        <v>1376</v>
      </c>
      <c r="C5445" s="1495"/>
      <c r="D5445" s="1495"/>
      <c r="E5445" s="1495"/>
      <c r="F5445" s="1495"/>
      <c r="G5445" s="1495"/>
      <c r="H5445" s="1495"/>
      <c r="I5445" s="1495"/>
      <c r="J5445" s="1496"/>
      <c r="K5445" s="196" t="s">
        <v>28</v>
      </c>
      <c r="L5445" s="1497">
        <f>'27ª MEDIÇÃO '!F364</f>
        <v>58</v>
      </c>
      <c r="M5445" s="1498"/>
      <c r="N5445" s="197">
        <f>L5445-H5457</f>
        <v>0</v>
      </c>
    </row>
    <row r="5446" spans="1:14">
      <c r="A5446" s="1554"/>
      <c r="B5446" s="1541"/>
      <c r="C5446" s="366"/>
      <c r="D5446" s="367" t="s">
        <v>2183</v>
      </c>
      <c r="E5446" s="1320" t="s">
        <v>2184</v>
      </c>
      <c r="F5446" s="367" t="s">
        <v>2185</v>
      </c>
      <c r="G5446" s="367" t="s">
        <v>2186</v>
      </c>
      <c r="H5446" s="1542" t="s">
        <v>476</v>
      </c>
      <c r="I5446" s="1543"/>
      <c r="J5446" s="1543"/>
      <c r="K5446" s="1543"/>
      <c r="L5446" s="1543"/>
      <c r="M5446" s="1543"/>
      <c r="N5446" s="1566"/>
    </row>
    <row r="5447" spans="1:14" ht="24">
      <c r="A5447" s="1554"/>
      <c r="B5447" s="1541"/>
      <c r="C5447" s="368" t="s">
        <v>2627</v>
      </c>
      <c r="D5447" s="369" t="s">
        <v>2187</v>
      </c>
      <c r="E5447" s="529" t="s">
        <v>3152</v>
      </c>
      <c r="F5447" s="369" t="s">
        <v>2649</v>
      </c>
      <c r="G5447" s="370" t="s">
        <v>2709</v>
      </c>
      <c r="H5447" s="1542"/>
      <c r="I5447" s="1543"/>
      <c r="J5447" s="1543"/>
      <c r="K5447" s="1543"/>
      <c r="L5447" s="1543"/>
      <c r="M5447" s="1543"/>
      <c r="N5447" s="1566"/>
    </row>
    <row r="5448" spans="1:14">
      <c r="A5448" s="1535" t="s">
        <v>3158</v>
      </c>
      <c r="B5448" s="877"/>
      <c r="C5448" s="880"/>
      <c r="D5448" s="574"/>
      <c r="E5448" s="1364"/>
      <c r="F5448" s="574"/>
      <c r="G5448" s="878"/>
      <c r="H5448" s="879"/>
      <c r="I5448" s="1567"/>
      <c r="J5448" s="1543"/>
      <c r="K5448" s="1543"/>
      <c r="L5448" s="1543"/>
      <c r="M5448" s="1543"/>
      <c r="N5448" s="1566"/>
    </row>
    <row r="5449" spans="1:14">
      <c r="A5449" s="1529"/>
      <c r="B5449" s="429" t="s">
        <v>3197</v>
      </c>
      <c r="C5449" s="756">
        <v>38</v>
      </c>
      <c r="D5449" s="202"/>
      <c r="E5449" s="346">
        <v>0.5</v>
      </c>
      <c r="F5449" s="346"/>
      <c r="G5449" s="346"/>
      <c r="H5449" s="380">
        <f>C5449*E5449</f>
        <v>19</v>
      </c>
      <c r="I5449" s="1567"/>
      <c r="J5449" s="1543"/>
      <c r="K5449" s="1543"/>
      <c r="L5449" s="1543"/>
      <c r="M5449" s="1543"/>
      <c r="N5449" s="1566"/>
    </row>
    <row r="5450" spans="1:14" s="873" customFormat="1" ht="27" customHeight="1">
      <c r="A5450" s="1545"/>
      <c r="B5450" s="753" t="s">
        <v>3198</v>
      </c>
      <c r="C5450" s="757">
        <v>20</v>
      </c>
      <c r="D5450" s="294"/>
      <c r="E5450" s="348">
        <v>0.5</v>
      </c>
      <c r="F5450" s="348"/>
      <c r="G5450" s="348"/>
      <c r="H5450" s="380">
        <f>C5450*E5450</f>
        <v>10</v>
      </c>
      <c r="I5450" s="1567"/>
      <c r="J5450" s="1543"/>
      <c r="K5450" s="1543"/>
      <c r="L5450" s="1543"/>
      <c r="M5450" s="1543"/>
      <c r="N5450" s="1566"/>
    </row>
    <row r="5451" spans="1:14">
      <c r="A5451" s="1535" t="s">
        <v>3217</v>
      </c>
      <c r="B5451" s="877"/>
      <c r="C5451" s="880"/>
      <c r="D5451" s="574"/>
      <c r="E5451" s="1364"/>
      <c r="F5451" s="574"/>
      <c r="G5451" s="878"/>
      <c r="H5451" s="879"/>
      <c r="I5451" s="1567"/>
      <c r="J5451" s="1543"/>
      <c r="K5451" s="1543"/>
      <c r="L5451" s="1543"/>
      <c r="M5451" s="1543"/>
      <c r="N5451" s="1566"/>
    </row>
    <row r="5452" spans="1:14">
      <c r="A5452" s="1529"/>
      <c r="B5452" s="429" t="s">
        <v>3197</v>
      </c>
      <c r="C5452" s="756">
        <v>38</v>
      </c>
      <c r="D5452" s="202"/>
      <c r="E5452" s="346">
        <v>0.39473684210526316</v>
      </c>
      <c r="F5452" s="346"/>
      <c r="G5452" s="346"/>
      <c r="H5452" s="380">
        <f>C5452*E5452</f>
        <v>15</v>
      </c>
      <c r="I5452" s="1567"/>
      <c r="J5452" s="1543"/>
      <c r="K5452" s="1543"/>
      <c r="L5452" s="1543"/>
      <c r="M5452" s="1543"/>
      <c r="N5452" s="1566"/>
    </row>
    <row r="5453" spans="1:14">
      <c r="A5453" s="1545"/>
      <c r="B5453" s="753" t="s">
        <v>3198</v>
      </c>
      <c r="C5453" s="757">
        <v>20</v>
      </c>
      <c r="D5453" s="294"/>
      <c r="E5453" s="348">
        <v>0.4</v>
      </c>
      <c r="F5453" s="348"/>
      <c r="G5453" s="348"/>
      <c r="H5453" s="380">
        <f>C5453*E5453</f>
        <v>8</v>
      </c>
      <c r="I5453" s="1567"/>
      <c r="J5453" s="1543"/>
      <c r="K5453" s="1543"/>
      <c r="L5453" s="1543"/>
      <c r="M5453" s="1543"/>
      <c r="N5453" s="1566"/>
    </row>
    <row r="5454" spans="1:14">
      <c r="A5454" s="1535" t="s">
        <v>3294</v>
      </c>
      <c r="B5454" s="877"/>
      <c r="C5454" s="880"/>
      <c r="D5454" s="574"/>
      <c r="E5454" s="1364"/>
      <c r="F5454" s="574"/>
      <c r="G5454" s="878"/>
      <c r="H5454" s="879"/>
      <c r="I5454" s="1567"/>
      <c r="J5454" s="1543"/>
      <c r="K5454" s="1543"/>
      <c r="L5454" s="1543"/>
      <c r="M5454" s="1543"/>
      <c r="N5454" s="1566"/>
    </row>
    <row r="5455" spans="1:14">
      <c r="A5455" s="1529"/>
      <c r="B5455" s="429" t="s">
        <v>3197</v>
      </c>
      <c r="C5455" s="756">
        <v>38</v>
      </c>
      <c r="D5455" s="202"/>
      <c r="E5455" s="346">
        <v>0.105263157894737</v>
      </c>
      <c r="F5455" s="346"/>
      <c r="G5455" s="346"/>
      <c r="H5455" s="380">
        <f>C5455*E5455</f>
        <v>4.0000000000000062</v>
      </c>
      <c r="I5455" s="1567"/>
      <c r="J5455" s="1543"/>
      <c r="K5455" s="1543"/>
      <c r="L5455" s="1543"/>
      <c r="M5455" s="1543"/>
      <c r="N5455" s="1566"/>
    </row>
    <row r="5456" spans="1:14">
      <c r="A5456" s="1545"/>
      <c r="B5456" s="753" t="s">
        <v>3198</v>
      </c>
      <c r="C5456" s="757">
        <v>20</v>
      </c>
      <c r="D5456" s="294"/>
      <c r="E5456" s="348">
        <v>0.1</v>
      </c>
      <c r="F5456" s="348"/>
      <c r="G5456" s="348"/>
      <c r="H5456" s="380">
        <f>C5456*E5456</f>
        <v>2</v>
      </c>
      <c r="I5456" s="1567"/>
      <c r="J5456" s="1543"/>
      <c r="K5456" s="1543"/>
      <c r="L5456" s="1543"/>
      <c r="M5456" s="1543"/>
      <c r="N5456" s="1566"/>
    </row>
    <row r="5457" spans="1:14">
      <c r="A5457" s="1578" t="s">
        <v>2218</v>
      </c>
      <c r="B5457" s="1538"/>
      <c r="C5457" s="1538"/>
      <c r="D5457" s="1538"/>
      <c r="E5457" s="1538"/>
      <c r="F5457" s="1538"/>
      <c r="G5457" s="1538"/>
      <c r="H5457" s="271">
        <f>SUM(H5449:H5456)</f>
        <v>58.000000000000007</v>
      </c>
      <c r="I5457" s="1567"/>
      <c r="J5457" s="1543"/>
      <c r="K5457" s="1543"/>
      <c r="L5457" s="1543"/>
      <c r="M5457" s="1543"/>
      <c r="N5457" s="1566"/>
    </row>
    <row r="5458" spans="1:14">
      <c r="A5458" s="1519" t="s">
        <v>2219</v>
      </c>
      <c r="B5458" s="1517"/>
      <c r="C5458" s="1517"/>
      <c r="D5458" s="1551"/>
      <c r="E5458" s="1551"/>
      <c r="F5458" s="1551"/>
      <c r="G5458" s="1552"/>
      <c r="H5458" s="325">
        <f>SUM(H5448:H5453)</f>
        <v>52</v>
      </c>
      <c r="I5458" s="1543"/>
      <c r="J5458" s="1543"/>
      <c r="K5458" s="1543"/>
      <c r="L5458" s="1543"/>
      <c r="M5458" s="1543"/>
      <c r="N5458" s="1566"/>
    </row>
    <row r="5459" spans="1:14" ht="15.75" thickBot="1">
      <c r="A5459" s="1520" t="s">
        <v>2220</v>
      </c>
      <c r="B5459" s="1521"/>
      <c r="C5459" s="1521"/>
      <c r="D5459" s="1521"/>
      <c r="E5459" s="1521"/>
      <c r="F5459" s="1521"/>
      <c r="G5459" s="1522"/>
      <c r="H5459" s="216">
        <f>H5457-H5458</f>
        <v>6.0000000000000071</v>
      </c>
      <c r="I5459" s="1568"/>
      <c r="J5459" s="1568"/>
      <c r="K5459" s="1568"/>
      <c r="L5459" s="1568"/>
      <c r="M5459" s="1568"/>
      <c r="N5459" s="1569"/>
    </row>
    <row r="5460" spans="1:14" ht="15.75" thickBot="1"/>
    <row r="5461" spans="1:14" ht="25.15" customHeight="1">
      <c r="A5461" s="211" t="s">
        <v>1377</v>
      </c>
      <c r="B5461" s="1494" t="s">
        <v>1379</v>
      </c>
      <c r="C5461" s="1495"/>
      <c r="D5461" s="1495"/>
      <c r="E5461" s="1495"/>
      <c r="F5461" s="1495"/>
      <c r="G5461" s="1495"/>
      <c r="H5461" s="1495"/>
      <c r="I5461" s="1495"/>
      <c r="J5461" s="1496"/>
      <c r="K5461" s="196" t="s">
        <v>44</v>
      </c>
      <c r="L5461" s="1497">
        <v>12</v>
      </c>
      <c r="M5461" s="1498"/>
      <c r="N5461" s="197">
        <f>L5461-H5468</f>
        <v>0</v>
      </c>
    </row>
    <row r="5462" spans="1:14">
      <c r="A5462" s="1554"/>
      <c r="B5462" s="1541"/>
      <c r="C5462" s="366"/>
      <c r="D5462" s="367" t="s">
        <v>2183</v>
      </c>
      <c r="E5462" s="1320" t="s">
        <v>2184</v>
      </c>
      <c r="F5462" s="367" t="s">
        <v>2185</v>
      </c>
      <c r="G5462" s="367" t="s">
        <v>2186</v>
      </c>
      <c r="H5462" s="1542" t="s">
        <v>476</v>
      </c>
      <c r="I5462" s="1543"/>
      <c r="J5462" s="1543"/>
      <c r="K5462" s="1543"/>
      <c r="L5462" s="1543"/>
      <c r="M5462" s="1543"/>
      <c r="N5462" s="1566"/>
    </row>
    <row r="5463" spans="1:14" ht="24">
      <c r="A5463" s="1554"/>
      <c r="B5463" s="1541"/>
      <c r="C5463" s="368" t="s">
        <v>2627</v>
      </c>
      <c r="D5463" s="369" t="s">
        <v>2187</v>
      </c>
      <c r="E5463" s="529" t="s">
        <v>3152</v>
      </c>
      <c r="F5463" s="369" t="s">
        <v>2649</v>
      </c>
      <c r="G5463" s="370" t="s">
        <v>2709</v>
      </c>
      <c r="H5463" s="1542"/>
      <c r="I5463" s="1543"/>
      <c r="J5463" s="1543"/>
      <c r="K5463" s="1543"/>
      <c r="L5463" s="1543"/>
      <c r="M5463" s="1543"/>
      <c r="N5463" s="1566"/>
    </row>
    <row r="5464" spans="1:14">
      <c r="A5464" s="1544" t="s">
        <v>3465</v>
      </c>
      <c r="B5464" s="429" t="s">
        <v>3487</v>
      </c>
      <c r="C5464" s="756">
        <v>12</v>
      </c>
      <c r="D5464" s="202"/>
      <c r="E5464" s="346">
        <v>0.5</v>
      </c>
      <c r="F5464" s="346"/>
      <c r="G5464" s="346"/>
      <c r="H5464" s="943">
        <f>E5464*C5464</f>
        <v>6</v>
      </c>
      <c r="I5464" s="1567"/>
      <c r="J5464" s="1543"/>
      <c r="K5464" s="1543"/>
      <c r="L5464" s="1543"/>
      <c r="M5464" s="1543"/>
      <c r="N5464" s="1566"/>
    </row>
    <row r="5465" spans="1:14">
      <c r="A5465" s="1544"/>
      <c r="B5465" s="753"/>
      <c r="C5465" s="757"/>
      <c r="D5465" s="294"/>
      <c r="E5465" s="348"/>
      <c r="F5465" s="348"/>
      <c r="G5465" s="348"/>
      <c r="H5465" s="403"/>
      <c r="I5465" s="1567"/>
      <c r="J5465" s="1543"/>
      <c r="K5465" s="1543"/>
      <c r="L5465" s="1543"/>
      <c r="M5465" s="1543"/>
      <c r="N5465" s="1566"/>
    </row>
    <row r="5466" spans="1:14">
      <c r="A5466" s="1544" t="s">
        <v>3521</v>
      </c>
      <c r="B5466" s="429" t="s">
        <v>3487</v>
      </c>
      <c r="C5466" s="756">
        <v>12</v>
      </c>
      <c r="D5466" s="202"/>
      <c r="E5466" s="346">
        <v>0.5</v>
      </c>
      <c r="F5466" s="346"/>
      <c r="G5466" s="346"/>
      <c r="H5466" s="943">
        <f>E5466*C5466</f>
        <v>6</v>
      </c>
      <c r="I5466" s="1567"/>
      <c r="J5466" s="1543"/>
      <c r="K5466" s="1543"/>
      <c r="L5466" s="1543"/>
      <c r="M5466" s="1543"/>
      <c r="N5466" s="1566"/>
    </row>
    <row r="5467" spans="1:14">
      <c r="A5467" s="1544"/>
      <c r="B5467" s="753"/>
      <c r="C5467" s="757"/>
      <c r="D5467" s="294"/>
      <c r="E5467" s="348"/>
      <c r="F5467" s="348"/>
      <c r="G5467" s="348"/>
      <c r="H5467" s="403"/>
      <c r="I5467" s="1567"/>
      <c r="J5467" s="1543"/>
      <c r="K5467" s="1543"/>
      <c r="L5467" s="1543"/>
      <c r="M5467" s="1543"/>
      <c r="N5467" s="1566"/>
    </row>
    <row r="5468" spans="1:14">
      <c r="A5468" s="1516" t="s">
        <v>2218</v>
      </c>
      <c r="B5468" s="1517"/>
      <c r="C5468" s="1517"/>
      <c r="D5468" s="1517"/>
      <c r="E5468" s="1517"/>
      <c r="F5468" s="1517"/>
      <c r="G5468" s="1518"/>
      <c r="H5468" s="271">
        <f>SUM(H5464:H5467)</f>
        <v>12</v>
      </c>
      <c r="I5468" s="1567"/>
      <c r="J5468" s="1543"/>
      <c r="K5468" s="1543"/>
      <c r="L5468" s="1543"/>
      <c r="M5468" s="1543"/>
      <c r="N5468" s="1566"/>
    </row>
    <row r="5469" spans="1:14">
      <c r="A5469" s="1519" t="s">
        <v>2219</v>
      </c>
      <c r="B5469" s="1517"/>
      <c r="C5469" s="1517"/>
      <c r="D5469" s="1551"/>
      <c r="E5469" s="1551"/>
      <c r="F5469" s="1551"/>
      <c r="G5469" s="1552"/>
      <c r="H5469" s="325">
        <f>SUM(H5464:H5465)</f>
        <v>6</v>
      </c>
      <c r="I5469" s="1543"/>
      <c r="J5469" s="1543"/>
      <c r="K5469" s="1543"/>
      <c r="L5469" s="1543"/>
      <c r="M5469" s="1543"/>
      <c r="N5469" s="1566"/>
    </row>
    <row r="5470" spans="1:14" ht="24.6" customHeight="1" thickBot="1">
      <c r="A5470" s="1520" t="s">
        <v>2220</v>
      </c>
      <c r="B5470" s="1521"/>
      <c r="C5470" s="1521"/>
      <c r="D5470" s="1521"/>
      <c r="E5470" s="1521"/>
      <c r="F5470" s="1521"/>
      <c r="G5470" s="1522"/>
      <c r="H5470" s="216">
        <f>H5468-H5469</f>
        <v>6</v>
      </c>
      <c r="I5470" s="1568"/>
      <c r="J5470" s="1568"/>
      <c r="K5470" s="1568"/>
      <c r="L5470" s="1568"/>
      <c r="M5470" s="1568"/>
      <c r="N5470" s="1569"/>
    </row>
    <row r="5471" spans="1:14" ht="15.75" thickBot="1"/>
    <row r="5472" spans="1:14">
      <c r="A5472" s="211" t="s">
        <v>1380</v>
      </c>
      <c r="B5472" s="1494" t="s">
        <v>1382</v>
      </c>
      <c r="C5472" s="1495"/>
      <c r="D5472" s="1495"/>
      <c r="E5472" s="1495"/>
      <c r="F5472" s="1495"/>
      <c r="G5472" s="1495"/>
      <c r="H5472" s="1495"/>
      <c r="I5472" s="1495"/>
      <c r="J5472" s="1496"/>
      <c r="K5472" s="196" t="s">
        <v>44</v>
      </c>
      <c r="L5472" s="1497">
        <v>10</v>
      </c>
      <c r="M5472" s="1498"/>
      <c r="N5472" s="197">
        <f>L5472-H5479</f>
        <v>0</v>
      </c>
    </row>
    <row r="5473" spans="1:14">
      <c r="A5473" s="1554"/>
      <c r="B5473" s="1541"/>
      <c r="C5473" s="366"/>
      <c r="D5473" s="367" t="s">
        <v>2183</v>
      </c>
      <c r="E5473" s="1320" t="s">
        <v>2184</v>
      </c>
      <c r="F5473" s="367" t="s">
        <v>2185</v>
      </c>
      <c r="G5473" s="367" t="s">
        <v>2186</v>
      </c>
      <c r="H5473" s="1542" t="s">
        <v>476</v>
      </c>
      <c r="I5473" s="1543"/>
      <c r="J5473" s="1543"/>
      <c r="K5473" s="1543"/>
      <c r="L5473" s="1543"/>
      <c r="M5473" s="1543"/>
      <c r="N5473" s="1566"/>
    </row>
    <row r="5474" spans="1:14" ht="24">
      <c r="A5474" s="1554"/>
      <c r="B5474" s="1541"/>
      <c r="C5474" s="368" t="s">
        <v>2627</v>
      </c>
      <c r="D5474" s="369" t="s">
        <v>2187</v>
      </c>
      <c r="E5474" s="529" t="s">
        <v>3152</v>
      </c>
      <c r="F5474" s="369" t="s">
        <v>2649</v>
      </c>
      <c r="G5474" s="370" t="s">
        <v>2709</v>
      </c>
      <c r="H5474" s="1542"/>
      <c r="I5474" s="1543"/>
      <c r="J5474" s="1543"/>
      <c r="K5474" s="1543"/>
      <c r="L5474" s="1543"/>
      <c r="M5474" s="1543"/>
      <c r="N5474" s="1566"/>
    </row>
    <row r="5475" spans="1:14" ht="14.45" customHeight="1">
      <c r="A5475" s="1544" t="s">
        <v>3465</v>
      </c>
      <c r="B5475" s="429" t="s">
        <v>3487</v>
      </c>
      <c r="C5475" s="756">
        <v>10</v>
      </c>
      <c r="D5475" s="202"/>
      <c r="E5475" s="346">
        <v>0.5</v>
      </c>
      <c r="F5475" s="346"/>
      <c r="G5475" s="346"/>
      <c r="H5475" s="943">
        <f>E5475*C5475</f>
        <v>5</v>
      </c>
      <c r="I5475" s="1567"/>
      <c r="J5475" s="1543"/>
      <c r="K5475" s="1543"/>
      <c r="L5475" s="1543"/>
      <c r="M5475" s="1543"/>
      <c r="N5475" s="1566"/>
    </row>
    <row r="5476" spans="1:14">
      <c r="A5476" s="1544"/>
      <c r="B5476" s="753"/>
      <c r="C5476" s="757"/>
      <c r="D5476" s="294"/>
      <c r="E5476" s="348"/>
      <c r="F5476" s="348"/>
      <c r="G5476" s="348"/>
      <c r="H5476" s="403"/>
      <c r="I5476" s="1567"/>
      <c r="J5476" s="1543"/>
      <c r="K5476" s="1543"/>
      <c r="L5476" s="1543"/>
      <c r="M5476" s="1543"/>
      <c r="N5476" s="1566"/>
    </row>
    <row r="5477" spans="1:14">
      <c r="A5477" s="1544" t="s">
        <v>3521</v>
      </c>
      <c r="B5477" s="429" t="s">
        <v>3487</v>
      </c>
      <c r="C5477" s="756">
        <v>10</v>
      </c>
      <c r="D5477" s="202"/>
      <c r="E5477" s="346">
        <v>0.5</v>
      </c>
      <c r="F5477" s="346"/>
      <c r="G5477" s="346"/>
      <c r="H5477" s="943">
        <f>E5477*C5477</f>
        <v>5</v>
      </c>
      <c r="I5477" s="1567"/>
      <c r="J5477" s="1543"/>
      <c r="K5477" s="1543"/>
      <c r="L5477" s="1543"/>
      <c r="M5477" s="1543"/>
      <c r="N5477" s="1566"/>
    </row>
    <row r="5478" spans="1:14" ht="14.45" customHeight="1">
      <c r="A5478" s="1544"/>
      <c r="B5478" s="753"/>
      <c r="C5478" s="757"/>
      <c r="D5478" s="294"/>
      <c r="E5478" s="348"/>
      <c r="F5478" s="348"/>
      <c r="G5478" s="348"/>
      <c r="H5478" s="403"/>
      <c r="I5478" s="1567"/>
      <c r="J5478" s="1543"/>
      <c r="K5478" s="1543"/>
      <c r="L5478" s="1543"/>
      <c r="M5478" s="1543"/>
      <c r="N5478" s="1566"/>
    </row>
    <row r="5479" spans="1:14">
      <c r="A5479" s="1538" t="s">
        <v>2218</v>
      </c>
      <c r="B5479" s="1538"/>
      <c r="C5479" s="1538"/>
      <c r="D5479" s="1538"/>
      <c r="E5479" s="1538"/>
      <c r="F5479" s="1538"/>
      <c r="G5479" s="1538"/>
      <c r="H5479" s="271">
        <f>SUM(H5475:H5478)</f>
        <v>10</v>
      </c>
      <c r="I5479" s="1567"/>
      <c r="J5479" s="1543"/>
      <c r="K5479" s="1543"/>
      <c r="L5479" s="1543"/>
      <c r="M5479" s="1543"/>
      <c r="N5479" s="1566"/>
    </row>
    <row r="5480" spans="1:14">
      <c r="A5480" s="1519" t="s">
        <v>2219</v>
      </c>
      <c r="B5480" s="1517"/>
      <c r="C5480" s="1517"/>
      <c r="D5480" s="1551"/>
      <c r="E5480" s="1551"/>
      <c r="F5480" s="1551"/>
      <c r="G5480" s="1552"/>
      <c r="H5480" s="325">
        <f>SUM(H5475:H5476)</f>
        <v>5</v>
      </c>
      <c r="I5480" s="1543"/>
      <c r="J5480" s="1543"/>
      <c r="K5480" s="1543"/>
      <c r="L5480" s="1543"/>
      <c r="M5480" s="1543"/>
      <c r="N5480" s="1566"/>
    </row>
    <row r="5481" spans="1:14" ht="15.75" thickBot="1">
      <c r="A5481" s="1520" t="s">
        <v>2220</v>
      </c>
      <c r="B5481" s="1521"/>
      <c r="C5481" s="1521"/>
      <c r="D5481" s="1521"/>
      <c r="E5481" s="1521"/>
      <c r="F5481" s="1521"/>
      <c r="G5481" s="1522"/>
      <c r="H5481" s="216">
        <f>H5479-H5480</f>
        <v>5</v>
      </c>
      <c r="I5481" s="1568"/>
      <c r="J5481" s="1568"/>
      <c r="K5481" s="1568"/>
      <c r="L5481" s="1568"/>
      <c r="M5481" s="1568"/>
      <c r="N5481" s="1569"/>
    </row>
    <row r="5482" spans="1:14">
      <c r="A5482" s="278"/>
      <c r="B5482" s="278"/>
      <c r="C5482" s="278"/>
      <c r="D5482" s="281"/>
      <c r="E5482" s="1319"/>
      <c r="F5482" s="278"/>
      <c r="G5482" s="278"/>
      <c r="H5482" s="217"/>
      <c r="I5482" s="279"/>
      <c r="J5482" s="279"/>
      <c r="K5482" s="279"/>
      <c r="L5482" s="279"/>
      <c r="M5482" s="279"/>
      <c r="N5482" s="279"/>
    </row>
    <row r="5483" spans="1:14" ht="28.15" customHeight="1">
      <c r="A5483" s="211" t="str">
        <f>'27ª MEDIÇÃO '!A367</f>
        <v>'150216</v>
      </c>
      <c r="B5483" s="1584" t="s">
        <v>1385</v>
      </c>
      <c r="C5483" s="1585"/>
      <c r="D5483" s="1585"/>
      <c r="E5483" s="1585"/>
      <c r="F5483" s="1585"/>
      <c r="G5483" s="1585"/>
      <c r="H5483" s="1585"/>
      <c r="I5483" s="1585"/>
      <c r="J5483" s="1586"/>
      <c r="K5483" s="874" t="s">
        <v>2329</v>
      </c>
      <c r="L5483" s="1587">
        <v>7</v>
      </c>
      <c r="M5483" s="1588"/>
      <c r="N5483" s="865">
        <f>L5483-H5490</f>
        <v>0</v>
      </c>
    </row>
    <row r="5484" spans="1:14">
      <c r="A5484" s="1541"/>
      <c r="B5484" s="1541"/>
      <c r="C5484" s="366"/>
      <c r="D5484" s="367" t="s">
        <v>2183</v>
      </c>
      <c r="E5484" s="1320" t="s">
        <v>2184</v>
      </c>
      <c r="F5484" s="367" t="s">
        <v>2185</v>
      </c>
      <c r="G5484" s="367" t="s">
        <v>2186</v>
      </c>
      <c r="H5484" s="1542" t="s">
        <v>476</v>
      </c>
      <c r="I5484" s="1543"/>
      <c r="J5484" s="1543"/>
      <c r="K5484" s="1543"/>
      <c r="L5484" s="1543"/>
      <c r="M5484" s="1543"/>
      <c r="N5484" s="1543"/>
    </row>
    <row r="5485" spans="1:14" ht="24">
      <c r="A5485" s="1541"/>
      <c r="B5485" s="1541"/>
      <c r="C5485" s="368" t="s">
        <v>2627</v>
      </c>
      <c r="D5485" s="369" t="s">
        <v>2187</v>
      </c>
      <c r="E5485" s="529" t="s">
        <v>3152</v>
      </c>
      <c r="F5485" s="369" t="s">
        <v>2649</v>
      </c>
      <c r="G5485" s="370" t="s">
        <v>2709</v>
      </c>
      <c r="H5485" s="1542"/>
      <c r="I5485" s="1543"/>
      <c r="J5485" s="1543"/>
      <c r="K5485" s="1543"/>
      <c r="L5485" s="1543"/>
      <c r="M5485" s="1543"/>
      <c r="N5485" s="1543"/>
    </row>
    <row r="5486" spans="1:14">
      <c r="A5486" s="1544" t="s">
        <v>3465</v>
      </c>
      <c r="B5486" s="429" t="s">
        <v>3487</v>
      </c>
      <c r="C5486" s="756">
        <v>7</v>
      </c>
      <c r="D5486" s="202"/>
      <c r="E5486" s="346">
        <v>0.5</v>
      </c>
      <c r="F5486" s="346"/>
      <c r="G5486" s="346"/>
      <c r="H5486" s="943">
        <f>E5486*C5486</f>
        <v>3.5</v>
      </c>
      <c r="I5486" s="1567"/>
      <c r="J5486" s="1543"/>
      <c r="K5486" s="1543"/>
      <c r="L5486" s="1543"/>
      <c r="M5486" s="1543"/>
      <c r="N5486" s="1543"/>
    </row>
    <row r="5487" spans="1:14" ht="14.45" customHeight="1">
      <c r="A5487" s="1544"/>
      <c r="B5487" s="753"/>
      <c r="C5487" s="757"/>
      <c r="D5487" s="294"/>
      <c r="E5487" s="348"/>
      <c r="F5487" s="348"/>
      <c r="G5487" s="348"/>
      <c r="H5487" s="349"/>
      <c r="I5487" s="1567"/>
      <c r="J5487" s="1543"/>
      <c r="K5487" s="1543"/>
      <c r="L5487" s="1543"/>
      <c r="M5487" s="1543"/>
      <c r="N5487" s="1543"/>
    </row>
    <row r="5488" spans="1:14">
      <c r="A5488" s="1544" t="s">
        <v>3521</v>
      </c>
      <c r="B5488" s="429" t="s">
        <v>3487</v>
      </c>
      <c r="C5488" s="756">
        <v>7</v>
      </c>
      <c r="D5488" s="202"/>
      <c r="E5488" s="346">
        <v>0.5</v>
      </c>
      <c r="F5488" s="346"/>
      <c r="G5488" s="346"/>
      <c r="H5488" s="943">
        <f>E5488*C5488</f>
        <v>3.5</v>
      </c>
      <c r="I5488" s="1567"/>
      <c r="J5488" s="1543"/>
      <c r="K5488" s="1543"/>
      <c r="L5488" s="1543"/>
      <c r="M5488" s="1543"/>
      <c r="N5488" s="1543"/>
    </row>
    <row r="5489" spans="1:14" ht="14.45" customHeight="1">
      <c r="A5489" s="1544"/>
      <c r="B5489" s="753"/>
      <c r="C5489" s="757"/>
      <c r="D5489" s="294"/>
      <c r="E5489" s="348"/>
      <c r="F5489" s="348"/>
      <c r="G5489" s="348"/>
      <c r="H5489" s="349"/>
      <c r="I5489" s="1567"/>
      <c r="J5489" s="1543"/>
      <c r="K5489" s="1543"/>
      <c r="L5489" s="1543"/>
      <c r="M5489" s="1543"/>
      <c r="N5489" s="1543"/>
    </row>
    <row r="5490" spans="1:14">
      <c r="A5490" s="1538" t="s">
        <v>2218</v>
      </c>
      <c r="B5490" s="1538"/>
      <c r="C5490" s="1538"/>
      <c r="D5490" s="1538"/>
      <c r="E5490" s="1538"/>
      <c r="F5490" s="1538"/>
      <c r="G5490" s="1538"/>
      <c r="H5490" s="271">
        <f>SUM(H5486:H5489)</f>
        <v>7</v>
      </c>
      <c r="I5490" s="1567"/>
      <c r="J5490" s="1543"/>
      <c r="K5490" s="1543"/>
      <c r="L5490" s="1543"/>
      <c r="M5490" s="1543"/>
      <c r="N5490" s="1543"/>
    </row>
    <row r="5491" spans="1:14">
      <c r="A5491" s="1516" t="s">
        <v>2219</v>
      </c>
      <c r="B5491" s="1517"/>
      <c r="C5491" s="1517"/>
      <c r="D5491" s="1551"/>
      <c r="E5491" s="1551"/>
      <c r="F5491" s="1551"/>
      <c r="G5491" s="1552"/>
      <c r="H5491" s="325">
        <f>SUM(H5486:H5487)</f>
        <v>3.5</v>
      </c>
      <c r="I5491" s="1543"/>
      <c r="J5491" s="1543"/>
      <c r="K5491" s="1543"/>
      <c r="L5491" s="1543"/>
      <c r="M5491" s="1543"/>
      <c r="N5491" s="1543"/>
    </row>
    <row r="5492" spans="1:14">
      <c r="A5492" s="1516" t="s">
        <v>2220</v>
      </c>
      <c r="B5492" s="1517"/>
      <c r="C5492" s="1517"/>
      <c r="D5492" s="1517"/>
      <c r="E5492" s="1517"/>
      <c r="F5492" s="1517"/>
      <c r="G5492" s="1518"/>
      <c r="H5492" s="875">
        <f>H5490-H5491</f>
        <v>3.5</v>
      </c>
      <c r="I5492" s="1543"/>
      <c r="J5492" s="1543"/>
      <c r="K5492" s="1543"/>
      <c r="L5492" s="1543"/>
      <c r="M5492" s="1543"/>
      <c r="N5492" s="1543"/>
    </row>
    <row r="5493" spans="1:14" ht="15.75" thickBot="1">
      <c r="A5493" s="278"/>
      <c r="B5493" s="278"/>
      <c r="C5493" s="278"/>
      <c r="D5493" s="281"/>
      <c r="E5493" s="1319"/>
      <c r="F5493" s="278"/>
      <c r="G5493" s="278"/>
      <c r="H5493" s="217"/>
      <c r="I5493" s="279"/>
      <c r="J5493" s="279"/>
      <c r="K5493" s="279"/>
      <c r="L5493" s="279"/>
      <c r="M5493" s="279"/>
      <c r="N5493" s="279"/>
    </row>
    <row r="5494" spans="1:14" ht="28.15" customHeight="1">
      <c r="A5494" s="1121" t="str">
        <f>'27ª MEDIÇÃO '!A368</f>
        <v>'150217</v>
      </c>
      <c r="B5494" s="1494" t="s">
        <v>1388</v>
      </c>
      <c r="C5494" s="1495"/>
      <c r="D5494" s="1495"/>
      <c r="E5494" s="1495"/>
      <c r="F5494" s="1495"/>
      <c r="G5494" s="1495"/>
      <c r="H5494" s="1495"/>
      <c r="I5494" s="1495"/>
      <c r="J5494" s="1496"/>
      <c r="K5494" s="196" t="s">
        <v>2329</v>
      </c>
      <c r="L5494" s="1497">
        <v>8</v>
      </c>
      <c r="M5494" s="1498"/>
      <c r="N5494" s="197">
        <f>L5494-H5499</f>
        <v>0</v>
      </c>
    </row>
    <row r="5495" spans="1:14">
      <c r="A5495" s="1554"/>
      <c r="B5495" s="1541"/>
      <c r="C5495" s="366"/>
      <c r="D5495" s="367" t="s">
        <v>2183</v>
      </c>
      <c r="E5495" s="1320" t="s">
        <v>2184</v>
      </c>
      <c r="F5495" s="367" t="s">
        <v>2185</v>
      </c>
      <c r="G5495" s="367" t="s">
        <v>2186</v>
      </c>
      <c r="H5495" s="1542" t="s">
        <v>476</v>
      </c>
      <c r="I5495" s="1543"/>
      <c r="J5495" s="1543"/>
      <c r="K5495" s="1543"/>
      <c r="L5495" s="1543"/>
      <c r="M5495" s="1543"/>
      <c r="N5495" s="1566"/>
    </row>
    <row r="5496" spans="1:14" ht="24">
      <c r="A5496" s="1554"/>
      <c r="B5496" s="1541"/>
      <c r="C5496" s="368" t="s">
        <v>2627</v>
      </c>
      <c r="D5496" s="369" t="s">
        <v>2187</v>
      </c>
      <c r="E5496" s="529" t="s">
        <v>3152</v>
      </c>
      <c r="F5496" s="369" t="s">
        <v>2649</v>
      </c>
      <c r="G5496" s="370" t="s">
        <v>2709</v>
      </c>
      <c r="H5496" s="1542"/>
      <c r="I5496" s="1543"/>
      <c r="J5496" s="1543"/>
      <c r="K5496" s="1543"/>
      <c r="L5496" s="1543"/>
      <c r="M5496" s="1543"/>
      <c r="N5496" s="1566"/>
    </row>
    <row r="5497" spans="1:14">
      <c r="A5497" s="1642" t="s">
        <v>3158</v>
      </c>
      <c r="B5497" s="429" t="s">
        <v>3197</v>
      </c>
      <c r="C5497" s="756">
        <v>5</v>
      </c>
      <c r="D5497" s="202"/>
      <c r="E5497" s="346"/>
      <c r="F5497" s="346"/>
      <c r="G5497" s="346"/>
      <c r="H5497" s="403">
        <v>5</v>
      </c>
      <c r="I5497" s="1567"/>
      <c r="J5497" s="1543"/>
      <c r="K5497" s="1543"/>
      <c r="L5497" s="1543"/>
      <c r="M5497" s="1543"/>
      <c r="N5497" s="1566"/>
    </row>
    <row r="5498" spans="1:14" ht="14.45" customHeight="1">
      <c r="A5498" s="1642"/>
      <c r="B5498" s="753" t="s">
        <v>3198</v>
      </c>
      <c r="C5498" s="757">
        <v>3</v>
      </c>
      <c r="D5498" s="294"/>
      <c r="E5498" s="348"/>
      <c r="F5498" s="348"/>
      <c r="G5498" s="348"/>
      <c r="H5498" s="349">
        <v>3</v>
      </c>
      <c r="I5498" s="1567"/>
      <c r="J5498" s="1543"/>
      <c r="K5498" s="1543"/>
      <c r="L5498" s="1543"/>
      <c r="M5498" s="1543"/>
      <c r="N5498" s="1566"/>
    </row>
    <row r="5499" spans="1:14">
      <c r="A5499" s="1578" t="s">
        <v>2218</v>
      </c>
      <c r="B5499" s="1538"/>
      <c r="C5499" s="1538"/>
      <c r="D5499" s="1538"/>
      <c r="E5499" s="1538"/>
      <c r="F5499" s="1538"/>
      <c r="G5499" s="1538"/>
      <c r="H5499" s="271">
        <f>SUM(H5497:H5498)</f>
        <v>8</v>
      </c>
      <c r="I5499" s="1567"/>
      <c r="J5499" s="1543"/>
      <c r="K5499" s="1543"/>
      <c r="L5499" s="1543"/>
      <c r="M5499" s="1543"/>
      <c r="N5499" s="1566"/>
    </row>
    <row r="5500" spans="1:14" ht="14.45" customHeight="1">
      <c r="A5500" s="1519" t="s">
        <v>2219</v>
      </c>
      <c r="B5500" s="1517"/>
      <c r="C5500" s="1517"/>
      <c r="D5500" s="1551"/>
      <c r="E5500" s="1551"/>
      <c r="F5500" s="1551"/>
      <c r="G5500" s="1552"/>
      <c r="H5500" s="325">
        <v>0</v>
      </c>
      <c r="I5500" s="1543"/>
      <c r="J5500" s="1543"/>
      <c r="K5500" s="1543"/>
      <c r="L5500" s="1543"/>
      <c r="M5500" s="1543"/>
      <c r="N5500" s="1566"/>
    </row>
    <row r="5501" spans="1:14" ht="15.75" thickBot="1">
      <c r="A5501" s="1520" t="s">
        <v>2220</v>
      </c>
      <c r="B5501" s="1521"/>
      <c r="C5501" s="1521"/>
      <c r="D5501" s="1521"/>
      <c r="E5501" s="1521"/>
      <c r="F5501" s="1521"/>
      <c r="G5501" s="1522"/>
      <c r="H5501" s="216">
        <f>H5499-H5500</f>
        <v>8</v>
      </c>
      <c r="I5501" s="1568"/>
      <c r="J5501" s="1568"/>
      <c r="K5501" s="1568"/>
      <c r="L5501" s="1568"/>
      <c r="M5501" s="1568"/>
      <c r="N5501" s="1569"/>
    </row>
    <row r="5502" spans="1:14" ht="15.75" thickBot="1"/>
    <row r="5503" spans="1:14">
      <c r="A5503" s="1122" t="s">
        <v>3489</v>
      </c>
      <c r="B5503" s="1494" t="s">
        <v>1391</v>
      </c>
      <c r="C5503" s="1495"/>
      <c r="D5503" s="1495"/>
      <c r="E5503" s="1495"/>
      <c r="F5503" s="1495"/>
      <c r="G5503" s="1495"/>
      <c r="H5503" s="1495"/>
      <c r="I5503" s="1495"/>
      <c r="J5503" s="1496"/>
      <c r="K5503" s="196" t="s">
        <v>2329</v>
      </c>
      <c r="L5503" s="1497">
        <f>'27ª MEDIÇÃO '!F369</f>
        <v>10</v>
      </c>
      <c r="M5503" s="1498"/>
      <c r="N5503" s="197">
        <f>L5503-H5510</f>
        <v>0</v>
      </c>
    </row>
    <row r="5504" spans="1:14">
      <c r="A5504" s="1554"/>
      <c r="B5504" s="1541"/>
      <c r="C5504" s="366"/>
      <c r="D5504" s="367" t="s">
        <v>2183</v>
      </c>
      <c r="E5504" s="1320" t="s">
        <v>2184</v>
      </c>
      <c r="F5504" s="367" t="s">
        <v>2185</v>
      </c>
      <c r="G5504" s="367" t="s">
        <v>2186</v>
      </c>
      <c r="H5504" s="1542" t="s">
        <v>476</v>
      </c>
      <c r="I5504" s="1543"/>
      <c r="J5504" s="1543"/>
      <c r="K5504" s="1543"/>
      <c r="L5504" s="1543"/>
      <c r="M5504" s="1543"/>
      <c r="N5504" s="1566"/>
    </row>
    <row r="5505" spans="1:14" ht="14.45" customHeight="1">
      <c r="A5505" s="1554"/>
      <c r="B5505" s="1541"/>
      <c r="C5505" s="368" t="s">
        <v>2627</v>
      </c>
      <c r="D5505" s="369" t="s">
        <v>2187</v>
      </c>
      <c r="E5505" s="529" t="s">
        <v>3152</v>
      </c>
      <c r="F5505" s="369" t="s">
        <v>2649</v>
      </c>
      <c r="G5505" s="370" t="s">
        <v>2709</v>
      </c>
      <c r="H5505" s="1542"/>
      <c r="I5505" s="1543"/>
      <c r="J5505" s="1543"/>
      <c r="K5505" s="1543"/>
      <c r="L5505" s="1543"/>
      <c r="M5505" s="1543"/>
      <c r="N5505" s="1566"/>
    </row>
    <row r="5506" spans="1:14">
      <c r="A5506" s="1642" t="s">
        <v>3465</v>
      </c>
      <c r="B5506" s="429" t="s">
        <v>3197</v>
      </c>
      <c r="C5506" s="756">
        <v>5</v>
      </c>
      <c r="D5506" s="202"/>
      <c r="E5506" s="346">
        <v>0.5</v>
      </c>
      <c r="F5506" s="346"/>
      <c r="G5506" s="346"/>
      <c r="H5506" s="943">
        <f>E5506*C5506</f>
        <v>2.5</v>
      </c>
      <c r="I5506" s="1567"/>
      <c r="J5506" s="1543"/>
      <c r="K5506" s="1543"/>
      <c r="L5506" s="1543"/>
      <c r="M5506" s="1543"/>
      <c r="N5506" s="1566"/>
    </row>
    <row r="5507" spans="1:14">
      <c r="A5507" s="1642"/>
      <c r="B5507" s="753" t="s">
        <v>3198</v>
      </c>
      <c r="C5507" s="757">
        <v>5</v>
      </c>
      <c r="D5507" s="294"/>
      <c r="E5507" s="348">
        <v>0.5</v>
      </c>
      <c r="F5507" s="348"/>
      <c r="G5507" s="348"/>
      <c r="H5507" s="943">
        <f>E5507*C5507</f>
        <v>2.5</v>
      </c>
      <c r="I5507" s="1567"/>
      <c r="J5507" s="1543"/>
      <c r="K5507" s="1543"/>
      <c r="L5507" s="1543"/>
      <c r="M5507" s="1543"/>
      <c r="N5507" s="1566"/>
    </row>
    <row r="5508" spans="1:14">
      <c r="A5508" s="1642" t="s">
        <v>3521</v>
      </c>
      <c r="B5508" s="429" t="s">
        <v>3197</v>
      </c>
      <c r="C5508" s="756">
        <v>5</v>
      </c>
      <c r="D5508" s="202"/>
      <c r="E5508" s="346">
        <v>0.5</v>
      </c>
      <c r="F5508" s="346"/>
      <c r="G5508" s="346"/>
      <c r="H5508" s="943">
        <f>E5508*C5508</f>
        <v>2.5</v>
      </c>
      <c r="I5508" s="1567"/>
      <c r="J5508" s="1543"/>
      <c r="K5508" s="1543"/>
      <c r="L5508" s="1543"/>
      <c r="M5508" s="1543"/>
      <c r="N5508" s="1566"/>
    </row>
    <row r="5509" spans="1:14">
      <c r="A5509" s="1642"/>
      <c r="B5509" s="753" t="s">
        <v>3198</v>
      </c>
      <c r="C5509" s="757">
        <v>5</v>
      </c>
      <c r="D5509" s="294"/>
      <c r="E5509" s="348">
        <v>0.5</v>
      </c>
      <c r="F5509" s="348"/>
      <c r="G5509" s="348"/>
      <c r="H5509" s="943">
        <f>E5509*C5509</f>
        <v>2.5</v>
      </c>
      <c r="I5509" s="1567"/>
      <c r="J5509" s="1543"/>
      <c r="K5509" s="1543"/>
      <c r="L5509" s="1543"/>
      <c r="M5509" s="1543"/>
      <c r="N5509" s="1566"/>
    </row>
    <row r="5510" spans="1:14">
      <c r="A5510" s="1578" t="s">
        <v>2218</v>
      </c>
      <c r="B5510" s="1538"/>
      <c r="C5510" s="1538"/>
      <c r="D5510" s="1538"/>
      <c r="E5510" s="1538"/>
      <c r="F5510" s="1538"/>
      <c r="G5510" s="1538"/>
      <c r="H5510" s="271">
        <f>SUM(H5506:H5509)</f>
        <v>10</v>
      </c>
      <c r="I5510" s="1567"/>
      <c r="J5510" s="1543"/>
      <c r="K5510" s="1543"/>
      <c r="L5510" s="1543"/>
      <c r="M5510" s="1543"/>
      <c r="N5510" s="1566"/>
    </row>
    <row r="5511" spans="1:14">
      <c r="A5511" s="1519" t="s">
        <v>2219</v>
      </c>
      <c r="B5511" s="1517"/>
      <c r="C5511" s="1517"/>
      <c r="D5511" s="1551"/>
      <c r="E5511" s="1551"/>
      <c r="F5511" s="1551"/>
      <c r="G5511" s="1552"/>
      <c r="H5511" s="325">
        <f>SUM(H5506:H5507)</f>
        <v>5</v>
      </c>
      <c r="I5511" s="1543"/>
      <c r="J5511" s="1543"/>
      <c r="K5511" s="1543"/>
      <c r="L5511" s="1543"/>
      <c r="M5511" s="1543"/>
      <c r="N5511" s="1566"/>
    </row>
    <row r="5512" spans="1:14" ht="15.75" thickBot="1">
      <c r="A5512" s="1520" t="s">
        <v>2220</v>
      </c>
      <c r="B5512" s="1521"/>
      <c r="C5512" s="1521"/>
      <c r="D5512" s="1521"/>
      <c r="E5512" s="1521"/>
      <c r="F5512" s="1521"/>
      <c r="G5512" s="1522"/>
      <c r="H5512" s="216">
        <f>H5510-H5511</f>
        <v>5</v>
      </c>
      <c r="I5512" s="1568"/>
      <c r="J5512" s="1568"/>
      <c r="K5512" s="1568"/>
      <c r="L5512" s="1568"/>
      <c r="M5512" s="1568"/>
      <c r="N5512" s="1569"/>
    </row>
    <row r="5513" spans="1:14" ht="15.75" thickBot="1"/>
    <row r="5514" spans="1:14">
      <c r="A5514" s="1121" t="s">
        <v>1392</v>
      </c>
      <c r="B5514" s="1494" t="s">
        <v>1394</v>
      </c>
      <c r="C5514" s="1495"/>
      <c r="D5514" s="1495"/>
      <c r="E5514" s="1495"/>
      <c r="F5514" s="1495"/>
      <c r="G5514" s="1495"/>
      <c r="H5514" s="1495"/>
      <c r="I5514" s="1495"/>
      <c r="J5514" s="1496"/>
      <c r="K5514" s="196" t="s">
        <v>28</v>
      </c>
      <c r="L5514" s="1497">
        <v>37</v>
      </c>
      <c r="M5514" s="1498"/>
      <c r="N5514" s="197">
        <f>L5514-H5521</f>
        <v>0</v>
      </c>
    </row>
    <row r="5515" spans="1:14">
      <c r="A5515" s="1554"/>
      <c r="B5515" s="1541"/>
      <c r="C5515" s="366"/>
      <c r="D5515" s="367" t="s">
        <v>2183</v>
      </c>
      <c r="E5515" s="1320" t="s">
        <v>2184</v>
      </c>
      <c r="F5515" s="367" t="s">
        <v>2185</v>
      </c>
      <c r="G5515" s="367" t="s">
        <v>2186</v>
      </c>
      <c r="H5515" s="1542" t="s">
        <v>476</v>
      </c>
      <c r="I5515" s="1543"/>
      <c r="J5515" s="1543"/>
      <c r="K5515" s="1543"/>
      <c r="L5515" s="1543"/>
      <c r="M5515" s="1543"/>
      <c r="N5515" s="1566"/>
    </row>
    <row r="5516" spans="1:14" ht="14.45" customHeight="1">
      <c r="A5516" s="1554"/>
      <c r="B5516" s="1541"/>
      <c r="C5516" s="368" t="s">
        <v>2627</v>
      </c>
      <c r="D5516" s="369" t="s">
        <v>2187</v>
      </c>
      <c r="E5516" s="529" t="s">
        <v>3152</v>
      </c>
      <c r="F5516" s="369" t="s">
        <v>2649</v>
      </c>
      <c r="G5516" s="370" t="s">
        <v>2709</v>
      </c>
      <c r="H5516" s="1542"/>
      <c r="I5516" s="1543"/>
      <c r="J5516" s="1543"/>
      <c r="K5516" s="1543"/>
      <c r="L5516" s="1543"/>
      <c r="M5516" s="1543"/>
      <c r="N5516" s="1566"/>
    </row>
    <row r="5517" spans="1:14">
      <c r="A5517" s="1642" t="s">
        <v>3158</v>
      </c>
      <c r="B5517" s="429"/>
      <c r="C5517" s="756"/>
      <c r="D5517" s="202"/>
      <c r="E5517" s="346"/>
      <c r="F5517" s="346"/>
      <c r="G5517" s="346"/>
      <c r="H5517" s="403"/>
      <c r="I5517" s="1567"/>
      <c r="J5517" s="1543"/>
      <c r="K5517" s="1543"/>
      <c r="L5517" s="1543"/>
      <c r="M5517" s="1543"/>
      <c r="N5517" s="1566"/>
    </row>
    <row r="5518" spans="1:14">
      <c r="A5518" s="1642"/>
      <c r="B5518" s="753" t="s">
        <v>3199</v>
      </c>
      <c r="C5518" s="757">
        <v>37</v>
      </c>
      <c r="D5518" s="294"/>
      <c r="E5518" s="348"/>
      <c r="F5518" s="348"/>
      <c r="G5518" s="348"/>
      <c r="H5518" s="349">
        <v>18</v>
      </c>
      <c r="I5518" s="1567"/>
      <c r="J5518" s="1543"/>
      <c r="K5518" s="1543"/>
      <c r="L5518" s="1543"/>
      <c r="M5518" s="1543"/>
      <c r="N5518" s="1566"/>
    </row>
    <row r="5519" spans="1:14">
      <c r="A5519" s="1642" t="s">
        <v>3465</v>
      </c>
      <c r="B5519" s="429"/>
      <c r="C5519" s="756"/>
      <c r="D5519" s="202"/>
      <c r="E5519" s="346"/>
      <c r="F5519" s="346"/>
      <c r="G5519" s="346"/>
      <c r="H5519" s="403"/>
      <c r="I5519" s="1567"/>
      <c r="J5519" s="1543"/>
      <c r="K5519" s="1543"/>
      <c r="L5519" s="1543"/>
      <c r="M5519" s="1543"/>
      <c r="N5519" s="1566"/>
    </row>
    <row r="5520" spans="1:14" ht="14.45" customHeight="1">
      <c r="A5520" s="1642"/>
      <c r="B5520" s="753" t="s">
        <v>3199</v>
      </c>
      <c r="C5520" s="757">
        <v>37</v>
      </c>
      <c r="D5520" s="294"/>
      <c r="E5520" s="348"/>
      <c r="F5520" s="348"/>
      <c r="G5520" s="348"/>
      <c r="H5520" s="349">
        <v>19</v>
      </c>
      <c r="I5520" s="1567"/>
      <c r="J5520" s="1543"/>
      <c r="K5520" s="1543"/>
      <c r="L5520" s="1543"/>
      <c r="M5520" s="1543"/>
      <c r="N5520" s="1566"/>
    </row>
    <row r="5521" spans="1:14">
      <c r="A5521" s="1578" t="s">
        <v>2218</v>
      </c>
      <c r="B5521" s="1538"/>
      <c r="C5521" s="1538"/>
      <c r="D5521" s="1538"/>
      <c r="E5521" s="1538"/>
      <c r="F5521" s="1538"/>
      <c r="G5521" s="1538"/>
      <c r="H5521" s="271">
        <f>SUM(H5517:H5520)</f>
        <v>37</v>
      </c>
      <c r="I5521" s="1567"/>
      <c r="J5521" s="1543"/>
      <c r="K5521" s="1543"/>
      <c r="L5521" s="1543"/>
      <c r="M5521" s="1543"/>
      <c r="N5521" s="1566"/>
    </row>
    <row r="5522" spans="1:14">
      <c r="A5522" s="1519" t="s">
        <v>2219</v>
      </c>
      <c r="B5522" s="1517"/>
      <c r="C5522" s="1517"/>
      <c r="D5522" s="1551"/>
      <c r="E5522" s="1551"/>
      <c r="F5522" s="1551"/>
      <c r="G5522" s="1552"/>
      <c r="H5522" s="325">
        <f>SUM(H5517:H5518)</f>
        <v>18</v>
      </c>
      <c r="I5522" s="1543"/>
      <c r="J5522" s="1543"/>
      <c r="K5522" s="1543"/>
      <c r="L5522" s="1543"/>
      <c r="M5522" s="1543"/>
      <c r="N5522" s="1566"/>
    </row>
    <row r="5523" spans="1:14" ht="15.75" thickBot="1">
      <c r="A5523" s="1520" t="s">
        <v>2220</v>
      </c>
      <c r="B5523" s="1521"/>
      <c r="C5523" s="1521"/>
      <c r="D5523" s="1521"/>
      <c r="E5523" s="1521"/>
      <c r="F5523" s="1521"/>
      <c r="G5523" s="1522"/>
      <c r="H5523" s="216">
        <f>H5521-H5522</f>
        <v>19</v>
      </c>
      <c r="I5523" s="1568"/>
      <c r="J5523" s="1568"/>
      <c r="K5523" s="1568"/>
      <c r="L5523" s="1568"/>
      <c r="M5523" s="1568"/>
      <c r="N5523" s="1569"/>
    </row>
    <row r="5524" spans="1:14" ht="15.75" thickBot="1"/>
    <row r="5525" spans="1:14">
      <c r="A5525" s="1121" t="s">
        <v>1395</v>
      </c>
      <c r="B5525" s="1494" t="s">
        <v>1397</v>
      </c>
      <c r="C5525" s="1495"/>
      <c r="D5525" s="1495"/>
      <c r="E5525" s="1495"/>
      <c r="F5525" s="1495"/>
      <c r="G5525" s="1495"/>
      <c r="H5525" s="1495"/>
      <c r="I5525" s="1495"/>
      <c r="J5525" s="1496"/>
      <c r="K5525" s="196" t="s">
        <v>28</v>
      </c>
      <c r="L5525" s="1497">
        <v>14</v>
      </c>
      <c r="M5525" s="1498"/>
      <c r="N5525" s="197">
        <f>L5525-H5532</f>
        <v>0</v>
      </c>
    </row>
    <row r="5526" spans="1:14">
      <c r="A5526" s="1554"/>
      <c r="B5526" s="1541"/>
      <c r="C5526" s="366"/>
      <c r="D5526" s="367" t="s">
        <v>2183</v>
      </c>
      <c r="E5526" s="1320" t="s">
        <v>2184</v>
      </c>
      <c r="F5526" s="367" t="s">
        <v>2185</v>
      </c>
      <c r="G5526" s="367" t="s">
        <v>2186</v>
      </c>
      <c r="H5526" s="1542" t="s">
        <v>476</v>
      </c>
      <c r="I5526" s="1543"/>
      <c r="J5526" s="1543"/>
      <c r="K5526" s="1543"/>
      <c r="L5526" s="1543"/>
      <c r="M5526" s="1543"/>
      <c r="N5526" s="1566"/>
    </row>
    <row r="5527" spans="1:14" ht="24">
      <c r="A5527" s="1554"/>
      <c r="B5527" s="1541"/>
      <c r="C5527" s="368" t="s">
        <v>2627</v>
      </c>
      <c r="D5527" s="369" t="s">
        <v>2187</v>
      </c>
      <c r="E5527" s="529" t="s">
        <v>3152</v>
      </c>
      <c r="F5527" s="369" t="s">
        <v>2649</v>
      </c>
      <c r="G5527" s="370" t="s">
        <v>2709</v>
      </c>
      <c r="H5527" s="1542"/>
      <c r="I5527" s="1543"/>
      <c r="J5527" s="1543"/>
      <c r="K5527" s="1543"/>
      <c r="L5527" s="1543"/>
      <c r="M5527" s="1543"/>
      <c r="N5527" s="1566"/>
    </row>
    <row r="5528" spans="1:14">
      <c r="A5528" s="1642" t="s">
        <v>3158</v>
      </c>
      <c r="B5528" s="429" t="s">
        <v>3197</v>
      </c>
      <c r="C5528" s="756">
        <v>9</v>
      </c>
      <c r="D5528" s="202"/>
      <c r="E5528" s="346">
        <v>0.65</v>
      </c>
      <c r="F5528" s="346"/>
      <c r="G5528" s="346"/>
      <c r="H5528" s="380">
        <f>C5528*E5528</f>
        <v>5.8500000000000005</v>
      </c>
      <c r="I5528" s="1567"/>
      <c r="J5528" s="1543"/>
      <c r="K5528" s="1543"/>
      <c r="L5528" s="1543"/>
      <c r="M5528" s="1543"/>
      <c r="N5528" s="1566"/>
    </row>
    <row r="5529" spans="1:14">
      <c r="A5529" s="1642"/>
      <c r="B5529" s="753" t="s">
        <v>3198</v>
      </c>
      <c r="C5529" s="757">
        <v>5</v>
      </c>
      <c r="D5529" s="294"/>
      <c r="E5529" s="348">
        <v>0.83</v>
      </c>
      <c r="F5529" s="348"/>
      <c r="G5529" s="348"/>
      <c r="H5529" s="380">
        <f>C5529*E5529</f>
        <v>4.1499999999999995</v>
      </c>
      <c r="I5529" s="1567"/>
      <c r="J5529" s="1543"/>
      <c r="K5529" s="1543"/>
      <c r="L5529" s="1543"/>
      <c r="M5529" s="1543"/>
      <c r="N5529" s="1566"/>
    </row>
    <row r="5530" spans="1:14" ht="22.9" customHeight="1">
      <c r="A5530" s="1642" t="s">
        <v>3294</v>
      </c>
      <c r="B5530" s="429" t="s">
        <v>3197</v>
      </c>
      <c r="C5530" s="756">
        <v>9</v>
      </c>
      <c r="D5530" s="202"/>
      <c r="E5530" s="346">
        <v>0.35</v>
      </c>
      <c r="F5530" s="346"/>
      <c r="G5530" s="346"/>
      <c r="H5530" s="380">
        <f>C5530*E5530</f>
        <v>3.15</v>
      </c>
      <c r="I5530" s="1567"/>
      <c r="J5530" s="1543"/>
      <c r="K5530" s="1543"/>
      <c r="L5530" s="1543"/>
      <c r="M5530" s="1543"/>
      <c r="N5530" s="1566"/>
    </row>
    <row r="5531" spans="1:14" ht="14.45" customHeight="1">
      <c r="A5531" s="1642"/>
      <c r="B5531" s="753" t="s">
        <v>3198</v>
      </c>
      <c r="C5531" s="757">
        <v>5</v>
      </c>
      <c r="D5531" s="294"/>
      <c r="E5531" s="348">
        <v>0.17</v>
      </c>
      <c r="F5531" s="348"/>
      <c r="G5531" s="348"/>
      <c r="H5531" s="380">
        <f>C5531*E5531</f>
        <v>0.85000000000000009</v>
      </c>
      <c r="I5531" s="1567"/>
      <c r="J5531" s="1543"/>
      <c r="K5531" s="1543"/>
      <c r="L5531" s="1543"/>
      <c r="M5531" s="1543"/>
      <c r="N5531" s="1566"/>
    </row>
    <row r="5532" spans="1:14" ht="14.45" customHeight="1">
      <c r="A5532" s="1578" t="s">
        <v>2218</v>
      </c>
      <c r="B5532" s="1538"/>
      <c r="C5532" s="1538"/>
      <c r="D5532" s="1538"/>
      <c r="E5532" s="1538"/>
      <c r="F5532" s="1538"/>
      <c r="G5532" s="1538"/>
      <c r="H5532" s="271">
        <f>SUM(H5528:H5531)</f>
        <v>14</v>
      </c>
      <c r="I5532" s="1567"/>
      <c r="J5532" s="1543"/>
      <c r="K5532" s="1543"/>
      <c r="L5532" s="1543"/>
      <c r="M5532" s="1543"/>
      <c r="N5532" s="1566"/>
    </row>
    <row r="5533" spans="1:14" ht="28.9" customHeight="1">
      <c r="A5533" s="1519" t="s">
        <v>2219</v>
      </c>
      <c r="B5533" s="1517"/>
      <c r="C5533" s="1517"/>
      <c r="D5533" s="1551"/>
      <c r="E5533" s="1551"/>
      <c r="F5533" s="1551"/>
      <c r="G5533" s="1552"/>
      <c r="H5533" s="325">
        <f>SUM(H5528:H5529)</f>
        <v>10</v>
      </c>
      <c r="I5533" s="1543"/>
      <c r="J5533" s="1543"/>
      <c r="K5533" s="1543"/>
      <c r="L5533" s="1543"/>
      <c r="M5533" s="1543"/>
      <c r="N5533" s="1566"/>
    </row>
    <row r="5534" spans="1:14" ht="15.75" thickBot="1">
      <c r="A5534" s="1520" t="s">
        <v>2220</v>
      </c>
      <c r="B5534" s="1521"/>
      <c r="C5534" s="1521"/>
      <c r="D5534" s="1521"/>
      <c r="E5534" s="1521"/>
      <c r="F5534" s="1521"/>
      <c r="G5534" s="1522"/>
      <c r="H5534" s="216">
        <f>H5532-H5533</f>
        <v>4</v>
      </c>
      <c r="I5534" s="1568"/>
      <c r="J5534" s="1568"/>
      <c r="K5534" s="1568"/>
      <c r="L5534" s="1568"/>
      <c r="M5534" s="1568"/>
      <c r="N5534" s="1569"/>
    </row>
    <row r="5535" spans="1:14" s="324" customFormat="1" ht="15.75" thickBot="1">
      <c r="A5535"/>
      <c r="B5535"/>
      <c r="C5535" s="468"/>
      <c r="D5535" s="468"/>
      <c r="E5535" s="1336"/>
      <c r="F5535" s="468"/>
      <c r="G5535" s="468"/>
      <c r="H5535" s="563"/>
      <c r="I5535"/>
      <c r="J5535"/>
      <c r="K5535"/>
      <c r="L5535"/>
      <c r="M5535"/>
      <c r="N5535"/>
    </row>
    <row r="5536" spans="1:14">
      <c r="A5536" s="1121" t="s">
        <v>1398</v>
      </c>
      <c r="B5536" s="1643" t="s">
        <v>1400</v>
      </c>
      <c r="C5536" s="1644"/>
      <c r="D5536" s="1644"/>
      <c r="E5536" s="1644"/>
      <c r="F5536" s="1644"/>
      <c r="G5536" s="1644"/>
      <c r="H5536" s="1644"/>
      <c r="I5536" s="1644"/>
      <c r="J5536" s="1645"/>
      <c r="K5536" s="871" t="s">
        <v>28</v>
      </c>
      <c r="L5536" s="1646">
        <v>7</v>
      </c>
      <c r="M5536" s="1647"/>
      <c r="N5536" s="872">
        <f>L5536-H5543</f>
        <v>0</v>
      </c>
    </row>
    <row r="5537" spans="1:14" s="324" customFormat="1">
      <c r="A5537" s="1554"/>
      <c r="B5537" s="1541"/>
      <c r="C5537" s="366"/>
      <c r="D5537" s="367" t="s">
        <v>2183</v>
      </c>
      <c r="E5537" s="1320" t="s">
        <v>2184</v>
      </c>
      <c r="F5537" s="367" t="s">
        <v>2185</v>
      </c>
      <c r="G5537" s="367" t="s">
        <v>2186</v>
      </c>
      <c r="H5537" s="1542" t="s">
        <v>476</v>
      </c>
      <c r="I5537" s="1543"/>
      <c r="J5537" s="1543"/>
      <c r="K5537" s="1543"/>
      <c r="L5537" s="1543"/>
      <c r="M5537" s="1543"/>
      <c r="N5537" s="1566"/>
    </row>
    <row r="5538" spans="1:14" s="324" customFormat="1" ht="14.45" customHeight="1">
      <c r="A5538" s="1554"/>
      <c r="B5538" s="1541"/>
      <c r="C5538" s="368" t="s">
        <v>2627</v>
      </c>
      <c r="D5538" s="369" t="s">
        <v>2187</v>
      </c>
      <c r="E5538" s="529" t="s">
        <v>3152</v>
      </c>
      <c r="F5538" s="369" t="s">
        <v>2649</v>
      </c>
      <c r="G5538" s="370" t="s">
        <v>2709</v>
      </c>
      <c r="H5538" s="1542"/>
      <c r="I5538" s="1543"/>
      <c r="J5538" s="1543"/>
      <c r="K5538" s="1543"/>
      <c r="L5538" s="1543"/>
      <c r="M5538" s="1543"/>
      <c r="N5538" s="1566"/>
    </row>
    <row r="5539" spans="1:14" s="324" customFormat="1" ht="15" customHeight="1">
      <c r="A5539" s="1642" t="s">
        <v>3158</v>
      </c>
      <c r="B5539" s="429" t="s">
        <v>3197</v>
      </c>
      <c r="C5539" s="756">
        <v>5</v>
      </c>
      <c r="D5539" s="202"/>
      <c r="E5539" s="346"/>
      <c r="F5539" s="346"/>
      <c r="G5539" s="346"/>
      <c r="H5539" s="403">
        <v>2</v>
      </c>
      <c r="I5539" s="1567"/>
      <c r="J5539" s="1543"/>
      <c r="K5539" s="1543"/>
      <c r="L5539" s="1543"/>
      <c r="M5539" s="1543"/>
      <c r="N5539" s="1566"/>
    </row>
    <row r="5540" spans="1:14">
      <c r="A5540" s="1642"/>
      <c r="B5540" s="753" t="s">
        <v>3198</v>
      </c>
      <c r="C5540" s="757">
        <v>2</v>
      </c>
      <c r="D5540" s="294"/>
      <c r="E5540" s="348"/>
      <c r="F5540" s="348"/>
      <c r="G5540" s="348"/>
      <c r="H5540" s="349">
        <v>2</v>
      </c>
      <c r="I5540" s="1567"/>
      <c r="J5540" s="1543"/>
      <c r="K5540" s="1543"/>
      <c r="L5540" s="1543"/>
      <c r="M5540" s="1543"/>
      <c r="N5540" s="1566"/>
    </row>
    <row r="5541" spans="1:14" ht="22.9" customHeight="1">
      <c r="A5541" s="1642" t="s">
        <v>3294</v>
      </c>
      <c r="B5541" s="429" t="s">
        <v>3197</v>
      </c>
      <c r="C5541" s="756">
        <v>5</v>
      </c>
      <c r="D5541" s="202"/>
      <c r="E5541" s="346"/>
      <c r="F5541" s="346"/>
      <c r="G5541" s="346"/>
      <c r="H5541" s="403">
        <v>3</v>
      </c>
      <c r="I5541" s="1567"/>
      <c r="J5541" s="1543"/>
      <c r="K5541" s="1543"/>
      <c r="L5541" s="1543"/>
      <c r="M5541" s="1543"/>
      <c r="N5541" s="1566"/>
    </row>
    <row r="5542" spans="1:14" ht="14.45" customHeight="1">
      <c r="A5542" s="1642"/>
      <c r="B5542" s="753"/>
      <c r="C5542" s="757"/>
      <c r="D5542" s="294"/>
      <c r="E5542" s="348"/>
      <c r="F5542" s="348"/>
      <c r="G5542" s="348"/>
      <c r="H5542" s="349"/>
      <c r="I5542" s="1567"/>
      <c r="J5542" s="1543"/>
      <c r="K5542" s="1543"/>
      <c r="L5542" s="1543"/>
      <c r="M5542" s="1543"/>
      <c r="N5542" s="1566"/>
    </row>
    <row r="5543" spans="1:14">
      <c r="A5543" s="1578" t="s">
        <v>2218</v>
      </c>
      <c r="B5543" s="1538"/>
      <c r="C5543" s="1538"/>
      <c r="D5543" s="1538"/>
      <c r="E5543" s="1538"/>
      <c r="F5543" s="1538"/>
      <c r="G5543" s="1538"/>
      <c r="H5543" s="271">
        <f>SUM(H5539:H5542)</f>
        <v>7</v>
      </c>
      <c r="I5543" s="1567"/>
      <c r="J5543" s="1543"/>
      <c r="K5543" s="1543"/>
      <c r="L5543" s="1543"/>
      <c r="M5543" s="1543"/>
      <c r="N5543" s="1566"/>
    </row>
    <row r="5544" spans="1:14">
      <c r="A5544" s="1519" t="s">
        <v>2219</v>
      </c>
      <c r="B5544" s="1517"/>
      <c r="C5544" s="1517"/>
      <c r="D5544" s="1551"/>
      <c r="E5544" s="1551"/>
      <c r="F5544" s="1551"/>
      <c r="G5544" s="1552"/>
      <c r="H5544" s="325">
        <f>SUM(H5539:H5540)</f>
        <v>4</v>
      </c>
      <c r="I5544" s="1543"/>
      <c r="J5544" s="1543"/>
      <c r="K5544" s="1543"/>
      <c r="L5544" s="1543"/>
      <c r="M5544" s="1543"/>
      <c r="N5544" s="1566"/>
    </row>
    <row r="5545" spans="1:14" ht="15.75" thickBot="1">
      <c r="A5545" s="1520" t="s">
        <v>2220</v>
      </c>
      <c r="B5545" s="1521"/>
      <c r="C5545" s="1521"/>
      <c r="D5545" s="1521"/>
      <c r="E5545" s="1521"/>
      <c r="F5545" s="1521"/>
      <c r="G5545" s="1522"/>
      <c r="H5545" s="216">
        <f>H5543-H5544</f>
        <v>3</v>
      </c>
      <c r="I5545" s="1568"/>
      <c r="J5545" s="1568"/>
      <c r="K5545" s="1568"/>
      <c r="L5545" s="1568"/>
      <c r="M5545" s="1568"/>
      <c r="N5545" s="1569"/>
    </row>
    <row r="5546" spans="1:14" s="324" customFormat="1" ht="15.75" thickBot="1">
      <c r="A5546"/>
      <c r="B5546"/>
      <c r="C5546" s="468"/>
      <c r="D5546" s="468"/>
      <c r="E5546" s="1336"/>
      <c r="F5546" s="468"/>
      <c r="G5546" s="468"/>
      <c r="H5546" s="563"/>
      <c r="I5546"/>
      <c r="J5546"/>
      <c r="K5546"/>
      <c r="L5546"/>
      <c r="M5546"/>
      <c r="N5546"/>
    </row>
    <row r="5547" spans="1:14">
      <c r="A5547" s="1121" t="s">
        <v>1401</v>
      </c>
      <c r="B5547" s="1494" t="s">
        <v>1403</v>
      </c>
      <c r="C5547" s="1495"/>
      <c r="D5547" s="1495"/>
      <c r="E5547" s="1495"/>
      <c r="F5547" s="1495"/>
      <c r="G5547" s="1495"/>
      <c r="H5547" s="1495"/>
      <c r="I5547" s="1495"/>
      <c r="J5547" s="1496"/>
      <c r="K5547" s="196" t="s">
        <v>28</v>
      </c>
      <c r="L5547" s="1497">
        <v>8</v>
      </c>
      <c r="M5547" s="1498"/>
      <c r="N5547" s="197">
        <f>L5547-H5552</f>
        <v>0</v>
      </c>
    </row>
    <row r="5548" spans="1:14" s="324" customFormat="1">
      <c r="A5548" s="1554"/>
      <c r="B5548" s="1541"/>
      <c r="C5548" s="366"/>
      <c r="D5548" s="367" t="s">
        <v>2183</v>
      </c>
      <c r="E5548" s="1320" t="s">
        <v>2184</v>
      </c>
      <c r="F5548" s="367" t="s">
        <v>2185</v>
      </c>
      <c r="G5548" s="367" t="s">
        <v>2186</v>
      </c>
      <c r="H5548" s="1542" t="s">
        <v>476</v>
      </c>
      <c r="I5548" s="1543"/>
      <c r="J5548" s="1543"/>
      <c r="K5548" s="1543"/>
      <c r="L5548" s="1543"/>
      <c r="M5548" s="1543"/>
      <c r="N5548" s="1566"/>
    </row>
    <row r="5549" spans="1:14" s="324" customFormat="1" ht="24">
      <c r="A5549" s="1554"/>
      <c r="B5549" s="1541"/>
      <c r="C5549" s="368" t="s">
        <v>2627</v>
      </c>
      <c r="D5549" s="369" t="s">
        <v>2187</v>
      </c>
      <c r="E5549" s="529" t="s">
        <v>3152</v>
      </c>
      <c r="F5549" s="369" t="s">
        <v>2649</v>
      </c>
      <c r="G5549" s="370" t="s">
        <v>2709</v>
      </c>
      <c r="H5549" s="1542"/>
      <c r="I5549" s="1543"/>
      <c r="J5549" s="1543"/>
      <c r="K5549" s="1543"/>
      <c r="L5549" s="1543"/>
      <c r="M5549" s="1543"/>
      <c r="N5549" s="1566"/>
    </row>
    <row r="5550" spans="1:14" s="324" customFormat="1" ht="14.45" customHeight="1">
      <c r="A5550" s="1642" t="s">
        <v>3521</v>
      </c>
      <c r="B5550" s="429"/>
      <c r="C5550" s="756"/>
      <c r="D5550" s="202"/>
      <c r="E5550" s="346"/>
      <c r="F5550" s="346"/>
      <c r="G5550" s="346"/>
      <c r="H5550" s="403"/>
      <c r="I5550" s="1567"/>
      <c r="J5550" s="1543"/>
      <c r="K5550" s="1543"/>
      <c r="L5550" s="1543"/>
      <c r="M5550" s="1543"/>
      <c r="N5550" s="1566"/>
    </row>
    <row r="5551" spans="1:14">
      <c r="A5551" s="1642"/>
      <c r="B5551" s="753" t="s">
        <v>3199</v>
      </c>
      <c r="C5551" s="757">
        <v>8</v>
      </c>
      <c r="D5551" s="294"/>
      <c r="E5551" s="348"/>
      <c r="F5551" s="348"/>
      <c r="G5551" s="348"/>
      <c r="H5551" s="349">
        <v>8</v>
      </c>
      <c r="I5551" s="1567"/>
      <c r="J5551" s="1543"/>
      <c r="K5551" s="1543"/>
      <c r="L5551" s="1543"/>
      <c r="M5551" s="1543"/>
      <c r="N5551" s="1566"/>
    </row>
    <row r="5552" spans="1:14" ht="15.6" customHeight="1">
      <c r="A5552" s="1578" t="s">
        <v>2218</v>
      </c>
      <c r="B5552" s="1538"/>
      <c r="C5552" s="1538"/>
      <c r="D5552" s="1538"/>
      <c r="E5552" s="1538"/>
      <c r="F5552" s="1538"/>
      <c r="G5552" s="1538"/>
      <c r="H5552" s="271">
        <f>SUM(H5550:H5551)</f>
        <v>8</v>
      </c>
      <c r="I5552" s="1567"/>
      <c r="J5552" s="1543"/>
      <c r="K5552" s="1543"/>
      <c r="L5552" s="1543"/>
      <c r="M5552" s="1543"/>
      <c r="N5552" s="1566"/>
    </row>
    <row r="5553" spans="1:14" ht="14.45" customHeight="1">
      <c r="A5553" s="1519" t="s">
        <v>2219</v>
      </c>
      <c r="B5553" s="1517"/>
      <c r="C5553" s="1517"/>
      <c r="D5553" s="1551"/>
      <c r="E5553" s="1551"/>
      <c r="F5553" s="1551"/>
      <c r="G5553" s="1552"/>
      <c r="H5553" s="325">
        <v>0</v>
      </c>
      <c r="I5553" s="1543"/>
      <c r="J5553" s="1543"/>
      <c r="K5553" s="1543"/>
      <c r="L5553" s="1543"/>
      <c r="M5553" s="1543"/>
      <c r="N5553" s="1566"/>
    </row>
    <row r="5554" spans="1:14" ht="15.75" thickBot="1">
      <c r="A5554" s="1520" t="s">
        <v>2220</v>
      </c>
      <c r="B5554" s="1521"/>
      <c r="C5554" s="1521"/>
      <c r="D5554" s="1521"/>
      <c r="E5554" s="1521"/>
      <c r="F5554" s="1521"/>
      <c r="G5554" s="1522"/>
      <c r="H5554" s="216">
        <f>H5552-H5553</f>
        <v>8</v>
      </c>
      <c r="I5554" s="1568"/>
      <c r="J5554" s="1568"/>
      <c r="K5554" s="1568"/>
      <c r="L5554" s="1568"/>
      <c r="M5554" s="1568"/>
      <c r="N5554" s="1569"/>
    </row>
    <row r="5555" spans="1:14" ht="15.75" thickBot="1"/>
    <row r="5556" spans="1:14">
      <c r="A5556" s="1121" t="s">
        <v>1404</v>
      </c>
      <c r="B5556" s="1494" t="s">
        <v>1406</v>
      </c>
      <c r="C5556" s="1495"/>
      <c r="D5556" s="1495"/>
      <c r="E5556" s="1495"/>
      <c r="F5556" s="1495"/>
      <c r="G5556" s="1495"/>
      <c r="H5556" s="1495"/>
      <c r="I5556" s="1495"/>
      <c r="J5556" s="1496"/>
      <c r="K5556" s="196" t="s">
        <v>28</v>
      </c>
      <c r="L5556" s="1497">
        <v>34</v>
      </c>
      <c r="M5556" s="1498"/>
      <c r="N5556" s="197">
        <f>L5556-H5565</f>
        <v>0</v>
      </c>
    </row>
    <row r="5557" spans="1:14" s="324" customFormat="1">
      <c r="A5557" s="1554"/>
      <c r="B5557" s="1541"/>
      <c r="C5557" s="366"/>
      <c r="D5557" s="367" t="s">
        <v>2183</v>
      </c>
      <c r="E5557" s="1320" t="s">
        <v>2184</v>
      </c>
      <c r="F5557" s="367" t="s">
        <v>2185</v>
      </c>
      <c r="G5557" s="367" t="s">
        <v>2186</v>
      </c>
      <c r="H5557" s="1542" t="s">
        <v>476</v>
      </c>
      <c r="I5557" s="1543"/>
      <c r="J5557" s="1543"/>
      <c r="K5557" s="1543"/>
      <c r="L5557" s="1543"/>
      <c r="M5557" s="1543"/>
      <c r="N5557" s="1566"/>
    </row>
    <row r="5558" spans="1:14" ht="24">
      <c r="A5558" s="1554"/>
      <c r="B5558" s="1541"/>
      <c r="C5558" s="368" t="s">
        <v>2627</v>
      </c>
      <c r="D5558" s="369" t="s">
        <v>2187</v>
      </c>
      <c r="E5558" s="529" t="s">
        <v>3152</v>
      </c>
      <c r="F5558" s="369" t="s">
        <v>2649</v>
      </c>
      <c r="G5558" s="370" t="s">
        <v>2709</v>
      </c>
      <c r="H5558" s="1542"/>
      <c r="I5558" s="1543"/>
      <c r="J5558" s="1543"/>
      <c r="K5558" s="1543"/>
      <c r="L5558" s="1543"/>
      <c r="M5558" s="1543"/>
      <c r="N5558" s="1566"/>
    </row>
    <row r="5559" spans="1:14" s="324" customFormat="1">
      <c r="A5559" s="1535" t="s">
        <v>3158</v>
      </c>
      <c r="B5559" s="429" t="s">
        <v>3199</v>
      </c>
      <c r="C5559" s="751">
        <v>24</v>
      </c>
      <c r="D5559" s="287"/>
      <c r="E5559" s="531"/>
      <c r="F5559" s="287"/>
      <c r="G5559" s="431"/>
      <c r="H5559" s="432"/>
      <c r="I5559" s="1567"/>
      <c r="J5559" s="1543"/>
      <c r="K5559" s="1543"/>
      <c r="L5559" s="1543"/>
      <c r="M5559" s="1543"/>
      <c r="N5559" s="1566"/>
    </row>
    <row r="5560" spans="1:14" s="324" customFormat="1">
      <c r="A5560" s="1529"/>
      <c r="B5560" s="436" t="s">
        <v>3197</v>
      </c>
      <c r="C5560" s="752">
        <v>4</v>
      </c>
      <c r="D5560" s="198"/>
      <c r="E5560" s="341"/>
      <c r="F5560" s="341"/>
      <c r="G5560" s="341"/>
      <c r="H5560" s="347">
        <v>4</v>
      </c>
      <c r="I5560" s="1567"/>
      <c r="J5560" s="1543"/>
      <c r="K5560" s="1543"/>
      <c r="L5560" s="1543"/>
      <c r="M5560" s="1543"/>
      <c r="N5560" s="1566"/>
    </row>
    <row r="5561" spans="1:14" s="324" customFormat="1" ht="14.45" customHeight="1">
      <c r="A5561" s="1545"/>
      <c r="B5561" s="753" t="s">
        <v>3198</v>
      </c>
      <c r="C5561" s="754">
        <v>6</v>
      </c>
      <c r="D5561" s="294"/>
      <c r="E5561" s="348"/>
      <c r="F5561" s="348"/>
      <c r="G5561" s="348"/>
      <c r="H5561" s="349">
        <v>6</v>
      </c>
      <c r="I5561" s="1567"/>
      <c r="J5561" s="1543"/>
      <c r="K5561" s="1543"/>
      <c r="L5561" s="1543"/>
      <c r="M5561" s="1543"/>
      <c r="N5561" s="1566"/>
    </row>
    <row r="5562" spans="1:14">
      <c r="A5562" s="1535" t="s">
        <v>3521</v>
      </c>
      <c r="B5562" s="429" t="s">
        <v>3199</v>
      </c>
      <c r="C5562" s="751">
        <v>24</v>
      </c>
      <c r="D5562" s="287"/>
      <c r="E5562" s="531"/>
      <c r="F5562" s="287"/>
      <c r="G5562" s="431"/>
      <c r="H5562" s="347">
        <v>24</v>
      </c>
      <c r="I5562" s="1567"/>
      <c r="J5562" s="1543"/>
      <c r="K5562" s="1543"/>
      <c r="L5562" s="1543"/>
      <c r="M5562" s="1543"/>
      <c r="N5562" s="1566"/>
    </row>
    <row r="5563" spans="1:14" ht="15.6" customHeight="1">
      <c r="A5563" s="1529"/>
      <c r="B5563" s="436" t="s">
        <v>3197</v>
      </c>
      <c r="C5563" s="752">
        <v>4</v>
      </c>
      <c r="D5563" s="198"/>
      <c r="E5563" s="341"/>
      <c r="F5563" s="341"/>
      <c r="G5563" s="341"/>
      <c r="H5563" s="347"/>
      <c r="I5563" s="1567"/>
      <c r="J5563" s="1543"/>
      <c r="K5563" s="1543"/>
      <c r="L5563" s="1543"/>
      <c r="M5563" s="1543"/>
      <c r="N5563" s="1566"/>
    </row>
    <row r="5564" spans="1:14" ht="14.45" customHeight="1">
      <c r="A5564" s="1545"/>
      <c r="B5564" s="753" t="s">
        <v>3198</v>
      </c>
      <c r="C5564" s="754">
        <v>6</v>
      </c>
      <c r="D5564" s="294"/>
      <c r="E5564" s="348"/>
      <c r="F5564" s="348"/>
      <c r="G5564" s="348"/>
      <c r="H5564" s="349"/>
      <c r="I5564" s="1567"/>
      <c r="J5564" s="1543"/>
      <c r="K5564" s="1543"/>
      <c r="L5564" s="1543"/>
      <c r="M5564" s="1543"/>
      <c r="N5564" s="1566"/>
    </row>
    <row r="5565" spans="1:14">
      <c r="A5565" s="1578" t="s">
        <v>2218</v>
      </c>
      <c r="B5565" s="1538"/>
      <c r="C5565" s="1538"/>
      <c r="D5565" s="1538"/>
      <c r="E5565" s="1538"/>
      <c r="F5565" s="1538"/>
      <c r="G5565" s="1538"/>
      <c r="H5565" s="271">
        <f>SUM(H5560:H5564)</f>
        <v>34</v>
      </c>
      <c r="I5565" s="1567"/>
      <c r="J5565" s="1543"/>
      <c r="K5565" s="1543"/>
      <c r="L5565" s="1543"/>
      <c r="M5565" s="1543"/>
      <c r="N5565" s="1566"/>
    </row>
    <row r="5566" spans="1:14">
      <c r="A5566" s="1519" t="s">
        <v>2219</v>
      </c>
      <c r="B5566" s="1517"/>
      <c r="C5566" s="1517"/>
      <c r="D5566" s="1551"/>
      <c r="E5566" s="1551"/>
      <c r="F5566" s="1551"/>
      <c r="G5566" s="1552"/>
      <c r="H5566" s="325">
        <f>SUM(H5559:H5561)</f>
        <v>10</v>
      </c>
      <c r="I5566" s="1543"/>
      <c r="J5566" s="1543"/>
      <c r="K5566" s="1543"/>
      <c r="L5566" s="1543"/>
      <c r="M5566" s="1543"/>
      <c r="N5566" s="1566"/>
    </row>
    <row r="5567" spans="1:14" ht="15.75" thickBot="1">
      <c r="A5567" s="1520" t="s">
        <v>2220</v>
      </c>
      <c r="B5567" s="1521"/>
      <c r="C5567" s="1521"/>
      <c r="D5567" s="1521"/>
      <c r="E5567" s="1521"/>
      <c r="F5567" s="1521"/>
      <c r="G5567" s="1522"/>
      <c r="H5567" s="216">
        <f>H5565-H5566</f>
        <v>24</v>
      </c>
      <c r="I5567" s="1568"/>
      <c r="J5567" s="1568"/>
      <c r="K5567" s="1568"/>
      <c r="L5567" s="1568"/>
      <c r="M5567" s="1568"/>
      <c r="N5567" s="1569"/>
    </row>
    <row r="5568" spans="1:14" s="324" customFormat="1" ht="15.75" thickBot="1">
      <c r="A5568"/>
      <c r="B5568"/>
      <c r="C5568" s="468"/>
      <c r="D5568" s="468"/>
      <c r="E5568" s="1336"/>
      <c r="F5568" s="468"/>
      <c r="G5568" s="468"/>
      <c r="H5568" s="563"/>
      <c r="I5568"/>
      <c r="J5568"/>
      <c r="K5568"/>
      <c r="L5568"/>
      <c r="M5568"/>
      <c r="N5568"/>
    </row>
    <row r="5569" spans="1:14">
      <c r="A5569" s="211" t="s">
        <v>1407</v>
      </c>
      <c r="B5569" s="1494" t="s">
        <v>1409</v>
      </c>
      <c r="C5569" s="1495"/>
      <c r="D5569" s="1495"/>
      <c r="E5569" s="1495"/>
      <c r="F5569" s="1495"/>
      <c r="G5569" s="1495"/>
      <c r="H5569" s="1495"/>
      <c r="I5569" s="1495"/>
      <c r="J5569" s="1496"/>
      <c r="K5569" s="196" t="s">
        <v>28</v>
      </c>
      <c r="L5569" s="1497">
        <v>44</v>
      </c>
      <c r="M5569" s="1498"/>
      <c r="N5569" s="197">
        <f>L5569-H5576</f>
        <v>0</v>
      </c>
    </row>
    <row r="5570" spans="1:14" s="324" customFormat="1">
      <c r="A5570" s="1554"/>
      <c r="B5570" s="1541"/>
      <c r="C5570" s="366"/>
      <c r="D5570" s="367" t="s">
        <v>2183</v>
      </c>
      <c r="E5570" s="1320" t="s">
        <v>2184</v>
      </c>
      <c r="F5570" s="367" t="s">
        <v>2185</v>
      </c>
      <c r="G5570" s="367" t="s">
        <v>2186</v>
      </c>
      <c r="H5570" s="1542" t="s">
        <v>476</v>
      </c>
      <c r="I5570" s="1543"/>
      <c r="J5570" s="1543"/>
      <c r="K5570" s="1543"/>
      <c r="L5570" s="1543"/>
      <c r="M5570" s="1543"/>
      <c r="N5570" s="1566"/>
    </row>
    <row r="5571" spans="1:14" s="324" customFormat="1" ht="24">
      <c r="A5571" s="1554"/>
      <c r="B5571" s="1541"/>
      <c r="C5571" s="368" t="s">
        <v>2627</v>
      </c>
      <c r="D5571" s="369" t="s">
        <v>2187</v>
      </c>
      <c r="E5571" s="529" t="s">
        <v>3152</v>
      </c>
      <c r="F5571" s="369" t="s">
        <v>2649</v>
      </c>
      <c r="G5571" s="370" t="s">
        <v>2709</v>
      </c>
      <c r="H5571" s="1542"/>
      <c r="I5571" s="1543"/>
      <c r="J5571" s="1543"/>
      <c r="K5571" s="1543"/>
      <c r="L5571" s="1543"/>
      <c r="M5571" s="1543"/>
      <c r="N5571" s="1566"/>
    </row>
    <row r="5572" spans="1:14" s="324" customFormat="1" ht="14.45" customHeight="1">
      <c r="A5572" s="1544" t="s">
        <v>3364</v>
      </c>
      <c r="B5572" s="866" t="s">
        <v>3197</v>
      </c>
      <c r="C5572" s="212">
        <v>44</v>
      </c>
      <c r="D5572" s="991"/>
      <c r="E5572" s="379">
        <v>0.6</v>
      </c>
      <c r="F5572" s="379"/>
      <c r="G5572" s="379"/>
      <c r="H5572" s="380">
        <f>E5572*C5572</f>
        <v>26.4</v>
      </c>
      <c r="I5572" s="1567"/>
      <c r="J5572" s="1543"/>
      <c r="K5572" s="1543"/>
      <c r="L5572" s="1543"/>
      <c r="M5572" s="1543"/>
      <c r="N5572" s="1566"/>
    </row>
    <row r="5573" spans="1:14">
      <c r="A5573" s="1544"/>
      <c r="B5573" s="753"/>
      <c r="C5573" s="757"/>
      <c r="D5573" s="294"/>
      <c r="E5573" s="348"/>
      <c r="F5573" s="348"/>
      <c r="G5573" s="348"/>
      <c r="H5573" s="403"/>
      <c r="I5573" s="1567"/>
      <c r="J5573" s="1543"/>
      <c r="K5573" s="1543"/>
      <c r="L5573" s="1543"/>
      <c r="M5573" s="1543"/>
      <c r="N5573" s="1566"/>
    </row>
    <row r="5574" spans="1:14" ht="15.6" customHeight="1">
      <c r="A5574" s="1544" t="s">
        <v>3428</v>
      </c>
      <c r="B5574" s="866" t="s">
        <v>3197</v>
      </c>
      <c r="C5574" s="212">
        <v>44</v>
      </c>
      <c r="D5574" s="991"/>
      <c r="E5574" s="379">
        <v>0.4</v>
      </c>
      <c r="F5574" s="379"/>
      <c r="G5574" s="379"/>
      <c r="H5574" s="380">
        <f>E5574*C5574</f>
        <v>17.600000000000001</v>
      </c>
      <c r="I5574" s="1567"/>
      <c r="J5574" s="1543"/>
      <c r="K5574" s="1543"/>
      <c r="L5574" s="1543"/>
      <c r="M5574" s="1543"/>
      <c r="N5574" s="1566"/>
    </row>
    <row r="5575" spans="1:14" ht="28.15" customHeight="1">
      <c r="A5575" s="1544"/>
      <c r="B5575" s="753"/>
      <c r="C5575" s="757"/>
      <c r="D5575" s="294"/>
      <c r="E5575" s="348"/>
      <c r="F5575" s="348"/>
      <c r="G5575" s="348"/>
      <c r="H5575" s="403"/>
      <c r="I5575" s="1567"/>
      <c r="J5575" s="1543"/>
      <c r="K5575" s="1543"/>
      <c r="L5575" s="1543"/>
      <c r="M5575" s="1543"/>
      <c r="N5575" s="1566"/>
    </row>
    <row r="5576" spans="1:14">
      <c r="A5576" s="1538" t="s">
        <v>2218</v>
      </c>
      <c r="B5576" s="1538"/>
      <c r="C5576" s="1538"/>
      <c r="D5576" s="1538"/>
      <c r="E5576" s="1538"/>
      <c r="F5576" s="1538"/>
      <c r="G5576" s="1538"/>
      <c r="H5576" s="271">
        <f>SUM(H5572:H5575)</f>
        <v>44</v>
      </c>
      <c r="I5576" s="1567"/>
      <c r="J5576" s="1543"/>
      <c r="K5576" s="1543"/>
      <c r="L5576" s="1543"/>
      <c r="M5576" s="1543"/>
      <c r="N5576" s="1566"/>
    </row>
    <row r="5577" spans="1:14">
      <c r="A5577" s="1519" t="s">
        <v>2219</v>
      </c>
      <c r="B5577" s="1517"/>
      <c r="C5577" s="1517"/>
      <c r="D5577" s="1551"/>
      <c r="E5577" s="1551"/>
      <c r="F5577" s="1551"/>
      <c r="G5577" s="1552"/>
      <c r="H5577" s="325">
        <f>SUM(H5572:H5573)</f>
        <v>26.4</v>
      </c>
      <c r="I5577" s="1543"/>
      <c r="J5577" s="1543"/>
      <c r="K5577" s="1543"/>
      <c r="L5577" s="1543"/>
      <c r="M5577" s="1543"/>
      <c r="N5577" s="1566"/>
    </row>
    <row r="5578" spans="1:14" ht="15.75" thickBot="1">
      <c r="A5578" s="1520" t="s">
        <v>2220</v>
      </c>
      <c r="B5578" s="1521"/>
      <c r="C5578" s="1521"/>
      <c r="D5578" s="1521"/>
      <c r="E5578" s="1521"/>
      <c r="F5578" s="1521"/>
      <c r="G5578" s="1522"/>
      <c r="H5578" s="216">
        <f>H5576-H5577</f>
        <v>17.600000000000001</v>
      </c>
      <c r="I5578" s="1568"/>
      <c r="J5578" s="1568"/>
      <c r="K5578" s="1568"/>
      <c r="L5578" s="1568"/>
      <c r="M5578" s="1568"/>
      <c r="N5578" s="1569"/>
    </row>
    <row r="5579" spans="1:14" s="324" customFormat="1" ht="15.75" thickBot="1">
      <c r="A5579"/>
      <c r="B5579"/>
      <c r="C5579" s="468"/>
      <c r="D5579" s="468"/>
      <c r="E5579" s="1336"/>
      <c r="F5579" s="468"/>
      <c r="G5579" s="468"/>
      <c r="H5579" s="563"/>
      <c r="I5579"/>
      <c r="J5579"/>
      <c r="K5579"/>
      <c r="L5579"/>
      <c r="M5579"/>
      <c r="N5579"/>
    </row>
    <row r="5580" spans="1:14">
      <c r="A5580" s="253" t="s">
        <v>3531</v>
      </c>
      <c r="B5580" s="1494" t="s">
        <v>1412</v>
      </c>
      <c r="C5580" s="1495"/>
      <c r="D5580" s="1495"/>
      <c r="E5580" s="1495"/>
      <c r="F5580" s="1495"/>
      <c r="G5580" s="1495"/>
      <c r="H5580" s="1495"/>
      <c r="I5580" s="1495"/>
      <c r="J5580" s="1496"/>
      <c r="K5580" s="196" t="s">
        <v>28</v>
      </c>
      <c r="L5580" s="1497">
        <f>'27ª MEDIÇÃO '!F376</f>
        <v>14</v>
      </c>
      <c r="M5580" s="1498"/>
      <c r="N5580" s="197">
        <f>L5580-H5587</f>
        <v>0</v>
      </c>
    </row>
    <row r="5581" spans="1:14" s="324" customFormat="1">
      <c r="A5581" s="1554"/>
      <c r="B5581" s="1541"/>
      <c r="C5581" s="366"/>
      <c r="D5581" s="367" t="s">
        <v>2183</v>
      </c>
      <c r="E5581" s="1320" t="s">
        <v>2184</v>
      </c>
      <c r="F5581" s="367" t="s">
        <v>2185</v>
      </c>
      <c r="G5581" s="367" t="s">
        <v>2186</v>
      </c>
      <c r="H5581" s="1542" t="s">
        <v>476</v>
      </c>
      <c r="I5581" s="1543"/>
      <c r="J5581" s="1543"/>
      <c r="K5581" s="1543"/>
      <c r="L5581" s="1543"/>
      <c r="M5581" s="1543"/>
      <c r="N5581" s="1566"/>
    </row>
    <row r="5582" spans="1:14" ht="24">
      <c r="A5582" s="1554"/>
      <c r="B5582" s="1541"/>
      <c r="C5582" s="368" t="s">
        <v>2627</v>
      </c>
      <c r="D5582" s="369" t="s">
        <v>2187</v>
      </c>
      <c r="E5582" s="529" t="s">
        <v>3152</v>
      </c>
      <c r="F5582" s="369" t="s">
        <v>2649</v>
      </c>
      <c r="G5582" s="370" t="s">
        <v>2709</v>
      </c>
      <c r="H5582" s="1542"/>
      <c r="I5582" s="1543"/>
      <c r="J5582" s="1543"/>
      <c r="K5582" s="1543"/>
      <c r="L5582" s="1543"/>
      <c r="M5582" s="1543"/>
      <c r="N5582" s="1566"/>
    </row>
    <row r="5583" spans="1:14" s="324" customFormat="1">
      <c r="A5583" s="1544" t="s">
        <v>3521</v>
      </c>
      <c r="B5583" s="866" t="s">
        <v>3197</v>
      </c>
      <c r="C5583" s="212">
        <v>14</v>
      </c>
      <c r="D5583" s="991"/>
      <c r="E5583" s="379">
        <v>0.6</v>
      </c>
      <c r="F5583" s="379"/>
      <c r="G5583" s="379"/>
      <c r="H5583" s="380">
        <v>8</v>
      </c>
      <c r="I5583" s="1567"/>
      <c r="J5583" s="1543"/>
      <c r="K5583" s="1543"/>
      <c r="L5583" s="1543"/>
      <c r="M5583" s="1543"/>
      <c r="N5583" s="1566"/>
    </row>
    <row r="5584" spans="1:14" s="324" customFormat="1">
      <c r="A5584" s="1544"/>
      <c r="B5584" s="753"/>
      <c r="C5584" s="757"/>
      <c r="D5584" s="294"/>
      <c r="E5584" s="348"/>
      <c r="F5584" s="348"/>
      <c r="G5584" s="348"/>
      <c r="H5584" s="403"/>
      <c r="I5584" s="1567"/>
      <c r="J5584" s="1543"/>
      <c r="K5584" s="1543"/>
      <c r="L5584" s="1543"/>
      <c r="M5584" s="1543"/>
      <c r="N5584" s="1566"/>
    </row>
    <row r="5585" spans="1:14" s="324" customFormat="1" ht="14.45" customHeight="1">
      <c r="A5585" s="1544" t="s">
        <v>3569</v>
      </c>
      <c r="B5585" s="866" t="s">
        <v>3197</v>
      </c>
      <c r="C5585" s="212">
        <v>14</v>
      </c>
      <c r="D5585" s="991"/>
      <c r="E5585" s="379">
        <v>0.4</v>
      </c>
      <c r="F5585" s="379"/>
      <c r="G5585" s="379"/>
      <c r="H5585" s="380">
        <v>6</v>
      </c>
      <c r="I5585" s="1567"/>
      <c r="J5585" s="1543"/>
      <c r="K5585" s="1543"/>
      <c r="L5585" s="1543"/>
      <c r="M5585" s="1543"/>
      <c r="N5585" s="1566"/>
    </row>
    <row r="5586" spans="1:14">
      <c r="A5586" s="1544"/>
      <c r="B5586" s="753"/>
      <c r="C5586" s="757"/>
      <c r="D5586" s="294"/>
      <c r="E5586" s="348"/>
      <c r="F5586" s="348"/>
      <c r="G5586" s="348"/>
      <c r="H5586" s="403"/>
      <c r="I5586" s="1567"/>
      <c r="J5586" s="1543"/>
      <c r="K5586" s="1543"/>
      <c r="L5586" s="1543"/>
      <c r="M5586" s="1543"/>
      <c r="N5586" s="1566"/>
    </row>
    <row r="5587" spans="1:14">
      <c r="A5587" s="1538" t="s">
        <v>2218</v>
      </c>
      <c r="B5587" s="1538"/>
      <c r="C5587" s="1538"/>
      <c r="D5587" s="1538"/>
      <c r="E5587" s="1538"/>
      <c r="F5587" s="1538"/>
      <c r="G5587" s="1538"/>
      <c r="H5587" s="271">
        <f>SUM(H5583:H5586)</f>
        <v>14</v>
      </c>
      <c r="I5587" s="1567"/>
      <c r="J5587" s="1543"/>
      <c r="K5587" s="1543"/>
      <c r="L5587" s="1543"/>
      <c r="M5587" s="1543"/>
      <c r="N5587" s="1566"/>
    </row>
    <row r="5588" spans="1:14" ht="21.6" customHeight="1">
      <c r="A5588" s="1519" t="s">
        <v>2219</v>
      </c>
      <c r="B5588" s="1517"/>
      <c r="C5588" s="1517"/>
      <c r="D5588" s="1551"/>
      <c r="E5588" s="1551"/>
      <c r="F5588" s="1551"/>
      <c r="G5588" s="1552"/>
      <c r="H5588" s="325">
        <f>SUM(H5582:H5584)</f>
        <v>8</v>
      </c>
      <c r="I5588" s="1543"/>
      <c r="J5588" s="1543"/>
      <c r="K5588" s="1543"/>
      <c r="L5588" s="1543"/>
      <c r="M5588" s="1543"/>
      <c r="N5588" s="1566"/>
    </row>
    <row r="5589" spans="1:14" ht="21" customHeight="1" thickBot="1">
      <c r="A5589" s="1520" t="s">
        <v>2220</v>
      </c>
      <c r="B5589" s="1521"/>
      <c r="C5589" s="1521"/>
      <c r="D5589" s="1521"/>
      <c r="E5589" s="1521"/>
      <c r="F5589" s="1521"/>
      <c r="G5589" s="1522"/>
      <c r="H5589" s="216">
        <f>H5587-H5588</f>
        <v>6</v>
      </c>
      <c r="I5589" s="1568"/>
      <c r="J5589" s="1568"/>
      <c r="K5589" s="1568"/>
      <c r="L5589" s="1568"/>
      <c r="M5589" s="1568"/>
      <c r="N5589" s="1569"/>
    </row>
    <row r="5590" spans="1:14" ht="15.75" thickBot="1"/>
    <row r="5591" spans="1:14">
      <c r="A5591" s="211" t="s">
        <v>1413</v>
      </c>
      <c r="B5591" s="1494" t="s">
        <v>1415</v>
      </c>
      <c r="C5591" s="1495"/>
      <c r="D5591" s="1495"/>
      <c r="E5591" s="1495"/>
      <c r="F5591" s="1495"/>
      <c r="G5591" s="1495"/>
      <c r="H5591" s="1495"/>
      <c r="I5591" s="1495"/>
      <c r="J5591" s="1496"/>
      <c r="K5591" s="196" t="s">
        <v>44</v>
      </c>
      <c r="L5591" s="1497">
        <v>213</v>
      </c>
      <c r="M5591" s="1498"/>
      <c r="N5591" s="197">
        <f>L5591-H5604</f>
        <v>0</v>
      </c>
    </row>
    <row r="5592" spans="1:14">
      <c r="A5592" s="1554"/>
      <c r="B5592" s="1541"/>
      <c r="C5592" s="366"/>
      <c r="D5592" s="367" t="s">
        <v>2183</v>
      </c>
      <c r="E5592" s="1320" t="s">
        <v>2184</v>
      </c>
      <c r="F5592" s="367" t="s">
        <v>2185</v>
      </c>
      <c r="G5592" s="367" t="s">
        <v>2186</v>
      </c>
      <c r="H5592" s="1542" t="s">
        <v>476</v>
      </c>
      <c r="I5592" s="1543"/>
      <c r="J5592" s="1543"/>
      <c r="K5592" s="1543"/>
      <c r="L5592" s="1543"/>
      <c r="M5592" s="1543"/>
      <c r="N5592" s="1566"/>
    </row>
    <row r="5593" spans="1:14" ht="24">
      <c r="A5593" s="1554"/>
      <c r="B5593" s="1541"/>
      <c r="C5593" s="368" t="s">
        <v>2627</v>
      </c>
      <c r="D5593" s="369" t="s">
        <v>2187</v>
      </c>
      <c r="E5593" s="529" t="s">
        <v>3152</v>
      </c>
      <c r="F5593" s="369" t="s">
        <v>2649</v>
      </c>
      <c r="G5593" s="370" t="s">
        <v>2709</v>
      </c>
      <c r="H5593" s="1542"/>
      <c r="I5593" s="1543"/>
      <c r="J5593" s="1543"/>
      <c r="K5593" s="1543"/>
      <c r="L5593" s="1543"/>
      <c r="M5593" s="1543"/>
      <c r="N5593" s="1566"/>
    </row>
    <row r="5594" spans="1:14">
      <c r="A5594" s="1544" t="s">
        <v>3465</v>
      </c>
      <c r="B5594" s="429" t="s">
        <v>3197</v>
      </c>
      <c r="C5594" s="756">
        <v>84</v>
      </c>
      <c r="D5594" s="202"/>
      <c r="E5594" s="346">
        <v>0.5</v>
      </c>
      <c r="F5594" s="346"/>
      <c r="G5594" s="346"/>
      <c r="H5594" s="943">
        <f t="shared" ref="H5594:H5599" si="113">E5594*C5594</f>
        <v>42</v>
      </c>
      <c r="I5594" s="1567"/>
      <c r="J5594" s="1543"/>
      <c r="K5594" s="1543"/>
      <c r="L5594" s="1543"/>
      <c r="M5594" s="1543"/>
      <c r="N5594" s="1566"/>
    </row>
    <row r="5595" spans="1:14">
      <c r="A5595" s="1544"/>
      <c r="B5595" s="753" t="s">
        <v>3198</v>
      </c>
      <c r="C5595" s="757">
        <v>129</v>
      </c>
      <c r="D5595" s="294"/>
      <c r="E5595" s="348">
        <v>0.8</v>
      </c>
      <c r="F5595" s="348"/>
      <c r="G5595" s="348"/>
      <c r="H5595" s="943">
        <f t="shared" si="113"/>
        <v>103.2</v>
      </c>
      <c r="I5595" s="1567"/>
      <c r="J5595" s="1543"/>
      <c r="K5595" s="1543"/>
      <c r="L5595" s="1543"/>
      <c r="M5595" s="1543"/>
      <c r="N5595" s="1566"/>
    </row>
    <row r="5596" spans="1:14">
      <c r="A5596" s="1544" t="s">
        <v>3521</v>
      </c>
      <c r="B5596" s="429" t="s">
        <v>3197</v>
      </c>
      <c r="C5596" s="756">
        <v>84</v>
      </c>
      <c r="D5596" s="202"/>
      <c r="E5596" s="346">
        <v>0.35</v>
      </c>
      <c r="F5596" s="346"/>
      <c r="G5596" s="346"/>
      <c r="H5596" s="943">
        <f t="shared" si="113"/>
        <v>29.4</v>
      </c>
      <c r="I5596" s="1567"/>
      <c r="J5596" s="1543"/>
      <c r="K5596" s="1543"/>
      <c r="L5596" s="1543"/>
      <c r="M5596" s="1543"/>
      <c r="N5596" s="1566"/>
    </row>
    <row r="5597" spans="1:14">
      <c r="A5597" s="1544"/>
      <c r="B5597" s="753" t="s">
        <v>3198</v>
      </c>
      <c r="C5597" s="757">
        <v>129</v>
      </c>
      <c r="D5597" s="294"/>
      <c r="E5597" s="348">
        <v>0.1</v>
      </c>
      <c r="F5597" s="348"/>
      <c r="G5597" s="348"/>
      <c r="H5597" s="943">
        <f t="shared" si="113"/>
        <v>12.9</v>
      </c>
      <c r="I5597" s="1567"/>
      <c r="J5597" s="1543"/>
      <c r="K5597" s="1543"/>
      <c r="L5597" s="1543"/>
      <c r="M5597" s="1543"/>
      <c r="N5597" s="1566"/>
    </row>
    <row r="5598" spans="1:14">
      <c r="A5598" s="1544" t="s">
        <v>3569</v>
      </c>
      <c r="B5598" s="429" t="s">
        <v>3197</v>
      </c>
      <c r="C5598" s="756">
        <v>84</v>
      </c>
      <c r="D5598" s="202"/>
      <c r="E5598" s="346"/>
      <c r="F5598" s="346"/>
      <c r="G5598" s="346"/>
      <c r="H5598" s="943">
        <f t="shared" si="113"/>
        <v>0</v>
      </c>
      <c r="I5598" s="1567"/>
      <c r="J5598" s="1543"/>
      <c r="K5598" s="1543"/>
      <c r="L5598" s="1543"/>
      <c r="M5598" s="1543"/>
      <c r="N5598" s="1566"/>
    </row>
    <row r="5599" spans="1:14">
      <c r="A5599" s="1544"/>
      <c r="B5599" s="753" t="s">
        <v>3198</v>
      </c>
      <c r="C5599" s="757">
        <v>129</v>
      </c>
      <c r="D5599" s="294"/>
      <c r="E5599" s="348">
        <v>0.1</v>
      </c>
      <c r="F5599" s="348"/>
      <c r="G5599" s="348"/>
      <c r="H5599" s="943">
        <f t="shared" si="113"/>
        <v>12.9</v>
      </c>
      <c r="I5599" s="1567"/>
      <c r="J5599" s="1543"/>
      <c r="K5599" s="1543"/>
      <c r="L5599" s="1543"/>
      <c r="M5599" s="1543"/>
      <c r="N5599" s="1566"/>
    </row>
    <row r="5600" spans="1:14">
      <c r="A5600" s="1544" t="s">
        <v>3892</v>
      </c>
      <c r="B5600" s="429" t="s">
        <v>3197</v>
      </c>
      <c r="C5600" s="756">
        <v>84</v>
      </c>
      <c r="D5600" s="202"/>
      <c r="E5600" s="346">
        <v>0.15</v>
      </c>
      <c r="F5600" s="346"/>
      <c r="G5600" s="346"/>
      <c r="H5600" s="943">
        <f>E5600*C5600</f>
        <v>12.6</v>
      </c>
      <c r="I5600" s="1567"/>
      <c r="J5600" s="1543"/>
      <c r="K5600" s="1543"/>
      <c r="L5600" s="1543"/>
      <c r="M5600" s="1543"/>
      <c r="N5600" s="1566"/>
    </row>
    <row r="5601" spans="1:14">
      <c r="A5601" s="1544"/>
      <c r="B5601" s="753"/>
      <c r="C5601" s="757"/>
      <c r="D5601" s="294"/>
      <c r="E5601" s="348"/>
      <c r="F5601" s="348"/>
      <c r="G5601" s="348"/>
      <c r="H5601" s="943">
        <f>E5601*C5601</f>
        <v>0</v>
      </c>
      <c r="I5601" s="1567"/>
      <c r="J5601" s="1543"/>
      <c r="K5601" s="1543"/>
      <c r="L5601" s="1543"/>
      <c r="M5601" s="1543"/>
      <c r="N5601" s="1566"/>
    </row>
    <row r="5602" spans="1:14">
      <c r="A5602" s="1544"/>
      <c r="B5602" s="429"/>
      <c r="C5602" s="756"/>
      <c r="D5602" s="202"/>
      <c r="E5602" s="346"/>
      <c r="F5602" s="346"/>
      <c r="G5602" s="346"/>
      <c r="H5602" s="943">
        <f>E5602*C5602</f>
        <v>0</v>
      </c>
      <c r="I5602" s="1567"/>
      <c r="J5602" s="1543"/>
      <c r="K5602" s="1543"/>
      <c r="L5602" s="1543"/>
      <c r="M5602" s="1543"/>
      <c r="N5602" s="1566"/>
    </row>
    <row r="5603" spans="1:14">
      <c r="A5603" s="1544"/>
      <c r="B5603" s="753"/>
      <c r="C5603" s="757"/>
      <c r="D5603" s="294"/>
      <c r="E5603" s="348"/>
      <c r="F5603" s="348"/>
      <c r="G5603" s="348"/>
      <c r="H5603" s="943">
        <f>E5603*C5603</f>
        <v>0</v>
      </c>
      <c r="I5603" s="1567"/>
      <c r="J5603" s="1543"/>
      <c r="K5603" s="1543"/>
      <c r="L5603" s="1543"/>
      <c r="M5603" s="1543"/>
      <c r="N5603" s="1566"/>
    </row>
    <row r="5604" spans="1:14">
      <c r="A5604" s="1538" t="s">
        <v>2218</v>
      </c>
      <c r="B5604" s="1538"/>
      <c r="C5604" s="1538"/>
      <c r="D5604" s="1538"/>
      <c r="E5604" s="1538"/>
      <c r="F5604" s="1538"/>
      <c r="G5604" s="1538"/>
      <c r="H5604" s="271">
        <f>SUM(H5594:H5603)</f>
        <v>213</v>
      </c>
      <c r="I5604" s="1567"/>
      <c r="J5604" s="1543"/>
      <c r="K5604" s="1543"/>
      <c r="L5604" s="1543"/>
      <c r="M5604" s="1543"/>
      <c r="N5604" s="1566"/>
    </row>
    <row r="5605" spans="1:14">
      <c r="A5605" s="1519" t="s">
        <v>2219</v>
      </c>
      <c r="B5605" s="1517"/>
      <c r="C5605" s="1517"/>
      <c r="D5605" s="1551"/>
      <c r="E5605" s="1551"/>
      <c r="F5605" s="1551"/>
      <c r="G5605" s="1552"/>
      <c r="H5605" s="325">
        <f>SUM(H5594:H5599)</f>
        <v>200.4</v>
      </c>
      <c r="I5605" s="1543"/>
      <c r="J5605" s="1543"/>
      <c r="K5605" s="1543"/>
      <c r="L5605" s="1543"/>
      <c r="M5605" s="1543"/>
      <c r="N5605" s="1566"/>
    </row>
    <row r="5606" spans="1:14" ht="15.75" thickBot="1">
      <c r="A5606" s="1520" t="s">
        <v>2220</v>
      </c>
      <c r="B5606" s="1521"/>
      <c r="C5606" s="1521"/>
      <c r="D5606" s="1521"/>
      <c r="E5606" s="1521"/>
      <c r="F5606" s="1521"/>
      <c r="G5606" s="1522"/>
      <c r="H5606" s="216">
        <f>H5604-H5605</f>
        <v>12.599999999999994</v>
      </c>
      <c r="I5606" s="1568"/>
      <c r="J5606" s="1568"/>
      <c r="K5606" s="1568"/>
      <c r="L5606" s="1568"/>
      <c r="M5606" s="1568"/>
      <c r="N5606" s="1569"/>
    </row>
    <row r="5607" spans="1:14" ht="15.75" thickBot="1"/>
    <row r="5608" spans="1:14">
      <c r="A5608" s="211" t="s">
        <v>1416</v>
      </c>
      <c r="B5608" s="1494" t="s">
        <v>1418</v>
      </c>
      <c r="C5608" s="1495"/>
      <c r="D5608" s="1495"/>
      <c r="E5608" s="1495"/>
      <c r="F5608" s="1495"/>
      <c r="G5608" s="1495"/>
      <c r="H5608" s="1495"/>
      <c r="I5608" s="1495"/>
      <c r="J5608" s="1496"/>
      <c r="K5608" s="196" t="s">
        <v>28</v>
      </c>
      <c r="L5608" s="1497">
        <v>32</v>
      </c>
      <c r="M5608" s="1498"/>
      <c r="N5608" s="197">
        <f>L5608-H5615</f>
        <v>0</v>
      </c>
    </row>
    <row r="5609" spans="1:14">
      <c r="A5609" s="1554"/>
      <c r="B5609" s="1541"/>
      <c r="C5609" s="366"/>
      <c r="D5609" s="367" t="s">
        <v>2183</v>
      </c>
      <c r="E5609" s="1320" t="s">
        <v>2184</v>
      </c>
      <c r="F5609" s="367" t="s">
        <v>2185</v>
      </c>
      <c r="G5609" s="367" t="s">
        <v>2186</v>
      </c>
      <c r="H5609" s="1542" t="s">
        <v>476</v>
      </c>
      <c r="I5609" s="1543"/>
      <c r="J5609" s="1543"/>
      <c r="K5609" s="1543"/>
      <c r="L5609" s="1543"/>
      <c r="M5609" s="1543"/>
      <c r="N5609" s="1566"/>
    </row>
    <row r="5610" spans="1:14" ht="27.6" customHeight="1">
      <c r="A5610" s="1554"/>
      <c r="B5610" s="1541"/>
      <c r="C5610" s="368" t="s">
        <v>2627</v>
      </c>
      <c r="D5610" s="369" t="s">
        <v>2187</v>
      </c>
      <c r="E5610" s="529" t="s">
        <v>3152</v>
      </c>
      <c r="F5610" s="369" t="s">
        <v>2649</v>
      </c>
      <c r="G5610" s="370" t="s">
        <v>2709</v>
      </c>
      <c r="H5610" s="1542"/>
      <c r="I5610" s="1543"/>
      <c r="J5610" s="1543"/>
      <c r="K5610" s="1543"/>
      <c r="L5610" s="1543"/>
      <c r="M5610" s="1543"/>
      <c r="N5610" s="1566"/>
    </row>
    <row r="5611" spans="1:14">
      <c r="A5611" s="1544" t="s">
        <v>3465</v>
      </c>
      <c r="B5611" s="429" t="s">
        <v>3197</v>
      </c>
      <c r="C5611" s="756">
        <v>12</v>
      </c>
      <c r="D5611" s="202"/>
      <c r="E5611" s="346">
        <v>0.5</v>
      </c>
      <c r="F5611" s="346"/>
      <c r="G5611" s="346"/>
      <c r="H5611" s="943">
        <f>E5611*C5611</f>
        <v>6</v>
      </c>
      <c r="I5611" s="1567"/>
      <c r="J5611" s="1543"/>
      <c r="K5611" s="1543"/>
      <c r="L5611" s="1543"/>
      <c r="M5611" s="1543"/>
      <c r="N5611" s="1566"/>
    </row>
    <row r="5612" spans="1:14">
      <c r="A5612" s="1544"/>
      <c r="B5612" s="753" t="s">
        <v>3198</v>
      </c>
      <c r="C5612" s="757">
        <v>20</v>
      </c>
      <c r="D5612" s="294"/>
      <c r="E5612" s="348">
        <v>0.8</v>
      </c>
      <c r="F5612" s="348"/>
      <c r="G5612" s="348"/>
      <c r="H5612" s="943">
        <f>E5612*C5612</f>
        <v>16</v>
      </c>
      <c r="I5612" s="1567"/>
      <c r="J5612" s="1543"/>
      <c r="K5612" s="1543"/>
      <c r="L5612" s="1543"/>
      <c r="M5612" s="1543"/>
      <c r="N5612" s="1566"/>
    </row>
    <row r="5613" spans="1:14">
      <c r="A5613" s="1544" t="s">
        <v>3521</v>
      </c>
      <c r="B5613" s="429" t="s">
        <v>3197</v>
      </c>
      <c r="C5613" s="756">
        <v>12</v>
      </c>
      <c r="D5613" s="202"/>
      <c r="E5613" s="346">
        <v>0.5</v>
      </c>
      <c r="F5613" s="346"/>
      <c r="G5613" s="346"/>
      <c r="H5613" s="943">
        <f>E5613*C5613</f>
        <v>6</v>
      </c>
      <c r="I5613" s="1567"/>
      <c r="J5613" s="1543"/>
      <c r="K5613" s="1543"/>
      <c r="L5613" s="1543"/>
      <c r="M5613" s="1543"/>
      <c r="N5613" s="1566"/>
    </row>
    <row r="5614" spans="1:14">
      <c r="A5614" s="1544"/>
      <c r="B5614" s="753" t="s">
        <v>3198</v>
      </c>
      <c r="C5614" s="757">
        <v>20</v>
      </c>
      <c r="D5614" s="294"/>
      <c r="E5614" s="348">
        <v>0.2</v>
      </c>
      <c r="F5614" s="348"/>
      <c r="G5614" s="348"/>
      <c r="H5614" s="943">
        <f>E5614*C5614</f>
        <v>4</v>
      </c>
      <c r="I5614" s="1567"/>
      <c r="J5614" s="1543"/>
      <c r="K5614" s="1543"/>
      <c r="L5614" s="1543"/>
      <c r="M5614" s="1543"/>
      <c r="N5614" s="1566"/>
    </row>
    <row r="5615" spans="1:14">
      <c r="A5615" s="1538" t="s">
        <v>2218</v>
      </c>
      <c r="B5615" s="1538"/>
      <c r="C5615" s="1538"/>
      <c r="D5615" s="1538"/>
      <c r="E5615" s="1538"/>
      <c r="F5615" s="1538"/>
      <c r="G5615" s="1538"/>
      <c r="H5615" s="271">
        <f>SUM(H5611:H5614)</f>
        <v>32</v>
      </c>
      <c r="I5615" s="1567"/>
      <c r="J5615" s="1543"/>
      <c r="K5615" s="1543"/>
      <c r="L5615" s="1543"/>
      <c r="M5615" s="1543"/>
      <c r="N5615" s="1566"/>
    </row>
    <row r="5616" spans="1:14">
      <c r="A5616" s="1519" t="s">
        <v>2219</v>
      </c>
      <c r="B5616" s="1517"/>
      <c r="C5616" s="1517"/>
      <c r="D5616" s="1551"/>
      <c r="E5616" s="1551"/>
      <c r="F5616" s="1551"/>
      <c r="G5616" s="1552"/>
      <c r="H5616" s="325">
        <f>SUM(H5611:H5612)</f>
        <v>22</v>
      </c>
      <c r="I5616" s="1543"/>
      <c r="J5616" s="1543"/>
      <c r="K5616" s="1543"/>
      <c r="L5616" s="1543"/>
      <c r="M5616" s="1543"/>
      <c r="N5616" s="1566"/>
    </row>
    <row r="5617" spans="1:14" ht="15.75" thickBot="1">
      <c r="A5617" s="1520" t="s">
        <v>2220</v>
      </c>
      <c r="B5617" s="1521"/>
      <c r="C5617" s="1521"/>
      <c r="D5617" s="1521"/>
      <c r="E5617" s="1521"/>
      <c r="F5617" s="1521"/>
      <c r="G5617" s="1522"/>
      <c r="H5617" s="216">
        <f>H5615-H5616</f>
        <v>10</v>
      </c>
      <c r="I5617" s="1568"/>
      <c r="J5617" s="1568"/>
      <c r="K5617" s="1568"/>
      <c r="L5617" s="1568"/>
      <c r="M5617" s="1568"/>
      <c r="N5617" s="1569"/>
    </row>
    <row r="5618" spans="1:14" ht="15.75" thickBot="1"/>
    <row r="5619" spans="1:14">
      <c r="A5619" s="211" t="s">
        <v>1419</v>
      </c>
      <c r="B5619" s="1494" t="s">
        <v>1421</v>
      </c>
      <c r="C5619" s="1495"/>
      <c r="D5619" s="1495"/>
      <c r="E5619" s="1495"/>
      <c r="F5619" s="1495"/>
      <c r="G5619" s="1495"/>
      <c r="H5619" s="1495"/>
      <c r="I5619" s="1495"/>
      <c r="J5619" s="1496"/>
      <c r="K5619" s="196" t="s">
        <v>28</v>
      </c>
      <c r="L5619" s="1497">
        <v>9</v>
      </c>
      <c r="M5619" s="1498"/>
      <c r="N5619" s="197">
        <f>L5619-H5626</f>
        <v>0</v>
      </c>
    </row>
    <row r="5620" spans="1:14">
      <c r="A5620" s="1554"/>
      <c r="B5620" s="1541"/>
      <c r="C5620" s="366"/>
      <c r="D5620" s="367" t="s">
        <v>2183</v>
      </c>
      <c r="E5620" s="1320" t="s">
        <v>2184</v>
      </c>
      <c r="F5620" s="367" t="s">
        <v>2185</v>
      </c>
      <c r="G5620" s="367" t="s">
        <v>2186</v>
      </c>
      <c r="H5620" s="1542" t="s">
        <v>476</v>
      </c>
      <c r="I5620" s="1543"/>
      <c r="J5620" s="1543"/>
      <c r="K5620" s="1543"/>
      <c r="L5620" s="1543"/>
      <c r="M5620" s="1543"/>
      <c r="N5620" s="1566"/>
    </row>
    <row r="5621" spans="1:14" ht="24">
      <c r="A5621" s="1554"/>
      <c r="B5621" s="1541"/>
      <c r="C5621" s="368" t="s">
        <v>2627</v>
      </c>
      <c r="D5621" s="369" t="s">
        <v>2187</v>
      </c>
      <c r="E5621" s="529" t="s">
        <v>3152</v>
      </c>
      <c r="F5621" s="369" t="s">
        <v>2649</v>
      </c>
      <c r="G5621" s="370" t="s">
        <v>2709</v>
      </c>
      <c r="H5621" s="1542"/>
      <c r="I5621" s="1543"/>
      <c r="J5621" s="1543"/>
      <c r="K5621" s="1543"/>
      <c r="L5621" s="1543"/>
      <c r="M5621" s="1543"/>
      <c r="N5621" s="1566"/>
    </row>
    <row r="5622" spans="1:14">
      <c r="A5622" s="1544" t="s">
        <v>3465</v>
      </c>
      <c r="B5622" s="429" t="s">
        <v>3197</v>
      </c>
      <c r="C5622" s="756">
        <v>4</v>
      </c>
      <c r="D5622" s="202"/>
      <c r="E5622" s="346">
        <v>0.5</v>
      </c>
      <c r="F5622" s="346"/>
      <c r="G5622" s="346"/>
      <c r="H5622" s="943">
        <f>E5622*C5622</f>
        <v>2</v>
      </c>
      <c r="I5622" s="1567"/>
      <c r="J5622" s="1543"/>
      <c r="K5622" s="1543"/>
      <c r="L5622" s="1543"/>
      <c r="M5622" s="1543"/>
      <c r="N5622" s="1566"/>
    </row>
    <row r="5623" spans="1:14" ht="14.45" customHeight="1">
      <c r="A5623" s="1544"/>
      <c r="B5623" s="753" t="s">
        <v>3198</v>
      </c>
      <c r="C5623" s="757">
        <v>5</v>
      </c>
      <c r="D5623" s="294"/>
      <c r="E5623" s="348">
        <v>0.8</v>
      </c>
      <c r="F5623" s="348"/>
      <c r="G5623" s="348"/>
      <c r="H5623" s="943">
        <f>E5623*C5623</f>
        <v>4</v>
      </c>
      <c r="I5623" s="1567"/>
      <c r="J5623" s="1543"/>
      <c r="K5623" s="1543"/>
      <c r="L5623" s="1543"/>
      <c r="M5623" s="1543"/>
      <c r="N5623" s="1566"/>
    </row>
    <row r="5624" spans="1:14">
      <c r="A5624" s="1544" t="s">
        <v>3521</v>
      </c>
      <c r="B5624" s="429" t="s">
        <v>3197</v>
      </c>
      <c r="C5624" s="756">
        <v>4</v>
      </c>
      <c r="D5624" s="202"/>
      <c r="E5624" s="346">
        <v>0.5</v>
      </c>
      <c r="F5624" s="346"/>
      <c r="G5624" s="346"/>
      <c r="H5624" s="943">
        <f>E5624*C5624</f>
        <v>2</v>
      </c>
      <c r="I5624" s="1567"/>
      <c r="J5624" s="1543"/>
      <c r="K5624" s="1543"/>
      <c r="L5624" s="1543"/>
      <c r="M5624" s="1543"/>
      <c r="N5624" s="1566"/>
    </row>
    <row r="5625" spans="1:14">
      <c r="A5625" s="1544"/>
      <c r="B5625" s="753" t="s">
        <v>3198</v>
      </c>
      <c r="C5625" s="757">
        <v>5</v>
      </c>
      <c r="D5625" s="294"/>
      <c r="E5625" s="348">
        <v>0.2</v>
      </c>
      <c r="F5625" s="348"/>
      <c r="G5625" s="348"/>
      <c r="H5625" s="943">
        <f>E5625*C5625</f>
        <v>1</v>
      </c>
      <c r="I5625" s="1567"/>
      <c r="J5625" s="1543"/>
      <c r="K5625" s="1543"/>
      <c r="L5625" s="1543"/>
      <c r="M5625" s="1543"/>
      <c r="N5625" s="1566"/>
    </row>
    <row r="5626" spans="1:14">
      <c r="A5626" s="1538" t="s">
        <v>2218</v>
      </c>
      <c r="B5626" s="1538"/>
      <c r="C5626" s="1538"/>
      <c r="D5626" s="1538"/>
      <c r="E5626" s="1538"/>
      <c r="F5626" s="1538"/>
      <c r="G5626" s="1538"/>
      <c r="H5626" s="271">
        <f>SUM(H5622:H5625)</f>
        <v>9</v>
      </c>
      <c r="I5626" s="1567"/>
      <c r="J5626" s="1543"/>
      <c r="K5626" s="1543"/>
      <c r="L5626" s="1543"/>
      <c r="M5626" s="1543"/>
      <c r="N5626" s="1566"/>
    </row>
    <row r="5627" spans="1:14" s="324" customFormat="1">
      <c r="A5627" s="1519" t="s">
        <v>2219</v>
      </c>
      <c r="B5627" s="1517"/>
      <c r="C5627" s="1517"/>
      <c r="D5627" s="1551"/>
      <c r="E5627" s="1551"/>
      <c r="F5627" s="1551"/>
      <c r="G5627" s="1552"/>
      <c r="H5627" s="325">
        <f>SUM(H5622:H5623)</f>
        <v>6</v>
      </c>
      <c r="I5627" s="1543"/>
      <c r="J5627" s="1543"/>
      <c r="K5627" s="1543"/>
      <c r="L5627" s="1543"/>
      <c r="M5627" s="1543"/>
      <c r="N5627" s="1566"/>
    </row>
    <row r="5628" spans="1:14" s="324" customFormat="1" ht="15.75" thickBot="1">
      <c r="A5628" s="1520" t="s">
        <v>2220</v>
      </c>
      <c r="B5628" s="1521"/>
      <c r="C5628" s="1521"/>
      <c r="D5628" s="1521"/>
      <c r="E5628" s="1521"/>
      <c r="F5628" s="1521"/>
      <c r="G5628" s="1522"/>
      <c r="H5628" s="216">
        <f>H5626-H5627</f>
        <v>3</v>
      </c>
      <c r="I5628" s="1568"/>
      <c r="J5628" s="1568"/>
      <c r="K5628" s="1568"/>
      <c r="L5628" s="1568"/>
      <c r="M5628" s="1568"/>
      <c r="N5628" s="1569"/>
    </row>
    <row r="5629" spans="1:14" s="324" customFormat="1" ht="14.45" customHeight="1" thickBot="1">
      <c r="A5629"/>
      <c r="B5629"/>
      <c r="C5629" s="468"/>
      <c r="D5629" s="468"/>
      <c r="E5629" s="1336"/>
      <c r="F5629" s="468"/>
      <c r="G5629" s="468"/>
      <c r="H5629" s="563"/>
      <c r="I5629"/>
      <c r="J5629"/>
      <c r="K5629"/>
      <c r="L5629"/>
      <c r="M5629"/>
      <c r="N5629"/>
    </row>
    <row r="5630" spans="1:14">
      <c r="A5630" s="253" t="s">
        <v>3490</v>
      </c>
      <c r="B5630" s="1494" t="s">
        <v>3491</v>
      </c>
      <c r="C5630" s="1495"/>
      <c r="D5630" s="1495"/>
      <c r="E5630" s="1495"/>
      <c r="F5630" s="1495"/>
      <c r="G5630" s="1495"/>
      <c r="H5630" s="1495"/>
      <c r="I5630" s="1495"/>
      <c r="J5630" s="1496"/>
      <c r="K5630" s="196" t="s">
        <v>28</v>
      </c>
      <c r="L5630" s="1497">
        <f>'27ª MEDIÇÃO '!F380</f>
        <v>16</v>
      </c>
      <c r="M5630" s="1498"/>
      <c r="N5630" s="197">
        <f>L5630-H5637</f>
        <v>0</v>
      </c>
    </row>
    <row r="5631" spans="1:14" ht="15.6" customHeight="1">
      <c r="A5631" s="1554"/>
      <c r="B5631" s="1541"/>
      <c r="C5631" s="366"/>
      <c r="D5631" s="367" t="s">
        <v>2183</v>
      </c>
      <c r="E5631" s="1320" t="s">
        <v>2184</v>
      </c>
      <c r="F5631" s="367" t="s">
        <v>2185</v>
      </c>
      <c r="G5631" s="367" t="s">
        <v>2186</v>
      </c>
      <c r="H5631" s="1542" t="s">
        <v>476</v>
      </c>
      <c r="I5631" s="1543"/>
      <c r="J5631" s="1543"/>
      <c r="K5631" s="1543"/>
      <c r="L5631" s="1543"/>
      <c r="M5631" s="1543"/>
      <c r="N5631" s="1566"/>
    </row>
    <row r="5632" spans="1:14" ht="14.45" customHeight="1">
      <c r="A5632" s="1554"/>
      <c r="B5632" s="1541"/>
      <c r="C5632" s="368" t="s">
        <v>2627</v>
      </c>
      <c r="D5632" s="369" t="s">
        <v>2187</v>
      </c>
      <c r="E5632" s="529" t="s">
        <v>3152</v>
      </c>
      <c r="F5632" s="369" t="s">
        <v>2649</v>
      </c>
      <c r="G5632" s="370" t="s">
        <v>2709</v>
      </c>
      <c r="H5632" s="1542"/>
      <c r="I5632" s="1543"/>
      <c r="J5632" s="1543"/>
      <c r="K5632" s="1543"/>
      <c r="L5632" s="1543"/>
      <c r="M5632" s="1543"/>
      <c r="N5632" s="1566"/>
    </row>
    <row r="5633" spans="1:14">
      <c r="A5633" s="1544" t="s">
        <v>3465</v>
      </c>
      <c r="B5633" s="429" t="s">
        <v>3197</v>
      </c>
      <c r="C5633" s="756">
        <v>3</v>
      </c>
      <c r="D5633" s="202"/>
      <c r="E5633" s="346">
        <v>0.4</v>
      </c>
      <c r="F5633" s="346"/>
      <c r="G5633" s="346"/>
      <c r="H5633" s="943">
        <v>1</v>
      </c>
      <c r="I5633" s="1567"/>
      <c r="J5633" s="1543"/>
      <c r="K5633" s="1543"/>
      <c r="L5633" s="1543"/>
      <c r="M5633" s="1543"/>
      <c r="N5633" s="1566"/>
    </row>
    <row r="5634" spans="1:14">
      <c r="A5634" s="1544"/>
      <c r="B5634" s="753" t="s">
        <v>3198</v>
      </c>
      <c r="C5634" s="757">
        <v>13</v>
      </c>
      <c r="D5634" s="294"/>
      <c r="E5634" s="348">
        <v>0.85</v>
      </c>
      <c r="F5634" s="348"/>
      <c r="G5634" s="348"/>
      <c r="H5634" s="943">
        <v>11</v>
      </c>
      <c r="I5634" s="1567"/>
      <c r="J5634" s="1543"/>
      <c r="K5634" s="1543"/>
      <c r="L5634" s="1543"/>
      <c r="M5634" s="1543"/>
      <c r="N5634" s="1566"/>
    </row>
    <row r="5635" spans="1:14">
      <c r="A5635" s="1544" t="s">
        <v>3521</v>
      </c>
      <c r="B5635" s="429" t="s">
        <v>3197</v>
      </c>
      <c r="C5635" s="756">
        <v>3</v>
      </c>
      <c r="D5635" s="202"/>
      <c r="E5635" s="346">
        <v>0.6</v>
      </c>
      <c r="F5635" s="346"/>
      <c r="G5635" s="346"/>
      <c r="H5635" s="943">
        <v>2</v>
      </c>
      <c r="I5635" s="1567"/>
      <c r="J5635" s="1543"/>
      <c r="K5635" s="1543"/>
      <c r="L5635" s="1543"/>
      <c r="M5635" s="1543"/>
      <c r="N5635" s="1566"/>
    </row>
    <row r="5636" spans="1:14" s="324" customFormat="1">
      <c r="A5636" s="1544"/>
      <c r="B5636" s="753" t="s">
        <v>3198</v>
      </c>
      <c r="C5636" s="757">
        <v>13</v>
      </c>
      <c r="D5636" s="294"/>
      <c r="E5636" s="348">
        <v>0.14000000000000001</v>
      </c>
      <c r="F5636" s="348"/>
      <c r="G5636" s="348"/>
      <c r="H5636" s="943">
        <v>2</v>
      </c>
      <c r="I5636" s="1567"/>
      <c r="J5636" s="1543"/>
      <c r="K5636" s="1543"/>
      <c r="L5636" s="1543"/>
      <c r="M5636" s="1543"/>
      <c r="N5636" s="1566"/>
    </row>
    <row r="5637" spans="1:14" s="324" customFormat="1">
      <c r="A5637" s="1538" t="s">
        <v>2218</v>
      </c>
      <c r="B5637" s="1538"/>
      <c r="C5637" s="1538"/>
      <c r="D5637" s="1538"/>
      <c r="E5637" s="1538"/>
      <c r="F5637" s="1538"/>
      <c r="G5637" s="1538"/>
      <c r="H5637" s="271">
        <f>SUM(H5633:H5636)</f>
        <v>16</v>
      </c>
      <c r="I5637" s="1567"/>
      <c r="J5637" s="1543"/>
      <c r="K5637" s="1543"/>
      <c r="L5637" s="1543"/>
      <c r="M5637" s="1543"/>
      <c r="N5637" s="1566"/>
    </row>
    <row r="5638" spans="1:14" s="324" customFormat="1" ht="14.45" customHeight="1">
      <c r="A5638" s="1519" t="s">
        <v>2219</v>
      </c>
      <c r="B5638" s="1517"/>
      <c r="C5638" s="1517"/>
      <c r="D5638" s="1551"/>
      <c r="E5638" s="1551"/>
      <c r="F5638" s="1551"/>
      <c r="G5638" s="1552"/>
      <c r="H5638" s="325">
        <f>SUM(H5633:H5634)</f>
        <v>12</v>
      </c>
      <c r="I5638" s="1543"/>
      <c r="J5638" s="1543"/>
      <c r="K5638" s="1543"/>
      <c r="L5638" s="1543"/>
      <c r="M5638" s="1543"/>
      <c r="N5638" s="1566"/>
    </row>
    <row r="5639" spans="1:14" ht="15.75" thickBot="1">
      <c r="A5639" s="1520" t="s">
        <v>2220</v>
      </c>
      <c r="B5639" s="1521"/>
      <c r="C5639" s="1521"/>
      <c r="D5639" s="1521"/>
      <c r="E5639" s="1521"/>
      <c r="F5639" s="1521"/>
      <c r="G5639" s="1522"/>
      <c r="H5639" s="216">
        <f>H5637-H5638</f>
        <v>4</v>
      </c>
      <c r="I5639" s="1568"/>
      <c r="J5639" s="1568"/>
      <c r="K5639" s="1568"/>
      <c r="L5639" s="1568"/>
      <c r="M5639" s="1568"/>
      <c r="N5639" s="1569"/>
    </row>
    <row r="5640" spans="1:14" ht="15.6" customHeight="1" thickBot="1"/>
    <row r="5641" spans="1:14" ht="21" customHeight="1">
      <c r="A5641" s="211" t="s">
        <v>1425</v>
      </c>
      <c r="B5641" s="1494" t="s">
        <v>1427</v>
      </c>
      <c r="C5641" s="1495"/>
      <c r="D5641" s="1495"/>
      <c r="E5641" s="1495"/>
      <c r="F5641" s="1495"/>
      <c r="G5641" s="1495"/>
      <c r="H5641" s="1495"/>
      <c r="I5641" s="1495"/>
      <c r="J5641" s="1496"/>
      <c r="K5641" s="196" t="s">
        <v>28</v>
      </c>
      <c r="L5641" s="1497">
        <v>58</v>
      </c>
      <c r="M5641" s="1498"/>
      <c r="N5641" s="197">
        <f>L5641-H5648</f>
        <v>0</v>
      </c>
    </row>
    <row r="5642" spans="1:14">
      <c r="A5642" s="1554"/>
      <c r="B5642" s="1541"/>
      <c r="C5642" s="366"/>
      <c r="D5642" s="367" t="s">
        <v>2183</v>
      </c>
      <c r="E5642" s="1320" t="s">
        <v>2184</v>
      </c>
      <c r="F5642" s="367" t="s">
        <v>2185</v>
      </c>
      <c r="G5642" s="367" t="s">
        <v>2186</v>
      </c>
      <c r="H5642" s="1542" t="s">
        <v>476</v>
      </c>
      <c r="I5642" s="1543"/>
      <c r="J5642" s="1543"/>
      <c r="K5642" s="1543"/>
      <c r="L5642" s="1543"/>
      <c r="M5642" s="1543"/>
      <c r="N5642" s="1566"/>
    </row>
    <row r="5643" spans="1:14" ht="24">
      <c r="A5643" s="1554"/>
      <c r="B5643" s="1541"/>
      <c r="C5643" s="368" t="s">
        <v>2627</v>
      </c>
      <c r="D5643" s="369" t="s">
        <v>2187</v>
      </c>
      <c r="E5643" s="529" t="s">
        <v>3152</v>
      </c>
      <c r="F5643" s="369" t="s">
        <v>2649</v>
      </c>
      <c r="G5643" s="370" t="s">
        <v>2709</v>
      </c>
      <c r="H5643" s="1542"/>
      <c r="I5643" s="1543"/>
      <c r="J5643" s="1543"/>
      <c r="K5643" s="1543"/>
      <c r="L5643" s="1543"/>
      <c r="M5643" s="1543"/>
      <c r="N5643" s="1566"/>
    </row>
    <row r="5644" spans="1:14">
      <c r="A5644" s="1544" t="s">
        <v>3465</v>
      </c>
      <c r="B5644" s="429" t="s">
        <v>3197</v>
      </c>
      <c r="C5644" s="756">
        <v>23</v>
      </c>
      <c r="D5644" s="202"/>
      <c r="E5644" s="346">
        <v>0.4</v>
      </c>
      <c r="F5644" s="346"/>
      <c r="G5644" s="346"/>
      <c r="H5644" s="943">
        <v>10</v>
      </c>
      <c r="I5644" s="1567"/>
      <c r="J5644" s="1543"/>
      <c r="K5644" s="1543"/>
      <c r="L5644" s="1543"/>
      <c r="M5644" s="1543"/>
      <c r="N5644" s="1566"/>
    </row>
    <row r="5645" spans="1:14">
      <c r="A5645" s="1544"/>
      <c r="B5645" s="753" t="s">
        <v>3198</v>
      </c>
      <c r="C5645" s="757">
        <v>35</v>
      </c>
      <c r="D5645" s="294"/>
      <c r="E5645" s="348">
        <v>0.8</v>
      </c>
      <c r="F5645" s="348"/>
      <c r="G5645" s="348"/>
      <c r="H5645" s="943">
        <f>E5645*C5645</f>
        <v>28</v>
      </c>
      <c r="I5645" s="1567"/>
      <c r="J5645" s="1543"/>
      <c r="K5645" s="1543"/>
      <c r="L5645" s="1543"/>
      <c r="M5645" s="1543"/>
      <c r="N5645" s="1566"/>
    </row>
    <row r="5646" spans="1:14">
      <c r="A5646" s="1544" t="s">
        <v>3521</v>
      </c>
      <c r="B5646" s="429" t="s">
        <v>3197</v>
      </c>
      <c r="C5646" s="756">
        <v>23</v>
      </c>
      <c r="D5646" s="202"/>
      <c r="E5646" s="346">
        <v>0.6</v>
      </c>
      <c r="F5646" s="346"/>
      <c r="G5646" s="346"/>
      <c r="H5646" s="943">
        <v>13</v>
      </c>
      <c r="I5646" s="1567"/>
      <c r="J5646" s="1543"/>
      <c r="K5646" s="1543"/>
      <c r="L5646" s="1543"/>
      <c r="M5646" s="1543"/>
      <c r="N5646" s="1566"/>
    </row>
    <row r="5647" spans="1:14">
      <c r="A5647" s="1544"/>
      <c r="B5647" s="753" t="s">
        <v>3198</v>
      </c>
      <c r="C5647" s="757">
        <v>35</v>
      </c>
      <c r="D5647" s="294"/>
      <c r="E5647" s="348">
        <v>0.2</v>
      </c>
      <c r="F5647" s="348"/>
      <c r="G5647" s="348"/>
      <c r="H5647" s="943">
        <f>E5647*C5647</f>
        <v>7</v>
      </c>
      <c r="I5647" s="1567"/>
      <c r="J5647" s="1543"/>
      <c r="K5647" s="1543"/>
      <c r="L5647" s="1543"/>
      <c r="M5647" s="1543"/>
      <c r="N5647" s="1566"/>
    </row>
    <row r="5648" spans="1:14">
      <c r="A5648" s="1538" t="s">
        <v>2218</v>
      </c>
      <c r="B5648" s="1538"/>
      <c r="C5648" s="1538"/>
      <c r="D5648" s="1538"/>
      <c r="E5648" s="1538"/>
      <c r="F5648" s="1538"/>
      <c r="G5648" s="1538"/>
      <c r="H5648" s="271">
        <f>SUM(H5644:H5647)</f>
        <v>58</v>
      </c>
      <c r="I5648" s="1567"/>
      <c r="J5648" s="1543"/>
      <c r="K5648" s="1543"/>
      <c r="L5648" s="1543"/>
      <c r="M5648" s="1543"/>
      <c r="N5648" s="1566"/>
    </row>
    <row r="5649" spans="1:14">
      <c r="A5649" s="1519" t="s">
        <v>2219</v>
      </c>
      <c r="B5649" s="1517"/>
      <c r="C5649" s="1517"/>
      <c r="D5649" s="1551"/>
      <c r="E5649" s="1551"/>
      <c r="F5649" s="1551"/>
      <c r="G5649" s="1552"/>
      <c r="H5649" s="325">
        <f>SUM(H5644:H5645)</f>
        <v>38</v>
      </c>
      <c r="I5649" s="1543"/>
      <c r="J5649" s="1543"/>
      <c r="K5649" s="1543"/>
      <c r="L5649" s="1543"/>
      <c r="M5649" s="1543"/>
      <c r="N5649" s="1566"/>
    </row>
    <row r="5650" spans="1:14" ht="15.75" thickBot="1">
      <c r="A5650" s="1520" t="s">
        <v>2220</v>
      </c>
      <c r="B5650" s="1521"/>
      <c r="C5650" s="1521"/>
      <c r="D5650" s="1521"/>
      <c r="E5650" s="1521"/>
      <c r="F5650" s="1521"/>
      <c r="G5650" s="1522"/>
      <c r="H5650" s="216">
        <f>H5648-H5649</f>
        <v>20</v>
      </c>
      <c r="I5650" s="1568"/>
      <c r="J5650" s="1568"/>
      <c r="K5650" s="1568"/>
      <c r="L5650" s="1568"/>
      <c r="M5650" s="1568"/>
      <c r="N5650" s="1569"/>
    </row>
    <row r="5651" spans="1:14" ht="15.75" thickBot="1"/>
    <row r="5652" spans="1:14">
      <c r="A5652" s="253" t="s">
        <v>3492</v>
      </c>
      <c r="B5652" s="1494" t="s">
        <v>1430</v>
      </c>
      <c r="C5652" s="1495"/>
      <c r="D5652" s="1495"/>
      <c r="E5652" s="1495"/>
      <c r="F5652" s="1495"/>
      <c r="G5652" s="1495"/>
      <c r="H5652" s="1495"/>
      <c r="I5652" s="1495"/>
      <c r="J5652" s="1496"/>
      <c r="K5652" s="196" t="s">
        <v>28</v>
      </c>
      <c r="L5652" s="1497">
        <f>'27ª MEDIÇÃO '!F382</f>
        <v>21</v>
      </c>
      <c r="M5652" s="1498"/>
      <c r="N5652" s="197">
        <f>L5652-H5659</f>
        <v>0</v>
      </c>
    </row>
    <row r="5653" spans="1:14">
      <c r="A5653" s="1554"/>
      <c r="B5653" s="1541"/>
      <c r="C5653" s="366"/>
      <c r="D5653" s="367" t="s">
        <v>2183</v>
      </c>
      <c r="E5653" s="1320" t="s">
        <v>2184</v>
      </c>
      <c r="F5653" s="367" t="s">
        <v>2185</v>
      </c>
      <c r="G5653" s="367" t="s">
        <v>2186</v>
      </c>
      <c r="H5653" s="1542" t="s">
        <v>476</v>
      </c>
      <c r="I5653" s="1543"/>
      <c r="J5653" s="1543"/>
      <c r="K5653" s="1543"/>
      <c r="L5653" s="1543"/>
      <c r="M5653" s="1543"/>
      <c r="N5653" s="1566"/>
    </row>
    <row r="5654" spans="1:14" ht="24">
      <c r="A5654" s="1554"/>
      <c r="B5654" s="1541"/>
      <c r="C5654" s="368" t="s">
        <v>2627</v>
      </c>
      <c r="D5654" s="369" t="s">
        <v>2187</v>
      </c>
      <c r="E5654" s="529" t="s">
        <v>3152</v>
      </c>
      <c r="F5654" s="369" t="s">
        <v>2649</v>
      </c>
      <c r="G5654" s="370" t="s">
        <v>2709</v>
      </c>
      <c r="H5654" s="1542"/>
      <c r="I5654" s="1543"/>
      <c r="J5654" s="1543"/>
      <c r="K5654" s="1543"/>
      <c r="L5654" s="1543"/>
      <c r="M5654" s="1543"/>
      <c r="N5654" s="1566"/>
    </row>
    <row r="5655" spans="1:14">
      <c r="A5655" s="1544" t="s">
        <v>3465</v>
      </c>
      <c r="B5655" s="429" t="s">
        <v>3197</v>
      </c>
      <c r="C5655" s="756">
        <v>10</v>
      </c>
      <c r="D5655" s="202"/>
      <c r="E5655" s="346">
        <v>0.5</v>
      </c>
      <c r="F5655" s="346"/>
      <c r="G5655" s="346"/>
      <c r="H5655" s="943">
        <f>E5655*C5655</f>
        <v>5</v>
      </c>
      <c r="I5655" s="1567"/>
      <c r="J5655" s="1543"/>
      <c r="K5655" s="1543"/>
      <c r="L5655" s="1543"/>
      <c r="M5655" s="1543"/>
      <c r="N5655" s="1566"/>
    </row>
    <row r="5656" spans="1:14">
      <c r="A5656" s="1544"/>
      <c r="B5656" s="753" t="s">
        <v>3198</v>
      </c>
      <c r="C5656" s="757">
        <v>11</v>
      </c>
      <c r="D5656" s="294"/>
      <c r="E5656" s="348">
        <v>0.85</v>
      </c>
      <c r="F5656" s="348"/>
      <c r="G5656" s="348"/>
      <c r="H5656" s="943">
        <v>9</v>
      </c>
      <c r="I5656" s="1567"/>
      <c r="J5656" s="1543"/>
      <c r="K5656" s="1543"/>
      <c r="L5656" s="1543"/>
      <c r="M5656" s="1543"/>
      <c r="N5656" s="1566"/>
    </row>
    <row r="5657" spans="1:14" ht="14.45" customHeight="1">
      <c r="A5657" s="1544" t="s">
        <v>3521</v>
      </c>
      <c r="B5657" s="429" t="s">
        <v>3197</v>
      </c>
      <c r="C5657" s="756">
        <v>10</v>
      </c>
      <c r="D5657" s="202"/>
      <c r="E5657" s="346">
        <v>0.5</v>
      </c>
      <c r="F5657" s="346"/>
      <c r="G5657" s="346"/>
      <c r="H5657" s="943">
        <f>E5657*C5657</f>
        <v>5</v>
      </c>
      <c r="I5657" s="1567"/>
      <c r="J5657" s="1543"/>
      <c r="K5657" s="1543"/>
      <c r="L5657" s="1543"/>
      <c r="M5657" s="1543"/>
      <c r="N5657" s="1566"/>
    </row>
    <row r="5658" spans="1:14">
      <c r="A5658" s="1544"/>
      <c r="B5658" s="753" t="s">
        <v>3198</v>
      </c>
      <c r="C5658" s="757">
        <v>11</v>
      </c>
      <c r="D5658" s="294"/>
      <c r="E5658" s="348">
        <v>0.15</v>
      </c>
      <c r="F5658" s="348"/>
      <c r="G5658" s="348"/>
      <c r="H5658" s="943">
        <v>2</v>
      </c>
      <c r="I5658" s="1567"/>
      <c r="J5658" s="1543"/>
      <c r="K5658" s="1543"/>
      <c r="L5658" s="1543"/>
      <c r="M5658" s="1543"/>
      <c r="N5658" s="1566"/>
    </row>
    <row r="5659" spans="1:14">
      <c r="A5659" s="1538" t="s">
        <v>2218</v>
      </c>
      <c r="B5659" s="1538"/>
      <c r="C5659" s="1538"/>
      <c r="D5659" s="1538"/>
      <c r="E5659" s="1538"/>
      <c r="F5659" s="1538"/>
      <c r="G5659" s="1538"/>
      <c r="H5659" s="271">
        <f>SUM(H5655:H5658)</f>
        <v>21</v>
      </c>
      <c r="I5659" s="1567"/>
      <c r="J5659" s="1543"/>
      <c r="K5659" s="1543"/>
      <c r="L5659" s="1543"/>
      <c r="M5659" s="1543"/>
      <c r="N5659" s="1566"/>
    </row>
    <row r="5660" spans="1:14">
      <c r="A5660" s="1519" t="s">
        <v>2219</v>
      </c>
      <c r="B5660" s="1517"/>
      <c r="C5660" s="1517"/>
      <c r="D5660" s="1551"/>
      <c r="E5660" s="1551"/>
      <c r="F5660" s="1551"/>
      <c r="G5660" s="1552"/>
      <c r="H5660" s="325">
        <f>SUM(H5655:H5656)</f>
        <v>14</v>
      </c>
      <c r="I5660" s="1543"/>
      <c r="J5660" s="1543"/>
      <c r="K5660" s="1543"/>
      <c r="L5660" s="1543"/>
      <c r="M5660" s="1543"/>
      <c r="N5660" s="1566"/>
    </row>
    <row r="5661" spans="1:14" s="324" customFormat="1" ht="15.75" thickBot="1">
      <c r="A5661" s="1520" t="s">
        <v>2220</v>
      </c>
      <c r="B5661" s="1521"/>
      <c r="C5661" s="1521"/>
      <c r="D5661" s="1521"/>
      <c r="E5661" s="1521"/>
      <c r="F5661" s="1521"/>
      <c r="G5661" s="1522"/>
      <c r="H5661" s="216">
        <f>H5659-H5660</f>
        <v>7</v>
      </c>
      <c r="I5661" s="1568"/>
      <c r="J5661" s="1568"/>
      <c r="K5661" s="1568"/>
      <c r="L5661" s="1568"/>
      <c r="M5661" s="1568"/>
      <c r="N5661" s="1569"/>
    </row>
    <row r="5662" spans="1:14" s="324" customFormat="1" ht="15.75" thickBot="1">
      <c r="A5662"/>
      <c r="B5662"/>
      <c r="C5662" s="468"/>
      <c r="D5662" s="468"/>
      <c r="E5662" s="1336"/>
      <c r="F5662" s="468"/>
      <c r="G5662" s="468"/>
      <c r="H5662" s="563"/>
      <c r="I5662"/>
      <c r="J5662"/>
      <c r="K5662"/>
      <c r="L5662"/>
      <c r="M5662"/>
      <c r="N5662"/>
    </row>
    <row r="5663" spans="1:14" s="324" customFormat="1" ht="14.45" customHeight="1">
      <c r="A5663" s="211" t="s">
        <v>1431</v>
      </c>
      <c r="B5663" s="1494" t="s">
        <v>1433</v>
      </c>
      <c r="C5663" s="1495"/>
      <c r="D5663" s="1495"/>
      <c r="E5663" s="1495"/>
      <c r="F5663" s="1495"/>
      <c r="G5663" s="1495"/>
      <c r="H5663" s="1495"/>
      <c r="I5663" s="1495"/>
      <c r="J5663" s="1496"/>
      <c r="K5663" s="196" t="s">
        <v>44</v>
      </c>
      <c r="L5663" s="1497">
        <v>324</v>
      </c>
      <c r="M5663" s="1498"/>
      <c r="N5663" s="197">
        <f>L5663-H5672</f>
        <v>0</v>
      </c>
    </row>
    <row r="5664" spans="1:14">
      <c r="A5664" s="1554"/>
      <c r="B5664" s="1541"/>
      <c r="C5664" s="366"/>
      <c r="D5664" s="367" t="s">
        <v>2183</v>
      </c>
      <c r="E5664" s="1320" t="s">
        <v>2184</v>
      </c>
      <c r="F5664" s="367" t="s">
        <v>2185</v>
      </c>
      <c r="G5664" s="367" t="s">
        <v>2186</v>
      </c>
      <c r="H5664" s="1542" t="s">
        <v>476</v>
      </c>
      <c r="I5664" s="1543"/>
      <c r="J5664" s="1543"/>
      <c r="K5664" s="1543"/>
      <c r="L5664" s="1543"/>
      <c r="M5664" s="1543"/>
      <c r="N5664" s="1566"/>
    </row>
    <row r="5665" spans="1:14" ht="15.6" customHeight="1">
      <c r="A5665" s="1554"/>
      <c r="B5665" s="1541"/>
      <c r="C5665" s="368" t="s">
        <v>2627</v>
      </c>
      <c r="D5665" s="369" t="s">
        <v>2187</v>
      </c>
      <c r="E5665" s="529" t="s">
        <v>3152</v>
      </c>
      <c r="F5665" s="369" t="s">
        <v>2649</v>
      </c>
      <c r="G5665" s="370" t="s">
        <v>2709</v>
      </c>
      <c r="H5665" s="1542"/>
      <c r="I5665" s="1543"/>
      <c r="J5665" s="1543"/>
      <c r="K5665" s="1543"/>
      <c r="L5665" s="1543"/>
      <c r="M5665" s="1543"/>
      <c r="N5665" s="1566"/>
    </row>
    <row r="5666" spans="1:14" ht="14.45" customHeight="1">
      <c r="A5666" s="1544" t="s">
        <v>3364</v>
      </c>
      <c r="B5666" s="866" t="s">
        <v>3197</v>
      </c>
      <c r="C5666" s="212">
        <v>164</v>
      </c>
      <c r="D5666" s="991"/>
      <c r="E5666" s="379">
        <v>0.45</v>
      </c>
      <c r="F5666" s="379"/>
      <c r="G5666" s="379"/>
      <c r="H5666" s="380">
        <f t="shared" ref="H5666:H5671" si="114">E5666*C5666</f>
        <v>73.8</v>
      </c>
      <c r="I5666" s="1567"/>
      <c r="J5666" s="1543"/>
      <c r="K5666" s="1543"/>
      <c r="L5666" s="1543"/>
      <c r="M5666" s="1543"/>
      <c r="N5666" s="1566"/>
    </row>
    <row r="5667" spans="1:14">
      <c r="A5667" s="1544"/>
      <c r="B5667" s="753" t="s">
        <v>3198</v>
      </c>
      <c r="C5667" s="757">
        <v>160</v>
      </c>
      <c r="D5667" s="294"/>
      <c r="E5667" s="348">
        <v>0.45</v>
      </c>
      <c r="F5667" s="348"/>
      <c r="G5667" s="348"/>
      <c r="H5667" s="380">
        <f t="shared" si="114"/>
        <v>72</v>
      </c>
      <c r="I5667" s="1567"/>
      <c r="J5667" s="1543"/>
      <c r="K5667" s="1543"/>
      <c r="L5667" s="1543"/>
      <c r="M5667" s="1543"/>
      <c r="N5667" s="1566"/>
    </row>
    <row r="5668" spans="1:14">
      <c r="A5668" s="1544" t="s">
        <v>3428</v>
      </c>
      <c r="B5668" s="866" t="s">
        <v>3197</v>
      </c>
      <c r="C5668" s="212">
        <v>164</v>
      </c>
      <c r="D5668" s="991"/>
      <c r="E5668" s="379">
        <v>0.3</v>
      </c>
      <c r="F5668" s="379"/>
      <c r="G5668" s="379"/>
      <c r="H5668" s="380">
        <f t="shared" si="114"/>
        <v>49.199999999999996</v>
      </c>
      <c r="I5668" s="1567"/>
      <c r="J5668" s="1543"/>
      <c r="K5668" s="1543"/>
      <c r="L5668" s="1543"/>
      <c r="M5668" s="1543"/>
      <c r="N5668" s="1566"/>
    </row>
    <row r="5669" spans="1:14">
      <c r="A5669" s="1544"/>
      <c r="B5669" s="753" t="s">
        <v>3198</v>
      </c>
      <c r="C5669" s="757">
        <v>160</v>
      </c>
      <c r="D5669" s="294"/>
      <c r="E5669" s="348">
        <v>0.3</v>
      </c>
      <c r="F5669" s="348"/>
      <c r="G5669" s="348"/>
      <c r="H5669" s="380">
        <f t="shared" si="114"/>
        <v>48</v>
      </c>
      <c r="I5669" s="1567"/>
      <c r="J5669" s="1543"/>
      <c r="K5669" s="1543"/>
      <c r="L5669" s="1543"/>
      <c r="M5669" s="1543"/>
      <c r="N5669" s="1566"/>
    </row>
    <row r="5670" spans="1:14" s="324" customFormat="1">
      <c r="A5670" s="1544" t="s">
        <v>3465</v>
      </c>
      <c r="B5670" s="866" t="s">
        <v>3197</v>
      </c>
      <c r="C5670" s="212">
        <v>164</v>
      </c>
      <c r="D5670" s="991"/>
      <c r="E5670" s="379">
        <v>0.25</v>
      </c>
      <c r="F5670" s="379"/>
      <c r="G5670" s="379"/>
      <c r="H5670" s="380">
        <f t="shared" si="114"/>
        <v>41</v>
      </c>
      <c r="I5670" s="1567"/>
      <c r="J5670" s="1543"/>
      <c r="K5670" s="1543"/>
      <c r="L5670" s="1543"/>
      <c r="M5670" s="1543"/>
      <c r="N5670" s="1566"/>
    </row>
    <row r="5671" spans="1:14" s="324" customFormat="1">
      <c r="A5671" s="1544"/>
      <c r="B5671" s="753" t="s">
        <v>3198</v>
      </c>
      <c r="C5671" s="757">
        <v>160</v>
      </c>
      <c r="D5671" s="294"/>
      <c r="E5671" s="348">
        <v>0.25</v>
      </c>
      <c r="F5671" s="348"/>
      <c r="G5671" s="348"/>
      <c r="H5671" s="380">
        <f t="shared" si="114"/>
        <v>40</v>
      </c>
      <c r="I5671" s="1567"/>
      <c r="J5671" s="1543"/>
      <c r="K5671" s="1543"/>
      <c r="L5671" s="1543"/>
      <c r="M5671" s="1543"/>
      <c r="N5671" s="1566"/>
    </row>
    <row r="5672" spans="1:14" s="324" customFormat="1" ht="14.45" customHeight="1">
      <c r="A5672" s="1538" t="s">
        <v>2218</v>
      </c>
      <c r="B5672" s="1538"/>
      <c r="C5672" s="1538"/>
      <c r="D5672" s="1538"/>
      <c r="E5672" s="1538"/>
      <c r="F5672" s="1538"/>
      <c r="G5672" s="1538"/>
      <c r="H5672" s="271">
        <f>SUM(H5666:H5671)</f>
        <v>324</v>
      </c>
      <c r="I5672" s="1567"/>
      <c r="J5672" s="1543"/>
      <c r="K5672" s="1543"/>
      <c r="L5672" s="1543"/>
      <c r="M5672" s="1543"/>
      <c r="N5672" s="1566"/>
    </row>
    <row r="5673" spans="1:14">
      <c r="A5673" s="1519" t="s">
        <v>2219</v>
      </c>
      <c r="B5673" s="1517"/>
      <c r="C5673" s="1517"/>
      <c r="D5673" s="1551"/>
      <c r="E5673" s="1551"/>
      <c r="F5673" s="1551"/>
      <c r="G5673" s="1552"/>
      <c r="H5673" s="325">
        <f>SUM(H5666:H5669)</f>
        <v>243</v>
      </c>
      <c r="I5673" s="1543"/>
      <c r="J5673" s="1543"/>
      <c r="K5673" s="1543"/>
      <c r="L5673" s="1543"/>
      <c r="M5673" s="1543"/>
      <c r="N5673" s="1566"/>
    </row>
    <row r="5674" spans="1:14" ht="15.6" customHeight="1" thickBot="1">
      <c r="A5674" s="1520" t="s">
        <v>2220</v>
      </c>
      <c r="B5674" s="1521"/>
      <c r="C5674" s="1521"/>
      <c r="D5674" s="1521"/>
      <c r="E5674" s="1521"/>
      <c r="F5674" s="1521"/>
      <c r="G5674" s="1522"/>
      <c r="H5674" s="216">
        <f>H5672-H5673</f>
        <v>81</v>
      </c>
      <c r="I5674" s="1568"/>
      <c r="J5674" s="1568"/>
      <c r="K5674" s="1568"/>
      <c r="L5674" s="1568"/>
      <c r="M5674" s="1568"/>
      <c r="N5674" s="1569"/>
    </row>
    <row r="5675" spans="1:14" ht="14.45" customHeight="1"/>
    <row r="5676" spans="1:14">
      <c r="A5676" s="235" t="s">
        <v>1434</v>
      </c>
      <c r="B5676" s="1548" t="s">
        <v>1435</v>
      </c>
      <c r="C5676" s="1548"/>
      <c r="D5676" s="1548"/>
      <c r="E5676" s="1548"/>
      <c r="F5676" s="1548"/>
      <c r="G5676" s="1548"/>
      <c r="H5676" s="1548"/>
      <c r="I5676" s="1548"/>
      <c r="J5676" s="1548"/>
      <c r="K5676" s="1548"/>
      <c r="L5676" s="1548"/>
      <c r="M5676" s="1548"/>
      <c r="N5676" s="1548"/>
    </row>
    <row r="5677" spans="1:14">
      <c r="A5677" s="1120" t="s">
        <v>1436</v>
      </c>
      <c r="B5677" s="1561" t="s">
        <v>1438</v>
      </c>
      <c r="C5677" s="1562"/>
      <c r="D5677" s="1562"/>
      <c r="E5677" s="1562"/>
      <c r="F5677" s="1562"/>
      <c r="G5677" s="1562"/>
      <c r="H5677" s="1562"/>
      <c r="I5677" s="1562"/>
      <c r="J5677" s="1563"/>
      <c r="K5677" s="264" t="s">
        <v>28</v>
      </c>
      <c r="L5677" s="1564">
        <v>154</v>
      </c>
      <c r="M5677" s="1565"/>
      <c r="N5677" s="265">
        <f>L5677-H5692</f>
        <v>0</v>
      </c>
    </row>
    <row r="5678" spans="1:14">
      <c r="A5678" s="1554"/>
      <c r="B5678" s="1541"/>
      <c r="C5678" s="366"/>
      <c r="D5678" s="367" t="s">
        <v>2183</v>
      </c>
      <c r="E5678" s="1320" t="s">
        <v>2184</v>
      </c>
      <c r="F5678" s="367" t="s">
        <v>2185</v>
      </c>
      <c r="G5678" s="367" t="s">
        <v>2186</v>
      </c>
      <c r="H5678" s="1542" t="s">
        <v>476</v>
      </c>
      <c r="I5678" s="1543"/>
      <c r="J5678" s="1543"/>
      <c r="K5678" s="1543"/>
      <c r="L5678" s="1543"/>
      <c r="M5678" s="1543"/>
      <c r="N5678" s="1566"/>
    </row>
    <row r="5679" spans="1:14" s="324" customFormat="1" ht="24">
      <c r="A5679" s="1554"/>
      <c r="B5679" s="1541"/>
      <c r="C5679" s="368" t="s">
        <v>2627</v>
      </c>
      <c r="D5679" s="369" t="s">
        <v>2187</v>
      </c>
      <c r="E5679" s="529" t="s">
        <v>3152</v>
      </c>
      <c r="F5679" s="369" t="s">
        <v>2649</v>
      </c>
      <c r="G5679" s="370" t="s">
        <v>2709</v>
      </c>
      <c r="H5679" s="1542"/>
      <c r="I5679" s="1543"/>
      <c r="J5679" s="1543"/>
      <c r="K5679" s="1543"/>
      <c r="L5679" s="1543"/>
      <c r="M5679" s="1543"/>
      <c r="N5679" s="1566"/>
    </row>
    <row r="5680" spans="1:14" s="324" customFormat="1">
      <c r="A5680" s="1630" t="s">
        <v>3158</v>
      </c>
      <c r="B5680" s="876" t="s">
        <v>3199</v>
      </c>
      <c r="C5680" s="317">
        <v>1</v>
      </c>
      <c r="D5680" s="287"/>
      <c r="E5680" s="531"/>
      <c r="F5680" s="287"/>
      <c r="G5680" s="431"/>
      <c r="H5680" s="432"/>
      <c r="I5680" s="1567"/>
      <c r="J5680" s="1543"/>
      <c r="K5680" s="1543"/>
      <c r="L5680" s="1543"/>
      <c r="M5680" s="1543"/>
      <c r="N5680" s="1566"/>
    </row>
    <row r="5681" spans="1:14" s="324" customFormat="1" ht="14.45" customHeight="1">
      <c r="A5681" s="1631"/>
      <c r="B5681" s="876" t="s">
        <v>3197</v>
      </c>
      <c r="C5681" s="743">
        <v>110</v>
      </c>
      <c r="D5681" s="198"/>
      <c r="E5681" s="341">
        <v>0.3</v>
      </c>
      <c r="F5681" s="341"/>
      <c r="G5681" s="341"/>
      <c r="H5681" s="349">
        <f>C5681*E5681</f>
        <v>33</v>
      </c>
      <c r="I5681" s="1567"/>
      <c r="J5681" s="1543"/>
      <c r="K5681" s="1543"/>
      <c r="L5681" s="1543"/>
      <c r="M5681" s="1543"/>
      <c r="N5681" s="1566"/>
    </row>
    <row r="5682" spans="1:14">
      <c r="A5682" s="1632"/>
      <c r="B5682" s="876" t="s">
        <v>3198</v>
      </c>
      <c r="C5682" s="743">
        <v>43</v>
      </c>
      <c r="D5682" s="294"/>
      <c r="E5682" s="348">
        <v>0.3</v>
      </c>
      <c r="F5682" s="348"/>
      <c r="G5682" s="348"/>
      <c r="H5682" s="349">
        <f>C5682*E5682</f>
        <v>12.9</v>
      </c>
      <c r="I5682" s="1567"/>
      <c r="J5682" s="1543"/>
      <c r="K5682" s="1543"/>
      <c r="L5682" s="1543"/>
      <c r="M5682" s="1543"/>
      <c r="N5682" s="1566"/>
    </row>
    <row r="5683" spans="1:14" ht="15.6" customHeight="1">
      <c r="A5683" s="1630" t="s">
        <v>3217</v>
      </c>
      <c r="B5683" s="876" t="s">
        <v>3199</v>
      </c>
      <c r="C5683" s="317">
        <v>1</v>
      </c>
      <c r="D5683" s="287"/>
      <c r="E5683" s="531"/>
      <c r="F5683" s="287"/>
      <c r="G5683" s="431"/>
      <c r="H5683" s="432"/>
      <c r="I5683" s="1567"/>
      <c r="J5683" s="1543"/>
      <c r="K5683" s="1543"/>
      <c r="L5683" s="1543"/>
      <c r="M5683" s="1543"/>
      <c r="N5683" s="1566"/>
    </row>
    <row r="5684" spans="1:14" ht="21.6" customHeight="1">
      <c r="A5684" s="1631"/>
      <c r="B5684" s="876" t="s">
        <v>3197</v>
      </c>
      <c r="C5684" s="743">
        <v>110</v>
      </c>
      <c r="D5684" s="198"/>
      <c r="E5684" s="341">
        <v>0.25</v>
      </c>
      <c r="F5684" s="341"/>
      <c r="G5684" s="341"/>
      <c r="H5684" s="349">
        <f>C5684*E5684</f>
        <v>27.5</v>
      </c>
      <c r="I5684" s="1567"/>
      <c r="J5684" s="1543"/>
      <c r="K5684" s="1543"/>
      <c r="L5684" s="1543"/>
      <c r="M5684" s="1543"/>
      <c r="N5684" s="1566"/>
    </row>
    <row r="5685" spans="1:14" ht="21" customHeight="1">
      <c r="A5685" s="1632"/>
      <c r="B5685" s="876" t="s">
        <v>3198</v>
      </c>
      <c r="C5685" s="743">
        <v>43</v>
      </c>
      <c r="D5685" s="294"/>
      <c r="E5685" s="348">
        <v>0.25</v>
      </c>
      <c r="F5685" s="348"/>
      <c r="G5685" s="348"/>
      <c r="H5685" s="349">
        <v>10.5</v>
      </c>
      <c r="I5685" s="1567"/>
      <c r="J5685" s="1543"/>
      <c r="K5685" s="1543"/>
      <c r="L5685" s="1543"/>
      <c r="M5685" s="1543"/>
      <c r="N5685" s="1566"/>
    </row>
    <row r="5686" spans="1:14">
      <c r="A5686" s="1630" t="s">
        <v>3294</v>
      </c>
      <c r="B5686" s="876" t="s">
        <v>3199</v>
      </c>
      <c r="C5686" s="317">
        <v>1</v>
      </c>
      <c r="D5686" s="287"/>
      <c r="E5686" s="531"/>
      <c r="F5686" s="287"/>
      <c r="G5686" s="431"/>
      <c r="H5686" s="432"/>
      <c r="I5686" s="1567"/>
      <c r="J5686" s="1543"/>
      <c r="K5686" s="1543"/>
      <c r="L5686" s="1543"/>
      <c r="M5686" s="1543"/>
      <c r="N5686" s="1566"/>
    </row>
    <row r="5687" spans="1:14">
      <c r="A5687" s="1631"/>
      <c r="B5687" s="876" t="s">
        <v>3197</v>
      </c>
      <c r="C5687" s="743">
        <v>110</v>
      </c>
      <c r="D5687" s="198"/>
      <c r="E5687" s="341">
        <v>0.3</v>
      </c>
      <c r="F5687" s="341"/>
      <c r="G5687" s="341"/>
      <c r="H5687" s="349">
        <f>C5687*E5687</f>
        <v>33</v>
      </c>
      <c r="I5687" s="1567"/>
      <c r="J5687" s="1543"/>
      <c r="K5687" s="1543"/>
      <c r="L5687" s="1543"/>
      <c r="M5687" s="1543"/>
      <c r="N5687" s="1566"/>
    </row>
    <row r="5688" spans="1:14">
      <c r="A5688" s="1632"/>
      <c r="B5688" s="876" t="s">
        <v>3198</v>
      </c>
      <c r="C5688" s="743">
        <v>43</v>
      </c>
      <c r="D5688" s="294"/>
      <c r="E5688" s="348">
        <v>0.3</v>
      </c>
      <c r="F5688" s="348"/>
      <c r="G5688" s="348"/>
      <c r="H5688" s="349">
        <f>C5688*E5688</f>
        <v>12.9</v>
      </c>
      <c r="I5688" s="1567"/>
      <c r="J5688" s="1543"/>
      <c r="K5688" s="1543"/>
      <c r="L5688" s="1543"/>
      <c r="M5688" s="1543"/>
      <c r="N5688" s="1566"/>
    </row>
    <row r="5689" spans="1:14">
      <c r="A5689" s="1630" t="s">
        <v>3364</v>
      </c>
      <c r="B5689" s="876" t="s">
        <v>3199</v>
      </c>
      <c r="C5689" s="317">
        <v>1</v>
      </c>
      <c r="D5689" s="287"/>
      <c r="E5689" s="531"/>
      <c r="F5689" s="287"/>
      <c r="G5689" s="431"/>
      <c r="H5689" s="432"/>
      <c r="I5689" s="1567"/>
      <c r="J5689" s="1543"/>
      <c r="K5689" s="1543"/>
      <c r="L5689" s="1543"/>
      <c r="M5689" s="1543"/>
      <c r="N5689" s="1566"/>
    </row>
    <row r="5690" spans="1:14">
      <c r="A5690" s="1631"/>
      <c r="B5690" s="876" t="s">
        <v>3197</v>
      </c>
      <c r="C5690" s="743">
        <v>110</v>
      </c>
      <c r="D5690" s="198"/>
      <c r="E5690" s="341">
        <v>0.15</v>
      </c>
      <c r="F5690" s="341"/>
      <c r="G5690" s="341"/>
      <c r="H5690" s="349">
        <v>17.5</v>
      </c>
      <c r="I5690" s="1567"/>
      <c r="J5690" s="1543"/>
      <c r="K5690" s="1543"/>
      <c r="L5690" s="1543"/>
      <c r="M5690" s="1543"/>
      <c r="N5690" s="1566"/>
    </row>
    <row r="5691" spans="1:14">
      <c r="A5691" s="1632"/>
      <c r="B5691" s="876" t="s">
        <v>3198</v>
      </c>
      <c r="C5691" s="743">
        <v>43</v>
      </c>
      <c r="D5691" s="294"/>
      <c r="E5691" s="348">
        <v>0.15</v>
      </c>
      <c r="F5691" s="348"/>
      <c r="G5691" s="348"/>
      <c r="H5691" s="349">
        <v>6.7</v>
      </c>
      <c r="I5691" s="1567"/>
      <c r="J5691" s="1543"/>
      <c r="K5691" s="1543"/>
      <c r="L5691" s="1543"/>
      <c r="M5691" s="1543"/>
      <c r="N5691" s="1566"/>
    </row>
    <row r="5692" spans="1:14">
      <c r="A5692" s="1538" t="s">
        <v>2218</v>
      </c>
      <c r="B5692" s="1538"/>
      <c r="C5692" s="1538"/>
      <c r="D5692" s="1538"/>
      <c r="E5692" s="1538"/>
      <c r="F5692" s="1538"/>
      <c r="G5692" s="1538"/>
      <c r="H5692" s="271">
        <f>SUM(H5680:H5691)</f>
        <v>154</v>
      </c>
      <c r="I5692" s="1567"/>
      <c r="J5692" s="1543"/>
      <c r="K5692" s="1543"/>
      <c r="L5692" s="1543"/>
      <c r="M5692" s="1543"/>
      <c r="N5692" s="1566"/>
    </row>
    <row r="5693" spans="1:14">
      <c r="A5693" s="1519" t="s">
        <v>2219</v>
      </c>
      <c r="B5693" s="1517"/>
      <c r="C5693" s="1517"/>
      <c r="D5693" s="1551"/>
      <c r="E5693" s="1551"/>
      <c r="F5693" s="1551"/>
      <c r="G5693" s="1552"/>
      <c r="H5693" s="325">
        <f>SUM(H5680:H5688)</f>
        <v>129.80000000000001</v>
      </c>
      <c r="I5693" s="1543"/>
      <c r="J5693" s="1543"/>
      <c r="K5693" s="1543"/>
      <c r="L5693" s="1543"/>
      <c r="M5693" s="1543"/>
      <c r="N5693" s="1566"/>
    </row>
    <row r="5694" spans="1:14" ht="15.75" thickBot="1">
      <c r="A5694" s="1520" t="s">
        <v>2220</v>
      </c>
      <c r="B5694" s="1521"/>
      <c r="C5694" s="1521"/>
      <c r="D5694" s="1521"/>
      <c r="E5694" s="1521"/>
      <c r="F5694" s="1521"/>
      <c r="G5694" s="1522"/>
      <c r="H5694" s="216">
        <f>H5692-H5693</f>
        <v>24.199999999999989</v>
      </c>
      <c r="I5694" s="1568"/>
      <c r="J5694" s="1568"/>
      <c r="K5694" s="1568"/>
      <c r="L5694" s="1568"/>
      <c r="M5694" s="1568"/>
      <c r="N5694" s="1569"/>
    </row>
    <row r="5695" spans="1:14" ht="15.75" thickBot="1"/>
    <row r="5696" spans="1:14" ht="21" customHeight="1">
      <c r="A5696" s="211" t="s">
        <v>1439</v>
      </c>
      <c r="B5696" s="1494" t="s">
        <v>1441</v>
      </c>
      <c r="C5696" s="1495"/>
      <c r="D5696" s="1495"/>
      <c r="E5696" s="1495"/>
      <c r="F5696" s="1495"/>
      <c r="G5696" s="1495"/>
      <c r="H5696" s="1495"/>
      <c r="I5696" s="1495"/>
      <c r="J5696" s="1496"/>
      <c r="K5696" s="196" t="s">
        <v>28</v>
      </c>
      <c r="L5696" s="1497">
        <v>9</v>
      </c>
      <c r="M5696" s="1498"/>
      <c r="N5696" s="197">
        <f>L5696-H5705</f>
        <v>0</v>
      </c>
    </row>
    <row r="5697" spans="1:14">
      <c r="A5697" s="1554"/>
      <c r="B5697" s="1541"/>
      <c r="C5697" s="366"/>
      <c r="D5697" s="367" t="s">
        <v>2183</v>
      </c>
      <c r="E5697" s="1320" t="s">
        <v>2184</v>
      </c>
      <c r="F5697" s="367" t="s">
        <v>2185</v>
      </c>
      <c r="G5697" s="367" t="s">
        <v>2186</v>
      </c>
      <c r="H5697" s="1542" t="s">
        <v>476</v>
      </c>
      <c r="I5697" s="1543"/>
      <c r="J5697" s="1543"/>
      <c r="K5697" s="1543"/>
      <c r="L5697" s="1543"/>
      <c r="M5697" s="1543"/>
      <c r="N5697" s="1566"/>
    </row>
    <row r="5698" spans="1:14" ht="24">
      <c r="A5698" s="1554"/>
      <c r="B5698" s="1541"/>
      <c r="C5698" s="368" t="s">
        <v>2627</v>
      </c>
      <c r="D5698" s="369" t="s">
        <v>2187</v>
      </c>
      <c r="E5698" s="529" t="s">
        <v>3152</v>
      </c>
      <c r="F5698" s="369" t="s">
        <v>2649</v>
      </c>
      <c r="G5698" s="370" t="s">
        <v>2709</v>
      </c>
      <c r="H5698" s="1542"/>
      <c r="I5698" s="1543"/>
      <c r="J5698" s="1543"/>
      <c r="K5698" s="1543"/>
      <c r="L5698" s="1543"/>
      <c r="M5698" s="1543"/>
      <c r="N5698" s="1566"/>
    </row>
    <row r="5699" spans="1:14">
      <c r="A5699" s="1630" t="s">
        <v>3158</v>
      </c>
      <c r="B5699" s="876" t="s">
        <v>3199</v>
      </c>
      <c r="C5699" s="430"/>
      <c r="D5699" s="287"/>
      <c r="E5699" s="531"/>
      <c r="F5699" s="287"/>
      <c r="G5699" s="431"/>
      <c r="H5699" s="432"/>
      <c r="I5699" s="1567"/>
      <c r="J5699" s="1543"/>
      <c r="K5699" s="1543"/>
      <c r="L5699" s="1543"/>
      <c r="M5699" s="1543"/>
      <c r="N5699" s="1566"/>
    </row>
    <row r="5700" spans="1:14">
      <c r="A5700" s="1631"/>
      <c r="B5700" s="876" t="s">
        <v>3197</v>
      </c>
      <c r="C5700" s="882">
        <v>2</v>
      </c>
      <c r="D5700" s="198"/>
      <c r="E5700" s="341">
        <v>0.5</v>
      </c>
      <c r="F5700" s="341"/>
      <c r="G5700" s="341"/>
      <c r="H5700" s="349">
        <f>C5700*E5700</f>
        <v>1</v>
      </c>
      <c r="I5700" s="1567"/>
      <c r="J5700" s="1543"/>
      <c r="K5700" s="1543"/>
      <c r="L5700" s="1543"/>
      <c r="M5700" s="1543"/>
      <c r="N5700" s="1566"/>
    </row>
    <row r="5701" spans="1:14">
      <c r="A5701" s="1632"/>
      <c r="B5701" s="876" t="s">
        <v>3198</v>
      </c>
      <c r="C5701" s="757">
        <v>7</v>
      </c>
      <c r="D5701" s="294"/>
      <c r="E5701" s="348">
        <v>0.5</v>
      </c>
      <c r="F5701" s="348"/>
      <c r="G5701" s="348"/>
      <c r="H5701" s="349">
        <v>3</v>
      </c>
      <c r="I5701" s="1567"/>
      <c r="J5701" s="1543"/>
      <c r="K5701" s="1543"/>
      <c r="L5701" s="1543"/>
      <c r="M5701" s="1543"/>
      <c r="N5701" s="1566"/>
    </row>
    <row r="5702" spans="1:14">
      <c r="A5702" s="1630" t="s">
        <v>3217</v>
      </c>
      <c r="B5702" s="876" t="s">
        <v>3199</v>
      </c>
      <c r="C5702" s="430"/>
      <c r="D5702" s="287"/>
      <c r="E5702" s="531"/>
      <c r="F5702" s="287"/>
      <c r="G5702" s="431"/>
      <c r="H5702" s="432"/>
      <c r="I5702" s="1567"/>
      <c r="J5702" s="1543"/>
      <c r="K5702" s="1543"/>
      <c r="L5702" s="1543"/>
      <c r="M5702" s="1543"/>
      <c r="N5702" s="1566"/>
    </row>
    <row r="5703" spans="1:14">
      <c r="A5703" s="1631"/>
      <c r="B5703" s="876" t="s">
        <v>3197</v>
      </c>
      <c r="C5703" s="882">
        <v>2</v>
      </c>
      <c r="D5703" s="198"/>
      <c r="E5703" s="341">
        <v>0.5</v>
      </c>
      <c r="F5703" s="341"/>
      <c r="G5703" s="341"/>
      <c r="H5703" s="349">
        <f>C5703*E5703</f>
        <v>1</v>
      </c>
      <c r="I5703" s="1567"/>
      <c r="J5703" s="1543"/>
      <c r="K5703" s="1543"/>
      <c r="L5703" s="1543"/>
      <c r="M5703" s="1543"/>
      <c r="N5703" s="1566"/>
    </row>
    <row r="5704" spans="1:14">
      <c r="A5704" s="1632"/>
      <c r="B5704" s="876" t="s">
        <v>3198</v>
      </c>
      <c r="C5704" s="757">
        <v>7</v>
      </c>
      <c r="D5704" s="294"/>
      <c r="E5704" s="348">
        <v>0.5</v>
      </c>
      <c r="F5704" s="348"/>
      <c r="G5704" s="348"/>
      <c r="H5704" s="349">
        <v>4</v>
      </c>
      <c r="I5704" s="1567"/>
      <c r="J5704" s="1543"/>
      <c r="K5704" s="1543"/>
      <c r="L5704" s="1543"/>
      <c r="M5704" s="1543"/>
      <c r="N5704" s="1566"/>
    </row>
    <row r="5705" spans="1:14">
      <c r="A5705" s="1538" t="s">
        <v>2218</v>
      </c>
      <c r="B5705" s="1538"/>
      <c r="C5705" s="1538"/>
      <c r="D5705" s="1538"/>
      <c r="E5705" s="1538"/>
      <c r="F5705" s="1538"/>
      <c r="G5705" s="1538"/>
      <c r="H5705" s="271">
        <f>SUM(H5699:H5704)</f>
        <v>9</v>
      </c>
      <c r="I5705" s="1567"/>
      <c r="J5705" s="1543"/>
      <c r="K5705" s="1543"/>
      <c r="L5705" s="1543"/>
      <c r="M5705" s="1543"/>
      <c r="N5705" s="1566"/>
    </row>
    <row r="5706" spans="1:14">
      <c r="A5706" s="1519" t="s">
        <v>2219</v>
      </c>
      <c r="B5706" s="1517"/>
      <c r="C5706" s="1517"/>
      <c r="D5706" s="1551"/>
      <c r="E5706" s="1551"/>
      <c r="F5706" s="1551"/>
      <c r="G5706" s="1552"/>
      <c r="H5706" s="325">
        <f>SUM(H5699:H5701)</f>
        <v>4</v>
      </c>
      <c r="I5706" s="1543"/>
      <c r="J5706" s="1543"/>
      <c r="K5706" s="1543"/>
      <c r="L5706" s="1543"/>
      <c r="M5706" s="1543"/>
      <c r="N5706" s="1566"/>
    </row>
    <row r="5707" spans="1:14" ht="21" customHeight="1" thickBot="1">
      <c r="A5707" s="1520" t="s">
        <v>2220</v>
      </c>
      <c r="B5707" s="1521"/>
      <c r="C5707" s="1521"/>
      <c r="D5707" s="1521"/>
      <c r="E5707" s="1521"/>
      <c r="F5707" s="1521"/>
      <c r="G5707" s="1522"/>
      <c r="H5707" s="216">
        <f>H5705-H5706</f>
        <v>5</v>
      </c>
      <c r="I5707" s="1568"/>
      <c r="J5707" s="1568"/>
      <c r="K5707" s="1568"/>
      <c r="L5707" s="1568"/>
      <c r="M5707" s="1568"/>
      <c r="N5707" s="1569"/>
    </row>
    <row r="5708" spans="1:14" ht="15.75" thickBot="1">
      <c r="A5708" s="898"/>
      <c r="B5708" s="278"/>
      <c r="C5708" s="278"/>
      <c r="D5708" s="281"/>
      <c r="E5708" s="1319"/>
      <c r="F5708" s="278"/>
      <c r="G5708" s="278"/>
      <c r="H5708" s="217"/>
      <c r="I5708" s="279"/>
      <c r="J5708" s="321"/>
      <c r="K5708" s="322"/>
      <c r="L5708" s="322"/>
      <c r="M5708" s="321"/>
      <c r="N5708" s="323"/>
    </row>
    <row r="5709" spans="1:14">
      <c r="A5709" s="253" t="s">
        <v>3493</v>
      </c>
      <c r="B5709" s="1494" t="s">
        <v>1444</v>
      </c>
      <c r="C5709" s="1495"/>
      <c r="D5709" s="1495"/>
      <c r="E5709" s="1495"/>
      <c r="F5709" s="1495"/>
      <c r="G5709" s="1495"/>
      <c r="H5709" s="1495"/>
      <c r="I5709" s="1495"/>
      <c r="J5709" s="1496"/>
      <c r="K5709" s="196" t="s">
        <v>28</v>
      </c>
      <c r="L5709" s="1497">
        <f>'27ª MEDIÇÃO '!F387</f>
        <v>1</v>
      </c>
      <c r="M5709" s="1498"/>
      <c r="N5709" s="197">
        <f>L5709-H5714</f>
        <v>0</v>
      </c>
    </row>
    <row r="5710" spans="1:14">
      <c r="A5710" s="1554"/>
      <c r="B5710" s="1541"/>
      <c r="C5710" s="366"/>
      <c r="D5710" s="367" t="s">
        <v>2183</v>
      </c>
      <c r="E5710" s="1320" t="s">
        <v>2184</v>
      </c>
      <c r="F5710" s="367" t="s">
        <v>2185</v>
      </c>
      <c r="G5710" s="367" t="s">
        <v>2186</v>
      </c>
      <c r="H5710" s="1542" t="s">
        <v>476</v>
      </c>
      <c r="I5710" s="1543"/>
      <c r="J5710" s="1543"/>
      <c r="K5710" s="1543"/>
      <c r="L5710" s="1543"/>
      <c r="M5710" s="1543"/>
      <c r="N5710" s="1566"/>
    </row>
    <row r="5711" spans="1:14" ht="24">
      <c r="A5711" s="1554"/>
      <c r="B5711" s="1541"/>
      <c r="C5711" s="368" t="s">
        <v>2627</v>
      </c>
      <c r="D5711" s="369" t="s">
        <v>2187</v>
      </c>
      <c r="E5711" s="529" t="s">
        <v>3152</v>
      </c>
      <c r="F5711" s="369" t="s">
        <v>2649</v>
      </c>
      <c r="G5711" s="370" t="s">
        <v>2709</v>
      </c>
      <c r="H5711" s="1542"/>
      <c r="I5711" s="1543"/>
      <c r="J5711" s="1543"/>
      <c r="K5711" s="1543"/>
      <c r="L5711" s="1543"/>
      <c r="M5711" s="1543"/>
      <c r="N5711" s="1566"/>
    </row>
    <row r="5712" spans="1:14">
      <c r="A5712" s="1544" t="s">
        <v>3465</v>
      </c>
      <c r="B5712" s="429" t="s">
        <v>3487</v>
      </c>
      <c r="C5712" s="756">
        <v>1</v>
      </c>
      <c r="D5712" s="202"/>
      <c r="E5712" s="346">
        <v>1</v>
      </c>
      <c r="F5712" s="346"/>
      <c r="G5712" s="346"/>
      <c r="H5712" s="943">
        <f>E5712*C5712</f>
        <v>1</v>
      </c>
      <c r="I5712" s="1567"/>
      <c r="J5712" s="1543"/>
      <c r="K5712" s="1543"/>
      <c r="L5712" s="1543"/>
      <c r="M5712" s="1543"/>
      <c r="N5712" s="1566"/>
    </row>
    <row r="5713" spans="1:14">
      <c r="A5713" s="1544"/>
      <c r="B5713" s="753"/>
      <c r="C5713" s="757"/>
      <c r="D5713" s="294"/>
      <c r="E5713" s="348"/>
      <c r="F5713" s="348"/>
      <c r="G5713" s="348"/>
      <c r="H5713" s="943"/>
      <c r="I5713" s="1567"/>
      <c r="J5713" s="1543"/>
      <c r="K5713" s="1543"/>
      <c r="L5713" s="1543"/>
      <c r="M5713" s="1543"/>
      <c r="N5713" s="1566"/>
    </row>
    <row r="5714" spans="1:14">
      <c r="A5714" s="1538" t="s">
        <v>2218</v>
      </c>
      <c r="B5714" s="1538"/>
      <c r="C5714" s="1538"/>
      <c r="D5714" s="1538"/>
      <c r="E5714" s="1538"/>
      <c r="F5714" s="1538"/>
      <c r="G5714" s="1538"/>
      <c r="H5714" s="271">
        <f>SUM(H5712:H5713)</f>
        <v>1</v>
      </c>
      <c r="I5714" s="1567"/>
      <c r="J5714" s="1543"/>
      <c r="K5714" s="1543"/>
      <c r="L5714" s="1543"/>
      <c r="M5714" s="1543"/>
      <c r="N5714" s="1566"/>
    </row>
    <row r="5715" spans="1:14">
      <c r="A5715" s="1519" t="s">
        <v>2219</v>
      </c>
      <c r="B5715" s="1517"/>
      <c r="C5715" s="1517"/>
      <c r="D5715" s="1551"/>
      <c r="E5715" s="1551"/>
      <c r="F5715" s="1551"/>
      <c r="G5715" s="1552"/>
      <c r="H5715" s="325">
        <v>0</v>
      </c>
      <c r="I5715" s="1543"/>
      <c r="J5715" s="1543"/>
      <c r="K5715" s="1543"/>
      <c r="L5715" s="1543"/>
      <c r="M5715" s="1543"/>
      <c r="N5715" s="1566"/>
    </row>
    <row r="5716" spans="1:14" ht="15.75" thickBot="1">
      <c r="A5716" s="1520" t="s">
        <v>2220</v>
      </c>
      <c r="B5716" s="1521"/>
      <c r="C5716" s="1521"/>
      <c r="D5716" s="1521"/>
      <c r="E5716" s="1521"/>
      <c r="F5716" s="1521"/>
      <c r="G5716" s="1522"/>
      <c r="H5716" s="216">
        <f>H5714-H5715</f>
        <v>1</v>
      </c>
      <c r="I5716" s="1568"/>
      <c r="J5716" s="1568"/>
      <c r="K5716" s="1568"/>
      <c r="L5716" s="1568"/>
      <c r="M5716" s="1568"/>
      <c r="N5716" s="1569"/>
    </row>
    <row r="5717" spans="1:14" ht="15.75" thickBot="1"/>
    <row r="5718" spans="1:14" ht="21" customHeight="1">
      <c r="A5718" s="253" t="s">
        <v>3494</v>
      </c>
      <c r="B5718" s="1494" t="s">
        <v>1447</v>
      </c>
      <c r="C5718" s="1495"/>
      <c r="D5718" s="1495"/>
      <c r="E5718" s="1495"/>
      <c r="F5718" s="1495"/>
      <c r="G5718" s="1495"/>
      <c r="H5718" s="1495"/>
      <c r="I5718" s="1495"/>
      <c r="J5718" s="1496"/>
      <c r="K5718" s="196" t="s">
        <v>28</v>
      </c>
      <c r="L5718" s="1497">
        <f>'27ª MEDIÇÃO '!F388</f>
        <v>2</v>
      </c>
      <c r="M5718" s="1498"/>
      <c r="N5718" s="197">
        <f>L5718-H5723</f>
        <v>0</v>
      </c>
    </row>
    <row r="5719" spans="1:14">
      <c r="A5719" s="1554"/>
      <c r="B5719" s="1541"/>
      <c r="C5719" s="366"/>
      <c r="D5719" s="367" t="s">
        <v>2183</v>
      </c>
      <c r="E5719" s="1320" t="s">
        <v>2184</v>
      </c>
      <c r="F5719" s="367" t="s">
        <v>2185</v>
      </c>
      <c r="G5719" s="367" t="s">
        <v>2186</v>
      </c>
      <c r="H5719" s="1542" t="s">
        <v>476</v>
      </c>
      <c r="I5719" s="1543"/>
      <c r="J5719" s="1543"/>
      <c r="K5719" s="1543"/>
      <c r="L5719" s="1543"/>
      <c r="M5719" s="1543"/>
      <c r="N5719" s="1566"/>
    </row>
    <row r="5720" spans="1:14" ht="24">
      <c r="A5720" s="1554"/>
      <c r="B5720" s="1541"/>
      <c r="C5720" s="368" t="s">
        <v>2627</v>
      </c>
      <c r="D5720" s="369" t="s">
        <v>2187</v>
      </c>
      <c r="E5720" s="529" t="s">
        <v>3152</v>
      </c>
      <c r="F5720" s="369" t="s">
        <v>2649</v>
      </c>
      <c r="G5720" s="370" t="s">
        <v>2709</v>
      </c>
      <c r="H5720" s="1542"/>
      <c r="I5720" s="1543"/>
      <c r="J5720" s="1543"/>
      <c r="K5720" s="1543"/>
      <c r="L5720" s="1543"/>
      <c r="M5720" s="1543"/>
      <c r="N5720" s="1566"/>
    </row>
    <row r="5721" spans="1:14">
      <c r="A5721" s="1544" t="s">
        <v>3465</v>
      </c>
      <c r="B5721" s="429" t="s">
        <v>3487</v>
      </c>
      <c r="C5721" s="756">
        <v>2</v>
      </c>
      <c r="D5721" s="202"/>
      <c r="E5721" s="346">
        <v>1</v>
      </c>
      <c r="F5721" s="346"/>
      <c r="G5721" s="346"/>
      <c r="H5721" s="943">
        <f>E5721*C5721</f>
        <v>2</v>
      </c>
      <c r="I5721" s="1567"/>
      <c r="J5721" s="1543"/>
      <c r="K5721" s="1543"/>
      <c r="L5721" s="1543"/>
      <c r="M5721" s="1543"/>
      <c r="N5721" s="1566"/>
    </row>
    <row r="5722" spans="1:14">
      <c r="A5722" s="1544"/>
      <c r="B5722" s="753"/>
      <c r="C5722" s="757"/>
      <c r="D5722" s="294"/>
      <c r="E5722" s="348"/>
      <c r="F5722" s="348"/>
      <c r="G5722" s="348"/>
      <c r="H5722" s="943"/>
      <c r="I5722" s="1567"/>
      <c r="J5722" s="1543"/>
      <c r="K5722" s="1543"/>
      <c r="L5722" s="1543"/>
      <c r="M5722" s="1543"/>
      <c r="N5722" s="1566"/>
    </row>
    <row r="5723" spans="1:14">
      <c r="A5723" s="1538" t="s">
        <v>2218</v>
      </c>
      <c r="B5723" s="1538"/>
      <c r="C5723" s="1538"/>
      <c r="D5723" s="1538"/>
      <c r="E5723" s="1538"/>
      <c r="F5723" s="1538"/>
      <c r="G5723" s="1538"/>
      <c r="H5723" s="271">
        <f>SUM(H5721:H5722)</f>
        <v>2</v>
      </c>
      <c r="I5723" s="1567"/>
      <c r="J5723" s="1543"/>
      <c r="K5723" s="1543"/>
      <c r="L5723" s="1543"/>
      <c r="M5723" s="1543"/>
      <c r="N5723" s="1566"/>
    </row>
    <row r="5724" spans="1:14">
      <c r="A5724" s="1519" t="s">
        <v>2219</v>
      </c>
      <c r="B5724" s="1517"/>
      <c r="C5724" s="1517"/>
      <c r="D5724" s="1551"/>
      <c r="E5724" s="1551"/>
      <c r="F5724" s="1551"/>
      <c r="G5724" s="1552"/>
      <c r="H5724" s="325">
        <v>0</v>
      </c>
      <c r="I5724" s="1543"/>
      <c r="J5724" s="1543"/>
      <c r="K5724" s="1543"/>
      <c r="L5724" s="1543"/>
      <c r="M5724" s="1543"/>
      <c r="N5724" s="1566"/>
    </row>
    <row r="5725" spans="1:14" ht="15.75" thickBot="1">
      <c r="A5725" s="1520" t="s">
        <v>2220</v>
      </c>
      <c r="B5725" s="1521"/>
      <c r="C5725" s="1521"/>
      <c r="D5725" s="1521"/>
      <c r="E5725" s="1521"/>
      <c r="F5725" s="1521"/>
      <c r="G5725" s="1522"/>
      <c r="H5725" s="216">
        <f>H5723-H5724</f>
        <v>2</v>
      </c>
      <c r="I5725" s="1568"/>
      <c r="J5725" s="1568"/>
      <c r="K5725" s="1568"/>
      <c r="L5725" s="1568"/>
      <c r="M5725" s="1568"/>
      <c r="N5725" s="1569"/>
    </row>
    <row r="5727" spans="1:14">
      <c r="A5727" s="1119" t="s">
        <v>3420</v>
      </c>
      <c r="B5727" s="1561" t="s">
        <v>1450</v>
      </c>
      <c r="C5727" s="1562"/>
      <c r="D5727" s="1562"/>
      <c r="E5727" s="1562"/>
      <c r="F5727" s="1562"/>
      <c r="G5727" s="1562"/>
      <c r="H5727" s="1562"/>
      <c r="I5727" s="1562"/>
      <c r="J5727" s="1563"/>
      <c r="K5727" s="264" t="s">
        <v>28</v>
      </c>
      <c r="L5727" s="1564">
        <f>'27ª MEDIÇÃO '!F389</f>
        <v>156</v>
      </c>
      <c r="M5727" s="1565"/>
      <c r="N5727" s="265">
        <f>L5727-H5739</f>
        <v>0</v>
      </c>
    </row>
    <row r="5728" spans="1:14">
      <c r="A5728" s="1554"/>
      <c r="B5728" s="1541"/>
      <c r="C5728" s="366"/>
      <c r="D5728" s="367" t="s">
        <v>2183</v>
      </c>
      <c r="E5728" s="1320" t="s">
        <v>2184</v>
      </c>
      <c r="F5728" s="367" t="s">
        <v>2185</v>
      </c>
      <c r="G5728" s="367" t="s">
        <v>2186</v>
      </c>
      <c r="H5728" s="1542" t="s">
        <v>476</v>
      </c>
      <c r="I5728" s="1543"/>
      <c r="J5728" s="1543"/>
      <c r="K5728" s="1543"/>
      <c r="L5728" s="1543"/>
      <c r="M5728" s="1543"/>
      <c r="N5728" s="1566"/>
    </row>
    <row r="5729" spans="1:14" ht="21" customHeight="1">
      <c r="A5729" s="1554"/>
      <c r="B5729" s="1541"/>
      <c r="C5729" s="368" t="s">
        <v>2627</v>
      </c>
      <c r="D5729" s="369" t="s">
        <v>2187</v>
      </c>
      <c r="E5729" s="529" t="s">
        <v>3152</v>
      </c>
      <c r="F5729" s="369" t="s">
        <v>2649</v>
      </c>
      <c r="G5729" s="370" t="s">
        <v>2709</v>
      </c>
      <c r="H5729" s="1542"/>
      <c r="I5729" s="1543"/>
      <c r="J5729" s="1543"/>
      <c r="K5729" s="1543"/>
      <c r="L5729" s="1543"/>
      <c r="M5729" s="1543"/>
      <c r="N5729" s="1566"/>
    </row>
    <row r="5730" spans="1:14">
      <c r="A5730" s="1630" t="s">
        <v>3364</v>
      </c>
      <c r="B5730" s="876" t="s">
        <v>3199</v>
      </c>
      <c r="C5730" s="317">
        <v>1</v>
      </c>
      <c r="D5730" s="287"/>
      <c r="E5730" s="531"/>
      <c r="F5730" s="287"/>
      <c r="G5730" s="431"/>
      <c r="H5730" s="432"/>
      <c r="I5730" s="1567"/>
      <c r="J5730" s="1543"/>
      <c r="K5730" s="1543"/>
      <c r="L5730" s="1543"/>
      <c r="M5730" s="1543"/>
      <c r="N5730" s="1566"/>
    </row>
    <row r="5731" spans="1:14">
      <c r="A5731" s="1631"/>
      <c r="B5731" s="876" t="s">
        <v>3197</v>
      </c>
      <c r="C5731" s="743">
        <v>91</v>
      </c>
      <c r="D5731" s="198"/>
      <c r="E5731" s="341">
        <v>0.55000000000000004</v>
      </c>
      <c r="F5731" s="341"/>
      <c r="G5731" s="341"/>
      <c r="H5731" s="349">
        <v>50</v>
      </c>
      <c r="I5731" s="1567"/>
      <c r="J5731" s="1543"/>
      <c r="K5731" s="1543"/>
      <c r="L5731" s="1543"/>
      <c r="M5731" s="1543"/>
      <c r="N5731" s="1566"/>
    </row>
    <row r="5732" spans="1:14">
      <c r="A5732" s="1632"/>
      <c r="B5732" s="876" t="s">
        <v>3198</v>
      </c>
      <c r="C5732" s="743">
        <v>64</v>
      </c>
      <c r="D5732" s="294"/>
      <c r="E5732" s="348">
        <v>0.7</v>
      </c>
      <c r="F5732" s="348"/>
      <c r="G5732" s="348"/>
      <c r="H5732" s="349">
        <v>45</v>
      </c>
      <c r="I5732" s="1567"/>
      <c r="J5732" s="1543"/>
      <c r="K5732" s="1543"/>
      <c r="L5732" s="1543"/>
      <c r="M5732" s="1543"/>
      <c r="N5732" s="1566"/>
    </row>
    <row r="5733" spans="1:14">
      <c r="A5733" s="1630" t="s">
        <v>3428</v>
      </c>
      <c r="B5733" s="876" t="s">
        <v>3199</v>
      </c>
      <c r="C5733" s="317">
        <v>1</v>
      </c>
      <c r="D5733" s="287"/>
      <c r="E5733" s="531"/>
      <c r="F5733" s="287"/>
      <c r="G5733" s="431"/>
      <c r="H5733" s="432"/>
      <c r="I5733" s="1567"/>
      <c r="J5733" s="1543"/>
      <c r="K5733" s="1543"/>
      <c r="L5733" s="1543"/>
      <c r="M5733" s="1543"/>
      <c r="N5733" s="1566"/>
    </row>
    <row r="5734" spans="1:14">
      <c r="A5734" s="1631"/>
      <c r="B5734" s="876" t="s">
        <v>3197</v>
      </c>
      <c r="C5734" s="743">
        <v>91</v>
      </c>
      <c r="D5734" s="198"/>
      <c r="E5734" s="341">
        <v>0.25</v>
      </c>
      <c r="F5734" s="341"/>
      <c r="G5734" s="341"/>
      <c r="H5734" s="349">
        <v>22</v>
      </c>
      <c r="I5734" s="1567"/>
      <c r="J5734" s="1543"/>
      <c r="K5734" s="1543"/>
      <c r="L5734" s="1543"/>
      <c r="M5734" s="1543"/>
      <c r="N5734" s="1566"/>
    </row>
    <row r="5735" spans="1:14">
      <c r="A5735" s="1632"/>
      <c r="B5735" s="876" t="s">
        <v>3198</v>
      </c>
      <c r="C5735" s="743">
        <v>64</v>
      </c>
      <c r="D5735" s="294"/>
      <c r="E5735" s="348">
        <v>0.3</v>
      </c>
      <c r="F5735" s="348"/>
      <c r="G5735" s="348"/>
      <c r="H5735" s="349">
        <v>20</v>
      </c>
      <c r="I5735" s="1567"/>
      <c r="J5735" s="1543"/>
      <c r="K5735" s="1543"/>
      <c r="L5735" s="1543"/>
      <c r="M5735" s="1543"/>
      <c r="N5735" s="1566"/>
    </row>
    <row r="5736" spans="1:14">
      <c r="A5736" s="1630" t="s">
        <v>3465</v>
      </c>
      <c r="B5736" s="876" t="s">
        <v>3199</v>
      </c>
      <c r="C5736" s="317">
        <v>1</v>
      </c>
      <c r="D5736" s="287"/>
      <c r="E5736" s="531">
        <v>1</v>
      </c>
      <c r="F5736" s="287"/>
      <c r="G5736" s="431"/>
      <c r="H5736" s="432">
        <v>1</v>
      </c>
      <c r="I5736" s="1567"/>
      <c r="J5736" s="1543"/>
      <c r="K5736" s="1543"/>
      <c r="L5736" s="1543"/>
      <c r="M5736" s="1543"/>
      <c r="N5736" s="1566"/>
    </row>
    <row r="5737" spans="1:14">
      <c r="A5737" s="1631"/>
      <c r="B5737" s="876" t="s">
        <v>3197</v>
      </c>
      <c r="C5737" s="743">
        <v>91</v>
      </c>
      <c r="D5737" s="198"/>
      <c r="E5737" s="341">
        <v>0.2</v>
      </c>
      <c r="F5737" s="341"/>
      <c r="G5737" s="341"/>
      <c r="H5737" s="349">
        <v>18</v>
      </c>
      <c r="I5737" s="1567"/>
      <c r="J5737" s="1543"/>
      <c r="K5737" s="1543"/>
      <c r="L5737" s="1543"/>
      <c r="M5737" s="1543"/>
      <c r="N5737" s="1566"/>
    </row>
    <row r="5738" spans="1:14">
      <c r="A5738" s="1632"/>
      <c r="B5738" s="876" t="s">
        <v>3198</v>
      </c>
      <c r="C5738" s="743">
        <v>64</v>
      </c>
      <c r="D5738" s="294"/>
      <c r="E5738" s="348"/>
      <c r="F5738" s="348"/>
      <c r="G5738" s="348"/>
      <c r="H5738" s="349"/>
      <c r="I5738" s="1567"/>
      <c r="J5738" s="1543"/>
      <c r="K5738" s="1543"/>
      <c r="L5738" s="1543"/>
      <c r="M5738" s="1543"/>
      <c r="N5738" s="1566"/>
    </row>
    <row r="5739" spans="1:14">
      <c r="A5739" s="1538" t="s">
        <v>2218</v>
      </c>
      <c r="B5739" s="1538"/>
      <c r="C5739" s="1538"/>
      <c r="D5739" s="1538"/>
      <c r="E5739" s="1538"/>
      <c r="F5739" s="1538"/>
      <c r="G5739" s="1538"/>
      <c r="H5739" s="271">
        <f>SUM(H5731:H5738)</f>
        <v>156</v>
      </c>
      <c r="I5739" s="1567"/>
      <c r="J5739" s="1543"/>
      <c r="K5739" s="1543"/>
      <c r="L5739" s="1543"/>
      <c r="M5739" s="1543"/>
      <c r="N5739" s="1566"/>
    </row>
    <row r="5740" spans="1:14" ht="21" customHeight="1">
      <c r="A5740" s="1519" t="s">
        <v>2219</v>
      </c>
      <c r="B5740" s="1517"/>
      <c r="C5740" s="1517"/>
      <c r="D5740" s="1551"/>
      <c r="E5740" s="1551"/>
      <c r="F5740" s="1551"/>
      <c r="G5740" s="1552"/>
      <c r="H5740" s="325">
        <f>SUM(H5730:H5735)</f>
        <v>137</v>
      </c>
      <c r="I5740" s="1543"/>
      <c r="J5740" s="1543"/>
      <c r="K5740" s="1543"/>
      <c r="L5740" s="1543"/>
      <c r="M5740" s="1543"/>
      <c r="N5740" s="1566"/>
    </row>
    <row r="5741" spans="1:14" ht="15.75" thickBot="1">
      <c r="A5741" s="1520" t="s">
        <v>2220</v>
      </c>
      <c r="B5741" s="1521"/>
      <c r="C5741" s="1521"/>
      <c r="D5741" s="1521"/>
      <c r="E5741" s="1521"/>
      <c r="F5741" s="1521"/>
      <c r="G5741" s="1522"/>
      <c r="H5741" s="216">
        <f>H5739-H5740</f>
        <v>19</v>
      </c>
      <c r="I5741" s="1568"/>
      <c r="J5741" s="1568"/>
      <c r="K5741" s="1568"/>
      <c r="L5741" s="1568"/>
      <c r="M5741" s="1568"/>
      <c r="N5741" s="1569"/>
    </row>
    <row r="5742" spans="1:14" ht="15.75" thickBot="1"/>
    <row r="5743" spans="1:14">
      <c r="A5743" s="253" t="s">
        <v>3495</v>
      </c>
      <c r="B5743" s="1494" t="s">
        <v>1453</v>
      </c>
      <c r="C5743" s="1495"/>
      <c r="D5743" s="1495"/>
      <c r="E5743" s="1495"/>
      <c r="F5743" s="1495"/>
      <c r="G5743" s="1495"/>
      <c r="H5743" s="1495"/>
      <c r="I5743" s="1495"/>
      <c r="J5743" s="1496"/>
      <c r="K5743" s="196" t="s">
        <v>28</v>
      </c>
      <c r="L5743" s="1497">
        <f>'27ª MEDIÇÃO '!F390</f>
        <v>1</v>
      </c>
      <c r="M5743" s="1498"/>
      <c r="N5743" s="197">
        <f>L5743-H5748</f>
        <v>0</v>
      </c>
    </row>
    <row r="5744" spans="1:14">
      <c r="A5744" s="1554"/>
      <c r="B5744" s="1541"/>
      <c r="C5744" s="366"/>
      <c r="D5744" s="367" t="s">
        <v>2183</v>
      </c>
      <c r="E5744" s="1320" t="s">
        <v>2184</v>
      </c>
      <c r="F5744" s="367" t="s">
        <v>2185</v>
      </c>
      <c r="G5744" s="367" t="s">
        <v>2186</v>
      </c>
      <c r="H5744" s="1542" t="s">
        <v>476</v>
      </c>
      <c r="I5744" s="1543"/>
      <c r="J5744" s="1543"/>
      <c r="K5744" s="1543"/>
      <c r="L5744" s="1543"/>
      <c r="M5744" s="1543"/>
      <c r="N5744" s="1566"/>
    </row>
    <row r="5745" spans="1:14" ht="24">
      <c r="A5745" s="1554"/>
      <c r="B5745" s="1541"/>
      <c r="C5745" s="368" t="s">
        <v>2627</v>
      </c>
      <c r="D5745" s="369" t="s">
        <v>2187</v>
      </c>
      <c r="E5745" s="529" t="s">
        <v>3152</v>
      </c>
      <c r="F5745" s="369" t="s">
        <v>2649</v>
      </c>
      <c r="G5745" s="370" t="s">
        <v>2709</v>
      </c>
      <c r="H5745" s="1542"/>
      <c r="I5745" s="1543"/>
      <c r="J5745" s="1543"/>
      <c r="K5745" s="1543"/>
      <c r="L5745" s="1543"/>
      <c r="M5745" s="1543"/>
      <c r="N5745" s="1566"/>
    </row>
    <row r="5746" spans="1:14">
      <c r="A5746" s="1544" t="s">
        <v>3465</v>
      </c>
      <c r="B5746" s="429" t="s">
        <v>3487</v>
      </c>
      <c r="C5746" s="756">
        <v>1</v>
      </c>
      <c r="D5746" s="202"/>
      <c r="E5746" s="346">
        <v>1</v>
      </c>
      <c r="F5746" s="346"/>
      <c r="G5746" s="346"/>
      <c r="H5746" s="943">
        <f>E5746*C5746</f>
        <v>1</v>
      </c>
      <c r="I5746" s="1567"/>
      <c r="J5746" s="1543"/>
      <c r="K5746" s="1543"/>
      <c r="L5746" s="1543"/>
      <c r="M5746" s="1543"/>
      <c r="N5746" s="1566"/>
    </row>
    <row r="5747" spans="1:14">
      <c r="A5747" s="1544"/>
      <c r="B5747" s="753"/>
      <c r="C5747" s="757"/>
      <c r="D5747" s="294"/>
      <c r="E5747" s="348"/>
      <c r="F5747" s="348"/>
      <c r="G5747" s="348"/>
      <c r="H5747" s="943"/>
      <c r="I5747" s="1567"/>
      <c r="J5747" s="1543"/>
      <c r="K5747" s="1543"/>
      <c r="L5747" s="1543"/>
      <c r="M5747" s="1543"/>
      <c r="N5747" s="1566"/>
    </row>
    <row r="5748" spans="1:14">
      <c r="A5748" s="1538" t="s">
        <v>2218</v>
      </c>
      <c r="B5748" s="1538"/>
      <c r="C5748" s="1538"/>
      <c r="D5748" s="1538"/>
      <c r="E5748" s="1538"/>
      <c r="F5748" s="1538"/>
      <c r="G5748" s="1538"/>
      <c r="H5748" s="271">
        <f>SUM(H5746:H5747)</f>
        <v>1</v>
      </c>
      <c r="I5748" s="1567"/>
      <c r="J5748" s="1543"/>
      <c r="K5748" s="1543"/>
      <c r="L5748" s="1543"/>
      <c r="M5748" s="1543"/>
      <c r="N5748" s="1566"/>
    </row>
    <row r="5749" spans="1:14">
      <c r="A5749" s="1519" t="s">
        <v>2219</v>
      </c>
      <c r="B5749" s="1517"/>
      <c r="C5749" s="1517"/>
      <c r="D5749" s="1551"/>
      <c r="E5749" s="1551"/>
      <c r="F5749" s="1551"/>
      <c r="G5749" s="1552"/>
      <c r="H5749" s="325">
        <v>0</v>
      </c>
      <c r="I5749" s="1543"/>
      <c r="J5749" s="1543"/>
      <c r="K5749" s="1543"/>
      <c r="L5749" s="1543"/>
      <c r="M5749" s="1543"/>
      <c r="N5749" s="1566"/>
    </row>
    <row r="5750" spans="1:14" ht="15.75" thickBot="1">
      <c r="A5750" s="1520" t="s">
        <v>2220</v>
      </c>
      <c r="B5750" s="1521"/>
      <c r="C5750" s="1521"/>
      <c r="D5750" s="1521"/>
      <c r="E5750" s="1521"/>
      <c r="F5750" s="1521"/>
      <c r="G5750" s="1522"/>
      <c r="H5750" s="216">
        <f>H5748-H5749</f>
        <v>1</v>
      </c>
      <c r="I5750" s="1568"/>
      <c r="J5750" s="1568"/>
      <c r="K5750" s="1568"/>
      <c r="L5750" s="1568"/>
      <c r="M5750" s="1568"/>
      <c r="N5750" s="1569"/>
    </row>
    <row r="5751" spans="1:14" ht="21" customHeight="1" thickBot="1"/>
    <row r="5752" spans="1:14">
      <c r="A5752" s="253" t="s">
        <v>3496</v>
      </c>
      <c r="B5752" s="1494" t="s">
        <v>1456</v>
      </c>
      <c r="C5752" s="1495"/>
      <c r="D5752" s="1495"/>
      <c r="E5752" s="1495"/>
      <c r="F5752" s="1495"/>
      <c r="G5752" s="1495"/>
      <c r="H5752" s="1495"/>
      <c r="I5752" s="1495"/>
      <c r="J5752" s="1496"/>
      <c r="K5752" s="196" t="s">
        <v>28</v>
      </c>
      <c r="L5752" s="1497">
        <f>'27ª MEDIÇÃO '!F391</f>
        <v>1</v>
      </c>
      <c r="M5752" s="1498"/>
      <c r="N5752" s="197">
        <f>L5752-H5757</f>
        <v>0</v>
      </c>
    </row>
    <row r="5753" spans="1:14">
      <c r="A5753" s="1554"/>
      <c r="B5753" s="1541"/>
      <c r="C5753" s="366"/>
      <c r="D5753" s="367" t="s">
        <v>2183</v>
      </c>
      <c r="E5753" s="1320" t="s">
        <v>2184</v>
      </c>
      <c r="F5753" s="367" t="s">
        <v>2185</v>
      </c>
      <c r="G5753" s="367" t="s">
        <v>2186</v>
      </c>
      <c r="H5753" s="1542" t="s">
        <v>476</v>
      </c>
      <c r="I5753" s="1543"/>
      <c r="J5753" s="1543"/>
      <c r="K5753" s="1543"/>
      <c r="L5753" s="1543"/>
      <c r="M5753" s="1543"/>
      <c r="N5753" s="1566"/>
    </row>
    <row r="5754" spans="1:14" ht="24">
      <c r="A5754" s="1554"/>
      <c r="B5754" s="1541"/>
      <c r="C5754" s="368" t="s">
        <v>2627</v>
      </c>
      <c r="D5754" s="369" t="s">
        <v>2187</v>
      </c>
      <c r="E5754" s="529" t="s">
        <v>3152</v>
      </c>
      <c r="F5754" s="369" t="s">
        <v>2649</v>
      </c>
      <c r="G5754" s="370" t="s">
        <v>2709</v>
      </c>
      <c r="H5754" s="1542"/>
      <c r="I5754" s="1543"/>
      <c r="J5754" s="1543"/>
      <c r="K5754" s="1543"/>
      <c r="L5754" s="1543"/>
      <c r="M5754" s="1543"/>
      <c r="N5754" s="1566"/>
    </row>
    <row r="5755" spans="1:14">
      <c r="A5755" s="1544" t="s">
        <v>3465</v>
      </c>
      <c r="B5755" s="429" t="s">
        <v>3487</v>
      </c>
      <c r="C5755" s="756">
        <v>1</v>
      </c>
      <c r="D5755" s="202"/>
      <c r="E5755" s="346">
        <v>1</v>
      </c>
      <c r="F5755" s="346"/>
      <c r="G5755" s="346"/>
      <c r="H5755" s="943">
        <f>E5755*C5755</f>
        <v>1</v>
      </c>
      <c r="I5755" s="1567"/>
      <c r="J5755" s="1543"/>
      <c r="K5755" s="1543"/>
      <c r="L5755" s="1543"/>
      <c r="M5755" s="1543"/>
      <c r="N5755" s="1566"/>
    </row>
    <row r="5756" spans="1:14">
      <c r="A5756" s="1544"/>
      <c r="B5756" s="753"/>
      <c r="C5756" s="757"/>
      <c r="D5756" s="294"/>
      <c r="E5756" s="348"/>
      <c r="F5756" s="348"/>
      <c r="G5756" s="348"/>
      <c r="H5756" s="943"/>
      <c r="I5756" s="1567"/>
      <c r="J5756" s="1543"/>
      <c r="K5756" s="1543"/>
      <c r="L5756" s="1543"/>
      <c r="M5756" s="1543"/>
      <c r="N5756" s="1566"/>
    </row>
    <row r="5757" spans="1:14">
      <c r="A5757" s="1538" t="s">
        <v>2218</v>
      </c>
      <c r="B5757" s="1538"/>
      <c r="C5757" s="1538"/>
      <c r="D5757" s="1538"/>
      <c r="E5757" s="1538"/>
      <c r="F5757" s="1538"/>
      <c r="G5757" s="1538"/>
      <c r="H5757" s="271">
        <f>SUM(H5755:H5756)</f>
        <v>1</v>
      </c>
      <c r="I5757" s="1567"/>
      <c r="J5757" s="1543"/>
      <c r="K5757" s="1543"/>
      <c r="L5757" s="1543"/>
      <c r="M5757" s="1543"/>
      <c r="N5757" s="1566"/>
    </row>
    <row r="5758" spans="1:14">
      <c r="A5758" s="1519" t="s">
        <v>2219</v>
      </c>
      <c r="B5758" s="1517"/>
      <c r="C5758" s="1517"/>
      <c r="D5758" s="1551"/>
      <c r="E5758" s="1551"/>
      <c r="F5758" s="1551"/>
      <c r="G5758" s="1552"/>
      <c r="H5758" s="325">
        <v>0</v>
      </c>
      <c r="I5758" s="1543"/>
      <c r="J5758" s="1543"/>
      <c r="K5758" s="1543"/>
      <c r="L5758" s="1543"/>
      <c r="M5758" s="1543"/>
      <c r="N5758" s="1566"/>
    </row>
    <row r="5759" spans="1:14" ht="15.75" thickBot="1">
      <c r="A5759" s="1520" t="s">
        <v>2220</v>
      </c>
      <c r="B5759" s="1521"/>
      <c r="C5759" s="1521"/>
      <c r="D5759" s="1521"/>
      <c r="E5759" s="1521"/>
      <c r="F5759" s="1521"/>
      <c r="G5759" s="1522"/>
      <c r="H5759" s="216">
        <f>H5757-H5758</f>
        <v>1</v>
      </c>
      <c r="I5759" s="1568"/>
      <c r="J5759" s="1568"/>
      <c r="K5759" s="1568"/>
      <c r="L5759" s="1568"/>
      <c r="M5759" s="1568"/>
      <c r="N5759" s="1569"/>
    </row>
    <row r="5760" spans="1:14" ht="15.75" thickBot="1"/>
    <row r="5761" spans="1:14">
      <c r="A5761" s="253" t="s">
        <v>3497</v>
      </c>
      <c r="B5761" s="1494" t="s">
        <v>1459</v>
      </c>
      <c r="C5761" s="1495"/>
      <c r="D5761" s="1495"/>
      <c r="E5761" s="1495"/>
      <c r="F5761" s="1495"/>
      <c r="G5761" s="1495"/>
      <c r="H5761" s="1495"/>
      <c r="I5761" s="1495"/>
      <c r="J5761" s="1496"/>
      <c r="K5761" s="196" t="s">
        <v>28</v>
      </c>
      <c r="L5761" s="1497">
        <f>'27ª MEDIÇÃO '!F392</f>
        <v>36</v>
      </c>
      <c r="M5761" s="1498"/>
      <c r="N5761" s="197">
        <f>L5761-H5766</f>
        <v>0</v>
      </c>
    </row>
    <row r="5762" spans="1:14" ht="21" customHeight="1">
      <c r="A5762" s="1554"/>
      <c r="B5762" s="1541"/>
      <c r="C5762" s="366"/>
      <c r="D5762" s="367" t="s">
        <v>2183</v>
      </c>
      <c r="E5762" s="1320" t="s">
        <v>2184</v>
      </c>
      <c r="F5762" s="367" t="s">
        <v>2185</v>
      </c>
      <c r="G5762" s="367" t="s">
        <v>2186</v>
      </c>
      <c r="H5762" s="1542" t="s">
        <v>476</v>
      </c>
      <c r="I5762" s="1543"/>
      <c r="J5762" s="1543"/>
      <c r="K5762" s="1543"/>
      <c r="L5762" s="1543"/>
      <c r="M5762" s="1543"/>
      <c r="N5762" s="1566"/>
    </row>
    <row r="5763" spans="1:14" ht="24">
      <c r="A5763" s="1554"/>
      <c r="B5763" s="1541"/>
      <c r="C5763" s="368" t="s">
        <v>2627</v>
      </c>
      <c r="D5763" s="369" t="s">
        <v>2187</v>
      </c>
      <c r="E5763" s="529" t="s">
        <v>3152</v>
      </c>
      <c r="F5763" s="369" t="s">
        <v>2649</v>
      </c>
      <c r="G5763" s="370" t="s">
        <v>2709</v>
      </c>
      <c r="H5763" s="1542"/>
      <c r="I5763" s="1543"/>
      <c r="J5763" s="1543"/>
      <c r="K5763" s="1543"/>
      <c r="L5763" s="1543"/>
      <c r="M5763" s="1543"/>
      <c r="N5763" s="1566"/>
    </row>
    <row r="5764" spans="1:14">
      <c r="A5764" s="1544" t="s">
        <v>3465</v>
      </c>
      <c r="B5764" s="429" t="s">
        <v>3487</v>
      </c>
      <c r="C5764" s="756">
        <v>34</v>
      </c>
      <c r="D5764" s="202"/>
      <c r="E5764" s="346">
        <v>1</v>
      </c>
      <c r="F5764" s="346"/>
      <c r="G5764" s="346"/>
      <c r="H5764" s="943">
        <f>E5764*C5764</f>
        <v>34</v>
      </c>
      <c r="I5764" s="1567"/>
      <c r="J5764" s="1543"/>
      <c r="K5764" s="1543"/>
      <c r="L5764" s="1543"/>
      <c r="M5764" s="1543"/>
      <c r="N5764" s="1566"/>
    </row>
    <row r="5765" spans="1:14">
      <c r="A5765" s="1544"/>
      <c r="B5765" s="753" t="s">
        <v>3197</v>
      </c>
      <c r="C5765" s="757">
        <v>2</v>
      </c>
      <c r="D5765" s="294"/>
      <c r="E5765" s="348">
        <v>1</v>
      </c>
      <c r="F5765" s="348"/>
      <c r="G5765" s="348"/>
      <c r="H5765" s="943">
        <f>E5765*C5765</f>
        <v>2</v>
      </c>
      <c r="I5765" s="1567"/>
      <c r="J5765" s="1543"/>
      <c r="K5765" s="1543"/>
      <c r="L5765" s="1543"/>
      <c r="M5765" s="1543"/>
      <c r="N5765" s="1566"/>
    </row>
    <row r="5766" spans="1:14">
      <c r="A5766" s="1538" t="s">
        <v>2218</v>
      </c>
      <c r="B5766" s="1538"/>
      <c r="C5766" s="1538"/>
      <c r="D5766" s="1538"/>
      <c r="E5766" s="1538"/>
      <c r="F5766" s="1538"/>
      <c r="G5766" s="1538"/>
      <c r="H5766" s="271">
        <f>SUM(H5764:H5765)</f>
        <v>36</v>
      </c>
      <c r="I5766" s="1567"/>
      <c r="J5766" s="1543"/>
      <c r="K5766" s="1543"/>
      <c r="L5766" s="1543"/>
      <c r="M5766" s="1543"/>
      <c r="N5766" s="1566"/>
    </row>
    <row r="5767" spans="1:14">
      <c r="A5767" s="1519" t="s">
        <v>2219</v>
      </c>
      <c r="B5767" s="1517"/>
      <c r="C5767" s="1517"/>
      <c r="D5767" s="1551"/>
      <c r="E5767" s="1551"/>
      <c r="F5767" s="1551"/>
      <c r="G5767" s="1552"/>
      <c r="H5767" s="325">
        <v>0</v>
      </c>
      <c r="I5767" s="1543"/>
      <c r="J5767" s="1543"/>
      <c r="K5767" s="1543"/>
      <c r="L5767" s="1543"/>
      <c r="M5767" s="1543"/>
      <c r="N5767" s="1566"/>
    </row>
    <row r="5768" spans="1:14" ht="15.75" thickBot="1">
      <c r="A5768" s="1520" t="s">
        <v>2220</v>
      </c>
      <c r="B5768" s="1521"/>
      <c r="C5768" s="1521"/>
      <c r="D5768" s="1521"/>
      <c r="E5768" s="1521"/>
      <c r="F5768" s="1521"/>
      <c r="G5768" s="1522"/>
      <c r="H5768" s="216">
        <f>H5766-H5767</f>
        <v>36</v>
      </c>
      <c r="I5768" s="1568"/>
      <c r="J5768" s="1568"/>
      <c r="K5768" s="1568"/>
      <c r="L5768" s="1568"/>
      <c r="M5768" s="1568"/>
      <c r="N5768" s="1569"/>
    </row>
    <row r="5769" spans="1:14">
      <c r="A5769" s="253" t="s">
        <v>3913</v>
      </c>
      <c r="B5769" s="1494" t="s">
        <v>1462</v>
      </c>
      <c r="C5769" s="1495"/>
      <c r="D5769" s="1495"/>
      <c r="E5769" s="1495"/>
      <c r="F5769" s="1495"/>
      <c r="G5769" s="1495"/>
      <c r="H5769" s="1495"/>
      <c r="I5769" s="1495"/>
      <c r="J5769" s="1496"/>
      <c r="K5769" s="196" t="s">
        <v>28</v>
      </c>
      <c r="L5769" s="1497">
        <v>6</v>
      </c>
      <c r="M5769" s="1498"/>
      <c r="N5769" s="197">
        <f>L5769-H5774</f>
        <v>0</v>
      </c>
    </row>
    <row r="5770" spans="1:14" ht="21" customHeight="1">
      <c r="A5770" s="1554"/>
      <c r="B5770" s="1541"/>
      <c r="C5770" s="366"/>
      <c r="D5770" s="367" t="s">
        <v>2183</v>
      </c>
      <c r="E5770" s="1320" t="s">
        <v>2184</v>
      </c>
      <c r="F5770" s="367" t="s">
        <v>2185</v>
      </c>
      <c r="G5770" s="367" t="s">
        <v>2186</v>
      </c>
      <c r="H5770" s="1542" t="s">
        <v>476</v>
      </c>
      <c r="I5770" s="1543"/>
      <c r="J5770" s="1543"/>
      <c r="K5770" s="1543"/>
      <c r="L5770" s="1543"/>
      <c r="M5770" s="1543"/>
      <c r="N5770" s="1566"/>
    </row>
    <row r="5771" spans="1:14" ht="24">
      <c r="A5771" s="1554"/>
      <c r="B5771" s="1541"/>
      <c r="C5771" s="368" t="s">
        <v>2627</v>
      </c>
      <c r="D5771" s="369" t="s">
        <v>2187</v>
      </c>
      <c r="E5771" s="529" t="s">
        <v>3152</v>
      </c>
      <c r="F5771" s="369" t="s">
        <v>2649</v>
      </c>
      <c r="G5771" s="370" t="s">
        <v>2709</v>
      </c>
      <c r="H5771" s="1542"/>
      <c r="I5771" s="1543"/>
      <c r="J5771" s="1543"/>
      <c r="K5771" s="1543"/>
      <c r="L5771" s="1543"/>
      <c r="M5771" s="1543"/>
      <c r="N5771" s="1566"/>
    </row>
    <row r="5772" spans="1:14">
      <c r="A5772" s="1544" t="s">
        <v>3892</v>
      </c>
      <c r="B5772" s="429" t="s">
        <v>3199</v>
      </c>
      <c r="C5772" s="756">
        <v>6</v>
      </c>
      <c r="D5772" s="202"/>
      <c r="E5772" s="346">
        <v>1</v>
      </c>
      <c r="F5772" s="346"/>
      <c r="G5772" s="346"/>
      <c r="H5772" s="943">
        <f>E5772*C5772</f>
        <v>6</v>
      </c>
      <c r="I5772" s="1567"/>
      <c r="J5772" s="1543"/>
      <c r="K5772" s="1543"/>
      <c r="L5772" s="1543"/>
      <c r="M5772" s="1543"/>
      <c r="N5772" s="1566"/>
    </row>
    <row r="5773" spans="1:14">
      <c r="A5773" s="1544"/>
      <c r="B5773" s="753"/>
      <c r="C5773" s="757"/>
      <c r="D5773" s="294"/>
      <c r="E5773" s="348">
        <v>1</v>
      </c>
      <c r="F5773" s="348"/>
      <c r="G5773" s="348"/>
      <c r="H5773" s="943">
        <f>E5773*C5773</f>
        <v>0</v>
      </c>
      <c r="I5773" s="1567"/>
      <c r="J5773" s="1543"/>
      <c r="K5773" s="1543"/>
      <c r="L5773" s="1543"/>
      <c r="M5773" s="1543"/>
      <c r="N5773" s="1566"/>
    </row>
    <row r="5774" spans="1:14">
      <c r="A5774" s="1538" t="s">
        <v>2218</v>
      </c>
      <c r="B5774" s="1538"/>
      <c r="C5774" s="1538"/>
      <c r="D5774" s="1538"/>
      <c r="E5774" s="1538"/>
      <c r="F5774" s="1538"/>
      <c r="G5774" s="1538"/>
      <c r="H5774" s="271">
        <f>SUM(H5772:H5773)</f>
        <v>6</v>
      </c>
      <c r="I5774" s="1567"/>
      <c r="J5774" s="1543"/>
      <c r="K5774" s="1543"/>
      <c r="L5774" s="1543"/>
      <c r="M5774" s="1543"/>
      <c r="N5774" s="1566"/>
    </row>
    <row r="5775" spans="1:14">
      <c r="A5775" s="1519" t="s">
        <v>2219</v>
      </c>
      <c r="B5775" s="1517"/>
      <c r="C5775" s="1517"/>
      <c r="D5775" s="1551"/>
      <c r="E5775" s="1551"/>
      <c r="F5775" s="1551"/>
      <c r="G5775" s="1552"/>
      <c r="H5775" s="325">
        <v>0</v>
      </c>
      <c r="I5775" s="1543"/>
      <c r="J5775" s="1543"/>
      <c r="K5775" s="1543"/>
      <c r="L5775" s="1543"/>
      <c r="M5775" s="1543"/>
      <c r="N5775" s="1566"/>
    </row>
    <row r="5776" spans="1:14" ht="15.75" thickBot="1">
      <c r="A5776" s="1520" t="s">
        <v>2220</v>
      </c>
      <c r="B5776" s="1521"/>
      <c r="C5776" s="1521"/>
      <c r="D5776" s="1521"/>
      <c r="E5776" s="1521"/>
      <c r="F5776" s="1521"/>
      <c r="G5776" s="1522"/>
      <c r="H5776" s="216">
        <f>H5774-H5775</f>
        <v>6</v>
      </c>
      <c r="I5776" s="1568"/>
      <c r="J5776" s="1568"/>
      <c r="K5776" s="1568"/>
      <c r="L5776" s="1568"/>
      <c r="M5776" s="1568"/>
      <c r="N5776" s="1569"/>
    </row>
    <row r="5777" spans="1:14" ht="21" customHeight="1">
      <c r="A5777" s="253" t="s">
        <v>3914</v>
      </c>
      <c r="B5777" s="1494" t="s">
        <v>1465</v>
      </c>
      <c r="C5777" s="1495"/>
      <c r="D5777" s="1495"/>
      <c r="E5777" s="1495"/>
      <c r="F5777" s="1495"/>
      <c r="G5777" s="1495"/>
      <c r="H5777" s="1495"/>
      <c r="I5777" s="1495"/>
      <c r="J5777" s="1496"/>
      <c r="K5777" s="196" t="s">
        <v>28</v>
      </c>
      <c r="L5777" s="1497">
        <v>10</v>
      </c>
      <c r="M5777" s="1498"/>
      <c r="N5777" s="197">
        <f>L5777-H5782</f>
        <v>0</v>
      </c>
    </row>
    <row r="5778" spans="1:14" ht="21" customHeight="1">
      <c r="A5778" s="1554"/>
      <c r="B5778" s="1541"/>
      <c r="C5778" s="366"/>
      <c r="D5778" s="367" t="s">
        <v>2183</v>
      </c>
      <c r="E5778" s="1320" t="s">
        <v>2184</v>
      </c>
      <c r="F5778" s="367" t="s">
        <v>2185</v>
      </c>
      <c r="G5778" s="367" t="s">
        <v>2186</v>
      </c>
      <c r="H5778" s="1542" t="s">
        <v>476</v>
      </c>
      <c r="I5778" s="1543"/>
      <c r="J5778" s="1543"/>
      <c r="K5778" s="1543"/>
      <c r="L5778" s="1543"/>
      <c r="M5778" s="1543"/>
      <c r="N5778" s="1566"/>
    </row>
    <row r="5779" spans="1:14" ht="24">
      <c r="A5779" s="1554"/>
      <c r="B5779" s="1541"/>
      <c r="C5779" s="368" t="s">
        <v>2627</v>
      </c>
      <c r="D5779" s="369" t="s">
        <v>2187</v>
      </c>
      <c r="E5779" s="529" t="s">
        <v>3152</v>
      </c>
      <c r="F5779" s="369" t="s">
        <v>2649</v>
      </c>
      <c r="G5779" s="370" t="s">
        <v>2709</v>
      </c>
      <c r="H5779" s="1542"/>
      <c r="I5779" s="1543"/>
      <c r="J5779" s="1543"/>
      <c r="K5779" s="1543"/>
      <c r="L5779" s="1543"/>
      <c r="M5779" s="1543"/>
      <c r="N5779" s="1566"/>
    </row>
    <row r="5780" spans="1:14">
      <c r="A5780" s="1544" t="s">
        <v>3892</v>
      </c>
      <c r="B5780" s="429" t="s">
        <v>3199</v>
      </c>
      <c r="C5780" s="756">
        <v>10</v>
      </c>
      <c r="D5780" s="202"/>
      <c r="E5780" s="346">
        <v>1</v>
      </c>
      <c r="F5780" s="346"/>
      <c r="G5780" s="346"/>
      <c r="H5780" s="943">
        <f>E5780*C5780</f>
        <v>10</v>
      </c>
      <c r="I5780" s="1567"/>
      <c r="J5780" s="1543"/>
      <c r="K5780" s="1543"/>
      <c r="L5780" s="1543"/>
      <c r="M5780" s="1543"/>
      <c r="N5780" s="1566"/>
    </row>
    <row r="5781" spans="1:14">
      <c r="A5781" s="1544"/>
      <c r="B5781" s="753"/>
      <c r="C5781" s="757"/>
      <c r="D5781" s="294"/>
      <c r="E5781" s="348">
        <v>1</v>
      </c>
      <c r="F5781" s="348"/>
      <c r="G5781" s="348"/>
      <c r="H5781" s="943">
        <f>E5781*C5781</f>
        <v>0</v>
      </c>
      <c r="I5781" s="1567"/>
      <c r="J5781" s="1543"/>
      <c r="K5781" s="1543"/>
      <c r="L5781" s="1543"/>
      <c r="M5781" s="1543"/>
      <c r="N5781" s="1566"/>
    </row>
    <row r="5782" spans="1:14">
      <c r="A5782" s="1538" t="s">
        <v>2218</v>
      </c>
      <c r="B5782" s="1538"/>
      <c r="C5782" s="1538"/>
      <c r="D5782" s="1538"/>
      <c r="E5782" s="1538"/>
      <c r="F5782" s="1538"/>
      <c r="G5782" s="1538"/>
      <c r="H5782" s="271">
        <f>SUM(H5780:H5781)</f>
        <v>10</v>
      </c>
      <c r="I5782" s="1567"/>
      <c r="J5782" s="1543"/>
      <c r="K5782" s="1543"/>
      <c r="L5782" s="1543"/>
      <c r="M5782" s="1543"/>
      <c r="N5782" s="1566"/>
    </row>
    <row r="5783" spans="1:14">
      <c r="A5783" s="1519" t="s">
        <v>2219</v>
      </c>
      <c r="B5783" s="1517"/>
      <c r="C5783" s="1517"/>
      <c r="D5783" s="1551"/>
      <c r="E5783" s="1551"/>
      <c r="F5783" s="1551"/>
      <c r="G5783" s="1552"/>
      <c r="H5783" s="325">
        <v>0</v>
      </c>
      <c r="I5783" s="1543"/>
      <c r="J5783" s="1543"/>
      <c r="K5783" s="1543"/>
      <c r="L5783" s="1543"/>
      <c r="M5783" s="1543"/>
      <c r="N5783" s="1566"/>
    </row>
    <row r="5784" spans="1:14" ht="15.75" thickBot="1">
      <c r="A5784" s="1520" t="s">
        <v>2220</v>
      </c>
      <c r="B5784" s="1521"/>
      <c r="C5784" s="1521"/>
      <c r="D5784" s="1521"/>
      <c r="E5784" s="1521"/>
      <c r="F5784" s="1521"/>
      <c r="G5784" s="1522"/>
      <c r="H5784" s="216">
        <f>H5782-H5783</f>
        <v>10</v>
      </c>
      <c r="I5784" s="1568"/>
      <c r="J5784" s="1568"/>
      <c r="K5784" s="1568"/>
      <c r="L5784" s="1568"/>
      <c r="M5784" s="1568"/>
      <c r="N5784" s="1569"/>
    </row>
    <row r="5786" spans="1:14" ht="15.75" thickBot="1">
      <c r="A5786" s="1123">
        <v>1504</v>
      </c>
      <c r="B5786" s="1641" t="s">
        <v>3604</v>
      </c>
      <c r="C5786" s="1641"/>
      <c r="D5786" s="1641"/>
      <c r="E5786" s="1641"/>
      <c r="F5786" s="1641"/>
      <c r="G5786" s="1641"/>
      <c r="H5786" s="1641"/>
      <c r="I5786" s="1641"/>
      <c r="J5786" s="1641"/>
      <c r="K5786" s="1641"/>
      <c r="L5786" s="1641"/>
      <c r="M5786" s="1641"/>
      <c r="N5786" s="1641"/>
    </row>
    <row r="5787" spans="1:14">
      <c r="A5787" s="1121">
        <v>150401</v>
      </c>
      <c r="B5787" s="1494" t="s">
        <v>359</v>
      </c>
      <c r="C5787" s="1495"/>
      <c r="D5787" s="1495"/>
      <c r="E5787" s="1495"/>
      <c r="F5787" s="1495"/>
      <c r="G5787" s="1495"/>
      <c r="H5787" s="1495"/>
      <c r="I5787" s="1495"/>
      <c r="J5787" s="1496"/>
      <c r="K5787" s="196" t="s">
        <v>28</v>
      </c>
      <c r="L5787" s="1497">
        <f>'27ª MEDIÇÃO '!F396</f>
        <v>16</v>
      </c>
      <c r="M5787" s="1498"/>
      <c r="N5787" s="197">
        <f>L5787-H5796</f>
        <v>0</v>
      </c>
    </row>
    <row r="5788" spans="1:14">
      <c r="A5788" s="1554"/>
      <c r="B5788" s="1541"/>
      <c r="C5788" s="366"/>
      <c r="D5788" s="367" t="s">
        <v>2183</v>
      </c>
      <c r="E5788" s="1320" t="s">
        <v>2184</v>
      </c>
      <c r="F5788" s="367" t="s">
        <v>2185</v>
      </c>
      <c r="G5788" s="367" t="s">
        <v>2186</v>
      </c>
      <c r="H5788" s="1542" t="s">
        <v>476</v>
      </c>
      <c r="I5788" s="1543"/>
      <c r="J5788" s="1543"/>
      <c r="K5788" s="1543"/>
      <c r="L5788" s="1543"/>
      <c r="M5788" s="1543"/>
      <c r="N5788" s="1566"/>
    </row>
    <row r="5789" spans="1:14" ht="21.6" customHeight="1">
      <c r="A5789" s="1554"/>
      <c r="B5789" s="1541"/>
      <c r="C5789" s="368" t="s">
        <v>2627</v>
      </c>
      <c r="D5789" s="369" t="s">
        <v>2187</v>
      </c>
      <c r="E5789" s="529" t="s">
        <v>3152</v>
      </c>
      <c r="F5789" s="369" t="s">
        <v>2649</v>
      </c>
      <c r="G5789" s="370" t="s">
        <v>2709</v>
      </c>
      <c r="H5789" s="1542"/>
      <c r="I5789" s="1543"/>
      <c r="J5789" s="1543"/>
      <c r="K5789" s="1543"/>
      <c r="L5789" s="1543"/>
      <c r="M5789" s="1543"/>
      <c r="N5789" s="1566"/>
    </row>
    <row r="5790" spans="1:14" ht="21" customHeight="1">
      <c r="A5790" s="1535" t="s">
        <v>3569</v>
      </c>
      <c r="B5790" s="876" t="s">
        <v>3533</v>
      </c>
      <c r="C5790" s="317">
        <v>1</v>
      </c>
      <c r="D5790" s="287"/>
      <c r="E5790" s="531"/>
      <c r="F5790" s="287"/>
      <c r="G5790" s="431"/>
      <c r="H5790" s="349">
        <f>E5790*C5790</f>
        <v>0</v>
      </c>
      <c r="I5790" s="1567"/>
      <c r="J5790" s="1543"/>
      <c r="K5790" s="1543"/>
      <c r="L5790" s="1543"/>
      <c r="M5790" s="1543"/>
      <c r="N5790" s="1566"/>
    </row>
    <row r="5791" spans="1:14">
      <c r="A5791" s="1529"/>
      <c r="B5791" s="876" t="s">
        <v>3534</v>
      </c>
      <c r="C5791" s="743">
        <v>12</v>
      </c>
      <c r="D5791" s="198"/>
      <c r="E5791" s="341">
        <v>0.5</v>
      </c>
      <c r="F5791" s="341"/>
      <c r="G5791" s="341"/>
      <c r="H5791" s="349">
        <f>E5791*C5791</f>
        <v>6</v>
      </c>
      <c r="I5791" s="1567"/>
      <c r="J5791" s="1543"/>
      <c r="K5791" s="1543"/>
      <c r="L5791" s="1543"/>
      <c r="M5791" s="1543"/>
      <c r="N5791" s="1566"/>
    </row>
    <row r="5792" spans="1:14">
      <c r="A5792" s="1529"/>
      <c r="B5792" s="876" t="s">
        <v>3198</v>
      </c>
      <c r="C5792" s="743">
        <v>3</v>
      </c>
      <c r="D5792" s="199"/>
      <c r="E5792" s="351">
        <v>1</v>
      </c>
      <c r="F5792" s="351"/>
      <c r="G5792" s="351"/>
      <c r="H5792" s="349">
        <f>E5792*C5792</f>
        <v>3</v>
      </c>
      <c r="I5792" s="1567"/>
      <c r="J5792" s="1543"/>
      <c r="K5792" s="1543"/>
      <c r="L5792" s="1543"/>
      <c r="M5792" s="1543"/>
      <c r="N5792" s="1566"/>
    </row>
    <row r="5793" spans="1:14">
      <c r="A5793" s="1820" t="s">
        <v>3937</v>
      </c>
      <c r="B5793" s="876" t="s">
        <v>3533</v>
      </c>
      <c r="C5793" s="317">
        <v>1</v>
      </c>
      <c r="D5793" s="287"/>
      <c r="E5793" s="531">
        <v>1</v>
      </c>
      <c r="F5793" s="287"/>
      <c r="G5793" s="431"/>
      <c r="H5793" s="349">
        <f>E5793*C5793</f>
        <v>1</v>
      </c>
      <c r="I5793" s="1567"/>
      <c r="J5793" s="1543"/>
      <c r="K5793" s="1543"/>
      <c r="L5793" s="1543"/>
      <c r="M5793" s="1543"/>
      <c r="N5793" s="1566"/>
    </row>
    <row r="5794" spans="1:14">
      <c r="A5794" s="1820"/>
      <c r="B5794" s="876" t="s">
        <v>3534</v>
      </c>
      <c r="C5794" s="743">
        <v>12</v>
      </c>
      <c r="D5794" s="198"/>
      <c r="E5794" s="341">
        <v>0.5</v>
      </c>
      <c r="F5794" s="341"/>
      <c r="G5794" s="341"/>
      <c r="H5794" s="349">
        <f>E5794*C5794</f>
        <v>6</v>
      </c>
      <c r="I5794" s="1567"/>
      <c r="J5794" s="1543"/>
      <c r="K5794" s="1543"/>
      <c r="L5794" s="1543"/>
      <c r="M5794" s="1543"/>
      <c r="N5794" s="1566"/>
    </row>
    <row r="5795" spans="1:14">
      <c r="A5795" s="1137"/>
      <c r="B5795" s="876"/>
      <c r="C5795" s="743"/>
      <c r="D5795" s="294"/>
      <c r="E5795" s="348"/>
      <c r="F5795" s="348"/>
      <c r="G5795" s="348"/>
      <c r="H5795" s="349"/>
      <c r="I5795" s="1567"/>
      <c r="J5795" s="1543"/>
      <c r="K5795" s="1543"/>
      <c r="L5795" s="1543"/>
      <c r="M5795" s="1543"/>
      <c r="N5795" s="1566"/>
    </row>
    <row r="5796" spans="1:14">
      <c r="A5796" s="1578" t="s">
        <v>2218</v>
      </c>
      <c r="B5796" s="1538"/>
      <c r="C5796" s="1538"/>
      <c r="D5796" s="1538"/>
      <c r="E5796" s="1538"/>
      <c r="F5796" s="1538"/>
      <c r="G5796" s="1538"/>
      <c r="H5796" s="271">
        <f>SUM(H5790:H5795)</f>
        <v>16</v>
      </c>
      <c r="I5796" s="1567"/>
      <c r="J5796" s="1543"/>
      <c r="K5796" s="1543"/>
      <c r="L5796" s="1543"/>
      <c r="M5796" s="1543"/>
      <c r="N5796" s="1566"/>
    </row>
    <row r="5797" spans="1:14">
      <c r="A5797" s="1519" t="s">
        <v>2219</v>
      </c>
      <c r="B5797" s="1517"/>
      <c r="C5797" s="1517"/>
      <c r="D5797" s="1551"/>
      <c r="E5797" s="1551"/>
      <c r="F5797" s="1551"/>
      <c r="G5797" s="1552"/>
      <c r="H5797" s="325">
        <f>SUM(H5790:H5792)</f>
        <v>9</v>
      </c>
      <c r="I5797" s="1543"/>
      <c r="J5797" s="1543"/>
      <c r="K5797" s="1543"/>
      <c r="L5797" s="1543"/>
      <c r="M5797" s="1543"/>
      <c r="N5797" s="1566"/>
    </row>
    <row r="5798" spans="1:14" ht="15.75" thickBot="1">
      <c r="A5798" s="1520" t="s">
        <v>2220</v>
      </c>
      <c r="B5798" s="1521"/>
      <c r="C5798" s="1521"/>
      <c r="D5798" s="1521"/>
      <c r="E5798" s="1521"/>
      <c r="F5798" s="1521"/>
      <c r="G5798" s="1522"/>
      <c r="H5798" s="216">
        <f>H5796-H5797</f>
        <v>7</v>
      </c>
      <c r="I5798" s="1568"/>
      <c r="J5798" s="1568"/>
      <c r="K5798" s="1568"/>
      <c r="L5798" s="1568"/>
      <c r="M5798" s="1568"/>
      <c r="N5798" s="1569"/>
    </row>
    <row r="5799" spans="1:14" ht="15.75" thickBot="1">
      <c r="A5799" s="898"/>
      <c r="B5799" s="898"/>
      <c r="C5799" s="898"/>
      <c r="D5799" s="970"/>
      <c r="E5799" s="1363"/>
      <c r="F5799" s="898"/>
      <c r="G5799" s="899"/>
      <c r="H5799" s="220"/>
      <c r="I5799" s="942"/>
      <c r="J5799" s="942"/>
      <c r="K5799" s="942"/>
      <c r="L5799" s="942"/>
      <c r="M5799" s="942"/>
      <c r="N5799" s="941"/>
    </row>
    <row r="5800" spans="1:14">
      <c r="A5800" s="1121">
        <v>150402</v>
      </c>
      <c r="B5800" s="1494" t="s">
        <v>1471</v>
      </c>
      <c r="C5800" s="1495"/>
      <c r="D5800" s="1495"/>
      <c r="E5800" s="1495"/>
      <c r="F5800" s="1495"/>
      <c r="G5800" s="1495"/>
      <c r="H5800" s="1495"/>
      <c r="I5800" s="1495"/>
      <c r="J5800" s="1496"/>
      <c r="K5800" s="196" t="s">
        <v>28</v>
      </c>
      <c r="L5800" s="1497">
        <f>'27ª MEDIÇÃO '!F397</f>
        <v>18</v>
      </c>
      <c r="M5800" s="1498"/>
      <c r="N5800" s="197">
        <f>L5800-H5809</f>
        <v>0</v>
      </c>
    </row>
    <row r="5801" spans="1:14">
      <c r="A5801" s="1554"/>
      <c r="B5801" s="1541"/>
      <c r="C5801" s="366"/>
      <c r="D5801" s="367" t="s">
        <v>2183</v>
      </c>
      <c r="E5801" s="1320" t="s">
        <v>2184</v>
      </c>
      <c r="F5801" s="367" t="s">
        <v>2185</v>
      </c>
      <c r="G5801" s="367" t="s">
        <v>2186</v>
      </c>
      <c r="H5801" s="1542" t="s">
        <v>476</v>
      </c>
      <c r="I5801" s="1543"/>
      <c r="J5801" s="1543"/>
      <c r="K5801" s="1543"/>
      <c r="L5801" s="1543"/>
      <c r="M5801" s="1543"/>
      <c r="N5801" s="1566"/>
    </row>
    <row r="5802" spans="1:14" ht="24">
      <c r="A5802" s="1554"/>
      <c r="B5802" s="1541"/>
      <c r="C5802" s="368" t="s">
        <v>2627</v>
      </c>
      <c r="D5802" s="369" t="s">
        <v>2187</v>
      </c>
      <c r="E5802" s="529" t="s">
        <v>3152</v>
      </c>
      <c r="F5802" s="369" t="s">
        <v>2649</v>
      </c>
      <c r="G5802" s="370" t="s">
        <v>2709</v>
      </c>
      <c r="H5802" s="1542"/>
      <c r="I5802" s="1543"/>
      <c r="J5802" s="1543"/>
      <c r="K5802" s="1543"/>
      <c r="L5802" s="1543"/>
      <c r="M5802" s="1543"/>
      <c r="N5802" s="1566"/>
    </row>
    <row r="5803" spans="1:14">
      <c r="A5803" s="1535" t="s">
        <v>3569</v>
      </c>
      <c r="B5803" s="876"/>
      <c r="C5803" s="317"/>
      <c r="D5803" s="287"/>
      <c r="E5803" s="531"/>
      <c r="F5803" s="287"/>
      <c r="G5803" s="431"/>
      <c r="H5803" s="349"/>
      <c r="I5803" s="1567"/>
      <c r="J5803" s="1543"/>
      <c r="K5803" s="1543"/>
      <c r="L5803" s="1543"/>
      <c r="M5803" s="1543"/>
      <c r="N5803" s="1566"/>
    </row>
    <row r="5804" spans="1:14">
      <c r="A5804" s="1529"/>
      <c r="B5804" s="876" t="s">
        <v>3534</v>
      </c>
      <c r="C5804" s="743">
        <v>11</v>
      </c>
      <c r="D5804" s="198"/>
      <c r="E5804" s="341">
        <v>0.5</v>
      </c>
      <c r="F5804" s="341"/>
      <c r="G5804" s="341"/>
      <c r="H5804" s="349">
        <v>5</v>
      </c>
      <c r="I5804" s="1567"/>
      <c r="J5804" s="1543"/>
      <c r="K5804" s="1543"/>
      <c r="L5804" s="1543"/>
      <c r="M5804" s="1543"/>
      <c r="N5804" s="1566"/>
    </row>
    <row r="5805" spans="1:14">
      <c r="A5805" s="1529"/>
      <c r="B5805" s="876" t="s">
        <v>3198</v>
      </c>
      <c r="C5805" s="743">
        <v>7</v>
      </c>
      <c r="D5805" s="199"/>
      <c r="E5805" s="351">
        <v>1</v>
      </c>
      <c r="F5805" s="351"/>
      <c r="G5805" s="351"/>
      <c r="H5805" s="349">
        <f>E5805*C5805</f>
        <v>7</v>
      </c>
      <c r="I5805" s="1567"/>
      <c r="J5805" s="1543"/>
      <c r="K5805" s="1543"/>
      <c r="L5805" s="1543"/>
      <c r="M5805" s="1543"/>
      <c r="N5805" s="1566"/>
    </row>
    <row r="5806" spans="1:14">
      <c r="A5806" s="1136" t="s">
        <v>3937</v>
      </c>
      <c r="B5806" s="876" t="s">
        <v>3534</v>
      </c>
      <c r="C5806" s="743">
        <v>11</v>
      </c>
      <c r="D5806" s="198"/>
      <c r="E5806" s="341">
        <v>0.5</v>
      </c>
      <c r="F5806" s="341"/>
      <c r="G5806" s="341"/>
      <c r="H5806" s="349">
        <v>6</v>
      </c>
      <c r="I5806" s="1567"/>
      <c r="J5806" s="1543"/>
      <c r="K5806" s="1543"/>
      <c r="L5806" s="1543"/>
      <c r="M5806" s="1543"/>
      <c r="N5806" s="1566"/>
    </row>
    <row r="5807" spans="1:14">
      <c r="A5807" s="1136"/>
      <c r="B5807" s="876"/>
      <c r="C5807" s="743"/>
      <c r="D5807" s="199"/>
      <c r="E5807" s="351"/>
      <c r="F5807" s="351"/>
      <c r="G5807" s="351"/>
      <c r="H5807" s="349"/>
      <c r="I5807" s="1567"/>
      <c r="J5807" s="1543"/>
      <c r="K5807" s="1543"/>
      <c r="L5807" s="1543"/>
      <c r="M5807" s="1543"/>
      <c r="N5807" s="1566"/>
    </row>
    <row r="5808" spans="1:14">
      <c r="A5808" s="1137"/>
      <c r="B5808" s="876"/>
      <c r="C5808" s="743"/>
      <c r="D5808" s="294"/>
      <c r="E5808" s="348"/>
      <c r="F5808" s="348"/>
      <c r="G5808" s="348"/>
      <c r="H5808" s="349"/>
      <c r="I5808" s="1567"/>
      <c r="J5808" s="1543"/>
      <c r="K5808" s="1543"/>
      <c r="L5808" s="1543"/>
      <c r="M5808" s="1543"/>
      <c r="N5808" s="1566"/>
    </row>
    <row r="5809" spans="1:14">
      <c r="A5809" s="1578" t="s">
        <v>2218</v>
      </c>
      <c r="B5809" s="1538"/>
      <c r="C5809" s="1538"/>
      <c r="D5809" s="1538"/>
      <c r="E5809" s="1538"/>
      <c r="F5809" s="1538"/>
      <c r="G5809" s="1538"/>
      <c r="H5809" s="271">
        <f>SUM(H5803:H5808)</f>
        <v>18</v>
      </c>
      <c r="I5809" s="1567"/>
      <c r="J5809" s="1543"/>
      <c r="K5809" s="1543"/>
      <c r="L5809" s="1543"/>
      <c r="M5809" s="1543"/>
      <c r="N5809" s="1566"/>
    </row>
    <row r="5810" spans="1:14">
      <c r="A5810" s="1519" t="s">
        <v>2219</v>
      </c>
      <c r="B5810" s="1517"/>
      <c r="C5810" s="1517"/>
      <c r="D5810" s="1551"/>
      <c r="E5810" s="1551"/>
      <c r="F5810" s="1551"/>
      <c r="G5810" s="1552"/>
      <c r="H5810" s="325">
        <f>SUM(H5803)</f>
        <v>0</v>
      </c>
      <c r="I5810" s="1543"/>
      <c r="J5810" s="1543"/>
      <c r="K5810" s="1543"/>
      <c r="L5810" s="1543"/>
      <c r="M5810" s="1543"/>
      <c r="N5810" s="1566"/>
    </row>
    <row r="5811" spans="1:14" ht="15.75" thickBot="1">
      <c r="A5811" s="1520" t="s">
        <v>2220</v>
      </c>
      <c r="B5811" s="1521"/>
      <c r="C5811" s="1521"/>
      <c r="D5811" s="1521"/>
      <c r="E5811" s="1521"/>
      <c r="F5811" s="1521"/>
      <c r="G5811" s="1522"/>
      <c r="H5811" s="216">
        <f>H5809-H5810</f>
        <v>18</v>
      </c>
      <c r="I5811" s="1568"/>
      <c r="J5811" s="1568"/>
      <c r="K5811" s="1568"/>
      <c r="L5811" s="1568"/>
      <c r="M5811" s="1568"/>
      <c r="N5811" s="1569"/>
    </row>
    <row r="5812" spans="1:14" ht="15.75" thickBot="1">
      <c r="A5812" s="898"/>
      <c r="B5812" s="898"/>
      <c r="C5812" s="898"/>
      <c r="D5812" s="970"/>
      <c r="E5812" s="1363"/>
      <c r="F5812" s="898"/>
      <c r="G5812" s="899"/>
      <c r="H5812" s="220"/>
      <c r="I5812" s="942"/>
      <c r="J5812" s="942"/>
      <c r="K5812" s="942"/>
      <c r="L5812" s="942"/>
      <c r="M5812" s="942"/>
      <c r="N5812" s="941"/>
    </row>
    <row r="5813" spans="1:14" ht="21" customHeight="1">
      <c r="A5813" s="1121">
        <v>150403</v>
      </c>
      <c r="B5813" s="1494" t="s">
        <v>1474</v>
      </c>
      <c r="C5813" s="1495"/>
      <c r="D5813" s="1495"/>
      <c r="E5813" s="1495"/>
      <c r="F5813" s="1495"/>
      <c r="G5813" s="1495"/>
      <c r="H5813" s="1495"/>
      <c r="I5813" s="1495"/>
      <c r="J5813" s="1496"/>
      <c r="K5813" s="196" t="s">
        <v>28</v>
      </c>
      <c r="L5813" s="1497">
        <f>'27ª MEDIÇÃO '!F398</f>
        <v>12</v>
      </c>
      <c r="M5813" s="1498"/>
      <c r="N5813" s="197">
        <f>L5813-H5823</f>
        <v>0</v>
      </c>
    </row>
    <row r="5814" spans="1:14">
      <c r="A5814" s="1554"/>
      <c r="B5814" s="1541"/>
      <c r="C5814" s="366"/>
      <c r="D5814" s="367" t="s">
        <v>2183</v>
      </c>
      <c r="E5814" s="1320" t="s">
        <v>2184</v>
      </c>
      <c r="F5814" s="367" t="s">
        <v>2185</v>
      </c>
      <c r="G5814" s="367" t="s">
        <v>2186</v>
      </c>
      <c r="H5814" s="1542" t="s">
        <v>476</v>
      </c>
      <c r="I5814" s="1543"/>
      <c r="J5814" s="1543"/>
      <c r="K5814" s="1543"/>
      <c r="L5814" s="1543"/>
      <c r="M5814" s="1543"/>
      <c r="N5814" s="1566"/>
    </row>
    <row r="5815" spans="1:14" ht="24">
      <c r="A5815" s="1554"/>
      <c r="B5815" s="1541"/>
      <c r="C5815" s="368" t="s">
        <v>2627</v>
      </c>
      <c r="D5815" s="369" t="s">
        <v>2187</v>
      </c>
      <c r="E5815" s="529" t="s">
        <v>3152</v>
      </c>
      <c r="F5815" s="369" t="s">
        <v>2649</v>
      </c>
      <c r="G5815" s="370" t="s">
        <v>2709</v>
      </c>
      <c r="H5815" s="1542"/>
      <c r="I5815" s="1543"/>
      <c r="J5815" s="1543"/>
      <c r="K5815" s="1543"/>
      <c r="L5815" s="1543"/>
      <c r="M5815" s="1543"/>
      <c r="N5815" s="1566"/>
    </row>
    <row r="5816" spans="1:14">
      <c r="A5816" s="1535" t="s">
        <v>3569</v>
      </c>
      <c r="B5816" s="876"/>
      <c r="C5816" s="317"/>
      <c r="D5816" s="287"/>
      <c r="E5816" s="531"/>
      <c r="F5816" s="287"/>
      <c r="G5816" s="431"/>
      <c r="H5816" s="349"/>
      <c r="I5816" s="1567"/>
      <c r="J5816" s="1543"/>
      <c r="K5816" s="1543"/>
      <c r="L5816" s="1543"/>
      <c r="M5816" s="1543"/>
      <c r="N5816" s="1566"/>
    </row>
    <row r="5817" spans="1:14">
      <c r="A5817" s="1529"/>
      <c r="B5817" s="876" t="s">
        <v>3534</v>
      </c>
      <c r="C5817" s="743">
        <v>8</v>
      </c>
      <c r="D5817" s="198"/>
      <c r="E5817" s="341">
        <v>0.5</v>
      </c>
      <c r="F5817" s="341"/>
      <c r="G5817" s="341"/>
      <c r="H5817" s="349">
        <f>E5817*C5817</f>
        <v>4</v>
      </c>
      <c r="I5817" s="1567"/>
      <c r="J5817" s="1543"/>
      <c r="K5817" s="1543"/>
      <c r="L5817" s="1543"/>
      <c r="M5817" s="1543"/>
      <c r="N5817" s="1566"/>
    </row>
    <row r="5818" spans="1:14">
      <c r="A5818" s="1529"/>
      <c r="B5818" s="876" t="s">
        <v>3198</v>
      </c>
      <c r="C5818" s="743">
        <v>4</v>
      </c>
      <c r="D5818" s="199"/>
      <c r="E5818" s="351">
        <v>1</v>
      </c>
      <c r="F5818" s="351"/>
      <c r="G5818" s="351"/>
      <c r="H5818" s="349">
        <f>E5818*C5818</f>
        <v>4</v>
      </c>
      <c r="I5818" s="1567"/>
      <c r="J5818" s="1543"/>
      <c r="K5818" s="1543"/>
      <c r="L5818" s="1543"/>
      <c r="M5818" s="1543"/>
      <c r="N5818" s="1566"/>
    </row>
    <row r="5819" spans="1:14">
      <c r="A5819" s="1136" t="s">
        <v>3937</v>
      </c>
      <c r="B5819" s="876" t="s">
        <v>3534</v>
      </c>
      <c r="C5819" s="743">
        <v>8</v>
      </c>
      <c r="D5819" s="198"/>
      <c r="E5819" s="341">
        <v>0.5</v>
      </c>
      <c r="F5819" s="341"/>
      <c r="G5819" s="341"/>
      <c r="H5819" s="349">
        <f>E5819*C5819</f>
        <v>4</v>
      </c>
      <c r="I5819" s="1567"/>
      <c r="J5819" s="1543"/>
      <c r="K5819" s="1543"/>
      <c r="L5819" s="1543"/>
      <c r="M5819" s="1543"/>
      <c r="N5819" s="1566"/>
    </row>
    <row r="5820" spans="1:14">
      <c r="A5820" s="1136"/>
      <c r="B5820" s="876"/>
      <c r="C5820" s="743"/>
      <c r="D5820" s="199"/>
      <c r="E5820" s="351"/>
      <c r="F5820" s="351"/>
      <c r="G5820" s="351"/>
      <c r="H5820" s="349"/>
      <c r="I5820" s="1567"/>
      <c r="J5820" s="1543"/>
      <c r="K5820" s="1543"/>
      <c r="L5820" s="1543"/>
      <c r="M5820" s="1543"/>
      <c r="N5820" s="1566"/>
    </row>
    <row r="5821" spans="1:14">
      <c r="A5821" s="1136"/>
      <c r="B5821" s="876"/>
      <c r="C5821" s="743"/>
      <c r="D5821" s="199"/>
      <c r="E5821" s="351"/>
      <c r="F5821" s="351"/>
      <c r="G5821" s="351"/>
      <c r="H5821" s="349"/>
      <c r="I5821" s="1567"/>
      <c r="J5821" s="1543"/>
      <c r="K5821" s="1543"/>
      <c r="L5821" s="1543"/>
      <c r="M5821" s="1543"/>
      <c r="N5821" s="1566"/>
    </row>
    <row r="5822" spans="1:14">
      <c r="A5822" s="1137"/>
      <c r="B5822" s="876"/>
      <c r="C5822" s="743"/>
      <c r="D5822" s="294"/>
      <c r="E5822" s="348"/>
      <c r="F5822" s="348"/>
      <c r="G5822" s="348"/>
      <c r="H5822" s="349"/>
      <c r="I5822" s="1567"/>
      <c r="J5822" s="1543"/>
      <c r="K5822" s="1543"/>
      <c r="L5822" s="1543"/>
      <c r="M5822" s="1543"/>
      <c r="N5822" s="1566"/>
    </row>
    <row r="5823" spans="1:14">
      <c r="A5823" s="1578" t="s">
        <v>2218</v>
      </c>
      <c r="B5823" s="1538"/>
      <c r="C5823" s="1538"/>
      <c r="D5823" s="1538"/>
      <c r="E5823" s="1538"/>
      <c r="F5823" s="1538"/>
      <c r="G5823" s="1538"/>
      <c r="H5823" s="271">
        <f>SUM(H5816:H5822)</f>
        <v>12</v>
      </c>
      <c r="I5823" s="1567"/>
      <c r="J5823" s="1543"/>
      <c r="K5823" s="1543"/>
      <c r="L5823" s="1543"/>
      <c r="M5823" s="1543"/>
      <c r="N5823" s="1566"/>
    </row>
    <row r="5824" spans="1:14">
      <c r="A5824" s="1519" t="s">
        <v>2219</v>
      </c>
      <c r="B5824" s="1517"/>
      <c r="C5824" s="1517"/>
      <c r="D5824" s="1551"/>
      <c r="E5824" s="1551"/>
      <c r="F5824" s="1551"/>
      <c r="G5824" s="1552"/>
      <c r="H5824" s="325">
        <f>SUM(H5816)</f>
        <v>0</v>
      </c>
      <c r="I5824" s="1543"/>
      <c r="J5824" s="1543"/>
      <c r="K5824" s="1543"/>
      <c r="L5824" s="1543"/>
      <c r="M5824" s="1543"/>
      <c r="N5824" s="1566"/>
    </row>
    <row r="5825" spans="1:14" ht="15.75" thickBot="1">
      <c r="A5825" s="1520" t="s">
        <v>2220</v>
      </c>
      <c r="B5825" s="1521"/>
      <c r="C5825" s="1521"/>
      <c r="D5825" s="1521"/>
      <c r="E5825" s="1521"/>
      <c r="F5825" s="1521"/>
      <c r="G5825" s="1522"/>
      <c r="H5825" s="216">
        <f>H5823-H5824</f>
        <v>12</v>
      </c>
      <c r="I5825" s="1568"/>
      <c r="J5825" s="1568"/>
      <c r="K5825" s="1568"/>
      <c r="L5825" s="1568"/>
      <c r="M5825" s="1568"/>
      <c r="N5825" s="1569"/>
    </row>
    <row r="5826" spans="1:14" ht="15.75" thickBot="1">
      <c r="A5826" s="898"/>
      <c r="B5826" s="898"/>
      <c r="C5826" s="898"/>
      <c r="D5826" s="970"/>
      <c r="E5826" s="1363"/>
      <c r="F5826" s="898"/>
      <c r="G5826" s="899"/>
      <c r="H5826" s="220"/>
      <c r="I5826" s="942"/>
      <c r="J5826" s="942"/>
      <c r="K5826" s="942"/>
      <c r="L5826" s="942"/>
      <c r="M5826" s="942"/>
      <c r="N5826" s="941"/>
    </row>
    <row r="5827" spans="1:14">
      <c r="A5827" s="1121">
        <v>150408</v>
      </c>
      <c r="B5827" s="1494" t="s">
        <v>353</v>
      </c>
      <c r="C5827" s="1495"/>
      <c r="D5827" s="1495"/>
      <c r="E5827" s="1495"/>
      <c r="F5827" s="1495"/>
      <c r="G5827" s="1495"/>
      <c r="H5827" s="1495"/>
      <c r="I5827" s="1495"/>
      <c r="J5827" s="1496"/>
      <c r="K5827" s="196" t="s">
        <v>28</v>
      </c>
      <c r="L5827" s="1497">
        <f>'27ª MEDIÇÃO '!F403</f>
        <v>64</v>
      </c>
      <c r="M5827" s="1498"/>
      <c r="N5827" s="197">
        <f>L5827-H5837</f>
        <v>0</v>
      </c>
    </row>
    <row r="5828" spans="1:14">
      <c r="A5828" s="1554"/>
      <c r="B5828" s="1541"/>
      <c r="C5828" s="366"/>
      <c r="D5828" s="367" t="s">
        <v>2183</v>
      </c>
      <c r="E5828" s="1320" t="s">
        <v>2184</v>
      </c>
      <c r="F5828" s="367" t="s">
        <v>2185</v>
      </c>
      <c r="G5828" s="367" t="s">
        <v>2186</v>
      </c>
      <c r="H5828" s="1542" t="s">
        <v>476</v>
      </c>
      <c r="I5828" s="1543"/>
      <c r="J5828" s="1543"/>
      <c r="K5828" s="1543"/>
      <c r="L5828" s="1543"/>
      <c r="M5828" s="1543"/>
      <c r="N5828" s="1566"/>
    </row>
    <row r="5829" spans="1:14" ht="24">
      <c r="A5829" s="1554"/>
      <c r="B5829" s="1541"/>
      <c r="C5829" s="368" t="s">
        <v>2627</v>
      </c>
      <c r="D5829" s="369" t="s">
        <v>2187</v>
      </c>
      <c r="E5829" s="529" t="s">
        <v>3152</v>
      </c>
      <c r="F5829" s="369" t="s">
        <v>2649</v>
      </c>
      <c r="G5829" s="370" t="s">
        <v>2709</v>
      </c>
      <c r="H5829" s="1542"/>
      <c r="I5829" s="1543"/>
      <c r="J5829" s="1543"/>
      <c r="K5829" s="1543"/>
      <c r="L5829" s="1543"/>
      <c r="M5829" s="1543"/>
      <c r="N5829" s="1566"/>
    </row>
    <row r="5830" spans="1:14">
      <c r="A5830" s="1535" t="s">
        <v>3569</v>
      </c>
      <c r="B5830" s="876"/>
      <c r="C5830" s="317"/>
      <c r="D5830" s="287"/>
      <c r="E5830" s="531"/>
      <c r="F5830" s="287"/>
      <c r="G5830" s="431"/>
      <c r="H5830" s="349"/>
      <c r="I5830" s="1567"/>
      <c r="J5830" s="1543"/>
      <c r="K5830" s="1543"/>
      <c r="L5830" s="1543"/>
      <c r="M5830" s="1543"/>
      <c r="N5830" s="1566"/>
    </row>
    <row r="5831" spans="1:14">
      <c r="A5831" s="1529"/>
      <c r="B5831" s="876" t="s">
        <v>3534</v>
      </c>
      <c r="C5831" s="743">
        <v>43</v>
      </c>
      <c r="D5831" s="198"/>
      <c r="E5831" s="341">
        <v>0.3</v>
      </c>
      <c r="F5831" s="341"/>
      <c r="G5831" s="341"/>
      <c r="H5831" s="349">
        <v>13</v>
      </c>
      <c r="I5831" s="1567"/>
      <c r="J5831" s="1543"/>
      <c r="K5831" s="1543"/>
      <c r="L5831" s="1543"/>
      <c r="M5831" s="1543"/>
      <c r="N5831" s="1566"/>
    </row>
    <row r="5832" spans="1:14">
      <c r="A5832" s="1529"/>
      <c r="B5832" s="876" t="s">
        <v>3198</v>
      </c>
      <c r="C5832" s="743">
        <v>21</v>
      </c>
      <c r="D5832" s="199"/>
      <c r="E5832" s="351">
        <v>1</v>
      </c>
      <c r="F5832" s="351"/>
      <c r="G5832" s="351"/>
      <c r="H5832" s="349">
        <f>E5832*C5832</f>
        <v>21</v>
      </c>
      <c r="I5832" s="1567"/>
      <c r="J5832" s="1543"/>
      <c r="K5832" s="1543"/>
      <c r="L5832" s="1543"/>
      <c r="M5832" s="1543"/>
      <c r="N5832" s="1566"/>
    </row>
    <row r="5833" spans="1:14">
      <c r="A5833" s="1136"/>
      <c r="B5833" s="876" t="s">
        <v>3534</v>
      </c>
      <c r="C5833" s="743">
        <v>43</v>
      </c>
      <c r="D5833" s="198"/>
      <c r="E5833" s="341">
        <v>0.7</v>
      </c>
      <c r="F5833" s="341"/>
      <c r="G5833" s="341"/>
      <c r="H5833" s="349">
        <v>30</v>
      </c>
      <c r="I5833" s="1567"/>
      <c r="J5833" s="1543"/>
      <c r="K5833" s="1543"/>
      <c r="L5833" s="1543"/>
      <c r="M5833" s="1543"/>
      <c r="N5833" s="1566"/>
    </row>
    <row r="5834" spans="1:14">
      <c r="A5834" s="1136"/>
      <c r="B5834" s="876"/>
      <c r="C5834" s="743"/>
      <c r="D5834" s="199"/>
      <c r="E5834" s="351"/>
      <c r="F5834" s="351"/>
      <c r="G5834" s="351"/>
      <c r="H5834" s="349"/>
      <c r="I5834" s="1567"/>
      <c r="J5834" s="1543"/>
      <c r="K5834" s="1543"/>
      <c r="L5834" s="1543"/>
      <c r="M5834" s="1543"/>
      <c r="N5834" s="1566"/>
    </row>
    <row r="5835" spans="1:14">
      <c r="A5835" s="1136"/>
      <c r="B5835" s="876"/>
      <c r="C5835" s="743"/>
      <c r="D5835" s="199"/>
      <c r="E5835" s="351"/>
      <c r="F5835" s="351"/>
      <c r="G5835" s="351"/>
      <c r="H5835" s="349"/>
      <c r="I5835" s="1567"/>
      <c r="J5835" s="1543"/>
      <c r="K5835" s="1543"/>
      <c r="L5835" s="1543"/>
      <c r="M5835" s="1543"/>
      <c r="N5835" s="1566"/>
    </row>
    <row r="5836" spans="1:14">
      <c r="A5836" s="1137"/>
      <c r="B5836" s="876"/>
      <c r="C5836" s="743"/>
      <c r="D5836" s="294"/>
      <c r="E5836" s="348"/>
      <c r="F5836" s="348"/>
      <c r="G5836" s="348"/>
      <c r="H5836" s="349"/>
      <c r="I5836" s="1567"/>
      <c r="J5836" s="1543"/>
      <c r="K5836" s="1543"/>
      <c r="L5836" s="1543"/>
      <c r="M5836" s="1543"/>
      <c r="N5836" s="1566"/>
    </row>
    <row r="5837" spans="1:14">
      <c r="A5837" s="1578" t="s">
        <v>2218</v>
      </c>
      <c r="B5837" s="1538"/>
      <c r="C5837" s="1538"/>
      <c r="D5837" s="1538"/>
      <c r="E5837" s="1538"/>
      <c r="F5837" s="1538"/>
      <c r="G5837" s="1538"/>
      <c r="H5837" s="271">
        <f>SUM(H5830:H5836)</f>
        <v>64</v>
      </c>
      <c r="I5837" s="1567"/>
      <c r="J5837" s="1543"/>
      <c r="K5837" s="1543"/>
      <c r="L5837" s="1543"/>
      <c r="M5837" s="1543"/>
      <c r="N5837" s="1566"/>
    </row>
    <row r="5838" spans="1:14" ht="21" customHeight="1">
      <c r="A5838" s="1519" t="s">
        <v>2219</v>
      </c>
      <c r="B5838" s="1517"/>
      <c r="C5838" s="1517"/>
      <c r="D5838" s="1551"/>
      <c r="E5838" s="1551"/>
      <c r="F5838" s="1551"/>
      <c r="G5838" s="1552"/>
      <c r="H5838" s="325">
        <f>SUM(H5830)</f>
        <v>0</v>
      </c>
      <c r="I5838" s="1543"/>
      <c r="J5838" s="1543"/>
      <c r="K5838" s="1543"/>
      <c r="L5838" s="1543"/>
      <c r="M5838" s="1543"/>
      <c r="N5838" s="1566"/>
    </row>
    <row r="5839" spans="1:14" ht="15.75" thickBot="1">
      <c r="A5839" s="1520" t="s">
        <v>2220</v>
      </c>
      <c r="B5839" s="1521"/>
      <c r="C5839" s="1521"/>
      <c r="D5839" s="1521"/>
      <c r="E5839" s="1521"/>
      <c r="F5839" s="1521"/>
      <c r="G5839" s="1522"/>
      <c r="H5839" s="216">
        <f>H5837-H5838</f>
        <v>64</v>
      </c>
      <c r="I5839" s="1568"/>
      <c r="J5839" s="1568"/>
      <c r="K5839" s="1568"/>
      <c r="L5839" s="1568"/>
      <c r="M5839" s="1568"/>
      <c r="N5839" s="1569"/>
    </row>
    <row r="5840" spans="1:14" ht="15.75" thickBot="1">
      <c r="A5840" s="898"/>
      <c r="B5840" s="898"/>
      <c r="C5840" s="898"/>
      <c r="D5840" s="970"/>
      <c r="E5840" s="1363"/>
      <c r="F5840" s="898"/>
      <c r="G5840" s="899"/>
      <c r="H5840" s="220"/>
      <c r="I5840" s="942"/>
      <c r="J5840" s="942"/>
      <c r="K5840" s="942"/>
      <c r="L5840" s="942"/>
      <c r="M5840" s="942"/>
      <c r="N5840" s="941"/>
    </row>
    <row r="5841" spans="1:14">
      <c r="A5841" s="1121">
        <v>150409</v>
      </c>
      <c r="B5841" s="1494" t="s">
        <v>1490</v>
      </c>
      <c r="C5841" s="1495"/>
      <c r="D5841" s="1495"/>
      <c r="E5841" s="1495"/>
      <c r="F5841" s="1495"/>
      <c r="G5841" s="1495"/>
      <c r="H5841" s="1495"/>
      <c r="I5841" s="1495"/>
      <c r="J5841" s="1496"/>
      <c r="K5841" s="196" t="s">
        <v>28</v>
      </c>
      <c r="L5841" s="1497">
        <f>'27ª MEDIÇÃO '!F404</f>
        <v>21</v>
      </c>
      <c r="M5841" s="1498"/>
      <c r="N5841" s="197">
        <f>L5841-H5849</f>
        <v>0</v>
      </c>
    </row>
    <row r="5842" spans="1:14">
      <c r="A5842" s="1554"/>
      <c r="B5842" s="1541"/>
      <c r="C5842" s="366"/>
      <c r="D5842" s="367" t="s">
        <v>2183</v>
      </c>
      <c r="E5842" s="1320" t="s">
        <v>2184</v>
      </c>
      <c r="F5842" s="367" t="s">
        <v>2185</v>
      </c>
      <c r="G5842" s="367" t="s">
        <v>2186</v>
      </c>
      <c r="H5842" s="1542" t="s">
        <v>476</v>
      </c>
      <c r="I5842" s="1543"/>
      <c r="J5842" s="1543"/>
      <c r="K5842" s="1543"/>
      <c r="L5842" s="1543"/>
      <c r="M5842" s="1543"/>
      <c r="N5842" s="1566"/>
    </row>
    <row r="5843" spans="1:14" ht="24">
      <c r="A5843" s="1554"/>
      <c r="B5843" s="1541"/>
      <c r="C5843" s="368" t="s">
        <v>2627</v>
      </c>
      <c r="D5843" s="369" t="s">
        <v>2187</v>
      </c>
      <c r="E5843" s="529" t="s">
        <v>3152</v>
      </c>
      <c r="F5843" s="369" t="s">
        <v>2649</v>
      </c>
      <c r="G5843" s="370" t="s">
        <v>2709</v>
      </c>
      <c r="H5843" s="1542"/>
      <c r="I5843" s="1543"/>
      <c r="J5843" s="1543"/>
      <c r="K5843" s="1543"/>
      <c r="L5843" s="1543"/>
      <c r="M5843" s="1543"/>
      <c r="N5843" s="1566"/>
    </row>
    <row r="5844" spans="1:14">
      <c r="A5844" s="1535" t="s">
        <v>3569</v>
      </c>
      <c r="B5844" s="876"/>
      <c r="C5844" s="317"/>
      <c r="D5844" s="287"/>
      <c r="E5844" s="531"/>
      <c r="F5844" s="287"/>
      <c r="G5844" s="431"/>
      <c r="H5844" s="349"/>
      <c r="I5844" s="1567"/>
      <c r="J5844" s="1543"/>
      <c r="K5844" s="1543"/>
      <c r="L5844" s="1543"/>
      <c r="M5844" s="1543"/>
      <c r="N5844" s="1566"/>
    </row>
    <row r="5845" spans="1:14">
      <c r="A5845" s="1529"/>
      <c r="B5845" s="876" t="s">
        <v>3534</v>
      </c>
      <c r="C5845" s="743">
        <v>15</v>
      </c>
      <c r="D5845" s="198"/>
      <c r="E5845" s="341">
        <v>0.3</v>
      </c>
      <c r="F5845" s="341"/>
      <c r="G5845" s="341"/>
      <c r="H5845" s="349">
        <v>4</v>
      </c>
      <c r="I5845" s="1567"/>
      <c r="J5845" s="1543"/>
      <c r="K5845" s="1543"/>
      <c r="L5845" s="1543"/>
      <c r="M5845" s="1543"/>
      <c r="N5845" s="1566"/>
    </row>
    <row r="5846" spans="1:14">
      <c r="A5846" s="1529"/>
      <c r="B5846" s="876" t="s">
        <v>3198</v>
      </c>
      <c r="C5846" s="743">
        <v>6</v>
      </c>
      <c r="D5846" s="199"/>
      <c r="E5846" s="351">
        <v>1</v>
      </c>
      <c r="F5846" s="351"/>
      <c r="G5846" s="351"/>
      <c r="H5846" s="349">
        <f>E5846*C5846</f>
        <v>6</v>
      </c>
      <c r="I5846" s="1567"/>
      <c r="J5846" s="1543"/>
      <c r="K5846" s="1543"/>
      <c r="L5846" s="1543"/>
      <c r="M5846" s="1543"/>
      <c r="N5846" s="1566"/>
    </row>
    <row r="5847" spans="1:14">
      <c r="A5847" s="1136" t="s">
        <v>3937</v>
      </c>
      <c r="B5847" s="876" t="s">
        <v>3534</v>
      </c>
      <c r="C5847" s="743">
        <v>15</v>
      </c>
      <c r="D5847" s="198"/>
      <c r="E5847" s="341">
        <v>0.7</v>
      </c>
      <c r="F5847" s="341"/>
      <c r="G5847" s="341"/>
      <c r="H5847" s="349">
        <v>11</v>
      </c>
      <c r="I5847" s="1567"/>
      <c r="J5847" s="1543"/>
      <c r="K5847" s="1543"/>
      <c r="L5847" s="1543"/>
      <c r="M5847" s="1543"/>
      <c r="N5847" s="1566"/>
    </row>
    <row r="5848" spans="1:14">
      <c r="A5848" s="1137"/>
      <c r="B5848" s="876"/>
      <c r="C5848" s="743"/>
      <c r="D5848" s="294"/>
      <c r="E5848" s="348"/>
      <c r="F5848" s="348"/>
      <c r="G5848" s="348"/>
      <c r="H5848" s="349"/>
      <c r="I5848" s="1567"/>
      <c r="J5848" s="1543"/>
      <c r="K5848" s="1543"/>
      <c r="L5848" s="1543"/>
      <c r="M5848" s="1543"/>
      <c r="N5848" s="1566"/>
    </row>
    <row r="5849" spans="1:14">
      <c r="A5849" s="1578" t="s">
        <v>2218</v>
      </c>
      <c r="B5849" s="1538"/>
      <c r="C5849" s="1538"/>
      <c r="D5849" s="1538"/>
      <c r="E5849" s="1538"/>
      <c r="F5849" s="1538"/>
      <c r="G5849" s="1538"/>
      <c r="H5849" s="271">
        <f>SUM(H5844:H5848)</f>
        <v>21</v>
      </c>
      <c r="I5849" s="1567"/>
      <c r="J5849" s="1543"/>
      <c r="K5849" s="1543"/>
      <c r="L5849" s="1543"/>
      <c r="M5849" s="1543"/>
      <c r="N5849" s="1566"/>
    </row>
    <row r="5850" spans="1:14">
      <c r="A5850" s="1519" t="s">
        <v>2219</v>
      </c>
      <c r="B5850" s="1517"/>
      <c r="C5850" s="1517"/>
      <c r="D5850" s="1551"/>
      <c r="E5850" s="1551"/>
      <c r="F5850" s="1551"/>
      <c r="G5850" s="1552"/>
      <c r="H5850" s="325">
        <f>SUM(H5844:H5846)</f>
        <v>10</v>
      </c>
      <c r="I5850" s="1543"/>
      <c r="J5850" s="1543"/>
      <c r="K5850" s="1543"/>
      <c r="L5850" s="1543"/>
      <c r="M5850" s="1543"/>
      <c r="N5850" s="1566"/>
    </row>
    <row r="5851" spans="1:14" ht="15.75" thickBot="1">
      <c r="A5851" s="1520" t="s">
        <v>2220</v>
      </c>
      <c r="B5851" s="1521"/>
      <c r="C5851" s="1521"/>
      <c r="D5851" s="1521"/>
      <c r="E5851" s="1521"/>
      <c r="F5851" s="1521"/>
      <c r="G5851" s="1522"/>
      <c r="H5851" s="216">
        <f>H5849-H5850</f>
        <v>11</v>
      </c>
      <c r="I5851" s="1568"/>
      <c r="J5851" s="1568"/>
      <c r="K5851" s="1568"/>
      <c r="L5851" s="1568"/>
      <c r="M5851" s="1568"/>
      <c r="N5851" s="1569"/>
    </row>
    <row r="5852" spans="1:14" ht="15.75" thickBot="1">
      <c r="A5852" s="898"/>
      <c r="B5852" s="898"/>
      <c r="C5852" s="898"/>
      <c r="D5852" s="970"/>
      <c r="E5852" s="1363"/>
      <c r="F5852" s="898"/>
      <c r="G5852" s="899"/>
      <c r="H5852" s="220"/>
      <c r="I5852" s="942"/>
      <c r="J5852" s="942"/>
      <c r="K5852" s="942"/>
      <c r="L5852" s="942"/>
      <c r="M5852" s="942"/>
      <c r="N5852" s="941"/>
    </row>
    <row r="5853" spans="1:14">
      <c r="A5853" s="1121">
        <v>150410</v>
      </c>
      <c r="B5853" s="1494" t="s">
        <v>356</v>
      </c>
      <c r="C5853" s="1495"/>
      <c r="D5853" s="1495"/>
      <c r="E5853" s="1495"/>
      <c r="F5853" s="1495"/>
      <c r="G5853" s="1495"/>
      <c r="H5853" s="1495"/>
      <c r="I5853" s="1495"/>
      <c r="J5853" s="1496"/>
      <c r="K5853" s="196" t="s">
        <v>28</v>
      </c>
      <c r="L5853" s="1497">
        <f>'27ª MEDIÇÃO '!F405</f>
        <v>20</v>
      </c>
      <c r="M5853" s="1498"/>
      <c r="N5853" s="197">
        <f>L5853-H5861</f>
        <v>0</v>
      </c>
    </row>
    <row r="5854" spans="1:14">
      <c r="A5854" s="1554"/>
      <c r="B5854" s="1541"/>
      <c r="C5854" s="366"/>
      <c r="D5854" s="367" t="s">
        <v>2183</v>
      </c>
      <c r="E5854" s="1320" t="s">
        <v>2184</v>
      </c>
      <c r="F5854" s="367" t="s">
        <v>2185</v>
      </c>
      <c r="G5854" s="367" t="s">
        <v>2186</v>
      </c>
      <c r="H5854" s="1542" t="s">
        <v>476</v>
      </c>
      <c r="I5854" s="1543"/>
      <c r="J5854" s="1543"/>
      <c r="K5854" s="1543"/>
      <c r="L5854" s="1543"/>
      <c r="M5854" s="1543"/>
      <c r="N5854" s="1566"/>
    </row>
    <row r="5855" spans="1:14" ht="24">
      <c r="A5855" s="1554"/>
      <c r="B5855" s="1541"/>
      <c r="C5855" s="368" t="s">
        <v>2627</v>
      </c>
      <c r="D5855" s="369" t="s">
        <v>2187</v>
      </c>
      <c r="E5855" s="529" t="s">
        <v>3152</v>
      </c>
      <c r="F5855" s="369" t="s">
        <v>2649</v>
      </c>
      <c r="G5855" s="370" t="s">
        <v>2709</v>
      </c>
      <c r="H5855" s="1542"/>
      <c r="I5855" s="1543"/>
      <c r="J5855" s="1543"/>
      <c r="K5855" s="1543"/>
      <c r="L5855" s="1543"/>
      <c r="M5855" s="1543"/>
      <c r="N5855" s="1566"/>
    </row>
    <row r="5856" spans="1:14" ht="21" customHeight="1">
      <c r="A5856" s="1535" t="s">
        <v>3569</v>
      </c>
      <c r="B5856" s="876"/>
      <c r="C5856" s="317"/>
      <c r="D5856" s="287"/>
      <c r="E5856" s="531"/>
      <c r="F5856" s="287"/>
      <c r="G5856" s="431"/>
      <c r="H5856" s="349"/>
      <c r="I5856" s="1567"/>
      <c r="J5856" s="1543"/>
      <c r="K5856" s="1543"/>
      <c r="L5856" s="1543"/>
      <c r="M5856" s="1543"/>
      <c r="N5856" s="1566"/>
    </row>
    <row r="5857" spans="1:14">
      <c r="A5857" s="1529"/>
      <c r="B5857" s="876" t="s">
        <v>3534</v>
      </c>
      <c r="C5857" s="743">
        <v>5</v>
      </c>
      <c r="D5857" s="198"/>
      <c r="E5857" s="341">
        <v>0.3</v>
      </c>
      <c r="F5857" s="341"/>
      <c r="G5857" s="341"/>
      <c r="H5857" s="349">
        <v>2</v>
      </c>
      <c r="I5857" s="1567"/>
      <c r="J5857" s="1543"/>
      <c r="K5857" s="1543"/>
      <c r="L5857" s="1543"/>
      <c r="M5857" s="1543"/>
      <c r="N5857" s="1566"/>
    </row>
    <row r="5858" spans="1:14">
      <c r="A5858" s="1529"/>
      <c r="B5858" s="876" t="s">
        <v>3198</v>
      </c>
      <c r="C5858" s="743">
        <v>15</v>
      </c>
      <c r="D5858" s="199"/>
      <c r="E5858" s="351">
        <v>0.8</v>
      </c>
      <c r="F5858" s="351"/>
      <c r="G5858" s="351"/>
      <c r="H5858" s="349">
        <f>E5858*C5858</f>
        <v>12</v>
      </c>
      <c r="I5858" s="1567"/>
      <c r="J5858" s="1543"/>
      <c r="K5858" s="1543"/>
      <c r="L5858" s="1543"/>
      <c r="M5858" s="1543"/>
      <c r="N5858" s="1566"/>
    </row>
    <row r="5859" spans="1:14">
      <c r="A5859" s="1136"/>
      <c r="B5859" s="876" t="s">
        <v>3534</v>
      </c>
      <c r="C5859" s="743">
        <v>5</v>
      </c>
      <c r="D5859" s="198"/>
      <c r="E5859" s="341">
        <v>0.7</v>
      </c>
      <c r="F5859" s="341"/>
      <c r="G5859" s="341"/>
      <c r="H5859" s="349">
        <v>3</v>
      </c>
      <c r="I5859" s="1567"/>
      <c r="J5859" s="1543"/>
      <c r="K5859" s="1543"/>
      <c r="L5859" s="1543"/>
      <c r="M5859" s="1543"/>
      <c r="N5859" s="1566"/>
    </row>
    <row r="5860" spans="1:14">
      <c r="A5860" s="1137"/>
      <c r="B5860" s="876" t="s">
        <v>3198</v>
      </c>
      <c r="C5860" s="743">
        <v>15</v>
      </c>
      <c r="D5860" s="199"/>
      <c r="E5860" s="351">
        <v>0.2</v>
      </c>
      <c r="F5860" s="351"/>
      <c r="G5860" s="351"/>
      <c r="H5860" s="349">
        <f>E5860*C5860</f>
        <v>3</v>
      </c>
      <c r="I5860" s="1567"/>
      <c r="J5860" s="1543"/>
      <c r="K5860" s="1543"/>
      <c r="L5860" s="1543"/>
      <c r="M5860" s="1543"/>
      <c r="N5860" s="1566"/>
    </row>
    <row r="5861" spans="1:14">
      <c r="A5861" s="1578" t="s">
        <v>2218</v>
      </c>
      <c r="B5861" s="1538"/>
      <c r="C5861" s="1538"/>
      <c r="D5861" s="1538"/>
      <c r="E5861" s="1538"/>
      <c r="F5861" s="1538"/>
      <c r="G5861" s="1538"/>
      <c r="H5861" s="271">
        <f>SUM(H5856:H5860)</f>
        <v>20</v>
      </c>
      <c r="I5861" s="1567"/>
      <c r="J5861" s="1543"/>
      <c r="K5861" s="1543"/>
      <c r="L5861" s="1543"/>
      <c r="M5861" s="1543"/>
      <c r="N5861" s="1566"/>
    </row>
    <row r="5862" spans="1:14">
      <c r="A5862" s="1519" t="s">
        <v>2219</v>
      </c>
      <c r="B5862" s="1517"/>
      <c r="C5862" s="1517"/>
      <c r="D5862" s="1551"/>
      <c r="E5862" s="1551"/>
      <c r="F5862" s="1551"/>
      <c r="G5862" s="1552"/>
      <c r="H5862" s="325">
        <f>SUM(H5856:H5858)</f>
        <v>14</v>
      </c>
      <c r="I5862" s="1543"/>
      <c r="J5862" s="1543"/>
      <c r="K5862" s="1543"/>
      <c r="L5862" s="1543"/>
      <c r="M5862" s="1543"/>
      <c r="N5862" s="1566"/>
    </row>
    <row r="5863" spans="1:14" ht="15.75" thickBot="1">
      <c r="A5863" s="1520" t="s">
        <v>2220</v>
      </c>
      <c r="B5863" s="1521"/>
      <c r="C5863" s="1521"/>
      <c r="D5863" s="1521"/>
      <c r="E5863" s="1521"/>
      <c r="F5863" s="1521"/>
      <c r="G5863" s="1522"/>
      <c r="H5863" s="216">
        <f>H5861-H5862</f>
        <v>6</v>
      </c>
      <c r="I5863" s="1568"/>
      <c r="J5863" s="1568"/>
      <c r="K5863" s="1568"/>
      <c r="L5863" s="1568"/>
      <c r="M5863" s="1568"/>
      <c r="N5863" s="1569"/>
    </row>
    <row r="5864" spans="1:14" ht="15.75" thickBot="1">
      <c r="A5864" s="898"/>
      <c r="B5864" s="898"/>
      <c r="C5864" s="898"/>
      <c r="D5864" s="970"/>
      <c r="E5864" s="1363"/>
      <c r="F5864" s="898"/>
      <c r="G5864" s="899"/>
      <c r="H5864" s="220"/>
      <c r="I5864" s="942"/>
      <c r="J5864" s="942"/>
      <c r="K5864" s="942"/>
      <c r="L5864" s="942"/>
      <c r="M5864" s="942"/>
      <c r="N5864" s="941"/>
    </row>
    <row r="5865" spans="1:14">
      <c r="A5865" s="1121">
        <v>150411</v>
      </c>
      <c r="B5865" s="1494" t="s">
        <v>1494</v>
      </c>
      <c r="C5865" s="1495"/>
      <c r="D5865" s="1495"/>
      <c r="E5865" s="1495"/>
      <c r="F5865" s="1495"/>
      <c r="G5865" s="1495"/>
      <c r="H5865" s="1495"/>
      <c r="I5865" s="1495"/>
      <c r="J5865" s="1496"/>
      <c r="K5865" s="196" t="s">
        <v>28</v>
      </c>
      <c r="L5865" s="1497">
        <v>1</v>
      </c>
      <c r="M5865" s="1498"/>
      <c r="N5865" s="197">
        <f>L5865-H5871</f>
        <v>0</v>
      </c>
    </row>
    <row r="5866" spans="1:14">
      <c r="A5866" s="1554"/>
      <c r="B5866" s="1541"/>
      <c r="C5866" s="366"/>
      <c r="D5866" s="367" t="s">
        <v>2183</v>
      </c>
      <c r="E5866" s="1320" t="s">
        <v>2184</v>
      </c>
      <c r="F5866" s="367" t="s">
        <v>2185</v>
      </c>
      <c r="G5866" s="367" t="s">
        <v>2186</v>
      </c>
      <c r="H5866" s="1542" t="s">
        <v>476</v>
      </c>
      <c r="I5866" s="1543"/>
      <c r="J5866" s="1543"/>
      <c r="K5866" s="1543"/>
      <c r="L5866" s="1543"/>
      <c r="M5866" s="1543"/>
      <c r="N5866" s="1566"/>
    </row>
    <row r="5867" spans="1:14" ht="24">
      <c r="A5867" s="1554"/>
      <c r="B5867" s="1541"/>
      <c r="C5867" s="368" t="s">
        <v>2627</v>
      </c>
      <c r="D5867" s="369" t="s">
        <v>2187</v>
      </c>
      <c r="E5867" s="529" t="s">
        <v>3152</v>
      </c>
      <c r="F5867" s="369" t="s">
        <v>2649</v>
      </c>
      <c r="G5867" s="370" t="s">
        <v>2709</v>
      </c>
      <c r="H5867" s="1542"/>
      <c r="I5867" s="1543"/>
      <c r="J5867" s="1543"/>
      <c r="K5867" s="1543"/>
      <c r="L5867" s="1543"/>
      <c r="M5867" s="1543"/>
      <c r="N5867" s="1566"/>
    </row>
    <row r="5868" spans="1:14">
      <c r="A5868" s="1535" t="s">
        <v>3892</v>
      </c>
      <c r="B5868" s="876"/>
      <c r="C5868" s="317"/>
      <c r="D5868" s="287"/>
      <c r="E5868" s="531"/>
      <c r="F5868" s="287"/>
      <c r="G5868" s="431"/>
      <c r="H5868" s="349"/>
      <c r="I5868" s="1567"/>
      <c r="J5868" s="1543"/>
      <c r="K5868" s="1543"/>
      <c r="L5868" s="1543"/>
      <c r="M5868" s="1543"/>
      <c r="N5868" s="1566"/>
    </row>
    <row r="5869" spans="1:14">
      <c r="A5869" s="1529"/>
      <c r="B5869" s="876" t="s">
        <v>3534</v>
      </c>
      <c r="C5869" s="743">
        <v>4</v>
      </c>
      <c r="D5869" s="198"/>
      <c r="E5869" s="341"/>
      <c r="F5869" s="341"/>
      <c r="G5869" s="341"/>
      <c r="H5869" s="349">
        <v>1</v>
      </c>
      <c r="I5869" s="1567"/>
      <c r="J5869" s="1543"/>
      <c r="K5869" s="1543"/>
      <c r="L5869" s="1543"/>
      <c r="M5869" s="1543"/>
      <c r="N5869" s="1566"/>
    </row>
    <row r="5870" spans="1:14">
      <c r="A5870" s="1529"/>
      <c r="B5870" s="876"/>
      <c r="C5870" s="743"/>
      <c r="D5870" s="199"/>
      <c r="E5870" s="351"/>
      <c r="F5870" s="351"/>
      <c r="G5870" s="351"/>
      <c r="H5870" s="349">
        <f>E5870*C5870</f>
        <v>0</v>
      </c>
      <c r="I5870" s="1567"/>
      <c r="J5870" s="1543"/>
      <c r="K5870" s="1543"/>
      <c r="L5870" s="1543"/>
      <c r="M5870" s="1543"/>
      <c r="N5870" s="1566"/>
    </row>
    <row r="5871" spans="1:14">
      <c r="A5871" s="1578" t="s">
        <v>2218</v>
      </c>
      <c r="B5871" s="1538"/>
      <c r="C5871" s="1538"/>
      <c r="D5871" s="1538"/>
      <c r="E5871" s="1538"/>
      <c r="F5871" s="1538"/>
      <c r="G5871" s="1538"/>
      <c r="H5871" s="271">
        <f>SUM(H5868:H5870)</f>
        <v>1</v>
      </c>
      <c r="I5871" s="1567"/>
      <c r="J5871" s="1543"/>
      <c r="K5871" s="1543"/>
      <c r="L5871" s="1543"/>
      <c r="M5871" s="1543"/>
      <c r="N5871" s="1566"/>
    </row>
    <row r="5872" spans="1:14">
      <c r="A5872" s="1519" t="s">
        <v>2219</v>
      </c>
      <c r="B5872" s="1517"/>
      <c r="C5872" s="1517"/>
      <c r="D5872" s="1551"/>
      <c r="E5872" s="1551"/>
      <c r="F5872" s="1551"/>
      <c r="G5872" s="1552"/>
      <c r="H5872" s="325">
        <f>SUM(H5868)</f>
        <v>0</v>
      </c>
      <c r="I5872" s="1543"/>
      <c r="J5872" s="1543"/>
      <c r="K5872" s="1543"/>
      <c r="L5872" s="1543"/>
      <c r="M5872" s="1543"/>
      <c r="N5872" s="1566"/>
    </row>
    <row r="5873" spans="1:14" ht="15.75" thickBot="1">
      <c r="A5873" s="1520" t="s">
        <v>2220</v>
      </c>
      <c r="B5873" s="1521"/>
      <c r="C5873" s="1521"/>
      <c r="D5873" s="1521"/>
      <c r="E5873" s="1521"/>
      <c r="F5873" s="1521"/>
      <c r="G5873" s="1522"/>
      <c r="H5873" s="216">
        <f>H5871-H5872</f>
        <v>1</v>
      </c>
      <c r="I5873" s="1568"/>
      <c r="J5873" s="1568"/>
      <c r="K5873" s="1568"/>
      <c r="L5873" s="1568"/>
      <c r="M5873" s="1568"/>
      <c r="N5873" s="1569"/>
    </row>
    <row r="5874" spans="1:14" ht="15.75" thickBot="1">
      <c r="A5874" s="898"/>
      <c r="B5874" s="898"/>
      <c r="C5874" s="898"/>
      <c r="D5874" s="970"/>
      <c r="E5874" s="1363"/>
      <c r="F5874" s="898"/>
      <c r="G5874" s="899"/>
      <c r="H5874" s="220"/>
      <c r="I5874" s="942"/>
      <c r="J5874" s="942"/>
      <c r="K5874" s="942"/>
      <c r="L5874" s="942"/>
      <c r="M5874" s="942"/>
      <c r="N5874" s="941"/>
    </row>
    <row r="5875" spans="1:14">
      <c r="A5875" s="1121">
        <v>150412</v>
      </c>
      <c r="B5875" s="1494" t="s">
        <v>1497</v>
      </c>
      <c r="C5875" s="1495"/>
      <c r="D5875" s="1495"/>
      <c r="E5875" s="1495"/>
      <c r="F5875" s="1495"/>
      <c r="G5875" s="1495"/>
      <c r="H5875" s="1495"/>
      <c r="I5875" s="1495"/>
      <c r="J5875" s="1496"/>
      <c r="K5875" s="196" t="s">
        <v>28</v>
      </c>
      <c r="L5875" s="1497">
        <v>4</v>
      </c>
      <c r="M5875" s="1498"/>
      <c r="N5875" s="197">
        <f>L5875-H5882</f>
        <v>0</v>
      </c>
    </row>
    <row r="5876" spans="1:14">
      <c r="A5876" s="1554"/>
      <c r="B5876" s="1541"/>
      <c r="C5876" s="366"/>
      <c r="D5876" s="367" t="s">
        <v>2183</v>
      </c>
      <c r="E5876" s="1320" t="s">
        <v>2184</v>
      </c>
      <c r="F5876" s="367" t="s">
        <v>2185</v>
      </c>
      <c r="G5876" s="367" t="s">
        <v>2186</v>
      </c>
      <c r="H5876" s="1542" t="s">
        <v>476</v>
      </c>
      <c r="I5876" s="1543"/>
      <c r="J5876" s="1543"/>
      <c r="K5876" s="1543"/>
      <c r="L5876" s="1543"/>
      <c r="M5876" s="1543"/>
      <c r="N5876" s="1566"/>
    </row>
    <row r="5877" spans="1:14" ht="24">
      <c r="A5877" s="1554"/>
      <c r="B5877" s="1541"/>
      <c r="C5877" s="368" t="s">
        <v>2627</v>
      </c>
      <c r="D5877" s="369" t="s">
        <v>2187</v>
      </c>
      <c r="E5877" s="529" t="s">
        <v>3152</v>
      </c>
      <c r="F5877" s="369" t="s">
        <v>2649</v>
      </c>
      <c r="G5877" s="370" t="s">
        <v>2709</v>
      </c>
      <c r="H5877" s="1542"/>
      <c r="I5877" s="1543"/>
      <c r="J5877" s="1543"/>
      <c r="K5877" s="1543"/>
      <c r="L5877" s="1543"/>
      <c r="M5877" s="1543"/>
      <c r="N5877" s="1566"/>
    </row>
    <row r="5878" spans="1:14">
      <c r="A5878" s="1535" t="s">
        <v>3892</v>
      </c>
      <c r="B5878" s="876"/>
      <c r="C5878" s="317"/>
      <c r="D5878" s="287"/>
      <c r="E5878" s="531"/>
      <c r="F5878" s="287"/>
      <c r="G5878" s="431"/>
      <c r="H5878" s="349"/>
      <c r="I5878" s="1567"/>
      <c r="J5878" s="1543"/>
      <c r="K5878" s="1543"/>
      <c r="L5878" s="1543"/>
      <c r="M5878" s="1543"/>
      <c r="N5878" s="1566"/>
    </row>
    <row r="5879" spans="1:14">
      <c r="A5879" s="1529"/>
      <c r="B5879" s="876" t="s">
        <v>3198</v>
      </c>
      <c r="C5879" s="743">
        <v>2</v>
      </c>
      <c r="D5879" s="199"/>
      <c r="E5879" s="351"/>
      <c r="F5879" s="351"/>
      <c r="G5879" s="351"/>
      <c r="H5879" s="349">
        <v>2</v>
      </c>
      <c r="I5879" s="1567"/>
      <c r="J5879" s="1543"/>
      <c r="K5879" s="1543"/>
      <c r="L5879" s="1543"/>
      <c r="M5879" s="1543"/>
      <c r="N5879" s="1566"/>
    </row>
    <row r="5880" spans="1:14">
      <c r="A5880" s="1535" t="s">
        <v>3937</v>
      </c>
      <c r="B5880" s="876" t="s">
        <v>3197</v>
      </c>
      <c r="C5880" s="743">
        <v>2</v>
      </c>
      <c r="D5880" s="199"/>
      <c r="E5880" s="351"/>
      <c r="F5880" s="351"/>
      <c r="G5880" s="351"/>
      <c r="H5880" s="349">
        <v>2</v>
      </c>
      <c r="I5880" s="1567"/>
      <c r="J5880" s="1543"/>
      <c r="K5880" s="1543"/>
      <c r="L5880" s="1543"/>
      <c r="M5880" s="1543"/>
      <c r="N5880" s="1566"/>
    </row>
    <row r="5881" spans="1:14">
      <c r="A5881" s="1529"/>
      <c r="B5881" s="876"/>
      <c r="C5881" s="743"/>
      <c r="D5881" s="294"/>
      <c r="E5881" s="348"/>
      <c r="F5881" s="348"/>
      <c r="G5881" s="348"/>
      <c r="H5881" s="349"/>
      <c r="I5881" s="1567"/>
      <c r="J5881" s="1543"/>
      <c r="K5881" s="1543"/>
      <c r="L5881" s="1543"/>
      <c r="M5881" s="1543"/>
      <c r="N5881" s="1566"/>
    </row>
    <row r="5882" spans="1:14" ht="21" customHeight="1">
      <c r="A5882" s="1578" t="s">
        <v>2218</v>
      </c>
      <c r="B5882" s="1538"/>
      <c r="C5882" s="1538"/>
      <c r="D5882" s="1538"/>
      <c r="E5882" s="1538"/>
      <c r="F5882" s="1538"/>
      <c r="G5882" s="1538"/>
      <c r="H5882" s="271">
        <f>SUM(H5878:H5881)</f>
        <v>4</v>
      </c>
      <c r="I5882" s="1567"/>
      <c r="J5882" s="1543"/>
      <c r="K5882" s="1543"/>
      <c r="L5882" s="1543"/>
      <c r="M5882" s="1543"/>
      <c r="N5882" s="1566"/>
    </row>
    <row r="5883" spans="1:14">
      <c r="A5883" s="1519" t="s">
        <v>2219</v>
      </c>
      <c r="B5883" s="1517"/>
      <c r="C5883" s="1517"/>
      <c r="D5883" s="1551"/>
      <c r="E5883" s="1551"/>
      <c r="F5883" s="1551"/>
      <c r="G5883" s="1552"/>
      <c r="H5883" s="325">
        <f>SUM(H5878:H5879)</f>
        <v>2</v>
      </c>
      <c r="I5883" s="1543"/>
      <c r="J5883" s="1543"/>
      <c r="K5883" s="1543"/>
      <c r="L5883" s="1543"/>
      <c r="M5883" s="1543"/>
      <c r="N5883" s="1566"/>
    </row>
    <row r="5884" spans="1:14" ht="15.75" thickBot="1">
      <c r="A5884" s="1520" t="s">
        <v>2220</v>
      </c>
      <c r="B5884" s="1521"/>
      <c r="C5884" s="1521"/>
      <c r="D5884" s="1521"/>
      <c r="E5884" s="1521"/>
      <c r="F5884" s="1521"/>
      <c r="G5884" s="1522"/>
      <c r="H5884" s="216">
        <f>H5882-H5883</f>
        <v>2</v>
      </c>
      <c r="I5884" s="1568"/>
      <c r="J5884" s="1568"/>
      <c r="K5884" s="1568"/>
      <c r="L5884" s="1568"/>
      <c r="M5884" s="1568"/>
      <c r="N5884" s="1569"/>
    </row>
    <row r="5885" spans="1:14">
      <c r="A5885" s="1121">
        <v>150413</v>
      </c>
      <c r="B5885" s="1494" t="s">
        <v>1500</v>
      </c>
      <c r="C5885" s="1495"/>
      <c r="D5885" s="1495"/>
      <c r="E5885" s="1495"/>
      <c r="F5885" s="1495"/>
      <c r="G5885" s="1495"/>
      <c r="H5885" s="1495"/>
      <c r="I5885" s="1495"/>
      <c r="J5885" s="1496"/>
      <c r="K5885" s="196" t="s">
        <v>28</v>
      </c>
      <c r="L5885" s="1497">
        <v>16</v>
      </c>
      <c r="M5885" s="1498"/>
      <c r="N5885" s="197">
        <f>L5885-H5892</f>
        <v>0</v>
      </c>
    </row>
    <row r="5886" spans="1:14">
      <c r="A5886" s="1554"/>
      <c r="B5886" s="1541"/>
      <c r="C5886" s="366"/>
      <c r="D5886" s="367" t="s">
        <v>2183</v>
      </c>
      <c r="E5886" s="1320" t="s">
        <v>2184</v>
      </c>
      <c r="F5886" s="367" t="s">
        <v>2185</v>
      </c>
      <c r="G5886" s="367" t="s">
        <v>2186</v>
      </c>
      <c r="H5886" s="1542" t="s">
        <v>476</v>
      </c>
      <c r="I5886" s="1543"/>
      <c r="J5886" s="1543"/>
      <c r="K5886" s="1543"/>
      <c r="L5886" s="1543"/>
      <c r="M5886" s="1543"/>
      <c r="N5886" s="1566"/>
    </row>
    <row r="5887" spans="1:14" ht="24">
      <c r="A5887" s="1554"/>
      <c r="B5887" s="1541"/>
      <c r="C5887" s="368" t="s">
        <v>2627</v>
      </c>
      <c r="D5887" s="369" t="s">
        <v>2187</v>
      </c>
      <c r="E5887" s="529" t="s">
        <v>3152</v>
      </c>
      <c r="F5887" s="369" t="s">
        <v>2649</v>
      </c>
      <c r="G5887" s="370" t="s">
        <v>2709</v>
      </c>
      <c r="H5887" s="1542"/>
      <c r="I5887" s="1543"/>
      <c r="J5887" s="1543"/>
      <c r="K5887" s="1543"/>
      <c r="L5887" s="1543"/>
      <c r="M5887" s="1543"/>
      <c r="N5887" s="1566"/>
    </row>
    <row r="5888" spans="1:14">
      <c r="A5888" s="1194" t="s">
        <v>3892</v>
      </c>
      <c r="B5888" s="876" t="s">
        <v>3198</v>
      </c>
      <c r="C5888" s="743">
        <v>9</v>
      </c>
      <c r="D5888" s="199"/>
      <c r="E5888" s="351"/>
      <c r="F5888" s="351"/>
      <c r="G5888" s="351"/>
      <c r="H5888" s="349">
        <v>9</v>
      </c>
      <c r="I5888" s="1567"/>
      <c r="J5888" s="1543"/>
      <c r="K5888" s="1543"/>
      <c r="L5888" s="1543"/>
      <c r="M5888" s="1543"/>
      <c r="N5888" s="1566"/>
    </row>
    <row r="5889" spans="1:14">
      <c r="A5889" s="1136"/>
      <c r="B5889" s="876"/>
      <c r="C5889" s="743"/>
      <c r="D5889" s="198"/>
      <c r="E5889" s="341"/>
      <c r="F5889" s="341"/>
      <c r="G5889" s="341"/>
      <c r="H5889" s="349"/>
      <c r="I5889" s="1567"/>
      <c r="J5889" s="1543"/>
      <c r="K5889" s="1543"/>
      <c r="L5889" s="1543"/>
      <c r="M5889" s="1543"/>
      <c r="N5889" s="1566"/>
    </row>
    <row r="5890" spans="1:14">
      <c r="A5890" s="1136"/>
      <c r="B5890" s="876" t="s">
        <v>3197</v>
      </c>
      <c r="C5890" s="743">
        <v>7</v>
      </c>
      <c r="D5890" s="199"/>
      <c r="E5890" s="351"/>
      <c r="F5890" s="351"/>
      <c r="G5890" s="351"/>
      <c r="H5890" s="349">
        <v>7</v>
      </c>
      <c r="I5890" s="1567"/>
      <c r="J5890" s="1543"/>
      <c r="K5890" s="1543"/>
      <c r="L5890" s="1543"/>
      <c r="M5890" s="1543"/>
      <c r="N5890" s="1566"/>
    </row>
    <row r="5891" spans="1:14">
      <c r="A5891" s="1137"/>
      <c r="B5891" s="876"/>
      <c r="C5891" s="743"/>
      <c r="D5891" s="294"/>
      <c r="E5891" s="348"/>
      <c r="F5891" s="348"/>
      <c r="G5891" s="348"/>
      <c r="H5891" s="349"/>
      <c r="I5891" s="1567"/>
      <c r="J5891" s="1543"/>
      <c r="K5891" s="1543"/>
      <c r="L5891" s="1543"/>
      <c r="M5891" s="1543"/>
      <c r="N5891" s="1566"/>
    </row>
    <row r="5892" spans="1:14">
      <c r="A5892" s="1578" t="s">
        <v>2218</v>
      </c>
      <c r="B5892" s="1538"/>
      <c r="C5892" s="1538"/>
      <c r="D5892" s="1538"/>
      <c r="E5892" s="1538"/>
      <c r="F5892" s="1538"/>
      <c r="G5892" s="1538"/>
      <c r="H5892" s="271">
        <f>SUM(H5888:H5891)</f>
        <v>16</v>
      </c>
      <c r="I5892" s="1567"/>
      <c r="J5892" s="1543"/>
      <c r="K5892" s="1543"/>
      <c r="L5892" s="1543"/>
      <c r="M5892" s="1543"/>
      <c r="N5892" s="1566"/>
    </row>
    <row r="5893" spans="1:14">
      <c r="A5893" s="1519" t="s">
        <v>2219</v>
      </c>
      <c r="B5893" s="1517"/>
      <c r="C5893" s="1517"/>
      <c r="D5893" s="1551"/>
      <c r="E5893" s="1551"/>
      <c r="F5893" s="1551"/>
      <c r="G5893" s="1552"/>
      <c r="H5893" s="325">
        <f>SUM(H5888)</f>
        <v>9</v>
      </c>
      <c r="I5893" s="1543"/>
      <c r="J5893" s="1543"/>
      <c r="K5893" s="1543"/>
      <c r="L5893" s="1543"/>
      <c r="M5893" s="1543"/>
      <c r="N5893" s="1566"/>
    </row>
    <row r="5894" spans="1:14" ht="15.75" thickBot="1">
      <c r="A5894" s="1520" t="s">
        <v>2220</v>
      </c>
      <c r="B5894" s="1521"/>
      <c r="C5894" s="1521"/>
      <c r="D5894" s="1521"/>
      <c r="E5894" s="1521"/>
      <c r="F5894" s="1521"/>
      <c r="G5894" s="1522"/>
      <c r="H5894" s="216">
        <f>H5892-H5893</f>
        <v>7</v>
      </c>
      <c r="I5894" s="1568"/>
      <c r="J5894" s="1568"/>
      <c r="K5894" s="1568"/>
      <c r="L5894" s="1568"/>
      <c r="M5894" s="1568"/>
      <c r="N5894" s="1569"/>
    </row>
    <row r="5895" spans="1:14">
      <c r="A5895" s="1121">
        <v>150414</v>
      </c>
      <c r="B5895" s="1494" t="s">
        <v>1503</v>
      </c>
      <c r="C5895" s="1495"/>
      <c r="D5895" s="1495"/>
      <c r="E5895" s="1495"/>
      <c r="F5895" s="1495"/>
      <c r="G5895" s="1495"/>
      <c r="H5895" s="1495"/>
      <c r="I5895" s="1495"/>
      <c r="J5895" s="1496"/>
      <c r="K5895" s="196" t="s">
        <v>28</v>
      </c>
      <c r="L5895" s="1497">
        <v>1</v>
      </c>
      <c r="M5895" s="1498"/>
      <c r="N5895" s="197">
        <f>L5895-H5902</f>
        <v>0</v>
      </c>
    </row>
    <row r="5896" spans="1:14">
      <c r="A5896" s="1554"/>
      <c r="B5896" s="1541"/>
      <c r="C5896" s="366"/>
      <c r="D5896" s="367" t="s">
        <v>2183</v>
      </c>
      <c r="E5896" s="1320" t="s">
        <v>2184</v>
      </c>
      <c r="F5896" s="367" t="s">
        <v>2185</v>
      </c>
      <c r="G5896" s="367" t="s">
        <v>2186</v>
      </c>
      <c r="H5896" s="1542" t="s">
        <v>476</v>
      </c>
      <c r="I5896" s="1543"/>
      <c r="J5896" s="1543"/>
      <c r="K5896" s="1543"/>
      <c r="L5896" s="1543"/>
      <c r="M5896" s="1543"/>
      <c r="N5896" s="1566"/>
    </row>
    <row r="5897" spans="1:14" ht="21" customHeight="1">
      <c r="A5897" s="1554"/>
      <c r="B5897" s="1541"/>
      <c r="C5897" s="368" t="s">
        <v>2627</v>
      </c>
      <c r="D5897" s="369" t="s">
        <v>2187</v>
      </c>
      <c r="E5897" s="529" t="s">
        <v>3152</v>
      </c>
      <c r="F5897" s="369" t="s">
        <v>2649</v>
      </c>
      <c r="G5897" s="370" t="s">
        <v>2709</v>
      </c>
      <c r="H5897" s="1542"/>
      <c r="I5897" s="1543"/>
      <c r="J5897" s="1543"/>
      <c r="K5897" s="1543"/>
      <c r="L5897" s="1543"/>
      <c r="M5897" s="1543"/>
      <c r="N5897" s="1566"/>
    </row>
    <row r="5898" spans="1:14">
      <c r="A5898" s="1535" t="s">
        <v>3892</v>
      </c>
      <c r="B5898" s="876"/>
      <c r="C5898" s="317"/>
      <c r="D5898" s="287"/>
      <c r="E5898" s="531"/>
      <c r="F5898" s="287"/>
      <c r="G5898" s="431"/>
      <c r="H5898" s="349"/>
      <c r="I5898" s="1567"/>
      <c r="J5898" s="1543"/>
      <c r="K5898" s="1543"/>
      <c r="L5898" s="1543"/>
      <c r="M5898" s="1543"/>
      <c r="N5898" s="1566"/>
    </row>
    <row r="5899" spans="1:14">
      <c r="A5899" s="1529"/>
      <c r="B5899" s="876"/>
      <c r="C5899" s="743"/>
      <c r="D5899" s="198"/>
      <c r="E5899" s="341"/>
      <c r="F5899" s="341"/>
      <c r="G5899" s="341"/>
      <c r="H5899" s="349"/>
      <c r="I5899" s="1567"/>
      <c r="J5899" s="1543"/>
      <c r="K5899" s="1543"/>
      <c r="L5899" s="1543"/>
      <c r="M5899" s="1543"/>
      <c r="N5899" s="1566"/>
    </row>
    <row r="5900" spans="1:14">
      <c r="A5900" s="1529"/>
      <c r="B5900" s="876" t="s">
        <v>3197</v>
      </c>
      <c r="C5900" s="743">
        <v>1</v>
      </c>
      <c r="D5900" s="199"/>
      <c r="E5900" s="351"/>
      <c r="F5900" s="351"/>
      <c r="G5900" s="351"/>
      <c r="H5900" s="349">
        <v>1</v>
      </c>
      <c r="I5900" s="1567"/>
      <c r="J5900" s="1543"/>
      <c r="K5900" s="1543"/>
      <c r="L5900" s="1543"/>
      <c r="M5900" s="1543"/>
      <c r="N5900" s="1566"/>
    </row>
    <row r="5901" spans="1:14">
      <c r="A5901" s="1545"/>
      <c r="B5901" s="876"/>
      <c r="C5901" s="743"/>
      <c r="D5901" s="294"/>
      <c r="E5901" s="348"/>
      <c r="F5901" s="348"/>
      <c r="G5901" s="348"/>
      <c r="H5901" s="349"/>
      <c r="I5901" s="1567"/>
      <c r="J5901" s="1543"/>
      <c r="K5901" s="1543"/>
      <c r="L5901" s="1543"/>
      <c r="M5901" s="1543"/>
      <c r="N5901" s="1566"/>
    </row>
    <row r="5902" spans="1:14">
      <c r="A5902" s="1578" t="s">
        <v>2218</v>
      </c>
      <c r="B5902" s="1538"/>
      <c r="C5902" s="1538"/>
      <c r="D5902" s="1538"/>
      <c r="E5902" s="1538"/>
      <c r="F5902" s="1538"/>
      <c r="G5902" s="1538"/>
      <c r="H5902" s="271">
        <f>SUM(H5898:H5901)</f>
        <v>1</v>
      </c>
      <c r="I5902" s="1567"/>
      <c r="J5902" s="1543"/>
      <c r="K5902" s="1543"/>
      <c r="L5902" s="1543"/>
      <c r="M5902" s="1543"/>
      <c r="N5902" s="1566"/>
    </row>
    <row r="5903" spans="1:14">
      <c r="A5903" s="1519" t="s">
        <v>2219</v>
      </c>
      <c r="B5903" s="1517"/>
      <c r="C5903" s="1517"/>
      <c r="D5903" s="1551"/>
      <c r="E5903" s="1551"/>
      <c r="F5903" s="1551"/>
      <c r="G5903" s="1552"/>
      <c r="H5903" s="325">
        <f>SUM(H5898)</f>
        <v>0</v>
      </c>
      <c r="I5903" s="1543"/>
      <c r="J5903" s="1543"/>
      <c r="K5903" s="1543"/>
      <c r="L5903" s="1543"/>
      <c r="M5903" s="1543"/>
      <c r="N5903" s="1566"/>
    </row>
    <row r="5904" spans="1:14" ht="15.75" thickBot="1">
      <c r="A5904" s="1520" t="s">
        <v>2220</v>
      </c>
      <c r="B5904" s="1521"/>
      <c r="C5904" s="1521"/>
      <c r="D5904" s="1521"/>
      <c r="E5904" s="1521"/>
      <c r="F5904" s="1521"/>
      <c r="G5904" s="1522"/>
      <c r="H5904" s="216">
        <f>H5902-H5903</f>
        <v>1</v>
      </c>
      <c r="I5904" s="1568"/>
      <c r="J5904" s="1568"/>
      <c r="K5904" s="1568"/>
      <c r="L5904" s="1568"/>
      <c r="M5904" s="1568"/>
      <c r="N5904" s="1569"/>
    </row>
    <row r="5905" spans="1:14">
      <c r="A5905" s="1121">
        <v>150415</v>
      </c>
      <c r="B5905" s="1494" t="s">
        <v>1506</v>
      </c>
      <c r="C5905" s="1495"/>
      <c r="D5905" s="1495"/>
      <c r="E5905" s="1495"/>
      <c r="F5905" s="1495"/>
      <c r="G5905" s="1495"/>
      <c r="H5905" s="1495"/>
      <c r="I5905" s="1495"/>
      <c r="J5905" s="1496"/>
      <c r="K5905" s="196" t="s">
        <v>28</v>
      </c>
      <c r="L5905" s="1497">
        <v>1</v>
      </c>
      <c r="M5905" s="1498"/>
      <c r="N5905" s="197">
        <f>L5905-H5912</f>
        <v>0</v>
      </c>
    </row>
    <row r="5906" spans="1:14">
      <c r="A5906" s="1554"/>
      <c r="B5906" s="1541"/>
      <c r="C5906" s="366"/>
      <c r="D5906" s="367" t="s">
        <v>2183</v>
      </c>
      <c r="E5906" s="1320" t="s">
        <v>2184</v>
      </c>
      <c r="F5906" s="367" t="s">
        <v>2185</v>
      </c>
      <c r="G5906" s="367" t="s">
        <v>2186</v>
      </c>
      <c r="H5906" s="1542" t="s">
        <v>476</v>
      </c>
      <c r="I5906" s="1543"/>
      <c r="J5906" s="1543"/>
      <c r="K5906" s="1543"/>
      <c r="L5906" s="1543"/>
      <c r="M5906" s="1543"/>
      <c r="N5906" s="1566"/>
    </row>
    <row r="5907" spans="1:14" ht="24">
      <c r="A5907" s="1554"/>
      <c r="B5907" s="1541"/>
      <c r="C5907" s="368" t="s">
        <v>2627</v>
      </c>
      <c r="D5907" s="369" t="s">
        <v>2187</v>
      </c>
      <c r="E5907" s="529" t="s">
        <v>3152</v>
      </c>
      <c r="F5907" s="369" t="s">
        <v>2649</v>
      </c>
      <c r="G5907" s="370" t="s">
        <v>2709</v>
      </c>
      <c r="H5907" s="1542"/>
      <c r="I5907" s="1543"/>
      <c r="J5907" s="1543"/>
      <c r="K5907" s="1543"/>
      <c r="L5907" s="1543"/>
      <c r="M5907" s="1543"/>
      <c r="N5907" s="1566"/>
    </row>
    <row r="5908" spans="1:14">
      <c r="A5908" s="1535" t="s">
        <v>3892</v>
      </c>
      <c r="B5908" s="876"/>
      <c r="C5908" s="317"/>
      <c r="D5908" s="287"/>
      <c r="E5908" s="531"/>
      <c r="F5908" s="287"/>
      <c r="G5908" s="431"/>
      <c r="H5908" s="349"/>
      <c r="I5908" s="1567"/>
      <c r="J5908" s="1543"/>
      <c r="K5908" s="1543"/>
      <c r="L5908" s="1543"/>
      <c r="M5908" s="1543"/>
      <c r="N5908" s="1566"/>
    </row>
    <row r="5909" spans="1:14">
      <c r="A5909" s="1529"/>
      <c r="B5909" s="876"/>
      <c r="C5909" s="743"/>
      <c r="D5909" s="198"/>
      <c r="E5909" s="341"/>
      <c r="F5909" s="341"/>
      <c r="G5909" s="341"/>
      <c r="H5909" s="349"/>
      <c r="I5909" s="1567"/>
      <c r="J5909" s="1543"/>
      <c r="K5909" s="1543"/>
      <c r="L5909" s="1543"/>
      <c r="M5909" s="1543"/>
      <c r="N5909" s="1566"/>
    </row>
    <row r="5910" spans="1:14">
      <c r="A5910" s="1529"/>
      <c r="B5910" s="876" t="s">
        <v>3198</v>
      </c>
      <c r="C5910" s="743">
        <v>1</v>
      </c>
      <c r="D5910" s="199"/>
      <c r="E5910" s="351"/>
      <c r="F5910" s="351"/>
      <c r="G5910" s="351"/>
      <c r="H5910" s="349">
        <v>1</v>
      </c>
      <c r="I5910" s="1567"/>
      <c r="J5910" s="1543"/>
      <c r="K5910" s="1543"/>
      <c r="L5910" s="1543"/>
      <c r="M5910" s="1543"/>
      <c r="N5910" s="1566"/>
    </row>
    <row r="5911" spans="1:14" ht="21" customHeight="1">
      <c r="A5911" s="1545"/>
      <c r="B5911" s="876"/>
      <c r="C5911" s="743"/>
      <c r="D5911" s="294"/>
      <c r="E5911" s="348"/>
      <c r="F5911" s="348"/>
      <c r="G5911" s="348"/>
      <c r="H5911" s="349"/>
      <c r="I5911" s="1567"/>
      <c r="J5911" s="1543"/>
      <c r="K5911" s="1543"/>
      <c r="L5911" s="1543"/>
      <c r="M5911" s="1543"/>
      <c r="N5911" s="1566"/>
    </row>
    <row r="5912" spans="1:14">
      <c r="A5912" s="1578" t="s">
        <v>2218</v>
      </c>
      <c r="B5912" s="1538"/>
      <c r="C5912" s="1538"/>
      <c r="D5912" s="1538"/>
      <c r="E5912" s="1538"/>
      <c r="F5912" s="1538"/>
      <c r="G5912" s="1538"/>
      <c r="H5912" s="271">
        <f>SUM(H5908:H5911)</f>
        <v>1</v>
      </c>
      <c r="I5912" s="1567"/>
      <c r="J5912" s="1543"/>
      <c r="K5912" s="1543"/>
      <c r="L5912" s="1543"/>
      <c r="M5912" s="1543"/>
      <c r="N5912" s="1566"/>
    </row>
    <row r="5913" spans="1:14">
      <c r="A5913" s="1519" t="s">
        <v>2219</v>
      </c>
      <c r="B5913" s="1517"/>
      <c r="C5913" s="1517"/>
      <c r="D5913" s="1551"/>
      <c r="E5913" s="1551"/>
      <c r="F5913" s="1551"/>
      <c r="G5913" s="1552"/>
      <c r="H5913" s="325">
        <f>SUM(H5908)</f>
        <v>0</v>
      </c>
      <c r="I5913" s="1543"/>
      <c r="J5913" s="1543"/>
      <c r="K5913" s="1543"/>
      <c r="L5913" s="1543"/>
      <c r="M5913" s="1543"/>
      <c r="N5913" s="1566"/>
    </row>
    <row r="5914" spans="1:14" ht="15.75" thickBot="1">
      <c r="A5914" s="1520" t="s">
        <v>2220</v>
      </c>
      <c r="B5914" s="1521"/>
      <c r="C5914" s="1521"/>
      <c r="D5914" s="1521"/>
      <c r="E5914" s="1521"/>
      <c r="F5914" s="1521"/>
      <c r="G5914" s="1522"/>
      <c r="H5914" s="216">
        <f>H5912-H5913</f>
        <v>1</v>
      </c>
      <c r="I5914" s="1568"/>
      <c r="J5914" s="1568"/>
      <c r="K5914" s="1568"/>
      <c r="L5914" s="1568"/>
      <c r="M5914" s="1568"/>
      <c r="N5914" s="1569"/>
    </row>
    <row r="5915" spans="1:14">
      <c r="A5915" s="1121">
        <v>150416</v>
      </c>
      <c r="B5915" s="1494" t="s">
        <v>1509</v>
      </c>
      <c r="C5915" s="1495"/>
      <c r="D5915" s="1495"/>
      <c r="E5915" s="1495"/>
      <c r="F5915" s="1495"/>
      <c r="G5915" s="1495"/>
      <c r="H5915" s="1495"/>
      <c r="I5915" s="1495"/>
      <c r="J5915" s="1496"/>
      <c r="K5915" s="196" t="s">
        <v>28</v>
      </c>
      <c r="L5915" s="1497">
        <f>'27ª MEDIÇÃO '!F411</f>
        <v>53</v>
      </c>
      <c r="M5915" s="1498"/>
      <c r="N5915" s="197">
        <f>L5915-H5928</f>
        <v>0</v>
      </c>
    </row>
    <row r="5916" spans="1:14">
      <c r="A5916" s="1554"/>
      <c r="B5916" s="1541"/>
      <c r="C5916" s="366"/>
      <c r="D5916" s="367" t="s">
        <v>2183</v>
      </c>
      <c r="E5916" s="1320" t="s">
        <v>2184</v>
      </c>
      <c r="F5916" s="367" t="s">
        <v>2185</v>
      </c>
      <c r="G5916" s="367" t="s">
        <v>2186</v>
      </c>
      <c r="H5916" s="1542" t="s">
        <v>476</v>
      </c>
      <c r="I5916" s="1543"/>
      <c r="J5916" s="1543"/>
      <c r="K5916" s="1543"/>
      <c r="L5916" s="1543"/>
      <c r="M5916" s="1543"/>
      <c r="N5916" s="1566"/>
    </row>
    <row r="5917" spans="1:14" ht="24">
      <c r="A5917" s="1554"/>
      <c r="B5917" s="1541"/>
      <c r="C5917" s="368" t="s">
        <v>2627</v>
      </c>
      <c r="D5917" s="369" t="s">
        <v>2187</v>
      </c>
      <c r="E5917" s="529" t="s">
        <v>3152</v>
      </c>
      <c r="F5917" s="369" t="s">
        <v>2649</v>
      </c>
      <c r="G5917" s="370" t="s">
        <v>2709</v>
      </c>
      <c r="H5917" s="1542"/>
      <c r="I5917" s="1543"/>
      <c r="J5917" s="1543"/>
      <c r="K5917" s="1543"/>
      <c r="L5917" s="1543"/>
      <c r="M5917" s="1543"/>
      <c r="N5917" s="1566"/>
    </row>
    <row r="5918" spans="1:14">
      <c r="A5918" s="1535" t="s">
        <v>3569</v>
      </c>
      <c r="B5918" s="876"/>
      <c r="C5918" s="317"/>
      <c r="D5918" s="287"/>
      <c r="E5918" s="531"/>
      <c r="F5918" s="287"/>
      <c r="G5918" s="431"/>
      <c r="H5918" s="349"/>
      <c r="I5918" s="1567"/>
      <c r="J5918" s="1543"/>
      <c r="K5918" s="1543"/>
      <c r="L5918" s="1543"/>
      <c r="M5918" s="1543"/>
      <c r="N5918" s="1566"/>
    </row>
    <row r="5919" spans="1:14">
      <c r="A5919" s="1529"/>
      <c r="B5919" s="876" t="s">
        <v>3534</v>
      </c>
      <c r="C5919" s="743">
        <v>16</v>
      </c>
      <c r="D5919" s="198"/>
      <c r="E5919" s="341">
        <v>0</v>
      </c>
      <c r="F5919" s="341"/>
      <c r="G5919" s="341"/>
      <c r="H5919" s="349">
        <f>E5919*C5919</f>
        <v>0</v>
      </c>
      <c r="I5919" s="1567"/>
      <c r="J5919" s="1543"/>
      <c r="K5919" s="1543"/>
      <c r="L5919" s="1543"/>
      <c r="M5919" s="1543"/>
      <c r="N5919" s="1566"/>
    </row>
    <row r="5920" spans="1:14">
      <c r="A5920" s="1529"/>
      <c r="B5920" s="876" t="s">
        <v>3198</v>
      </c>
      <c r="C5920" s="743">
        <v>37</v>
      </c>
      <c r="D5920" s="199"/>
      <c r="E5920" s="351">
        <v>0.8</v>
      </c>
      <c r="F5920" s="351"/>
      <c r="G5920" s="351"/>
      <c r="H5920" s="349">
        <v>29</v>
      </c>
      <c r="I5920" s="1567"/>
      <c r="J5920" s="1543"/>
      <c r="K5920" s="1543"/>
      <c r="L5920" s="1543"/>
      <c r="M5920" s="1543"/>
      <c r="N5920" s="1566"/>
    </row>
    <row r="5921" spans="1:14">
      <c r="A5921" s="1545"/>
      <c r="B5921" s="876"/>
      <c r="C5921" s="743"/>
      <c r="D5921" s="294"/>
      <c r="E5921" s="348"/>
      <c r="F5921" s="348"/>
      <c r="G5921" s="348"/>
      <c r="H5921" s="349"/>
      <c r="I5921" s="1567"/>
      <c r="J5921" s="1543"/>
      <c r="K5921" s="1543"/>
      <c r="L5921" s="1543"/>
      <c r="M5921" s="1543"/>
      <c r="N5921" s="1566"/>
    </row>
    <row r="5922" spans="1:14">
      <c r="A5922" s="1535" t="s">
        <v>3892</v>
      </c>
      <c r="B5922" s="876"/>
      <c r="C5922" s="317"/>
      <c r="D5922" s="287"/>
      <c r="E5922" s="531"/>
      <c r="F5922" s="287"/>
      <c r="G5922" s="431"/>
      <c r="H5922" s="349"/>
      <c r="I5922" s="1567"/>
      <c r="J5922" s="1543"/>
      <c r="K5922" s="1543"/>
      <c r="L5922" s="1543"/>
      <c r="M5922" s="1543"/>
      <c r="N5922" s="1566"/>
    </row>
    <row r="5923" spans="1:14">
      <c r="A5923" s="1529"/>
      <c r="B5923" s="876" t="s">
        <v>3534</v>
      </c>
      <c r="C5923" s="743">
        <v>16</v>
      </c>
      <c r="D5923" s="198"/>
      <c r="E5923" s="341"/>
      <c r="F5923" s="341"/>
      <c r="G5923" s="341"/>
      <c r="H5923" s="349">
        <v>7</v>
      </c>
      <c r="I5923" s="1567"/>
      <c r="J5923" s="1543"/>
      <c r="K5923" s="1543"/>
      <c r="L5923" s="1543"/>
      <c r="M5923" s="1543"/>
      <c r="N5923" s="1566"/>
    </row>
    <row r="5924" spans="1:14">
      <c r="A5924" s="1529"/>
      <c r="B5924" s="876" t="s">
        <v>3198</v>
      </c>
      <c r="C5924" s="743">
        <v>37</v>
      </c>
      <c r="D5924" s="199"/>
      <c r="E5924" s="351">
        <v>0.2</v>
      </c>
      <c r="F5924" s="351"/>
      <c r="G5924" s="351"/>
      <c r="H5924" s="349">
        <v>8</v>
      </c>
      <c r="I5924" s="1567"/>
      <c r="J5924" s="1543"/>
      <c r="K5924" s="1543"/>
      <c r="L5924" s="1543"/>
      <c r="M5924" s="1543"/>
      <c r="N5924" s="1566"/>
    </row>
    <row r="5925" spans="1:14">
      <c r="A5925" s="1136"/>
      <c r="B5925" s="876"/>
      <c r="C5925" s="743"/>
      <c r="D5925" s="199"/>
      <c r="E5925" s="351"/>
      <c r="F5925" s="351"/>
      <c r="G5925" s="351"/>
      <c r="H5925" s="349"/>
      <c r="I5925" s="1567"/>
      <c r="J5925" s="1543"/>
      <c r="K5925" s="1543"/>
      <c r="L5925" s="1543"/>
      <c r="M5925" s="1543"/>
      <c r="N5925" s="1566"/>
    </row>
    <row r="5926" spans="1:14">
      <c r="A5926" s="1136" t="s">
        <v>3937</v>
      </c>
      <c r="B5926" s="876" t="s">
        <v>3534</v>
      </c>
      <c r="C5926" s="743">
        <v>16</v>
      </c>
      <c r="D5926" s="198"/>
      <c r="E5926" s="341"/>
      <c r="F5926" s="351"/>
      <c r="G5926" s="351"/>
      <c r="H5926" s="349">
        <v>9</v>
      </c>
      <c r="I5926" s="1567"/>
      <c r="J5926" s="1543"/>
      <c r="K5926" s="1543"/>
      <c r="L5926" s="1543"/>
      <c r="M5926" s="1543"/>
      <c r="N5926" s="1566"/>
    </row>
    <row r="5927" spans="1:14">
      <c r="A5927" s="1137"/>
      <c r="B5927" s="876"/>
      <c r="C5927" s="743"/>
      <c r="D5927" s="294"/>
      <c r="E5927" s="348"/>
      <c r="F5927" s="348"/>
      <c r="G5927" s="348"/>
      <c r="H5927" s="349"/>
      <c r="I5927" s="1567"/>
      <c r="J5927" s="1543"/>
      <c r="K5927" s="1543"/>
      <c r="L5927" s="1543"/>
      <c r="M5927" s="1543"/>
      <c r="N5927" s="1566"/>
    </row>
    <row r="5928" spans="1:14">
      <c r="A5928" s="1578" t="s">
        <v>2218</v>
      </c>
      <c r="B5928" s="1538"/>
      <c r="C5928" s="1538"/>
      <c r="D5928" s="1538"/>
      <c r="E5928" s="1538"/>
      <c r="F5928" s="1538"/>
      <c r="G5928" s="1538"/>
      <c r="H5928" s="271">
        <f>SUM(H5918:H5927)</f>
        <v>53</v>
      </c>
      <c r="I5928" s="1567"/>
      <c r="J5928" s="1543"/>
      <c r="K5928" s="1543"/>
      <c r="L5928" s="1543"/>
      <c r="M5928" s="1543"/>
      <c r="N5928" s="1566"/>
    </row>
    <row r="5929" spans="1:14">
      <c r="A5929" s="1519" t="s">
        <v>2219</v>
      </c>
      <c r="B5929" s="1517"/>
      <c r="C5929" s="1517"/>
      <c r="D5929" s="1551"/>
      <c r="E5929" s="1551"/>
      <c r="F5929" s="1551"/>
      <c r="G5929" s="1552"/>
      <c r="H5929" s="325">
        <f>SUM(H5918:H5924)</f>
        <v>44</v>
      </c>
      <c r="I5929" s="1543"/>
      <c r="J5929" s="1543"/>
      <c r="K5929" s="1543"/>
      <c r="L5929" s="1543"/>
      <c r="M5929" s="1543"/>
      <c r="N5929" s="1566"/>
    </row>
    <row r="5930" spans="1:14" ht="15.75" thickBot="1">
      <c r="A5930" s="1520" t="s">
        <v>2220</v>
      </c>
      <c r="B5930" s="1521"/>
      <c r="C5930" s="1521"/>
      <c r="D5930" s="1521"/>
      <c r="E5930" s="1521"/>
      <c r="F5930" s="1521"/>
      <c r="G5930" s="1522"/>
      <c r="H5930" s="216">
        <f>H5928-H5929</f>
        <v>9</v>
      </c>
      <c r="I5930" s="1568"/>
      <c r="J5930" s="1568"/>
      <c r="K5930" s="1568"/>
      <c r="L5930" s="1568"/>
      <c r="M5930" s="1568"/>
      <c r="N5930" s="1569"/>
    </row>
    <row r="5931" spans="1:14" ht="15.75" thickBot="1">
      <c r="A5931" s="898"/>
      <c r="B5931" s="898"/>
      <c r="C5931" s="898"/>
      <c r="D5931" s="970"/>
      <c r="E5931" s="1363"/>
      <c r="F5931" s="898"/>
      <c r="G5931" s="899"/>
      <c r="H5931" s="220"/>
      <c r="I5931" s="942"/>
      <c r="J5931" s="942"/>
      <c r="K5931" s="942"/>
      <c r="L5931" s="942"/>
      <c r="M5931" s="942"/>
      <c r="N5931" s="941"/>
    </row>
    <row r="5932" spans="1:14">
      <c r="A5932" s="1121">
        <v>150418</v>
      </c>
      <c r="B5932" s="1494" t="s">
        <v>1515</v>
      </c>
      <c r="C5932" s="1495"/>
      <c r="D5932" s="1495"/>
      <c r="E5932" s="1495"/>
      <c r="F5932" s="1495"/>
      <c r="G5932" s="1495"/>
      <c r="H5932" s="1495"/>
      <c r="I5932" s="1495"/>
      <c r="J5932" s="1496"/>
      <c r="K5932" s="196" t="s">
        <v>28</v>
      </c>
      <c r="L5932" s="1497">
        <f>'27ª MEDIÇÃO '!F413</f>
        <v>53</v>
      </c>
      <c r="M5932" s="1498"/>
      <c r="N5932" s="197">
        <f>L5932-H5945</f>
        <v>0</v>
      </c>
    </row>
    <row r="5933" spans="1:14">
      <c r="A5933" s="1554"/>
      <c r="B5933" s="1541"/>
      <c r="C5933" s="366"/>
      <c r="D5933" s="367" t="s">
        <v>2183</v>
      </c>
      <c r="E5933" s="1320" t="s">
        <v>2184</v>
      </c>
      <c r="F5933" s="367" t="s">
        <v>2185</v>
      </c>
      <c r="G5933" s="367" t="s">
        <v>2186</v>
      </c>
      <c r="H5933" s="1542" t="s">
        <v>476</v>
      </c>
      <c r="I5933" s="1543"/>
      <c r="J5933" s="1543"/>
      <c r="K5933" s="1543"/>
      <c r="L5933" s="1543"/>
      <c r="M5933" s="1543"/>
      <c r="N5933" s="1566"/>
    </row>
    <row r="5934" spans="1:14" ht="24">
      <c r="A5934" s="1554"/>
      <c r="B5934" s="1541"/>
      <c r="C5934" s="368" t="s">
        <v>2627</v>
      </c>
      <c r="D5934" s="369" t="s">
        <v>2187</v>
      </c>
      <c r="E5934" s="529" t="s">
        <v>3152</v>
      </c>
      <c r="F5934" s="369" t="s">
        <v>2649</v>
      </c>
      <c r="G5934" s="370" t="s">
        <v>2709</v>
      </c>
      <c r="H5934" s="1542"/>
      <c r="I5934" s="1543"/>
      <c r="J5934" s="1543"/>
      <c r="K5934" s="1543"/>
      <c r="L5934" s="1543"/>
      <c r="M5934" s="1543"/>
      <c r="N5934" s="1566"/>
    </row>
    <row r="5935" spans="1:14">
      <c r="A5935" s="1535" t="s">
        <v>3569</v>
      </c>
      <c r="B5935" s="876"/>
      <c r="C5935" s="317"/>
      <c r="D5935" s="287"/>
      <c r="E5935" s="531"/>
      <c r="F5935" s="287"/>
      <c r="G5935" s="431"/>
      <c r="H5935" s="349"/>
      <c r="I5935" s="1567"/>
      <c r="J5935" s="1543"/>
      <c r="K5935" s="1543"/>
      <c r="L5935" s="1543"/>
      <c r="M5935" s="1543"/>
      <c r="N5935" s="1566"/>
    </row>
    <row r="5936" spans="1:14" ht="21" customHeight="1">
      <c r="A5936" s="1529"/>
      <c r="B5936" s="876" t="s">
        <v>3534</v>
      </c>
      <c r="C5936" s="743">
        <v>21</v>
      </c>
      <c r="D5936" s="198"/>
      <c r="E5936" s="341">
        <v>0</v>
      </c>
      <c r="F5936" s="341"/>
      <c r="G5936" s="341"/>
      <c r="H5936" s="349">
        <f>E5936*C5936</f>
        <v>0</v>
      </c>
      <c r="I5936" s="1567"/>
      <c r="J5936" s="1543"/>
      <c r="K5936" s="1543"/>
      <c r="L5936" s="1543"/>
      <c r="M5936" s="1543"/>
      <c r="N5936" s="1566"/>
    </row>
    <row r="5937" spans="1:14">
      <c r="A5937" s="1529"/>
      <c r="B5937" s="876" t="s">
        <v>3198</v>
      </c>
      <c r="C5937" s="743">
        <v>32</v>
      </c>
      <c r="D5937" s="199"/>
      <c r="E5937" s="351">
        <v>0.8</v>
      </c>
      <c r="F5937" s="351"/>
      <c r="G5937" s="351"/>
      <c r="H5937" s="349">
        <v>25</v>
      </c>
      <c r="I5937" s="1567"/>
      <c r="J5937" s="1543"/>
      <c r="K5937" s="1543"/>
      <c r="L5937" s="1543"/>
      <c r="M5937" s="1543"/>
      <c r="N5937" s="1566"/>
    </row>
    <row r="5938" spans="1:14">
      <c r="A5938" s="1545"/>
      <c r="B5938" s="876"/>
      <c r="C5938" s="743"/>
      <c r="D5938" s="294"/>
      <c r="E5938" s="348"/>
      <c r="F5938" s="348"/>
      <c r="G5938" s="348"/>
      <c r="H5938" s="349"/>
      <c r="I5938" s="1567"/>
      <c r="J5938" s="1543"/>
      <c r="K5938" s="1543"/>
      <c r="L5938" s="1543"/>
      <c r="M5938" s="1543"/>
      <c r="N5938" s="1566"/>
    </row>
    <row r="5939" spans="1:14">
      <c r="A5939" s="1535" t="s">
        <v>3892</v>
      </c>
      <c r="B5939" s="876"/>
      <c r="C5939" s="317"/>
      <c r="D5939" s="287"/>
      <c r="E5939" s="531"/>
      <c r="F5939" s="287"/>
      <c r="G5939" s="431"/>
      <c r="H5939" s="349"/>
      <c r="I5939" s="1567"/>
      <c r="J5939" s="1543"/>
      <c r="K5939" s="1543"/>
      <c r="L5939" s="1543"/>
      <c r="M5939" s="1543"/>
      <c r="N5939" s="1566"/>
    </row>
    <row r="5940" spans="1:14" ht="21" customHeight="1">
      <c r="A5940" s="1529"/>
      <c r="B5940" s="876" t="s">
        <v>3534</v>
      </c>
      <c r="C5940" s="743">
        <v>21</v>
      </c>
      <c r="D5940" s="198"/>
      <c r="E5940" s="341">
        <v>0</v>
      </c>
      <c r="F5940" s="341"/>
      <c r="G5940" s="341"/>
      <c r="H5940" s="349">
        <v>16</v>
      </c>
      <c r="I5940" s="1567"/>
      <c r="J5940" s="1543"/>
      <c r="K5940" s="1543"/>
      <c r="L5940" s="1543"/>
      <c r="M5940" s="1543"/>
      <c r="N5940" s="1566"/>
    </row>
    <row r="5941" spans="1:14">
      <c r="A5941" s="1529"/>
      <c r="B5941" s="876" t="s">
        <v>3198</v>
      </c>
      <c r="C5941" s="743">
        <v>32</v>
      </c>
      <c r="D5941" s="199"/>
      <c r="E5941" s="351">
        <v>0.8</v>
      </c>
      <c r="F5941" s="351"/>
      <c r="G5941" s="351"/>
      <c r="H5941" s="349">
        <v>7</v>
      </c>
      <c r="I5941" s="1567"/>
      <c r="J5941" s="1543"/>
      <c r="K5941" s="1543"/>
      <c r="L5941" s="1543"/>
      <c r="M5941" s="1543"/>
      <c r="N5941" s="1566"/>
    </row>
    <row r="5942" spans="1:14">
      <c r="A5942" s="1136"/>
      <c r="B5942" s="876"/>
      <c r="C5942" s="743"/>
      <c r="D5942" s="199"/>
      <c r="E5942" s="351"/>
      <c r="F5942" s="351"/>
      <c r="G5942" s="351"/>
      <c r="H5942" s="349"/>
      <c r="I5942" s="1567"/>
      <c r="J5942" s="1543"/>
      <c r="K5942" s="1543"/>
      <c r="L5942" s="1543"/>
      <c r="M5942" s="1543"/>
      <c r="N5942" s="1566"/>
    </row>
    <row r="5943" spans="1:14">
      <c r="A5943" s="1136" t="s">
        <v>3937</v>
      </c>
      <c r="B5943" s="876" t="s">
        <v>3534</v>
      </c>
      <c r="C5943" s="743">
        <v>21</v>
      </c>
      <c r="D5943" s="199"/>
      <c r="E5943" s="351"/>
      <c r="F5943" s="351"/>
      <c r="G5943" s="351"/>
      <c r="H5943" s="349">
        <v>5</v>
      </c>
      <c r="I5943" s="1567"/>
      <c r="J5943" s="1543"/>
      <c r="K5943" s="1543"/>
      <c r="L5943" s="1543"/>
      <c r="M5943" s="1543"/>
      <c r="N5943" s="1566"/>
    </row>
    <row r="5944" spans="1:14">
      <c r="A5944" s="1137"/>
      <c r="B5944" s="876"/>
      <c r="C5944" s="743"/>
      <c r="D5944" s="294"/>
      <c r="E5944" s="348"/>
      <c r="F5944" s="348"/>
      <c r="G5944" s="348"/>
      <c r="H5944" s="349"/>
      <c r="I5944" s="1567"/>
      <c r="J5944" s="1543"/>
      <c r="K5944" s="1543"/>
      <c r="L5944" s="1543"/>
      <c r="M5944" s="1543"/>
      <c r="N5944" s="1566"/>
    </row>
    <row r="5945" spans="1:14">
      <c r="A5945" s="1578" t="s">
        <v>2218</v>
      </c>
      <c r="B5945" s="1538"/>
      <c r="C5945" s="1538"/>
      <c r="D5945" s="1538"/>
      <c r="E5945" s="1538"/>
      <c r="F5945" s="1538"/>
      <c r="G5945" s="1538"/>
      <c r="H5945" s="271">
        <f>SUM(H5935:H5944)</f>
        <v>53</v>
      </c>
      <c r="I5945" s="1567"/>
      <c r="J5945" s="1543"/>
      <c r="K5945" s="1543"/>
      <c r="L5945" s="1543"/>
      <c r="M5945" s="1543"/>
      <c r="N5945" s="1566"/>
    </row>
    <row r="5946" spans="1:14">
      <c r="A5946" s="1519" t="s">
        <v>2219</v>
      </c>
      <c r="B5946" s="1517"/>
      <c r="C5946" s="1517"/>
      <c r="D5946" s="1551"/>
      <c r="E5946" s="1551"/>
      <c r="F5946" s="1551"/>
      <c r="G5946" s="1552"/>
      <c r="H5946" s="325">
        <f>SUM(H5935:H5941)</f>
        <v>48</v>
      </c>
      <c r="I5946" s="1543"/>
      <c r="J5946" s="1543"/>
      <c r="K5946" s="1543"/>
      <c r="L5946" s="1543"/>
      <c r="M5946" s="1543"/>
      <c r="N5946" s="1566"/>
    </row>
    <row r="5947" spans="1:14" ht="15.75" thickBot="1">
      <c r="A5947" s="1520" t="s">
        <v>2220</v>
      </c>
      <c r="B5947" s="1521"/>
      <c r="C5947" s="1521"/>
      <c r="D5947" s="1521"/>
      <c r="E5947" s="1521"/>
      <c r="F5947" s="1521"/>
      <c r="G5947" s="1522"/>
      <c r="H5947" s="216">
        <f>H5945-H5946</f>
        <v>5</v>
      </c>
      <c r="I5947" s="1568"/>
      <c r="J5947" s="1568"/>
      <c r="K5947" s="1568"/>
      <c r="L5947" s="1568"/>
      <c r="M5947" s="1568"/>
      <c r="N5947" s="1569"/>
    </row>
    <row r="5948" spans="1:14">
      <c r="A5948" s="898"/>
      <c r="B5948" s="898"/>
      <c r="C5948" s="898"/>
      <c r="D5948" s="970"/>
      <c r="E5948" s="1363"/>
      <c r="F5948" s="898"/>
      <c r="G5948" s="899"/>
      <c r="H5948" s="220"/>
      <c r="I5948" s="942"/>
      <c r="J5948" s="942"/>
      <c r="K5948" s="942"/>
      <c r="L5948" s="942"/>
      <c r="M5948" s="942"/>
      <c r="N5948" s="941"/>
    </row>
    <row r="5949" spans="1:14" ht="15.75" thickBot="1">
      <c r="A5949" s="1123">
        <v>1505</v>
      </c>
      <c r="B5949" s="1641" t="s">
        <v>3532</v>
      </c>
      <c r="C5949" s="1641"/>
      <c r="D5949" s="1641"/>
      <c r="E5949" s="1641"/>
      <c r="F5949" s="1641"/>
      <c r="G5949" s="1641"/>
      <c r="H5949" s="1641"/>
      <c r="I5949" s="1641"/>
      <c r="J5949" s="1641"/>
      <c r="K5949" s="1641"/>
      <c r="L5949" s="1641"/>
      <c r="M5949" s="1641"/>
      <c r="N5949" s="1641"/>
    </row>
    <row r="5950" spans="1:14">
      <c r="A5950" s="1121">
        <v>150501</v>
      </c>
      <c r="B5950" s="1494" t="s">
        <v>334</v>
      </c>
      <c r="C5950" s="1495"/>
      <c r="D5950" s="1495"/>
      <c r="E5950" s="1495"/>
      <c r="F5950" s="1495"/>
      <c r="G5950" s="1495"/>
      <c r="H5950" s="1495"/>
      <c r="I5950" s="1495"/>
      <c r="J5950" s="1496"/>
      <c r="K5950" s="196" t="s">
        <v>28</v>
      </c>
      <c r="L5950" s="1497">
        <f>'27ª MEDIÇÃO '!F416</f>
        <v>6679</v>
      </c>
      <c r="M5950" s="1498"/>
      <c r="N5950" s="197">
        <f>L5950-H5969</f>
        <v>4.7400000003108289E-3</v>
      </c>
    </row>
    <row r="5951" spans="1:14">
      <c r="A5951" s="1554"/>
      <c r="B5951" s="1541"/>
      <c r="C5951" s="366"/>
      <c r="D5951" s="367" t="s">
        <v>2183</v>
      </c>
      <c r="E5951" s="1320" t="s">
        <v>2184</v>
      </c>
      <c r="F5951" s="367" t="s">
        <v>2185</v>
      </c>
      <c r="G5951" s="367" t="s">
        <v>2186</v>
      </c>
      <c r="H5951" s="1542" t="s">
        <v>476</v>
      </c>
      <c r="I5951" s="1543"/>
      <c r="J5951" s="1543"/>
      <c r="K5951" s="1543"/>
      <c r="L5951" s="1543"/>
      <c r="M5951" s="1543"/>
      <c r="N5951" s="1566"/>
    </row>
    <row r="5952" spans="1:14" ht="24">
      <c r="A5952" s="1554"/>
      <c r="B5952" s="1541"/>
      <c r="C5952" s="368" t="s">
        <v>2627</v>
      </c>
      <c r="D5952" s="369" t="s">
        <v>2187</v>
      </c>
      <c r="E5952" s="529" t="s">
        <v>3152</v>
      </c>
      <c r="F5952" s="369" t="s">
        <v>2649</v>
      </c>
      <c r="G5952" s="370" t="s">
        <v>2709</v>
      </c>
      <c r="H5952" s="1542"/>
      <c r="I5952" s="1543"/>
      <c r="J5952" s="1543"/>
      <c r="K5952" s="1543"/>
      <c r="L5952" s="1543"/>
      <c r="M5952" s="1543"/>
      <c r="N5952" s="1566"/>
    </row>
    <row r="5953" spans="1:14">
      <c r="A5953" s="1535" t="s">
        <v>3521</v>
      </c>
      <c r="B5953" s="876" t="s">
        <v>3533</v>
      </c>
      <c r="C5953" s="317">
        <v>155</v>
      </c>
      <c r="D5953" s="287"/>
      <c r="E5953" s="531"/>
      <c r="F5953" s="287"/>
      <c r="G5953" s="431"/>
      <c r="H5953" s="349">
        <f>E5953*C5953</f>
        <v>0</v>
      </c>
      <c r="I5953" s="1567"/>
      <c r="J5953" s="1543"/>
      <c r="K5953" s="1543"/>
      <c r="L5953" s="1543"/>
      <c r="M5953" s="1543"/>
      <c r="N5953" s="1566"/>
    </row>
    <row r="5954" spans="1:14">
      <c r="A5954" s="1529"/>
      <c r="B5954" s="876" t="s">
        <v>3534</v>
      </c>
      <c r="C5954" s="743">
        <v>3376</v>
      </c>
      <c r="D5954" s="198"/>
      <c r="E5954" s="341"/>
      <c r="F5954" s="341"/>
      <c r="G5954" s="341"/>
      <c r="H5954" s="349">
        <f>E5954*C5954</f>
        <v>0</v>
      </c>
      <c r="I5954" s="1567"/>
      <c r="J5954" s="1543"/>
      <c r="K5954" s="1543"/>
      <c r="L5954" s="1543"/>
      <c r="M5954" s="1543"/>
      <c r="N5954" s="1566"/>
    </row>
    <row r="5955" spans="1:14">
      <c r="A5955" s="1529"/>
      <c r="B5955" s="876" t="s">
        <v>3198</v>
      </c>
      <c r="C5955" s="743">
        <v>3148</v>
      </c>
      <c r="D5955" s="199"/>
      <c r="E5955" s="351">
        <v>0.4</v>
      </c>
      <c r="F5955" s="351"/>
      <c r="G5955" s="351"/>
      <c r="H5955" s="349">
        <f>E5955*C5955</f>
        <v>1259.2</v>
      </c>
      <c r="I5955" s="1567"/>
      <c r="J5955" s="1543"/>
      <c r="K5955" s="1543"/>
      <c r="L5955" s="1543"/>
      <c r="M5955" s="1543"/>
      <c r="N5955" s="1566"/>
    </row>
    <row r="5956" spans="1:14">
      <c r="A5956" s="1545"/>
      <c r="B5956" s="1007"/>
      <c r="C5956" s="1008"/>
      <c r="D5956" s="312"/>
      <c r="E5956" s="351"/>
      <c r="F5956" s="348"/>
      <c r="G5956" s="348"/>
      <c r="H5956" s="349"/>
      <c r="I5956" s="1567"/>
      <c r="J5956" s="1543"/>
      <c r="K5956" s="1543"/>
      <c r="L5956" s="1543"/>
      <c r="M5956" s="1543"/>
      <c r="N5956" s="1566"/>
    </row>
    <row r="5957" spans="1:14">
      <c r="A5957" s="1535" t="s">
        <v>3569</v>
      </c>
      <c r="B5957" s="1009" t="s">
        <v>3533</v>
      </c>
      <c r="C5957" s="948">
        <v>155</v>
      </c>
      <c r="D5957" s="287"/>
      <c r="E5957" s="531"/>
      <c r="F5957" s="287"/>
      <c r="G5957" s="431"/>
      <c r="H5957" s="349">
        <f>E5957*C5957</f>
        <v>0</v>
      </c>
      <c r="I5957" s="1567"/>
      <c r="J5957" s="1543"/>
      <c r="K5957" s="1543"/>
      <c r="L5957" s="1543"/>
      <c r="M5957" s="1543"/>
      <c r="N5957" s="1566"/>
    </row>
    <row r="5958" spans="1:14" ht="21" customHeight="1">
      <c r="A5958" s="1529"/>
      <c r="B5958" s="876" t="s">
        <v>3534</v>
      </c>
      <c r="C5958" s="743">
        <v>3376</v>
      </c>
      <c r="D5958" s="198"/>
      <c r="E5958" s="341">
        <v>0.4</v>
      </c>
      <c r="F5958" s="341"/>
      <c r="G5958" s="341"/>
      <c r="H5958" s="349">
        <f>E5958*C5958</f>
        <v>1350.4</v>
      </c>
      <c r="I5958" s="1567"/>
      <c r="J5958" s="1543"/>
      <c r="K5958" s="1543"/>
      <c r="L5958" s="1543"/>
      <c r="M5958" s="1543"/>
      <c r="N5958" s="1566"/>
    </row>
    <row r="5959" spans="1:14">
      <c r="A5959" s="1529"/>
      <c r="B5959" s="876" t="s">
        <v>3198</v>
      </c>
      <c r="C5959" s="743">
        <v>3148</v>
      </c>
      <c r="D5959" s="199"/>
      <c r="E5959" s="351">
        <v>0.313245</v>
      </c>
      <c r="F5959" s="351"/>
      <c r="G5959" s="351"/>
      <c r="H5959" s="349">
        <f>E5959*C5959</f>
        <v>986.09525999999994</v>
      </c>
      <c r="I5959" s="1567"/>
      <c r="J5959" s="1543"/>
      <c r="K5959" s="1543"/>
      <c r="L5959" s="1543"/>
      <c r="M5959" s="1543"/>
      <c r="N5959" s="1566"/>
    </row>
    <row r="5960" spans="1:14">
      <c r="A5960" s="1545"/>
      <c r="B5960" s="876"/>
      <c r="C5960" s="743"/>
      <c r="D5960" s="294"/>
      <c r="E5960" s="348"/>
      <c r="F5960" s="348"/>
      <c r="G5960" s="348"/>
      <c r="H5960" s="349"/>
      <c r="I5960" s="1567"/>
      <c r="J5960" s="1543"/>
      <c r="K5960" s="1543"/>
      <c r="L5960" s="1543"/>
      <c r="M5960" s="1543"/>
      <c r="N5960" s="1566"/>
    </row>
    <row r="5961" spans="1:14">
      <c r="A5961" s="1535" t="s">
        <v>3620</v>
      </c>
      <c r="B5961" s="1009" t="s">
        <v>3533</v>
      </c>
      <c r="C5961" s="948">
        <v>155</v>
      </c>
      <c r="D5961" s="287"/>
      <c r="E5961" s="531"/>
      <c r="F5961" s="287"/>
      <c r="G5961" s="431"/>
      <c r="H5961" s="349">
        <f>E5961*C5961</f>
        <v>0</v>
      </c>
      <c r="I5961" s="1567"/>
      <c r="J5961" s="1543"/>
      <c r="K5961" s="1543"/>
      <c r="L5961" s="1543"/>
      <c r="M5961" s="1543"/>
      <c r="N5961" s="1566"/>
    </row>
    <row r="5962" spans="1:14">
      <c r="A5962" s="1529"/>
      <c r="B5962" s="876" t="s">
        <v>3534</v>
      </c>
      <c r="C5962" s="743">
        <v>3376</v>
      </c>
      <c r="D5962" s="198"/>
      <c r="E5962" s="341">
        <v>0.4</v>
      </c>
      <c r="F5962" s="341"/>
      <c r="G5962" s="341"/>
      <c r="H5962" s="349">
        <f>E5962*C5962</f>
        <v>1350.4</v>
      </c>
      <c r="I5962" s="1567"/>
      <c r="J5962" s="1543"/>
      <c r="K5962" s="1543"/>
      <c r="L5962" s="1543"/>
      <c r="M5962" s="1543"/>
      <c r="N5962" s="1566"/>
    </row>
    <row r="5963" spans="1:14">
      <c r="A5963" s="1529"/>
      <c r="B5963" s="876" t="s">
        <v>3198</v>
      </c>
      <c r="C5963" s="743">
        <v>3148</v>
      </c>
      <c r="D5963" s="199"/>
      <c r="E5963" s="351">
        <v>0.3</v>
      </c>
      <c r="F5963" s="351"/>
      <c r="G5963" s="351"/>
      <c r="H5963" s="349">
        <v>902.7</v>
      </c>
      <c r="I5963" s="1567"/>
      <c r="J5963" s="1543"/>
      <c r="K5963" s="1543"/>
      <c r="L5963" s="1543"/>
      <c r="M5963" s="1543"/>
      <c r="N5963" s="1566"/>
    </row>
    <row r="5964" spans="1:14">
      <c r="A5964" s="1545"/>
      <c r="B5964" s="876"/>
      <c r="C5964" s="743"/>
      <c r="D5964" s="294"/>
      <c r="E5964" s="348"/>
      <c r="F5964" s="348"/>
      <c r="G5964" s="348"/>
      <c r="H5964" s="349"/>
      <c r="I5964" s="1567"/>
      <c r="J5964" s="1543"/>
      <c r="K5964" s="1543"/>
      <c r="L5964" s="1543"/>
      <c r="M5964" s="1543"/>
      <c r="N5964" s="1566"/>
    </row>
    <row r="5965" spans="1:14">
      <c r="A5965" s="1535" t="s">
        <v>3892</v>
      </c>
      <c r="B5965" s="1009" t="s">
        <v>3533</v>
      </c>
      <c r="C5965" s="948">
        <v>155</v>
      </c>
      <c r="D5965" s="287"/>
      <c r="E5965" s="531">
        <v>1</v>
      </c>
      <c r="F5965" s="287"/>
      <c r="G5965" s="431"/>
      <c r="H5965" s="349">
        <f>E5965*C5965</f>
        <v>155</v>
      </c>
      <c r="I5965" s="1567"/>
      <c r="J5965" s="1543"/>
      <c r="K5965" s="1543"/>
      <c r="L5965" s="1543"/>
      <c r="M5965" s="1543"/>
      <c r="N5965" s="1566"/>
    </row>
    <row r="5966" spans="1:14">
      <c r="A5966" s="1529"/>
      <c r="B5966" s="876" t="s">
        <v>3534</v>
      </c>
      <c r="C5966" s="743">
        <v>3376</v>
      </c>
      <c r="D5966" s="198"/>
      <c r="E5966" s="341">
        <v>0.2</v>
      </c>
      <c r="F5966" s="341"/>
      <c r="G5966" s="341"/>
      <c r="H5966" s="349">
        <f>E5966*C5966</f>
        <v>675.2</v>
      </c>
      <c r="I5966" s="1567"/>
      <c r="J5966" s="1543"/>
      <c r="K5966" s="1543"/>
      <c r="L5966" s="1543"/>
      <c r="M5966" s="1543"/>
      <c r="N5966" s="1566"/>
    </row>
    <row r="5967" spans="1:14">
      <c r="A5967" s="1529"/>
      <c r="B5967" s="876" t="s">
        <v>3198</v>
      </c>
      <c r="C5967" s="743">
        <v>3148</v>
      </c>
      <c r="D5967" s="199"/>
      <c r="E5967" s="351">
        <v>0.39</v>
      </c>
      <c r="F5967" s="351"/>
      <c r="G5967" s="351"/>
      <c r="H5967" s="349"/>
      <c r="I5967" s="1567"/>
      <c r="J5967" s="1543"/>
      <c r="K5967" s="1543"/>
      <c r="L5967" s="1543"/>
      <c r="M5967" s="1543"/>
      <c r="N5967" s="1566"/>
    </row>
    <row r="5968" spans="1:14">
      <c r="A5968" s="1545"/>
      <c r="B5968" s="876"/>
      <c r="C5968" s="743"/>
      <c r="D5968" s="294"/>
      <c r="E5968" s="348"/>
      <c r="F5968" s="348"/>
      <c r="G5968" s="348"/>
      <c r="H5968" s="349"/>
      <c r="I5968" s="1567"/>
      <c r="J5968" s="1543"/>
      <c r="K5968" s="1543"/>
      <c r="L5968" s="1543"/>
      <c r="M5968" s="1543"/>
      <c r="N5968" s="1566"/>
    </row>
    <row r="5969" spans="1:14">
      <c r="A5969" s="1578" t="s">
        <v>2218</v>
      </c>
      <c r="B5969" s="1538"/>
      <c r="C5969" s="1538"/>
      <c r="D5969" s="1538"/>
      <c r="E5969" s="1538"/>
      <c r="F5969" s="1538"/>
      <c r="G5969" s="1538"/>
      <c r="H5969" s="271">
        <f>SUM(H5953:H5968)</f>
        <v>6678.9952599999997</v>
      </c>
      <c r="I5969" s="1567"/>
      <c r="J5969" s="1543"/>
      <c r="K5969" s="1543"/>
      <c r="L5969" s="1543"/>
      <c r="M5969" s="1543"/>
      <c r="N5969" s="1566"/>
    </row>
    <row r="5970" spans="1:14">
      <c r="A5970" s="1519" t="s">
        <v>2219</v>
      </c>
      <c r="B5970" s="1517"/>
      <c r="C5970" s="1517"/>
      <c r="D5970" s="1551"/>
      <c r="E5970" s="1551"/>
      <c r="F5970" s="1551"/>
      <c r="G5970" s="1552"/>
      <c r="H5970" s="325">
        <f>SUM(H5953:H5964)</f>
        <v>5848.7952599999999</v>
      </c>
      <c r="I5970" s="1543"/>
      <c r="J5970" s="1543"/>
      <c r="K5970" s="1543"/>
      <c r="L5970" s="1543"/>
      <c r="M5970" s="1543"/>
      <c r="N5970" s="1566"/>
    </row>
    <row r="5971" spans="1:14" ht="15.75" thickBot="1">
      <c r="A5971" s="1520" t="s">
        <v>2220</v>
      </c>
      <c r="B5971" s="1521"/>
      <c r="C5971" s="1521"/>
      <c r="D5971" s="1521"/>
      <c r="E5971" s="1521"/>
      <c r="F5971" s="1521"/>
      <c r="G5971" s="1522"/>
      <c r="H5971" s="216">
        <f>H5969-H5970</f>
        <v>830.19999999999982</v>
      </c>
      <c r="I5971" s="1568"/>
      <c r="J5971" s="1568"/>
      <c r="K5971" s="1568"/>
      <c r="L5971" s="1568"/>
      <c r="M5971" s="1568"/>
      <c r="N5971" s="1569"/>
    </row>
    <row r="5972" spans="1:14" ht="15.75" thickBot="1">
      <c r="A5972" s="898"/>
      <c r="B5972" s="898"/>
      <c r="C5972" s="898"/>
      <c r="D5972" s="970"/>
      <c r="E5972" s="1363"/>
      <c r="F5972" s="898"/>
      <c r="G5972" s="899"/>
      <c r="H5972" s="220"/>
      <c r="I5972" s="942"/>
      <c r="J5972" s="942"/>
      <c r="K5972" s="942"/>
      <c r="L5972" s="942"/>
      <c r="M5972" s="942"/>
      <c r="N5972" s="941"/>
    </row>
    <row r="5973" spans="1:14" ht="21" customHeight="1">
      <c r="A5973" s="1121">
        <v>150502</v>
      </c>
      <c r="B5973" s="1494" t="s">
        <v>1304</v>
      </c>
      <c r="C5973" s="1495"/>
      <c r="D5973" s="1495"/>
      <c r="E5973" s="1495"/>
      <c r="F5973" s="1495"/>
      <c r="G5973" s="1495"/>
      <c r="H5973" s="1495"/>
      <c r="I5973" s="1495"/>
      <c r="J5973" s="1496"/>
      <c r="K5973" s="196" t="s">
        <v>28</v>
      </c>
      <c r="L5973" s="1497">
        <f>'27ª MEDIÇÃO '!F417</f>
        <v>102</v>
      </c>
      <c r="M5973" s="1498"/>
      <c r="N5973" s="197">
        <f>L5973-H5990</f>
        <v>0</v>
      </c>
    </row>
    <row r="5974" spans="1:14">
      <c r="A5974" s="1554"/>
      <c r="B5974" s="1541"/>
      <c r="C5974" s="366"/>
      <c r="D5974" s="367" t="s">
        <v>2183</v>
      </c>
      <c r="E5974" s="1320" t="s">
        <v>2184</v>
      </c>
      <c r="F5974" s="367" t="s">
        <v>2185</v>
      </c>
      <c r="G5974" s="367" t="s">
        <v>2186</v>
      </c>
      <c r="H5974" s="1542" t="s">
        <v>476</v>
      </c>
      <c r="I5974" s="1543"/>
      <c r="J5974" s="1543"/>
      <c r="K5974" s="1543"/>
      <c r="L5974" s="1543"/>
      <c r="M5974" s="1543"/>
      <c r="N5974" s="1566"/>
    </row>
    <row r="5975" spans="1:14" ht="24">
      <c r="A5975" s="1554"/>
      <c r="B5975" s="1541"/>
      <c r="C5975" s="368" t="s">
        <v>2627</v>
      </c>
      <c r="D5975" s="369" t="s">
        <v>2187</v>
      </c>
      <c r="E5975" s="529" t="s">
        <v>3152</v>
      </c>
      <c r="F5975" s="369" t="s">
        <v>2649</v>
      </c>
      <c r="G5975" s="370" t="s">
        <v>2709</v>
      </c>
      <c r="H5975" s="1542"/>
      <c r="I5975" s="1543"/>
      <c r="J5975" s="1543"/>
      <c r="K5975" s="1543"/>
      <c r="L5975" s="1543"/>
      <c r="M5975" s="1543"/>
      <c r="N5975" s="1566"/>
    </row>
    <row r="5976" spans="1:14">
      <c r="A5976" s="1535" t="s">
        <v>3521</v>
      </c>
      <c r="B5976" s="876"/>
      <c r="C5976" s="317"/>
      <c r="D5976" s="287"/>
      <c r="E5976" s="531"/>
      <c r="F5976" s="287"/>
      <c r="G5976" s="431"/>
      <c r="H5976" s="349"/>
      <c r="I5976" s="1567"/>
      <c r="J5976" s="1543"/>
      <c r="K5976" s="1543"/>
      <c r="L5976" s="1543"/>
      <c r="M5976" s="1543"/>
      <c r="N5976" s="1566"/>
    </row>
    <row r="5977" spans="1:14">
      <c r="A5977" s="1529"/>
      <c r="B5977" s="876" t="s">
        <v>3534</v>
      </c>
      <c r="C5977" s="743">
        <v>45</v>
      </c>
      <c r="D5977" s="198"/>
      <c r="E5977" s="341"/>
      <c r="F5977" s="341"/>
      <c r="G5977" s="341"/>
      <c r="H5977" s="349">
        <f>E5977*C5977</f>
        <v>0</v>
      </c>
      <c r="I5977" s="1567"/>
      <c r="J5977" s="1543"/>
      <c r="K5977" s="1543"/>
      <c r="L5977" s="1543"/>
      <c r="M5977" s="1543"/>
      <c r="N5977" s="1566"/>
    </row>
    <row r="5978" spans="1:14">
      <c r="A5978" s="1529"/>
      <c r="B5978" s="876" t="s">
        <v>3198</v>
      </c>
      <c r="C5978" s="743">
        <v>57</v>
      </c>
      <c r="D5978" s="199"/>
      <c r="E5978" s="351">
        <v>0.2</v>
      </c>
      <c r="F5978" s="351"/>
      <c r="G5978" s="351"/>
      <c r="H5978" s="349">
        <f>E5978*C5978</f>
        <v>11.4</v>
      </c>
      <c r="I5978" s="1567"/>
      <c r="J5978" s="1543"/>
      <c r="K5978" s="1543"/>
      <c r="L5978" s="1543"/>
      <c r="M5978" s="1543"/>
      <c r="N5978" s="1566"/>
    </row>
    <row r="5979" spans="1:14">
      <c r="A5979" s="1545"/>
      <c r="B5979" s="1007"/>
      <c r="C5979" s="1008"/>
      <c r="D5979" s="294"/>
      <c r="E5979" s="348"/>
      <c r="F5979" s="348"/>
      <c r="G5979" s="348"/>
      <c r="H5979" s="349"/>
      <c r="I5979" s="1567"/>
      <c r="J5979" s="1543"/>
      <c r="K5979" s="1543"/>
      <c r="L5979" s="1543"/>
      <c r="M5979" s="1543"/>
      <c r="N5979" s="1566"/>
    </row>
    <row r="5980" spans="1:14">
      <c r="A5980" s="1535" t="s">
        <v>3569</v>
      </c>
      <c r="B5980" s="1009"/>
      <c r="C5980" s="1010"/>
      <c r="D5980" s="287"/>
      <c r="E5980" s="531"/>
      <c r="F5980" s="287"/>
      <c r="G5980" s="431"/>
      <c r="H5980" s="349"/>
      <c r="I5980" s="1567"/>
      <c r="J5980" s="1543"/>
      <c r="K5980" s="1543"/>
      <c r="L5980" s="1543"/>
      <c r="M5980" s="1543"/>
      <c r="N5980" s="1566"/>
    </row>
    <row r="5981" spans="1:14">
      <c r="A5981" s="1529"/>
      <c r="B5981" s="876" t="s">
        <v>3534</v>
      </c>
      <c r="C5981" s="743">
        <v>45</v>
      </c>
      <c r="D5981" s="198"/>
      <c r="E5981" s="341">
        <v>0.5</v>
      </c>
      <c r="F5981" s="341"/>
      <c r="G5981" s="341"/>
      <c r="H5981" s="349">
        <f>E5981*C5981</f>
        <v>22.5</v>
      </c>
      <c r="I5981" s="1567"/>
      <c r="J5981" s="1543"/>
      <c r="K5981" s="1543"/>
      <c r="L5981" s="1543"/>
      <c r="M5981" s="1543"/>
      <c r="N5981" s="1566"/>
    </row>
    <row r="5982" spans="1:14">
      <c r="A5982" s="1529"/>
      <c r="B5982" s="876" t="s">
        <v>3198</v>
      </c>
      <c r="C5982" s="743">
        <v>57</v>
      </c>
      <c r="D5982" s="199"/>
      <c r="E5982" s="351">
        <v>0.45</v>
      </c>
      <c r="F5982" s="351"/>
      <c r="G5982" s="351"/>
      <c r="H5982" s="349">
        <f>E5982*C5982</f>
        <v>25.650000000000002</v>
      </c>
      <c r="I5982" s="1567"/>
      <c r="J5982" s="1543"/>
      <c r="K5982" s="1543"/>
      <c r="L5982" s="1543"/>
      <c r="M5982" s="1543"/>
      <c r="N5982" s="1566"/>
    </row>
    <row r="5983" spans="1:14">
      <c r="A5983" s="1545"/>
      <c r="B5983" s="876"/>
      <c r="C5983" s="743"/>
      <c r="D5983" s="294"/>
      <c r="E5983" s="348"/>
      <c r="F5983" s="348"/>
      <c r="G5983" s="348"/>
      <c r="H5983" s="349"/>
      <c r="I5983" s="1567"/>
      <c r="J5983" s="1543"/>
      <c r="K5983" s="1543"/>
      <c r="L5983" s="1543"/>
      <c r="M5983" s="1543"/>
      <c r="N5983" s="1566"/>
    </row>
    <row r="5984" spans="1:14" ht="21" customHeight="1">
      <c r="A5984" s="1535" t="s">
        <v>3620</v>
      </c>
      <c r="B5984" s="1009"/>
      <c r="C5984" s="1010"/>
      <c r="D5984" s="287"/>
      <c r="E5984" s="531"/>
      <c r="F5984" s="287"/>
      <c r="G5984" s="431"/>
      <c r="H5984" s="349"/>
      <c r="I5984" s="1567"/>
      <c r="J5984" s="1543"/>
      <c r="K5984" s="1543"/>
      <c r="L5984" s="1543"/>
      <c r="M5984" s="1543"/>
      <c r="N5984" s="1566"/>
    </row>
    <row r="5985" spans="1:14">
      <c r="A5985" s="1529"/>
      <c r="B5985" s="876" t="s">
        <v>3534</v>
      </c>
      <c r="C5985" s="743">
        <v>45</v>
      </c>
      <c r="D5985" s="198"/>
      <c r="E5985" s="341">
        <v>0.4</v>
      </c>
      <c r="F5985" s="341"/>
      <c r="G5985" s="341"/>
      <c r="H5985" s="349">
        <f>E5985*C5985</f>
        <v>18</v>
      </c>
      <c r="I5985" s="1567"/>
      <c r="J5985" s="1543"/>
      <c r="K5985" s="1543"/>
      <c r="L5985" s="1543"/>
      <c r="M5985" s="1543"/>
      <c r="N5985" s="1566"/>
    </row>
    <row r="5986" spans="1:14">
      <c r="A5986" s="1529"/>
      <c r="B5986" s="876" t="s">
        <v>3198</v>
      </c>
      <c r="C5986" s="743">
        <v>57</v>
      </c>
      <c r="D5986" s="199"/>
      <c r="E5986" s="351">
        <v>0.25</v>
      </c>
      <c r="F5986" s="351"/>
      <c r="G5986" s="351"/>
      <c r="H5986" s="349">
        <f>E5986*C5986</f>
        <v>14.25</v>
      </c>
      <c r="I5986" s="1567"/>
      <c r="J5986" s="1543"/>
      <c r="K5986" s="1543"/>
      <c r="L5986" s="1543"/>
      <c r="M5986" s="1543"/>
      <c r="N5986" s="1566"/>
    </row>
    <row r="5987" spans="1:14">
      <c r="A5987" s="1136"/>
      <c r="B5987" s="876"/>
      <c r="C5987" s="743"/>
      <c r="D5987" s="199"/>
      <c r="E5987" s="351"/>
      <c r="F5987" s="351"/>
      <c r="G5987" s="351"/>
      <c r="H5987" s="349"/>
      <c r="I5987" s="1567"/>
      <c r="J5987" s="1543"/>
      <c r="K5987" s="1543"/>
      <c r="L5987" s="1543"/>
      <c r="M5987" s="1543"/>
      <c r="N5987" s="1566"/>
    </row>
    <row r="5988" spans="1:14">
      <c r="A5988" s="1529" t="s">
        <v>3850</v>
      </c>
      <c r="B5988" s="876" t="s">
        <v>3534</v>
      </c>
      <c r="C5988" s="743">
        <v>45</v>
      </c>
      <c r="D5988" s="198"/>
      <c r="E5988" s="341">
        <v>0.1</v>
      </c>
      <c r="F5988" s="341"/>
      <c r="G5988" s="341"/>
      <c r="H5988" s="349">
        <f>E5988*C5988</f>
        <v>4.5</v>
      </c>
      <c r="I5988" s="1567"/>
      <c r="J5988" s="1543"/>
      <c r="K5988" s="1543"/>
      <c r="L5988" s="1543"/>
      <c r="M5988" s="1543"/>
      <c r="N5988" s="1566"/>
    </row>
    <row r="5989" spans="1:14">
      <c r="A5989" s="1545"/>
      <c r="B5989" s="876" t="s">
        <v>3198</v>
      </c>
      <c r="C5989" s="743">
        <v>57</v>
      </c>
      <c r="D5989" s="199"/>
      <c r="E5989" s="351">
        <v>0.1</v>
      </c>
      <c r="F5989" s="351"/>
      <c r="G5989" s="351"/>
      <c r="H5989" s="349">
        <f>E5989*C5989</f>
        <v>5.7</v>
      </c>
      <c r="I5989" s="1567"/>
      <c r="J5989" s="1543"/>
      <c r="K5989" s="1543"/>
      <c r="L5989" s="1543"/>
      <c r="M5989" s="1543"/>
      <c r="N5989" s="1566"/>
    </row>
    <row r="5990" spans="1:14">
      <c r="A5990" s="1578" t="s">
        <v>2218</v>
      </c>
      <c r="B5990" s="1538"/>
      <c r="C5990" s="1538"/>
      <c r="D5990" s="1538"/>
      <c r="E5990" s="1538"/>
      <c r="F5990" s="1538"/>
      <c r="G5990" s="1538"/>
      <c r="H5990" s="271">
        <f>SUM(H5976:H5989)</f>
        <v>102</v>
      </c>
      <c r="I5990" s="1567"/>
      <c r="J5990" s="1543"/>
      <c r="K5990" s="1543"/>
      <c r="L5990" s="1543"/>
      <c r="M5990" s="1543"/>
      <c r="N5990" s="1566"/>
    </row>
    <row r="5991" spans="1:14">
      <c r="A5991" s="1519" t="s">
        <v>2219</v>
      </c>
      <c r="B5991" s="1517"/>
      <c r="C5991" s="1517"/>
      <c r="D5991" s="1551"/>
      <c r="E5991" s="1551"/>
      <c r="F5991" s="1551"/>
      <c r="G5991" s="1552"/>
      <c r="H5991" s="325">
        <f>SUM(H5976:H5989)</f>
        <v>102</v>
      </c>
      <c r="I5991" s="1543"/>
      <c r="J5991" s="1543"/>
      <c r="K5991" s="1543"/>
      <c r="L5991" s="1543"/>
      <c r="M5991" s="1543"/>
      <c r="N5991" s="1566"/>
    </row>
    <row r="5992" spans="1:14" ht="15.75" thickBot="1">
      <c r="A5992" s="1520" t="s">
        <v>2220</v>
      </c>
      <c r="B5992" s="1521"/>
      <c r="C5992" s="1521"/>
      <c r="D5992" s="1521"/>
      <c r="E5992" s="1521"/>
      <c r="F5992" s="1521"/>
      <c r="G5992" s="1522"/>
      <c r="H5992" s="216">
        <f>H5990-H5991</f>
        <v>0</v>
      </c>
      <c r="I5992" s="1568"/>
      <c r="J5992" s="1568"/>
      <c r="K5992" s="1568"/>
      <c r="L5992" s="1568"/>
      <c r="M5992" s="1568"/>
      <c r="N5992" s="1569"/>
    </row>
    <row r="5993" spans="1:14" ht="21" customHeight="1" thickBot="1">
      <c r="A5993" s="898"/>
      <c r="B5993" s="898"/>
      <c r="C5993" s="898"/>
      <c r="D5993" s="970"/>
      <c r="E5993" s="1363"/>
      <c r="F5993" s="898"/>
      <c r="G5993" s="899"/>
      <c r="H5993" s="220"/>
      <c r="I5993" s="942"/>
      <c r="J5993" s="942"/>
      <c r="K5993" s="942"/>
      <c r="L5993" s="942"/>
      <c r="M5993" s="942"/>
      <c r="N5993" s="941"/>
    </row>
    <row r="5994" spans="1:14">
      <c r="A5994" s="1121">
        <v>150503</v>
      </c>
      <c r="B5994" s="1494" t="s">
        <v>1525</v>
      </c>
      <c r="C5994" s="1495"/>
      <c r="D5994" s="1495"/>
      <c r="E5994" s="1495"/>
      <c r="F5994" s="1495"/>
      <c r="G5994" s="1495"/>
      <c r="H5994" s="1495"/>
      <c r="I5994" s="1495"/>
      <c r="J5994" s="1496"/>
      <c r="K5994" s="196" t="s">
        <v>28</v>
      </c>
      <c r="L5994" s="1497">
        <f>'27ª MEDIÇÃO '!F418</f>
        <v>201</v>
      </c>
      <c r="M5994" s="1498"/>
      <c r="N5994" s="197">
        <f>L5994-H6005</f>
        <v>0</v>
      </c>
    </row>
    <row r="5995" spans="1:14">
      <c r="A5995" s="1554"/>
      <c r="B5995" s="1541"/>
      <c r="C5995" s="366"/>
      <c r="D5995" s="367" t="s">
        <v>2183</v>
      </c>
      <c r="E5995" s="1320" t="s">
        <v>2184</v>
      </c>
      <c r="F5995" s="367" t="s">
        <v>2185</v>
      </c>
      <c r="G5995" s="367" t="s">
        <v>2186</v>
      </c>
      <c r="H5995" s="1542" t="s">
        <v>476</v>
      </c>
      <c r="I5995" s="1543"/>
      <c r="J5995" s="1543"/>
      <c r="K5995" s="1543"/>
      <c r="L5995" s="1543"/>
      <c r="M5995" s="1543"/>
      <c r="N5995" s="1566"/>
    </row>
    <row r="5996" spans="1:14" ht="24">
      <c r="A5996" s="1554"/>
      <c r="B5996" s="1541"/>
      <c r="C5996" s="368" t="s">
        <v>2627</v>
      </c>
      <c r="D5996" s="369" t="s">
        <v>2187</v>
      </c>
      <c r="E5996" s="529" t="s">
        <v>3152</v>
      </c>
      <c r="F5996" s="369" t="s">
        <v>2649</v>
      </c>
      <c r="G5996" s="370" t="s">
        <v>2709</v>
      </c>
      <c r="H5996" s="1542"/>
      <c r="I5996" s="1543"/>
      <c r="J5996" s="1543"/>
      <c r="K5996" s="1543"/>
      <c r="L5996" s="1543"/>
      <c r="M5996" s="1543"/>
      <c r="N5996" s="1566"/>
    </row>
    <row r="5997" spans="1:14">
      <c r="A5997" s="1535" t="s">
        <v>3569</v>
      </c>
      <c r="B5997" s="876"/>
      <c r="C5997" s="317"/>
      <c r="D5997" s="287"/>
      <c r="E5997" s="531"/>
      <c r="F5997" s="287"/>
      <c r="G5997" s="431"/>
      <c r="H5997" s="349"/>
      <c r="I5997" s="1567"/>
      <c r="J5997" s="1543"/>
      <c r="K5997" s="1543"/>
      <c r="L5997" s="1543"/>
      <c r="M5997" s="1543"/>
      <c r="N5997" s="1566"/>
    </row>
    <row r="5998" spans="1:14">
      <c r="A5998" s="1529"/>
      <c r="B5998" s="876" t="s">
        <v>3534</v>
      </c>
      <c r="C5998" s="743">
        <v>201</v>
      </c>
      <c r="D5998" s="198"/>
      <c r="E5998" s="341">
        <v>0.5</v>
      </c>
      <c r="F5998" s="341"/>
      <c r="G5998" s="341"/>
      <c r="H5998" s="349">
        <f>E5998*C5998</f>
        <v>100.5</v>
      </c>
      <c r="I5998" s="1567"/>
      <c r="J5998" s="1543"/>
      <c r="K5998" s="1543"/>
      <c r="L5998" s="1543"/>
      <c r="M5998" s="1543"/>
      <c r="N5998" s="1566"/>
    </row>
    <row r="5999" spans="1:14">
      <c r="A5999" s="1529"/>
      <c r="B5999" s="876"/>
      <c r="C5999" s="743"/>
      <c r="D5999" s="199"/>
      <c r="E5999" s="351"/>
      <c r="F5999" s="351"/>
      <c r="G5999" s="351"/>
      <c r="H5999" s="349"/>
      <c r="I5999" s="1567"/>
      <c r="J5999" s="1543"/>
      <c r="K5999" s="1543"/>
      <c r="L5999" s="1543"/>
      <c r="M5999" s="1543"/>
      <c r="N5999" s="1566"/>
    </row>
    <row r="6000" spans="1:14">
      <c r="A6000" s="1545"/>
      <c r="B6000" s="876"/>
      <c r="C6000" s="743"/>
      <c r="D6000" s="294"/>
      <c r="E6000" s="348"/>
      <c r="F6000" s="348"/>
      <c r="G6000" s="348"/>
      <c r="H6000" s="349"/>
      <c r="I6000" s="1567"/>
      <c r="J6000" s="1543"/>
      <c r="K6000" s="1543"/>
      <c r="L6000" s="1543"/>
      <c r="M6000" s="1543"/>
      <c r="N6000" s="1566"/>
    </row>
    <row r="6001" spans="1:14">
      <c r="A6001" s="1535" t="s">
        <v>3620</v>
      </c>
      <c r="B6001" s="876"/>
      <c r="C6001" s="317"/>
      <c r="D6001" s="287"/>
      <c r="E6001" s="531"/>
      <c r="F6001" s="287"/>
      <c r="G6001" s="431"/>
      <c r="H6001" s="349"/>
      <c r="I6001" s="1567"/>
      <c r="J6001" s="1543"/>
      <c r="K6001" s="1543"/>
      <c r="L6001" s="1543"/>
      <c r="M6001" s="1543"/>
      <c r="N6001" s="1566"/>
    </row>
    <row r="6002" spans="1:14">
      <c r="A6002" s="1529"/>
      <c r="B6002" s="876" t="s">
        <v>3534</v>
      </c>
      <c r="C6002" s="743">
        <v>201</v>
      </c>
      <c r="D6002" s="198"/>
      <c r="E6002" s="341">
        <v>0.5</v>
      </c>
      <c r="F6002" s="341"/>
      <c r="G6002" s="341"/>
      <c r="H6002" s="349">
        <f>E6002*C6002</f>
        <v>100.5</v>
      </c>
      <c r="I6002" s="1567"/>
      <c r="J6002" s="1543"/>
      <c r="K6002" s="1543"/>
      <c r="L6002" s="1543"/>
      <c r="M6002" s="1543"/>
      <c r="N6002" s="1566"/>
    </row>
    <row r="6003" spans="1:14">
      <c r="A6003" s="1529"/>
      <c r="B6003" s="876"/>
      <c r="C6003" s="743"/>
      <c r="D6003" s="199"/>
      <c r="E6003" s="351"/>
      <c r="F6003" s="351"/>
      <c r="G6003" s="351"/>
      <c r="H6003" s="349"/>
      <c r="I6003" s="1567"/>
      <c r="J6003" s="1543"/>
      <c r="K6003" s="1543"/>
      <c r="L6003" s="1543"/>
      <c r="M6003" s="1543"/>
      <c r="N6003" s="1566"/>
    </row>
    <row r="6004" spans="1:14" ht="21" customHeight="1">
      <c r="A6004" s="1545"/>
      <c r="B6004" s="876"/>
      <c r="C6004" s="743"/>
      <c r="D6004" s="294"/>
      <c r="E6004" s="348"/>
      <c r="F6004" s="348"/>
      <c r="G6004" s="348"/>
      <c r="H6004" s="349"/>
      <c r="I6004" s="1567"/>
      <c r="J6004" s="1543"/>
      <c r="K6004" s="1543"/>
      <c r="L6004" s="1543"/>
      <c r="M6004" s="1543"/>
      <c r="N6004" s="1566"/>
    </row>
    <row r="6005" spans="1:14">
      <c r="A6005" s="1578" t="s">
        <v>2218</v>
      </c>
      <c r="B6005" s="1538"/>
      <c r="C6005" s="1538"/>
      <c r="D6005" s="1538"/>
      <c r="E6005" s="1538"/>
      <c r="F6005" s="1538"/>
      <c r="G6005" s="1538"/>
      <c r="H6005" s="271">
        <f>SUM(H5997:H6004)</f>
        <v>201</v>
      </c>
      <c r="I6005" s="1567"/>
      <c r="J6005" s="1543"/>
      <c r="K6005" s="1543"/>
      <c r="L6005" s="1543"/>
      <c r="M6005" s="1543"/>
      <c r="N6005" s="1566"/>
    </row>
    <row r="6006" spans="1:14">
      <c r="A6006" s="1519" t="s">
        <v>2219</v>
      </c>
      <c r="B6006" s="1517"/>
      <c r="C6006" s="1517"/>
      <c r="D6006" s="1551"/>
      <c r="E6006" s="1551"/>
      <c r="F6006" s="1551"/>
      <c r="G6006" s="1552"/>
      <c r="H6006" s="325">
        <f>SUM(H5997:H6000)</f>
        <v>100.5</v>
      </c>
      <c r="I6006" s="1543"/>
      <c r="J6006" s="1543"/>
      <c r="K6006" s="1543"/>
      <c r="L6006" s="1543"/>
      <c r="M6006" s="1543"/>
      <c r="N6006" s="1566"/>
    </row>
    <row r="6007" spans="1:14" ht="15.75" thickBot="1">
      <c r="A6007" s="1520" t="s">
        <v>2220</v>
      </c>
      <c r="B6007" s="1521"/>
      <c r="C6007" s="1521"/>
      <c r="D6007" s="1521"/>
      <c r="E6007" s="1521"/>
      <c r="F6007" s="1521"/>
      <c r="G6007" s="1522"/>
      <c r="H6007" s="216">
        <f>H6005-H6006</f>
        <v>100.5</v>
      </c>
      <c r="I6007" s="1568"/>
      <c r="J6007" s="1568"/>
      <c r="K6007" s="1568"/>
      <c r="L6007" s="1568"/>
      <c r="M6007" s="1568"/>
      <c r="N6007" s="1569"/>
    </row>
    <row r="6008" spans="1:14" ht="15.75" thickBot="1">
      <c r="A6008" s="898"/>
      <c r="B6008" s="898"/>
      <c r="C6008" s="898"/>
      <c r="D6008" s="970"/>
      <c r="E6008" s="1363"/>
      <c r="F6008" s="898"/>
      <c r="G6008" s="899"/>
      <c r="H6008" s="220"/>
      <c r="I6008" s="942"/>
      <c r="J6008" s="942"/>
      <c r="K6008" s="942"/>
      <c r="L6008" s="942"/>
      <c r="M6008" s="942"/>
      <c r="N6008" s="941"/>
    </row>
    <row r="6009" spans="1:14">
      <c r="A6009" s="1121">
        <v>150504</v>
      </c>
      <c r="B6009" s="1494" t="s">
        <v>1528</v>
      </c>
      <c r="C6009" s="1495"/>
      <c r="D6009" s="1495"/>
      <c r="E6009" s="1495"/>
      <c r="F6009" s="1495"/>
      <c r="G6009" s="1495"/>
      <c r="H6009" s="1495"/>
      <c r="I6009" s="1495"/>
      <c r="J6009" s="1496"/>
      <c r="K6009" s="196" t="s">
        <v>28</v>
      </c>
      <c r="L6009" s="1497">
        <f>'27ª MEDIÇÃO '!F419</f>
        <v>24</v>
      </c>
      <c r="M6009" s="1498"/>
      <c r="N6009" s="197">
        <f>L6009-H6020</f>
        <v>0</v>
      </c>
    </row>
    <row r="6010" spans="1:14">
      <c r="A6010" s="1554"/>
      <c r="B6010" s="1541"/>
      <c r="C6010" s="366"/>
      <c r="D6010" s="367" t="s">
        <v>2183</v>
      </c>
      <c r="E6010" s="1320" t="s">
        <v>2184</v>
      </c>
      <c r="F6010" s="367" t="s">
        <v>2185</v>
      </c>
      <c r="G6010" s="367" t="s">
        <v>2186</v>
      </c>
      <c r="H6010" s="1542" t="s">
        <v>476</v>
      </c>
      <c r="I6010" s="1543"/>
      <c r="J6010" s="1543"/>
      <c r="K6010" s="1543"/>
      <c r="L6010" s="1543"/>
      <c r="M6010" s="1543"/>
      <c r="N6010" s="1566"/>
    </row>
    <row r="6011" spans="1:14" ht="24">
      <c r="A6011" s="1554"/>
      <c r="B6011" s="1541"/>
      <c r="C6011" s="368" t="s">
        <v>2627</v>
      </c>
      <c r="D6011" s="369" t="s">
        <v>2187</v>
      </c>
      <c r="E6011" s="529" t="s">
        <v>3152</v>
      </c>
      <c r="F6011" s="369" t="s">
        <v>2649</v>
      </c>
      <c r="G6011" s="370" t="s">
        <v>2709</v>
      </c>
      <c r="H6011" s="1542"/>
      <c r="I6011" s="1543"/>
      <c r="J6011" s="1543"/>
      <c r="K6011" s="1543"/>
      <c r="L6011" s="1543"/>
      <c r="M6011" s="1543"/>
      <c r="N6011" s="1566"/>
    </row>
    <row r="6012" spans="1:14">
      <c r="A6012" s="1535" t="s">
        <v>3569</v>
      </c>
      <c r="B6012" s="876"/>
      <c r="C6012" s="317"/>
      <c r="D6012" s="287"/>
      <c r="E6012" s="531"/>
      <c r="F6012" s="287"/>
      <c r="G6012" s="431"/>
      <c r="H6012" s="349"/>
      <c r="I6012" s="1567"/>
      <c r="J6012" s="1543"/>
      <c r="K6012" s="1543"/>
      <c r="L6012" s="1543"/>
      <c r="M6012" s="1543"/>
      <c r="N6012" s="1566"/>
    </row>
    <row r="6013" spans="1:14">
      <c r="A6013" s="1529"/>
      <c r="B6013" s="876" t="s">
        <v>3534</v>
      </c>
      <c r="C6013" s="743">
        <v>24</v>
      </c>
      <c r="D6013" s="198"/>
      <c r="E6013" s="341">
        <v>0.6</v>
      </c>
      <c r="F6013" s="341"/>
      <c r="G6013" s="341"/>
      <c r="H6013" s="349">
        <v>14</v>
      </c>
      <c r="I6013" s="1567"/>
      <c r="J6013" s="1543"/>
      <c r="K6013" s="1543"/>
      <c r="L6013" s="1543"/>
      <c r="M6013" s="1543"/>
      <c r="N6013" s="1566"/>
    </row>
    <row r="6014" spans="1:14">
      <c r="A6014" s="1529"/>
      <c r="B6014" s="876"/>
      <c r="C6014" s="743"/>
      <c r="D6014" s="199"/>
      <c r="E6014" s="351"/>
      <c r="F6014" s="351"/>
      <c r="G6014" s="351"/>
      <c r="H6014" s="349"/>
      <c r="I6014" s="1567"/>
      <c r="J6014" s="1543"/>
      <c r="K6014" s="1543"/>
      <c r="L6014" s="1543"/>
      <c r="M6014" s="1543"/>
      <c r="N6014" s="1566"/>
    </row>
    <row r="6015" spans="1:14">
      <c r="A6015" s="1545"/>
      <c r="B6015" s="876"/>
      <c r="C6015" s="743"/>
      <c r="D6015" s="294"/>
      <c r="E6015" s="348"/>
      <c r="F6015" s="348"/>
      <c r="G6015" s="348"/>
      <c r="H6015" s="349"/>
      <c r="I6015" s="1567"/>
      <c r="J6015" s="1543"/>
      <c r="K6015" s="1543"/>
      <c r="L6015" s="1543"/>
      <c r="M6015" s="1543"/>
      <c r="N6015" s="1566"/>
    </row>
    <row r="6016" spans="1:14">
      <c r="A6016" s="1535" t="s">
        <v>3620</v>
      </c>
      <c r="B6016" s="876"/>
      <c r="C6016" s="317"/>
      <c r="D6016" s="287"/>
      <c r="E6016" s="531"/>
      <c r="F6016" s="287"/>
      <c r="G6016" s="431"/>
      <c r="H6016" s="349"/>
      <c r="I6016" s="1567"/>
      <c r="J6016" s="1543"/>
      <c r="K6016" s="1543"/>
      <c r="L6016" s="1543"/>
      <c r="M6016" s="1543"/>
      <c r="N6016" s="1566"/>
    </row>
    <row r="6017" spans="1:14">
      <c r="A6017" s="1529"/>
      <c r="B6017" s="876" t="s">
        <v>3534</v>
      </c>
      <c r="C6017" s="743">
        <v>24</v>
      </c>
      <c r="D6017" s="198"/>
      <c r="E6017" s="341">
        <v>0.4</v>
      </c>
      <c r="F6017" s="341"/>
      <c r="G6017" s="341"/>
      <c r="H6017" s="349">
        <v>10</v>
      </c>
      <c r="I6017" s="1567"/>
      <c r="J6017" s="1543"/>
      <c r="K6017" s="1543"/>
      <c r="L6017" s="1543"/>
      <c r="M6017" s="1543"/>
      <c r="N6017" s="1566"/>
    </row>
    <row r="6018" spans="1:14">
      <c r="A6018" s="1529"/>
      <c r="B6018" s="876"/>
      <c r="C6018" s="743"/>
      <c r="D6018" s="199"/>
      <c r="E6018" s="351"/>
      <c r="F6018" s="351"/>
      <c r="G6018" s="351"/>
      <c r="H6018" s="349"/>
      <c r="I6018" s="1567"/>
      <c r="J6018" s="1543"/>
      <c r="K6018" s="1543"/>
      <c r="L6018" s="1543"/>
      <c r="M6018" s="1543"/>
      <c r="N6018" s="1566"/>
    </row>
    <row r="6019" spans="1:14">
      <c r="A6019" s="1545"/>
      <c r="B6019" s="876"/>
      <c r="C6019" s="743"/>
      <c r="D6019" s="294"/>
      <c r="E6019" s="348"/>
      <c r="F6019" s="348"/>
      <c r="G6019" s="348"/>
      <c r="H6019" s="349"/>
      <c r="I6019" s="1567"/>
      <c r="J6019" s="1543"/>
      <c r="K6019" s="1543"/>
      <c r="L6019" s="1543"/>
      <c r="M6019" s="1543"/>
      <c r="N6019" s="1566"/>
    </row>
    <row r="6020" spans="1:14">
      <c r="A6020" s="1578" t="s">
        <v>2218</v>
      </c>
      <c r="B6020" s="1538"/>
      <c r="C6020" s="1538"/>
      <c r="D6020" s="1538"/>
      <c r="E6020" s="1538"/>
      <c r="F6020" s="1538"/>
      <c r="G6020" s="1538"/>
      <c r="H6020" s="271">
        <f>SUM(H6012:H6019)</f>
        <v>24</v>
      </c>
      <c r="I6020" s="1567"/>
      <c r="J6020" s="1543"/>
      <c r="K6020" s="1543"/>
      <c r="L6020" s="1543"/>
      <c r="M6020" s="1543"/>
      <c r="N6020" s="1566"/>
    </row>
    <row r="6021" spans="1:14">
      <c r="A6021" s="1519" t="s">
        <v>2219</v>
      </c>
      <c r="B6021" s="1517"/>
      <c r="C6021" s="1517"/>
      <c r="D6021" s="1551"/>
      <c r="E6021" s="1551"/>
      <c r="F6021" s="1551"/>
      <c r="G6021" s="1552"/>
      <c r="H6021" s="325">
        <f>SUM(H6012:H6015)</f>
        <v>14</v>
      </c>
      <c r="I6021" s="1543"/>
      <c r="J6021" s="1543"/>
      <c r="K6021" s="1543"/>
      <c r="L6021" s="1543"/>
      <c r="M6021" s="1543"/>
      <c r="N6021" s="1566"/>
    </row>
    <row r="6022" spans="1:14" ht="15.75" thickBot="1">
      <c r="A6022" s="1520" t="s">
        <v>2220</v>
      </c>
      <c r="B6022" s="1521"/>
      <c r="C6022" s="1521"/>
      <c r="D6022" s="1521"/>
      <c r="E6022" s="1521"/>
      <c r="F6022" s="1521"/>
      <c r="G6022" s="1522"/>
      <c r="H6022" s="216">
        <f>H6020-H6021</f>
        <v>10</v>
      </c>
      <c r="I6022" s="1568"/>
      <c r="J6022" s="1568"/>
      <c r="K6022" s="1568"/>
      <c r="L6022" s="1568"/>
      <c r="M6022" s="1568"/>
      <c r="N6022" s="1569"/>
    </row>
    <row r="6023" spans="1:14" ht="15.75" thickBot="1">
      <c r="A6023" s="898"/>
      <c r="B6023" s="898"/>
      <c r="C6023" s="898"/>
      <c r="D6023" s="970"/>
      <c r="E6023" s="1363"/>
      <c r="F6023" s="898"/>
      <c r="G6023" s="899"/>
      <c r="H6023" s="220"/>
      <c r="I6023" s="942"/>
      <c r="J6023" s="942"/>
      <c r="K6023" s="942"/>
      <c r="L6023" s="942"/>
      <c r="M6023" s="942"/>
      <c r="N6023" s="941"/>
    </row>
    <row r="6024" spans="1:14" ht="21" customHeight="1">
      <c r="A6024" s="1121">
        <v>150505</v>
      </c>
      <c r="B6024" s="1494" t="s">
        <v>1531</v>
      </c>
      <c r="C6024" s="1495"/>
      <c r="D6024" s="1495"/>
      <c r="E6024" s="1495"/>
      <c r="F6024" s="1495"/>
      <c r="G6024" s="1495"/>
      <c r="H6024" s="1495"/>
      <c r="I6024" s="1495"/>
      <c r="J6024" s="1496"/>
      <c r="K6024" s="196" t="s">
        <v>28</v>
      </c>
      <c r="L6024" s="1497">
        <f>'27ª MEDIÇÃO '!F420</f>
        <v>3815</v>
      </c>
      <c r="M6024" s="1498"/>
      <c r="N6024" s="197">
        <f>L6024-H6038</f>
        <v>0</v>
      </c>
    </row>
    <row r="6025" spans="1:14">
      <c r="A6025" s="1554"/>
      <c r="B6025" s="1541"/>
      <c r="C6025" s="366"/>
      <c r="D6025" s="367" t="s">
        <v>2183</v>
      </c>
      <c r="E6025" s="1320" t="s">
        <v>2184</v>
      </c>
      <c r="F6025" s="367" t="s">
        <v>2185</v>
      </c>
      <c r="G6025" s="367" t="s">
        <v>2186</v>
      </c>
      <c r="H6025" s="1542" t="s">
        <v>476</v>
      </c>
      <c r="I6025" s="1543"/>
      <c r="J6025" s="1543"/>
      <c r="K6025" s="1543"/>
      <c r="L6025" s="1543"/>
      <c r="M6025" s="1543"/>
      <c r="N6025" s="1566"/>
    </row>
    <row r="6026" spans="1:14" ht="24">
      <c r="A6026" s="1554"/>
      <c r="B6026" s="1541"/>
      <c r="C6026" s="368" t="s">
        <v>2627</v>
      </c>
      <c r="D6026" s="369" t="s">
        <v>2187</v>
      </c>
      <c r="E6026" s="529" t="s">
        <v>3152</v>
      </c>
      <c r="F6026" s="369" t="s">
        <v>2649</v>
      </c>
      <c r="G6026" s="370" t="s">
        <v>2709</v>
      </c>
      <c r="H6026" s="1542"/>
      <c r="I6026" s="1543"/>
      <c r="J6026" s="1543"/>
      <c r="K6026" s="1543"/>
      <c r="L6026" s="1543"/>
      <c r="M6026" s="1543"/>
      <c r="N6026" s="1566"/>
    </row>
    <row r="6027" spans="1:14">
      <c r="A6027" s="1535" t="s">
        <v>3569</v>
      </c>
      <c r="B6027" s="876" t="s">
        <v>3533</v>
      </c>
      <c r="C6027" s="317">
        <v>3494</v>
      </c>
      <c r="D6027" s="287"/>
      <c r="E6027" s="531"/>
      <c r="F6027" s="287"/>
      <c r="G6027" s="431"/>
      <c r="H6027" s="349">
        <f>E6027*C6027</f>
        <v>0</v>
      </c>
      <c r="I6027" s="1567"/>
      <c r="J6027" s="1543"/>
      <c r="K6027" s="1543"/>
      <c r="L6027" s="1543"/>
      <c r="M6027" s="1543"/>
      <c r="N6027" s="1566"/>
    </row>
    <row r="6028" spans="1:14">
      <c r="A6028" s="1529"/>
      <c r="B6028" s="876" t="s">
        <v>3534</v>
      </c>
      <c r="C6028" s="743">
        <v>321</v>
      </c>
      <c r="D6028" s="198"/>
      <c r="E6028" s="341">
        <v>0.6</v>
      </c>
      <c r="F6028" s="341"/>
      <c r="G6028" s="341"/>
      <c r="H6028" s="349">
        <f>E6028*C6028</f>
        <v>192.6</v>
      </c>
      <c r="I6028" s="1567"/>
      <c r="J6028" s="1543"/>
      <c r="K6028" s="1543"/>
      <c r="L6028" s="1543"/>
      <c r="M6028" s="1543"/>
      <c r="N6028" s="1566"/>
    </row>
    <row r="6029" spans="1:14">
      <c r="A6029" s="1529"/>
      <c r="B6029" s="876"/>
      <c r="C6029" s="743"/>
      <c r="D6029" s="199"/>
      <c r="E6029" s="351"/>
      <c r="F6029" s="351"/>
      <c r="G6029" s="351"/>
      <c r="H6029" s="349"/>
      <c r="I6029" s="1567"/>
      <c r="J6029" s="1543"/>
      <c r="K6029" s="1543"/>
      <c r="L6029" s="1543"/>
      <c r="M6029" s="1543"/>
      <c r="N6029" s="1566"/>
    </row>
    <row r="6030" spans="1:14">
      <c r="A6030" s="1545"/>
      <c r="B6030" s="876"/>
      <c r="C6030" s="743"/>
      <c r="D6030" s="294"/>
      <c r="E6030" s="348"/>
      <c r="F6030" s="348"/>
      <c r="G6030" s="348"/>
      <c r="H6030" s="349"/>
      <c r="I6030" s="1567"/>
      <c r="J6030" s="1543"/>
      <c r="K6030" s="1543"/>
      <c r="L6030" s="1543"/>
      <c r="M6030" s="1543"/>
      <c r="N6030" s="1566"/>
    </row>
    <row r="6031" spans="1:14">
      <c r="A6031" s="1535" t="s">
        <v>3620</v>
      </c>
      <c r="B6031" s="876" t="s">
        <v>3533</v>
      </c>
      <c r="C6031" s="317">
        <v>3494</v>
      </c>
      <c r="D6031" s="287"/>
      <c r="E6031" s="531">
        <v>0.2</v>
      </c>
      <c r="F6031" s="287"/>
      <c r="G6031" s="431"/>
      <c r="H6031" s="349">
        <f>E6031*C6031</f>
        <v>698.80000000000007</v>
      </c>
      <c r="I6031" s="1567"/>
      <c r="J6031" s="1543"/>
      <c r="K6031" s="1543"/>
      <c r="L6031" s="1543"/>
      <c r="M6031" s="1543"/>
      <c r="N6031" s="1566"/>
    </row>
    <row r="6032" spans="1:14">
      <c r="A6032" s="1529"/>
      <c r="B6032" s="876" t="s">
        <v>3534</v>
      </c>
      <c r="C6032" s="743">
        <v>321</v>
      </c>
      <c r="D6032" s="198"/>
      <c r="E6032" s="341">
        <v>0.2</v>
      </c>
      <c r="F6032" s="341"/>
      <c r="G6032" s="341"/>
      <c r="H6032" s="349">
        <f>E6032*C6032</f>
        <v>64.2</v>
      </c>
      <c r="I6032" s="1567"/>
      <c r="J6032" s="1543"/>
      <c r="K6032" s="1543"/>
      <c r="L6032" s="1543"/>
      <c r="M6032" s="1543"/>
      <c r="N6032" s="1566"/>
    </row>
    <row r="6033" spans="1:14">
      <c r="A6033" s="1529"/>
      <c r="B6033" s="876"/>
      <c r="C6033" s="743"/>
      <c r="D6033" s="199"/>
      <c r="E6033" s="351"/>
      <c r="F6033" s="351"/>
      <c r="G6033" s="351"/>
      <c r="H6033" s="349"/>
      <c r="I6033" s="1567"/>
      <c r="J6033" s="1543"/>
      <c r="K6033" s="1543"/>
      <c r="L6033" s="1543"/>
      <c r="M6033" s="1543"/>
      <c r="N6033" s="1566"/>
    </row>
    <row r="6034" spans="1:14">
      <c r="A6034" s="1529" t="s">
        <v>3892</v>
      </c>
      <c r="B6034" s="876" t="s">
        <v>3533</v>
      </c>
      <c r="C6034" s="317">
        <v>3494</v>
      </c>
      <c r="D6034" s="287"/>
      <c r="E6034" s="531">
        <v>0.8</v>
      </c>
      <c r="F6034" s="287"/>
      <c r="G6034" s="431"/>
      <c r="H6034" s="349">
        <f>E6034*C6034</f>
        <v>2795.2000000000003</v>
      </c>
      <c r="I6034" s="1567"/>
      <c r="J6034" s="1543"/>
      <c r="K6034" s="1543"/>
      <c r="L6034" s="1543"/>
      <c r="M6034" s="1543"/>
      <c r="N6034" s="1566"/>
    </row>
    <row r="6035" spans="1:14">
      <c r="A6035" s="1529"/>
      <c r="B6035" s="876" t="s">
        <v>3534</v>
      </c>
      <c r="C6035" s="743">
        <v>321</v>
      </c>
      <c r="D6035" s="198"/>
      <c r="E6035" s="341">
        <v>0.2</v>
      </c>
      <c r="F6035" s="341"/>
      <c r="G6035" s="341"/>
      <c r="H6035" s="349">
        <f>E6035*C6035</f>
        <v>64.2</v>
      </c>
      <c r="I6035" s="1567"/>
      <c r="J6035" s="1543"/>
      <c r="K6035" s="1543"/>
      <c r="L6035" s="1543"/>
      <c r="M6035" s="1543"/>
      <c r="N6035" s="1566"/>
    </row>
    <row r="6036" spans="1:14">
      <c r="A6036" s="1529"/>
      <c r="B6036" s="876"/>
      <c r="C6036" s="743"/>
      <c r="D6036" s="199"/>
      <c r="E6036" s="351"/>
      <c r="F6036" s="351"/>
      <c r="G6036" s="351"/>
      <c r="H6036" s="349"/>
      <c r="I6036" s="1567"/>
      <c r="J6036" s="1543"/>
      <c r="K6036" s="1543"/>
      <c r="L6036" s="1543"/>
      <c r="M6036" s="1543"/>
      <c r="N6036" s="1566"/>
    </row>
    <row r="6037" spans="1:14">
      <c r="A6037" s="1137"/>
      <c r="B6037" s="876"/>
      <c r="C6037" s="743"/>
      <c r="D6037" s="294"/>
      <c r="E6037" s="348"/>
      <c r="F6037" s="348"/>
      <c r="G6037" s="348"/>
      <c r="H6037" s="349"/>
      <c r="I6037" s="1567"/>
      <c r="J6037" s="1543"/>
      <c r="K6037" s="1543"/>
      <c r="L6037" s="1543"/>
      <c r="M6037" s="1543"/>
      <c r="N6037" s="1566"/>
    </row>
    <row r="6038" spans="1:14" ht="27" customHeight="1">
      <c r="A6038" s="1578" t="s">
        <v>2218</v>
      </c>
      <c r="B6038" s="1538"/>
      <c r="C6038" s="1538"/>
      <c r="D6038" s="1538"/>
      <c r="E6038" s="1538"/>
      <c r="F6038" s="1538"/>
      <c r="G6038" s="1538"/>
      <c r="H6038" s="271">
        <f>SUM(H6027:H6037)</f>
        <v>3815</v>
      </c>
      <c r="I6038" s="1567"/>
      <c r="J6038" s="1543"/>
      <c r="K6038" s="1543"/>
      <c r="L6038" s="1543"/>
      <c r="M6038" s="1543"/>
      <c r="N6038" s="1566"/>
    </row>
    <row r="6039" spans="1:14">
      <c r="A6039" s="1519" t="s">
        <v>2219</v>
      </c>
      <c r="B6039" s="1517"/>
      <c r="C6039" s="1517"/>
      <c r="D6039" s="1551"/>
      <c r="E6039" s="1551"/>
      <c r="F6039" s="1551"/>
      <c r="G6039" s="1552"/>
      <c r="H6039" s="325">
        <f>SUM(H6026:H6033)</f>
        <v>955.60000000000014</v>
      </c>
      <c r="I6039" s="1543"/>
      <c r="J6039" s="1543"/>
      <c r="K6039" s="1543"/>
      <c r="L6039" s="1543"/>
      <c r="M6039" s="1543"/>
      <c r="N6039" s="1566"/>
    </row>
    <row r="6040" spans="1:14" ht="15.75" thickBot="1">
      <c r="A6040" s="1520" t="s">
        <v>2220</v>
      </c>
      <c r="B6040" s="1521"/>
      <c r="C6040" s="1521"/>
      <c r="D6040" s="1521"/>
      <c r="E6040" s="1521"/>
      <c r="F6040" s="1521"/>
      <c r="G6040" s="1522"/>
      <c r="H6040" s="216">
        <f>H6038-H6039</f>
        <v>2859.3999999999996</v>
      </c>
      <c r="I6040" s="1568"/>
      <c r="J6040" s="1568"/>
      <c r="K6040" s="1568"/>
      <c r="L6040" s="1568"/>
      <c r="M6040" s="1568"/>
      <c r="N6040" s="1569"/>
    </row>
    <row r="6041" spans="1:14" ht="15.75" thickBot="1">
      <c r="A6041" s="898"/>
      <c r="B6041" s="898"/>
      <c r="C6041" s="898"/>
      <c r="D6041" s="970"/>
      <c r="E6041" s="1363"/>
      <c r="F6041" s="898"/>
      <c r="G6041" s="899"/>
      <c r="H6041" s="220"/>
      <c r="I6041" s="942"/>
      <c r="J6041" s="942"/>
      <c r="K6041" s="942"/>
      <c r="L6041" s="942"/>
      <c r="M6041" s="942"/>
      <c r="N6041" s="941"/>
    </row>
    <row r="6042" spans="1:14">
      <c r="A6042" s="1121">
        <v>150506</v>
      </c>
      <c r="B6042" s="1494" t="s">
        <v>1534</v>
      </c>
      <c r="C6042" s="1495"/>
      <c r="D6042" s="1495"/>
      <c r="E6042" s="1495"/>
      <c r="F6042" s="1495"/>
      <c r="G6042" s="1495"/>
      <c r="H6042" s="1495"/>
      <c r="I6042" s="1495"/>
      <c r="J6042" s="1496"/>
      <c r="K6042" s="196" t="s">
        <v>28</v>
      </c>
      <c r="L6042" s="1497">
        <f>'27ª MEDIÇÃO '!F421</f>
        <v>96</v>
      </c>
      <c r="M6042" s="1498"/>
      <c r="N6042" s="197">
        <f>L6042-H6049</f>
        <v>0</v>
      </c>
    </row>
    <row r="6043" spans="1:14">
      <c r="A6043" s="1554"/>
      <c r="B6043" s="1541"/>
      <c r="C6043" s="366"/>
      <c r="D6043" s="367" t="s">
        <v>2183</v>
      </c>
      <c r="E6043" s="1320" t="s">
        <v>2184</v>
      </c>
      <c r="F6043" s="367" t="s">
        <v>2185</v>
      </c>
      <c r="G6043" s="367" t="s">
        <v>2186</v>
      </c>
      <c r="H6043" s="1542" t="s">
        <v>476</v>
      </c>
      <c r="I6043" s="1543"/>
      <c r="J6043" s="1543"/>
      <c r="K6043" s="1543"/>
      <c r="L6043" s="1543"/>
      <c r="M6043" s="1543"/>
      <c r="N6043" s="1566"/>
    </row>
    <row r="6044" spans="1:14" ht="24">
      <c r="A6044" s="1554"/>
      <c r="B6044" s="1541"/>
      <c r="C6044" s="368" t="s">
        <v>2627</v>
      </c>
      <c r="D6044" s="369" t="s">
        <v>2187</v>
      </c>
      <c r="E6044" s="529" t="s">
        <v>3152</v>
      </c>
      <c r="F6044" s="369" t="s">
        <v>2649</v>
      </c>
      <c r="G6044" s="370" t="s">
        <v>2709</v>
      </c>
      <c r="H6044" s="1542"/>
      <c r="I6044" s="1543"/>
      <c r="J6044" s="1543"/>
      <c r="K6044" s="1543"/>
      <c r="L6044" s="1543"/>
      <c r="M6044" s="1543"/>
      <c r="N6044" s="1566"/>
    </row>
    <row r="6045" spans="1:14">
      <c r="A6045" s="1535" t="s">
        <v>3569</v>
      </c>
      <c r="B6045" s="876"/>
      <c r="C6045" s="317"/>
      <c r="D6045" s="287"/>
      <c r="E6045" s="531"/>
      <c r="F6045" s="287"/>
      <c r="G6045" s="431"/>
      <c r="H6045" s="349"/>
      <c r="I6045" s="1567"/>
      <c r="J6045" s="1543"/>
      <c r="K6045" s="1543"/>
      <c r="L6045" s="1543"/>
      <c r="M6045" s="1543"/>
      <c r="N6045" s="1566"/>
    </row>
    <row r="6046" spans="1:14">
      <c r="A6046" s="1529"/>
      <c r="B6046" s="876" t="s">
        <v>3534</v>
      </c>
      <c r="C6046" s="743">
        <v>96</v>
      </c>
      <c r="D6046" s="198"/>
      <c r="E6046" s="341">
        <v>0.6</v>
      </c>
      <c r="F6046" s="341"/>
      <c r="G6046" s="341"/>
      <c r="H6046" s="349">
        <f>E6046*C6046</f>
        <v>57.599999999999994</v>
      </c>
      <c r="I6046" s="1567"/>
      <c r="J6046" s="1543"/>
      <c r="K6046" s="1543"/>
      <c r="L6046" s="1543"/>
      <c r="M6046" s="1543"/>
      <c r="N6046" s="1566"/>
    </row>
    <row r="6047" spans="1:14" ht="21" customHeight="1">
      <c r="A6047" s="1136" t="s">
        <v>3892</v>
      </c>
      <c r="B6047" s="876" t="s">
        <v>3534</v>
      </c>
      <c r="C6047" s="743">
        <v>96</v>
      </c>
      <c r="D6047" s="199"/>
      <c r="E6047" s="351">
        <v>0.4</v>
      </c>
      <c r="F6047" s="351"/>
      <c r="G6047" s="351"/>
      <c r="H6047" s="349">
        <f>E6047*C6047</f>
        <v>38.400000000000006</v>
      </c>
      <c r="I6047" s="1567"/>
      <c r="J6047" s="1543"/>
      <c r="K6047" s="1543"/>
      <c r="L6047" s="1543"/>
      <c r="M6047" s="1543"/>
      <c r="N6047" s="1566"/>
    </row>
    <row r="6048" spans="1:14">
      <c r="A6048" s="1137"/>
      <c r="B6048" s="876"/>
      <c r="C6048" s="743"/>
      <c r="D6048" s="294"/>
      <c r="E6048" s="348"/>
      <c r="F6048" s="348"/>
      <c r="G6048" s="348"/>
      <c r="H6048" s="349"/>
      <c r="I6048" s="1567"/>
      <c r="J6048" s="1543"/>
      <c r="K6048" s="1543"/>
      <c r="L6048" s="1543"/>
      <c r="M6048" s="1543"/>
      <c r="N6048" s="1566"/>
    </row>
    <row r="6049" spans="1:14">
      <c r="A6049" s="1578" t="s">
        <v>2218</v>
      </c>
      <c r="B6049" s="1538"/>
      <c r="C6049" s="1538"/>
      <c r="D6049" s="1538"/>
      <c r="E6049" s="1538"/>
      <c r="F6049" s="1538"/>
      <c r="G6049" s="1538"/>
      <c r="H6049" s="271">
        <f>SUM(H6045:H6048)</f>
        <v>96</v>
      </c>
      <c r="I6049" s="1567"/>
      <c r="J6049" s="1543"/>
      <c r="K6049" s="1543"/>
      <c r="L6049" s="1543"/>
      <c r="M6049" s="1543"/>
      <c r="N6049" s="1566"/>
    </row>
    <row r="6050" spans="1:14">
      <c r="A6050" s="1519" t="s">
        <v>2219</v>
      </c>
      <c r="B6050" s="1517"/>
      <c r="C6050" s="1517"/>
      <c r="D6050" s="1551"/>
      <c r="E6050" s="1551"/>
      <c r="F6050" s="1551"/>
      <c r="G6050" s="1552"/>
      <c r="H6050" s="325">
        <f>SUM(H6045)</f>
        <v>0</v>
      </c>
      <c r="I6050" s="1543"/>
      <c r="J6050" s="1543"/>
      <c r="K6050" s="1543"/>
      <c r="L6050" s="1543"/>
      <c r="M6050" s="1543"/>
      <c r="N6050" s="1566"/>
    </row>
    <row r="6051" spans="1:14" ht="15.75" thickBot="1">
      <c r="A6051" s="1520" t="s">
        <v>2220</v>
      </c>
      <c r="B6051" s="1521"/>
      <c r="C6051" s="1521"/>
      <c r="D6051" s="1521"/>
      <c r="E6051" s="1521"/>
      <c r="F6051" s="1521"/>
      <c r="G6051" s="1522"/>
      <c r="H6051" s="216">
        <f>H6049-H6050</f>
        <v>96</v>
      </c>
      <c r="I6051" s="1568"/>
      <c r="J6051" s="1568"/>
      <c r="K6051" s="1568"/>
      <c r="L6051" s="1568"/>
      <c r="M6051" s="1568"/>
      <c r="N6051" s="1569"/>
    </row>
    <row r="6052" spans="1:14" ht="15.75" thickBot="1">
      <c r="A6052" s="898"/>
      <c r="B6052" s="898"/>
      <c r="C6052" s="898"/>
      <c r="D6052" s="970"/>
      <c r="E6052" s="1363"/>
      <c r="F6052" s="898"/>
      <c r="G6052" s="899"/>
      <c r="H6052" s="220"/>
      <c r="I6052" s="942"/>
      <c r="J6052" s="942"/>
      <c r="K6052" s="942"/>
      <c r="L6052" s="942"/>
      <c r="M6052" s="942"/>
      <c r="N6052" s="941"/>
    </row>
    <row r="6053" spans="1:14">
      <c r="A6053" s="1121">
        <v>150507</v>
      </c>
      <c r="B6053" s="1494" t="s">
        <v>1537</v>
      </c>
      <c r="C6053" s="1495"/>
      <c r="D6053" s="1495"/>
      <c r="E6053" s="1495"/>
      <c r="F6053" s="1495"/>
      <c r="G6053" s="1495"/>
      <c r="H6053" s="1495"/>
      <c r="I6053" s="1495"/>
      <c r="J6053" s="1496"/>
      <c r="K6053" s="196" t="s">
        <v>28</v>
      </c>
      <c r="L6053" s="1497">
        <f>'27ª MEDIÇÃO '!F422</f>
        <v>292</v>
      </c>
      <c r="M6053" s="1498"/>
      <c r="N6053" s="197">
        <f>L6053-H6072</f>
        <v>0</v>
      </c>
    </row>
    <row r="6054" spans="1:14">
      <c r="A6054" s="1554"/>
      <c r="B6054" s="1541"/>
      <c r="C6054" s="366"/>
      <c r="D6054" s="367" t="s">
        <v>2183</v>
      </c>
      <c r="E6054" s="1320" t="s">
        <v>2184</v>
      </c>
      <c r="F6054" s="367" t="s">
        <v>2185</v>
      </c>
      <c r="G6054" s="367" t="s">
        <v>2186</v>
      </c>
      <c r="H6054" s="1542" t="s">
        <v>476</v>
      </c>
      <c r="I6054" s="1543"/>
      <c r="J6054" s="1543"/>
      <c r="K6054" s="1543"/>
      <c r="L6054" s="1543"/>
      <c r="M6054" s="1543"/>
      <c r="N6054" s="1566"/>
    </row>
    <row r="6055" spans="1:14" ht="24">
      <c r="A6055" s="1554"/>
      <c r="B6055" s="1541"/>
      <c r="C6055" s="368" t="s">
        <v>2627</v>
      </c>
      <c r="D6055" s="369" t="s">
        <v>2187</v>
      </c>
      <c r="E6055" s="529" t="s">
        <v>3152</v>
      </c>
      <c r="F6055" s="369" t="s">
        <v>2649</v>
      </c>
      <c r="G6055" s="370" t="s">
        <v>2709</v>
      </c>
      <c r="H6055" s="1542"/>
      <c r="I6055" s="1543"/>
      <c r="J6055" s="1543"/>
      <c r="K6055" s="1543"/>
      <c r="L6055" s="1543"/>
      <c r="M6055" s="1543"/>
      <c r="N6055" s="1566"/>
    </row>
    <row r="6056" spans="1:14" ht="21" customHeight="1">
      <c r="A6056" s="1535" t="s">
        <v>3521</v>
      </c>
      <c r="B6056" s="876"/>
      <c r="C6056" s="317"/>
      <c r="D6056" s="287"/>
      <c r="E6056" s="531"/>
      <c r="F6056" s="287"/>
      <c r="G6056" s="431"/>
      <c r="H6056" s="349"/>
      <c r="I6056" s="1567"/>
      <c r="J6056" s="1543"/>
      <c r="K6056" s="1543"/>
      <c r="L6056" s="1543"/>
      <c r="M6056" s="1543"/>
      <c r="N6056" s="1566"/>
    </row>
    <row r="6057" spans="1:14">
      <c r="A6057" s="1529"/>
      <c r="B6057" s="876" t="s">
        <v>3534</v>
      </c>
      <c r="C6057" s="743">
        <v>180</v>
      </c>
      <c r="D6057" s="198"/>
      <c r="E6057" s="341"/>
      <c r="F6057" s="341"/>
      <c r="G6057" s="341"/>
      <c r="H6057" s="349">
        <f>E6057*C6057</f>
        <v>0</v>
      </c>
      <c r="I6057" s="1567"/>
      <c r="J6057" s="1543"/>
      <c r="K6057" s="1543"/>
      <c r="L6057" s="1543"/>
      <c r="M6057" s="1543"/>
      <c r="N6057" s="1566"/>
    </row>
    <row r="6058" spans="1:14">
      <c r="A6058" s="1529"/>
      <c r="B6058" s="876" t="s">
        <v>3198</v>
      </c>
      <c r="C6058" s="743">
        <v>112</v>
      </c>
      <c r="D6058" s="199"/>
      <c r="E6058" s="351">
        <v>0.3</v>
      </c>
      <c r="F6058" s="351"/>
      <c r="G6058" s="351"/>
      <c r="H6058" s="349">
        <f>E6058*C6058</f>
        <v>33.6</v>
      </c>
      <c r="I6058" s="1567"/>
      <c r="J6058" s="1543"/>
      <c r="K6058" s="1543"/>
      <c r="L6058" s="1543"/>
      <c r="M6058" s="1543"/>
      <c r="N6058" s="1566"/>
    </row>
    <row r="6059" spans="1:14">
      <c r="A6059" s="1545"/>
      <c r="B6059" s="876"/>
      <c r="C6059" s="743"/>
      <c r="D6059" s="294"/>
      <c r="E6059" s="348"/>
      <c r="F6059" s="348"/>
      <c r="G6059" s="348"/>
      <c r="H6059" s="349"/>
      <c r="I6059" s="1567"/>
      <c r="J6059" s="1543"/>
      <c r="K6059" s="1543"/>
      <c r="L6059" s="1543"/>
      <c r="M6059" s="1543"/>
      <c r="N6059" s="1566"/>
    </row>
    <row r="6060" spans="1:14">
      <c r="A6060" s="1535" t="s">
        <v>3569</v>
      </c>
      <c r="B6060" s="876"/>
      <c r="C6060" s="317"/>
      <c r="D6060" s="287"/>
      <c r="E6060" s="531"/>
      <c r="F6060" s="287"/>
      <c r="G6060" s="431"/>
      <c r="H6060" s="349"/>
      <c r="I6060" s="1567"/>
      <c r="J6060" s="1543"/>
      <c r="K6060" s="1543"/>
      <c r="L6060" s="1543"/>
      <c r="M6060" s="1543"/>
      <c r="N6060" s="1566"/>
    </row>
    <row r="6061" spans="1:14">
      <c r="A6061" s="1529"/>
      <c r="B6061" s="876" t="s">
        <v>3534</v>
      </c>
      <c r="C6061" s="743">
        <v>180</v>
      </c>
      <c r="D6061" s="198"/>
      <c r="E6061" s="341">
        <v>0.5</v>
      </c>
      <c r="F6061" s="341"/>
      <c r="G6061" s="341"/>
      <c r="H6061" s="349">
        <f>E6061*C6061</f>
        <v>90</v>
      </c>
      <c r="I6061" s="1567"/>
      <c r="J6061" s="1543"/>
      <c r="K6061" s="1543"/>
      <c r="L6061" s="1543"/>
      <c r="M6061" s="1543"/>
      <c r="N6061" s="1566"/>
    </row>
    <row r="6062" spans="1:14">
      <c r="A6062" s="1529"/>
      <c r="B6062" s="876" t="s">
        <v>3198</v>
      </c>
      <c r="C6062" s="743">
        <v>112</v>
      </c>
      <c r="D6062" s="199"/>
      <c r="E6062" s="351">
        <v>0.3</v>
      </c>
      <c r="F6062" s="351"/>
      <c r="G6062" s="351"/>
      <c r="H6062" s="349">
        <f>E6062*C6062</f>
        <v>33.6</v>
      </c>
      <c r="I6062" s="1567"/>
      <c r="J6062" s="1543"/>
      <c r="K6062" s="1543"/>
      <c r="L6062" s="1543"/>
      <c r="M6062" s="1543"/>
      <c r="N6062" s="1566"/>
    </row>
    <row r="6063" spans="1:14">
      <c r="A6063" s="1545"/>
      <c r="B6063" s="876"/>
      <c r="C6063" s="743"/>
      <c r="D6063" s="294"/>
      <c r="E6063" s="348"/>
      <c r="F6063" s="348"/>
      <c r="G6063" s="348"/>
      <c r="H6063" s="349"/>
      <c r="I6063" s="1567"/>
      <c r="J6063" s="1543"/>
      <c r="K6063" s="1543"/>
      <c r="L6063" s="1543"/>
      <c r="M6063" s="1543"/>
      <c r="N6063" s="1566"/>
    </row>
    <row r="6064" spans="1:14">
      <c r="A6064" s="1535" t="s">
        <v>3620</v>
      </c>
      <c r="B6064" s="876"/>
      <c r="C6064" s="317"/>
      <c r="D6064" s="287"/>
      <c r="E6064" s="531"/>
      <c r="F6064" s="287"/>
      <c r="G6064" s="431"/>
      <c r="H6064" s="349"/>
      <c r="I6064" s="1567"/>
      <c r="J6064" s="1543"/>
      <c r="K6064" s="1543"/>
      <c r="L6064" s="1543"/>
      <c r="M6064" s="1543"/>
      <c r="N6064" s="1566"/>
    </row>
    <row r="6065" spans="1:14" ht="21" customHeight="1">
      <c r="A6065" s="1529"/>
      <c r="B6065" s="876" t="s">
        <v>3534</v>
      </c>
      <c r="C6065" s="743">
        <v>180</v>
      </c>
      <c r="D6065" s="198"/>
      <c r="E6065" s="341">
        <v>0.1</v>
      </c>
      <c r="F6065" s="341"/>
      <c r="G6065" s="341"/>
      <c r="H6065" s="349">
        <f>E6065*C6065</f>
        <v>18</v>
      </c>
      <c r="I6065" s="1567"/>
      <c r="J6065" s="1543"/>
      <c r="K6065" s="1543"/>
      <c r="L6065" s="1543"/>
      <c r="M6065" s="1543"/>
      <c r="N6065" s="1566"/>
    </row>
    <row r="6066" spans="1:14">
      <c r="A6066" s="1529"/>
      <c r="B6066" s="876" t="s">
        <v>3198</v>
      </c>
      <c r="C6066" s="743">
        <v>112</v>
      </c>
      <c r="D6066" s="199"/>
      <c r="E6066" s="351">
        <v>0.4</v>
      </c>
      <c r="F6066" s="351"/>
      <c r="G6066" s="351"/>
      <c r="H6066" s="349">
        <f>E6066*C6066</f>
        <v>44.800000000000004</v>
      </c>
      <c r="I6066" s="1567"/>
      <c r="J6066" s="1543"/>
      <c r="K6066" s="1543"/>
      <c r="L6066" s="1543"/>
      <c r="M6066" s="1543"/>
      <c r="N6066" s="1566"/>
    </row>
    <row r="6067" spans="1:14">
      <c r="A6067" s="1545"/>
      <c r="B6067" s="876"/>
      <c r="C6067" s="743"/>
      <c r="D6067" s="294"/>
      <c r="E6067" s="348"/>
      <c r="F6067" s="348"/>
      <c r="G6067" s="348"/>
      <c r="H6067" s="349"/>
      <c r="I6067" s="1567"/>
      <c r="J6067" s="1543"/>
      <c r="K6067" s="1543"/>
      <c r="L6067" s="1543"/>
      <c r="M6067" s="1543"/>
      <c r="N6067" s="1566"/>
    </row>
    <row r="6068" spans="1:14">
      <c r="A6068" s="1535" t="s">
        <v>3892</v>
      </c>
      <c r="B6068" s="876"/>
      <c r="C6068" s="317"/>
      <c r="D6068" s="287"/>
      <c r="E6068" s="531"/>
      <c r="F6068" s="287"/>
      <c r="G6068" s="431"/>
      <c r="H6068" s="349"/>
      <c r="I6068" s="1567"/>
      <c r="J6068" s="1543"/>
      <c r="K6068" s="1543"/>
      <c r="L6068" s="1543"/>
      <c r="M6068" s="1543"/>
      <c r="N6068" s="1566"/>
    </row>
    <row r="6069" spans="1:14" ht="21" customHeight="1">
      <c r="A6069" s="1529"/>
      <c r="B6069" s="876" t="s">
        <v>3534</v>
      </c>
      <c r="C6069" s="743">
        <v>180</v>
      </c>
      <c r="D6069" s="198"/>
      <c r="E6069" s="341">
        <v>0.4</v>
      </c>
      <c r="F6069" s="341"/>
      <c r="G6069" s="341"/>
      <c r="H6069" s="349">
        <f>E6069*C6069</f>
        <v>72</v>
      </c>
      <c r="I6069" s="1567"/>
      <c r="J6069" s="1543"/>
      <c r="K6069" s="1543"/>
      <c r="L6069" s="1543"/>
      <c r="M6069" s="1543"/>
      <c r="N6069" s="1566"/>
    </row>
    <row r="6070" spans="1:14">
      <c r="A6070" s="1529"/>
      <c r="B6070" s="876" t="s">
        <v>3198</v>
      </c>
      <c r="C6070" s="743">
        <v>112</v>
      </c>
      <c r="D6070" s="199"/>
      <c r="E6070" s="351"/>
      <c r="F6070" s="351"/>
      <c r="G6070" s="351"/>
      <c r="H6070" s="349">
        <f>E6070*C6070</f>
        <v>0</v>
      </c>
      <c r="I6070" s="1567"/>
      <c r="J6070" s="1543"/>
      <c r="K6070" s="1543"/>
      <c r="L6070" s="1543"/>
      <c r="M6070" s="1543"/>
      <c r="N6070" s="1566"/>
    </row>
    <row r="6071" spans="1:14">
      <c r="A6071" s="1545"/>
      <c r="B6071" s="876"/>
      <c r="C6071" s="743"/>
      <c r="D6071" s="294"/>
      <c r="E6071" s="348"/>
      <c r="F6071" s="348"/>
      <c r="G6071" s="348"/>
      <c r="H6071" s="349"/>
      <c r="I6071" s="1567"/>
      <c r="J6071" s="1543"/>
      <c r="K6071" s="1543"/>
      <c r="L6071" s="1543"/>
      <c r="M6071" s="1543"/>
      <c r="N6071" s="1566"/>
    </row>
    <row r="6072" spans="1:14">
      <c r="A6072" s="1578" t="s">
        <v>2218</v>
      </c>
      <c r="B6072" s="1538"/>
      <c r="C6072" s="1538"/>
      <c r="D6072" s="1538"/>
      <c r="E6072" s="1538"/>
      <c r="F6072" s="1538"/>
      <c r="G6072" s="1538"/>
      <c r="H6072" s="271">
        <f>SUM(H6056:H6070)</f>
        <v>292</v>
      </c>
      <c r="I6072" s="1567"/>
      <c r="J6072" s="1543"/>
      <c r="K6072" s="1543"/>
      <c r="L6072" s="1543"/>
      <c r="M6072" s="1543"/>
      <c r="N6072" s="1566"/>
    </row>
    <row r="6073" spans="1:14">
      <c r="A6073" s="1519" t="s">
        <v>2219</v>
      </c>
      <c r="B6073" s="1517"/>
      <c r="C6073" s="1517"/>
      <c r="D6073" s="1551"/>
      <c r="E6073" s="1551"/>
      <c r="F6073" s="1551"/>
      <c r="G6073" s="1552"/>
      <c r="H6073" s="325">
        <f>SUM(H6056:H6067)</f>
        <v>220</v>
      </c>
      <c r="I6073" s="1543"/>
      <c r="J6073" s="1543"/>
      <c r="K6073" s="1543"/>
      <c r="L6073" s="1543"/>
      <c r="M6073" s="1543"/>
      <c r="N6073" s="1566"/>
    </row>
    <row r="6074" spans="1:14" ht="15.75" thickBot="1">
      <c r="A6074" s="1520" t="s">
        <v>2220</v>
      </c>
      <c r="B6074" s="1521"/>
      <c r="C6074" s="1521"/>
      <c r="D6074" s="1521"/>
      <c r="E6074" s="1521"/>
      <c r="F6074" s="1521"/>
      <c r="G6074" s="1522"/>
      <c r="H6074" s="216">
        <f>H6072-H6073</f>
        <v>72</v>
      </c>
      <c r="I6074" s="1568"/>
      <c r="J6074" s="1568"/>
      <c r="K6074" s="1568"/>
      <c r="L6074" s="1568"/>
      <c r="M6074" s="1568"/>
      <c r="N6074" s="1569"/>
    </row>
    <row r="6075" spans="1:14" ht="15.75" thickBot="1">
      <c r="A6075" s="898"/>
      <c r="B6075" s="898"/>
      <c r="C6075" s="898"/>
      <c r="D6075" s="970"/>
      <c r="E6075" s="1363"/>
      <c r="F6075" s="898"/>
      <c r="G6075" s="899"/>
      <c r="H6075" s="220"/>
      <c r="I6075" s="942"/>
      <c r="J6075" s="942"/>
      <c r="K6075" s="942"/>
      <c r="L6075" s="942"/>
      <c r="M6075" s="942"/>
      <c r="N6075" s="941"/>
    </row>
    <row r="6076" spans="1:14">
      <c r="A6076" s="1121">
        <v>150508</v>
      </c>
      <c r="B6076" s="1494" t="s">
        <v>1540</v>
      </c>
      <c r="C6076" s="1495"/>
      <c r="D6076" s="1495"/>
      <c r="E6076" s="1495"/>
      <c r="F6076" s="1495"/>
      <c r="G6076" s="1495"/>
      <c r="H6076" s="1495"/>
      <c r="I6076" s="1495"/>
      <c r="J6076" s="1496"/>
      <c r="K6076" s="196" t="s">
        <v>28</v>
      </c>
      <c r="L6076" s="1497">
        <f>'27ª MEDIÇÃO '!F423</f>
        <v>116</v>
      </c>
      <c r="M6076" s="1498"/>
      <c r="N6076" s="197">
        <f>L6076-H6088</f>
        <v>0</v>
      </c>
    </row>
    <row r="6077" spans="1:14">
      <c r="A6077" s="1554"/>
      <c r="B6077" s="1541"/>
      <c r="C6077" s="366"/>
      <c r="D6077" s="367" t="s">
        <v>2183</v>
      </c>
      <c r="E6077" s="1320" t="s">
        <v>2184</v>
      </c>
      <c r="F6077" s="367" t="s">
        <v>2185</v>
      </c>
      <c r="G6077" s="367" t="s">
        <v>2186</v>
      </c>
      <c r="H6077" s="1542" t="s">
        <v>476</v>
      </c>
      <c r="I6077" s="1543"/>
      <c r="J6077" s="1543"/>
      <c r="K6077" s="1543"/>
      <c r="L6077" s="1543"/>
      <c r="M6077" s="1543"/>
      <c r="N6077" s="1566"/>
    </row>
    <row r="6078" spans="1:14" ht="21" customHeight="1">
      <c r="A6078" s="1554"/>
      <c r="B6078" s="1541"/>
      <c r="C6078" s="368" t="s">
        <v>2627</v>
      </c>
      <c r="D6078" s="369" t="s">
        <v>2187</v>
      </c>
      <c r="E6078" s="529" t="s">
        <v>3152</v>
      </c>
      <c r="F6078" s="369" t="s">
        <v>2649</v>
      </c>
      <c r="G6078" s="370" t="s">
        <v>2709</v>
      </c>
      <c r="H6078" s="1542"/>
      <c r="I6078" s="1543"/>
      <c r="J6078" s="1543"/>
      <c r="K6078" s="1543"/>
      <c r="L6078" s="1543"/>
      <c r="M6078" s="1543"/>
      <c r="N6078" s="1566"/>
    </row>
    <row r="6079" spans="1:14">
      <c r="A6079" s="1535" t="s">
        <v>3521</v>
      </c>
      <c r="B6079" s="876"/>
      <c r="C6079" s="317"/>
      <c r="D6079" s="287"/>
      <c r="E6079" s="531"/>
      <c r="F6079" s="287"/>
      <c r="G6079" s="431"/>
      <c r="H6079" s="349"/>
      <c r="I6079" s="1567"/>
      <c r="J6079" s="1543"/>
      <c r="K6079" s="1543"/>
      <c r="L6079" s="1543"/>
      <c r="M6079" s="1543"/>
      <c r="N6079" s="1566"/>
    </row>
    <row r="6080" spans="1:14">
      <c r="A6080" s="1529"/>
      <c r="B6080" s="876" t="s">
        <v>3198</v>
      </c>
      <c r="C6080" s="743">
        <v>116</v>
      </c>
      <c r="D6080" s="199"/>
      <c r="E6080" s="351">
        <v>0.3</v>
      </c>
      <c r="F6080" s="351"/>
      <c r="G6080" s="351"/>
      <c r="H6080" s="349">
        <f>E6080*C6080</f>
        <v>34.799999999999997</v>
      </c>
      <c r="I6080" s="1567"/>
      <c r="J6080" s="1543"/>
      <c r="K6080" s="1543"/>
      <c r="L6080" s="1543"/>
      <c r="M6080" s="1543"/>
      <c r="N6080" s="1566"/>
    </row>
    <row r="6081" spans="1:14">
      <c r="A6081" s="1545"/>
      <c r="B6081" s="876"/>
      <c r="C6081" s="743"/>
      <c r="D6081" s="294"/>
      <c r="E6081" s="348"/>
      <c r="F6081" s="348"/>
      <c r="G6081" s="348"/>
      <c r="H6081" s="349"/>
      <c r="I6081" s="1567"/>
      <c r="J6081" s="1543"/>
      <c r="K6081" s="1543"/>
      <c r="L6081" s="1543"/>
      <c r="M6081" s="1543"/>
      <c r="N6081" s="1566"/>
    </row>
    <row r="6082" spans="1:14">
      <c r="A6082" s="1535" t="s">
        <v>3569</v>
      </c>
      <c r="B6082" s="876"/>
      <c r="C6082" s="317"/>
      <c r="D6082" s="287"/>
      <c r="E6082" s="531"/>
      <c r="F6082" s="287"/>
      <c r="G6082" s="431"/>
      <c r="H6082" s="349"/>
      <c r="I6082" s="1567"/>
      <c r="J6082" s="1543"/>
      <c r="K6082" s="1543"/>
      <c r="L6082" s="1543"/>
      <c r="M6082" s="1543"/>
      <c r="N6082" s="1566"/>
    </row>
    <row r="6083" spans="1:14">
      <c r="A6083" s="1529"/>
      <c r="B6083" s="876" t="s">
        <v>3198</v>
      </c>
      <c r="C6083" s="743">
        <v>116</v>
      </c>
      <c r="D6083" s="199"/>
      <c r="E6083" s="351">
        <v>0.3</v>
      </c>
      <c r="F6083" s="351"/>
      <c r="G6083" s="351"/>
      <c r="H6083" s="349">
        <f>E6083*C6083</f>
        <v>34.799999999999997</v>
      </c>
      <c r="I6083" s="1567"/>
      <c r="J6083" s="1543"/>
      <c r="K6083" s="1543"/>
      <c r="L6083" s="1543"/>
      <c r="M6083" s="1543"/>
      <c r="N6083" s="1566"/>
    </row>
    <row r="6084" spans="1:14">
      <c r="A6084" s="1545"/>
      <c r="B6084" s="876"/>
      <c r="C6084" s="743"/>
      <c r="D6084" s="294"/>
      <c r="E6084" s="348"/>
      <c r="F6084" s="348"/>
      <c r="G6084" s="348"/>
      <c r="H6084" s="349"/>
      <c r="I6084" s="1567"/>
      <c r="J6084" s="1543"/>
      <c r="K6084" s="1543"/>
      <c r="L6084" s="1543"/>
      <c r="M6084" s="1543"/>
      <c r="N6084" s="1566"/>
    </row>
    <row r="6085" spans="1:14">
      <c r="A6085" s="1535" t="s">
        <v>3620</v>
      </c>
      <c r="B6085" s="876"/>
      <c r="C6085" s="317"/>
      <c r="D6085" s="287"/>
      <c r="E6085" s="531"/>
      <c r="F6085" s="287"/>
      <c r="G6085" s="431"/>
      <c r="H6085" s="349"/>
      <c r="I6085" s="1567"/>
      <c r="J6085" s="1543"/>
      <c r="K6085" s="1543"/>
      <c r="L6085" s="1543"/>
      <c r="M6085" s="1543"/>
      <c r="N6085" s="1566"/>
    </row>
    <row r="6086" spans="1:14">
      <c r="A6086" s="1529"/>
      <c r="B6086" s="876" t="s">
        <v>3198</v>
      </c>
      <c r="C6086" s="743">
        <v>116</v>
      </c>
      <c r="D6086" s="199"/>
      <c r="E6086" s="351">
        <v>0.4</v>
      </c>
      <c r="F6086" s="351"/>
      <c r="G6086" s="351"/>
      <c r="H6086" s="349">
        <f>E6086*C6086</f>
        <v>46.400000000000006</v>
      </c>
      <c r="I6086" s="1567"/>
      <c r="J6086" s="1543"/>
      <c r="K6086" s="1543"/>
      <c r="L6086" s="1543"/>
      <c r="M6086" s="1543"/>
      <c r="N6086" s="1566"/>
    </row>
    <row r="6087" spans="1:14" ht="21" customHeight="1">
      <c r="A6087" s="1545"/>
      <c r="B6087" s="876"/>
      <c r="C6087" s="743"/>
      <c r="D6087" s="294"/>
      <c r="E6087" s="348"/>
      <c r="F6087" s="348"/>
      <c r="G6087" s="348"/>
      <c r="H6087" s="349"/>
      <c r="I6087" s="1567"/>
      <c r="J6087" s="1543"/>
      <c r="K6087" s="1543"/>
      <c r="L6087" s="1543"/>
      <c r="M6087" s="1543"/>
      <c r="N6087" s="1566"/>
    </row>
    <row r="6088" spans="1:14">
      <c r="A6088" s="1578" t="s">
        <v>2218</v>
      </c>
      <c r="B6088" s="1538"/>
      <c r="C6088" s="1538"/>
      <c r="D6088" s="1538"/>
      <c r="E6088" s="1538"/>
      <c r="F6088" s="1538"/>
      <c r="G6088" s="1538"/>
      <c r="H6088" s="271">
        <f>SUM(H6079:H6087)</f>
        <v>116</v>
      </c>
      <c r="I6088" s="1567"/>
      <c r="J6088" s="1543"/>
      <c r="K6088" s="1543"/>
      <c r="L6088" s="1543"/>
      <c r="M6088" s="1543"/>
      <c r="N6088" s="1566"/>
    </row>
    <row r="6089" spans="1:14">
      <c r="A6089" s="1519" t="s">
        <v>2219</v>
      </c>
      <c r="B6089" s="1517"/>
      <c r="C6089" s="1517"/>
      <c r="D6089" s="1551"/>
      <c r="E6089" s="1551"/>
      <c r="F6089" s="1551"/>
      <c r="G6089" s="1552"/>
      <c r="H6089" s="325">
        <f>SUM(H6079:H6084)</f>
        <v>69.599999999999994</v>
      </c>
      <c r="I6089" s="1543"/>
      <c r="J6089" s="1543"/>
      <c r="K6089" s="1543"/>
      <c r="L6089" s="1543"/>
      <c r="M6089" s="1543"/>
      <c r="N6089" s="1566"/>
    </row>
    <row r="6090" spans="1:14" ht="15.75" thickBot="1">
      <c r="A6090" s="1520" t="s">
        <v>2220</v>
      </c>
      <c r="B6090" s="1521"/>
      <c r="C6090" s="1521"/>
      <c r="D6090" s="1521"/>
      <c r="E6090" s="1521"/>
      <c r="F6090" s="1521"/>
      <c r="G6090" s="1522"/>
      <c r="H6090" s="216">
        <f>H6088-H6089</f>
        <v>46.400000000000006</v>
      </c>
      <c r="I6090" s="1568"/>
      <c r="J6090" s="1568"/>
      <c r="K6090" s="1568"/>
      <c r="L6090" s="1568"/>
      <c r="M6090" s="1568"/>
      <c r="N6090" s="1569"/>
    </row>
    <row r="6091" spans="1:14" ht="15.75" thickBot="1">
      <c r="A6091" s="898"/>
      <c r="B6091" s="898"/>
      <c r="C6091" s="898"/>
      <c r="D6091" s="970"/>
      <c r="E6091" s="1363"/>
      <c r="F6091" s="898"/>
      <c r="G6091" s="899"/>
      <c r="H6091" s="220"/>
      <c r="I6091" s="942"/>
      <c r="J6091" s="942"/>
      <c r="K6091" s="942"/>
      <c r="L6091" s="942"/>
      <c r="M6091" s="942"/>
      <c r="N6091" s="941"/>
    </row>
    <row r="6092" spans="1:14">
      <c r="A6092" s="1121">
        <v>150509</v>
      </c>
      <c r="B6092" s="1494" t="s">
        <v>1543</v>
      </c>
      <c r="C6092" s="1495"/>
      <c r="D6092" s="1495"/>
      <c r="E6092" s="1495"/>
      <c r="F6092" s="1495"/>
      <c r="G6092" s="1495"/>
      <c r="H6092" s="1495"/>
      <c r="I6092" s="1495"/>
      <c r="J6092" s="1496"/>
      <c r="K6092" s="196" t="s">
        <v>28</v>
      </c>
      <c r="L6092" s="1497">
        <f>'27ª MEDIÇÃO '!F424</f>
        <v>138</v>
      </c>
      <c r="M6092" s="1498"/>
      <c r="N6092" s="197">
        <f>L6092-H6099</f>
        <v>0</v>
      </c>
    </row>
    <row r="6093" spans="1:14">
      <c r="A6093" s="1554"/>
      <c r="B6093" s="1541"/>
      <c r="C6093" s="366"/>
      <c r="D6093" s="367" t="s">
        <v>2183</v>
      </c>
      <c r="E6093" s="1320" t="s">
        <v>2184</v>
      </c>
      <c r="F6093" s="367" t="s">
        <v>2185</v>
      </c>
      <c r="G6093" s="367" t="s">
        <v>2186</v>
      </c>
      <c r="H6093" s="1542" t="s">
        <v>476</v>
      </c>
      <c r="I6093" s="1543"/>
      <c r="J6093" s="1543"/>
      <c r="K6093" s="1543"/>
      <c r="L6093" s="1543"/>
      <c r="M6093" s="1543"/>
      <c r="N6093" s="1566"/>
    </row>
    <row r="6094" spans="1:14" ht="24">
      <c r="A6094" s="1554"/>
      <c r="B6094" s="1541"/>
      <c r="C6094" s="368" t="s">
        <v>2627</v>
      </c>
      <c r="D6094" s="369" t="s">
        <v>2187</v>
      </c>
      <c r="E6094" s="529" t="s">
        <v>3152</v>
      </c>
      <c r="F6094" s="369" t="s">
        <v>2649</v>
      </c>
      <c r="G6094" s="370" t="s">
        <v>2709</v>
      </c>
      <c r="H6094" s="1542"/>
      <c r="I6094" s="1543"/>
      <c r="J6094" s="1543"/>
      <c r="K6094" s="1543"/>
      <c r="L6094" s="1543"/>
      <c r="M6094" s="1543"/>
      <c r="N6094" s="1566"/>
    </row>
    <row r="6095" spans="1:14">
      <c r="A6095" s="1535" t="s">
        <v>3850</v>
      </c>
      <c r="B6095" s="876" t="s">
        <v>3199</v>
      </c>
      <c r="C6095" s="317">
        <v>1</v>
      </c>
      <c r="D6095" s="287"/>
      <c r="E6095" s="531"/>
      <c r="F6095" s="287"/>
      <c r="G6095" s="431"/>
      <c r="H6095" s="349">
        <f>C6095</f>
        <v>1</v>
      </c>
      <c r="I6095" s="1567"/>
      <c r="J6095" s="1543"/>
      <c r="K6095" s="1543"/>
      <c r="L6095" s="1543"/>
      <c r="M6095" s="1543"/>
      <c r="N6095" s="1566"/>
    </row>
    <row r="6096" spans="1:14" ht="21" customHeight="1">
      <c r="A6096" s="1529"/>
      <c r="B6096" s="876" t="s">
        <v>3197</v>
      </c>
      <c r="C6096" s="743">
        <v>88</v>
      </c>
      <c r="D6096" s="198"/>
      <c r="E6096" s="341"/>
      <c r="F6096" s="341"/>
      <c r="G6096" s="341"/>
      <c r="H6096" s="349">
        <f>C6096</f>
        <v>88</v>
      </c>
      <c r="I6096" s="1567"/>
      <c r="J6096" s="1543"/>
      <c r="K6096" s="1543"/>
      <c r="L6096" s="1543"/>
      <c r="M6096" s="1543"/>
      <c r="N6096" s="1566"/>
    </row>
    <row r="6097" spans="1:14">
      <c r="A6097" s="1529"/>
      <c r="B6097" s="876" t="s">
        <v>3198</v>
      </c>
      <c r="C6097" s="743">
        <v>49</v>
      </c>
      <c r="D6097" s="199"/>
      <c r="E6097" s="351"/>
      <c r="F6097" s="351"/>
      <c r="G6097" s="351"/>
      <c r="H6097" s="349">
        <f>C6097</f>
        <v>49</v>
      </c>
      <c r="I6097" s="1567"/>
      <c r="J6097" s="1543"/>
      <c r="K6097" s="1543"/>
      <c r="L6097" s="1543"/>
      <c r="M6097" s="1543"/>
      <c r="N6097" s="1566"/>
    </row>
    <row r="6098" spans="1:14">
      <c r="A6098" s="1545"/>
      <c r="B6098" s="876"/>
      <c r="C6098" s="743"/>
      <c r="D6098" s="294"/>
      <c r="E6098" s="348"/>
      <c r="F6098" s="348"/>
      <c r="G6098" s="348"/>
      <c r="H6098" s="349"/>
      <c r="I6098" s="1567"/>
      <c r="J6098" s="1543"/>
      <c r="K6098" s="1543"/>
      <c r="L6098" s="1543"/>
      <c r="M6098" s="1543"/>
      <c r="N6098" s="1566"/>
    </row>
    <row r="6099" spans="1:14">
      <c r="A6099" s="1578" t="s">
        <v>2218</v>
      </c>
      <c r="B6099" s="1538"/>
      <c r="C6099" s="1538"/>
      <c r="D6099" s="1538"/>
      <c r="E6099" s="1538"/>
      <c r="F6099" s="1538"/>
      <c r="G6099" s="1538"/>
      <c r="H6099" s="271">
        <f>SUM(H6095:H6098)</f>
        <v>138</v>
      </c>
      <c r="I6099" s="1567"/>
      <c r="J6099" s="1543"/>
      <c r="K6099" s="1543"/>
      <c r="L6099" s="1543"/>
      <c r="M6099" s="1543"/>
      <c r="N6099" s="1566"/>
    </row>
    <row r="6100" spans="1:14">
      <c r="A6100" s="1519" t="s">
        <v>2219</v>
      </c>
      <c r="B6100" s="1517"/>
      <c r="C6100" s="1517"/>
      <c r="D6100" s="1551"/>
      <c r="E6100" s="1551"/>
      <c r="F6100" s="1551"/>
      <c r="G6100" s="1552"/>
      <c r="H6100" s="325">
        <v>0</v>
      </c>
      <c r="I6100" s="1543"/>
      <c r="J6100" s="1543"/>
      <c r="K6100" s="1543"/>
      <c r="L6100" s="1543"/>
      <c r="M6100" s="1543"/>
      <c r="N6100" s="1566"/>
    </row>
    <row r="6101" spans="1:14" ht="15.75" thickBot="1">
      <c r="A6101" s="1520" t="s">
        <v>2220</v>
      </c>
      <c r="B6101" s="1521"/>
      <c r="C6101" s="1521"/>
      <c r="D6101" s="1521"/>
      <c r="E6101" s="1521"/>
      <c r="F6101" s="1521"/>
      <c r="G6101" s="1522"/>
      <c r="H6101" s="216">
        <f>H6099-H6100</f>
        <v>138</v>
      </c>
      <c r="I6101" s="1568"/>
      <c r="J6101" s="1568"/>
      <c r="K6101" s="1568"/>
      <c r="L6101" s="1568"/>
      <c r="M6101" s="1568"/>
      <c r="N6101" s="1569"/>
    </row>
    <row r="6102" spans="1:14" ht="15.75" thickBot="1">
      <c r="A6102" s="898"/>
      <c r="B6102" s="898"/>
      <c r="C6102" s="898"/>
      <c r="D6102" s="970"/>
      <c r="E6102" s="1363"/>
      <c r="F6102" s="898"/>
      <c r="G6102" s="899"/>
      <c r="H6102" s="220"/>
      <c r="I6102" s="942"/>
      <c r="J6102" s="942"/>
      <c r="K6102" s="942"/>
      <c r="L6102" s="942"/>
      <c r="M6102" s="942"/>
      <c r="N6102" s="941"/>
    </row>
    <row r="6103" spans="1:14">
      <c r="A6103" s="1121">
        <v>150510</v>
      </c>
      <c r="B6103" s="1494" t="s">
        <v>1546</v>
      </c>
      <c r="C6103" s="1495"/>
      <c r="D6103" s="1495"/>
      <c r="E6103" s="1495"/>
      <c r="F6103" s="1495"/>
      <c r="G6103" s="1495"/>
      <c r="H6103" s="1495"/>
      <c r="I6103" s="1495"/>
      <c r="J6103" s="1496"/>
      <c r="K6103" s="196" t="s">
        <v>28</v>
      </c>
      <c r="L6103" s="1497">
        <f>'27ª MEDIÇÃO '!F425</f>
        <v>20</v>
      </c>
      <c r="M6103" s="1498"/>
      <c r="N6103" s="197">
        <f>L6103-H6110</f>
        <v>0</v>
      </c>
    </row>
    <row r="6104" spans="1:14">
      <c r="A6104" s="1554"/>
      <c r="B6104" s="1541"/>
      <c r="C6104" s="366"/>
      <c r="D6104" s="367" t="s">
        <v>2183</v>
      </c>
      <c r="E6104" s="1320" t="s">
        <v>2184</v>
      </c>
      <c r="F6104" s="367" t="s">
        <v>2185</v>
      </c>
      <c r="G6104" s="367" t="s">
        <v>2186</v>
      </c>
      <c r="H6104" s="1542" t="s">
        <v>476</v>
      </c>
      <c r="I6104" s="1543"/>
      <c r="J6104" s="1543"/>
      <c r="K6104" s="1543"/>
      <c r="L6104" s="1543"/>
      <c r="M6104" s="1543"/>
      <c r="N6104" s="1566"/>
    </row>
    <row r="6105" spans="1:14" ht="21" customHeight="1">
      <c r="A6105" s="1554"/>
      <c r="B6105" s="1541"/>
      <c r="C6105" s="368" t="s">
        <v>2627</v>
      </c>
      <c r="D6105" s="369" t="s">
        <v>2187</v>
      </c>
      <c r="E6105" s="529" t="s">
        <v>3152</v>
      </c>
      <c r="F6105" s="369" t="s">
        <v>2649</v>
      </c>
      <c r="G6105" s="370" t="s">
        <v>2709</v>
      </c>
      <c r="H6105" s="1542"/>
      <c r="I6105" s="1543"/>
      <c r="J6105" s="1543"/>
      <c r="K6105" s="1543"/>
      <c r="L6105" s="1543"/>
      <c r="M6105" s="1543"/>
      <c r="N6105" s="1566"/>
    </row>
    <row r="6106" spans="1:14">
      <c r="A6106" s="1535" t="s">
        <v>3850</v>
      </c>
      <c r="B6106" s="876" t="s">
        <v>3199</v>
      </c>
      <c r="C6106" s="317">
        <v>13</v>
      </c>
      <c r="D6106" s="287"/>
      <c r="E6106" s="531"/>
      <c r="F6106" s="287"/>
      <c r="G6106" s="431"/>
      <c r="H6106" s="349">
        <f>C6106</f>
        <v>13</v>
      </c>
      <c r="I6106" s="1567"/>
      <c r="J6106" s="1543"/>
      <c r="K6106" s="1543"/>
      <c r="L6106" s="1543"/>
      <c r="M6106" s="1543"/>
      <c r="N6106" s="1566"/>
    </row>
    <row r="6107" spans="1:14">
      <c r="A6107" s="1529"/>
      <c r="B6107" s="876" t="s">
        <v>3197</v>
      </c>
      <c r="C6107" s="743">
        <v>5</v>
      </c>
      <c r="D6107" s="198"/>
      <c r="E6107" s="341"/>
      <c r="F6107" s="341"/>
      <c r="G6107" s="341"/>
      <c r="H6107" s="349">
        <f>C6107</f>
        <v>5</v>
      </c>
      <c r="I6107" s="1567"/>
      <c r="J6107" s="1543"/>
      <c r="K6107" s="1543"/>
      <c r="L6107" s="1543"/>
      <c r="M6107" s="1543"/>
      <c r="N6107" s="1566"/>
    </row>
    <row r="6108" spans="1:14">
      <c r="A6108" s="1529"/>
      <c r="B6108" s="876" t="s">
        <v>3198</v>
      </c>
      <c r="C6108" s="743">
        <v>2</v>
      </c>
      <c r="D6108" s="199"/>
      <c r="E6108" s="351"/>
      <c r="F6108" s="351"/>
      <c r="G6108" s="351"/>
      <c r="H6108" s="349">
        <f>C6108</f>
        <v>2</v>
      </c>
      <c r="I6108" s="1567"/>
      <c r="J6108" s="1543"/>
      <c r="K6108" s="1543"/>
      <c r="L6108" s="1543"/>
      <c r="M6108" s="1543"/>
      <c r="N6108" s="1566"/>
    </row>
    <row r="6109" spans="1:14">
      <c r="A6109" s="1545"/>
      <c r="B6109" s="876"/>
      <c r="C6109" s="743"/>
      <c r="D6109" s="294"/>
      <c r="E6109" s="348"/>
      <c r="F6109" s="348"/>
      <c r="G6109" s="348"/>
      <c r="H6109" s="349"/>
      <c r="I6109" s="1567"/>
      <c r="J6109" s="1543"/>
      <c r="K6109" s="1543"/>
      <c r="L6109" s="1543"/>
      <c r="M6109" s="1543"/>
      <c r="N6109" s="1566"/>
    </row>
    <row r="6110" spans="1:14">
      <c r="A6110" s="1578" t="s">
        <v>2218</v>
      </c>
      <c r="B6110" s="1538"/>
      <c r="C6110" s="1538"/>
      <c r="D6110" s="1538"/>
      <c r="E6110" s="1538"/>
      <c r="F6110" s="1538"/>
      <c r="G6110" s="1538"/>
      <c r="H6110" s="271">
        <f>SUM(H6106:H6109)</f>
        <v>20</v>
      </c>
      <c r="I6110" s="1567"/>
      <c r="J6110" s="1543"/>
      <c r="K6110" s="1543"/>
      <c r="L6110" s="1543"/>
      <c r="M6110" s="1543"/>
      <c r="N6110" s="1566"/>
    </row>
    <row r="6111" spans="1:14">
      <c r="A6111" s="1519" t="s">
        <v>2219</v>
      </c>
      <c r="B6111" s="1517"/>
      <c r="C6111" s="1517"/>
      <c r="D6111" s="1551"/>
      <c r="E6111" s="1551"/>
      <c r="F6111" s="1551"/>
      <c r="G6111" s="1552"/>
      <c r="H6111" s="325">
        <f>SUM(H6106)</f>
        <v>13</v>
      </c>
      <c r="I6111" s="1543"/>
      <c r="J6111" s="1543"/>
      <c r="K6111" s="1543"/>
      <c r="L6111" s="1543"/>
      <c r="M6111" s="1543"/>
      <c r="N6111" s="1566"/>
    </row>
    <row r="6112" spans="1:14" ht="15.75" thickBot="1">
      <c r="A6112" s="1520" t="s">
        <v>2220</v>
      </c>
      <c r="B6112" s="1521"/>
      <c r="C6112" s="1521"/>
      <c r="D6112" s="1521"/>
      <c r="E6112" s="1521"/>
      <c r="F6112" s="1521"/>
      <c r="G6112" s="1522"/>
      <c r="H6112" s="216">
        <f>H6110-H6111</f>
        <v>7</v>
      </c>
      <c r="I6112" s="1568"/>
      <c r="J6112" s="1568"/>
      <c r="K6112" s="1568"/>
      <c r="L6112" s="1568"/>
      <c r="M6112" s="1568"/>
      <c r="N6112" s="1569"/>
    </row>
    <row r="6113" spans="1:14" ht="15.75" thickBot="1">
      <c r="A6113" s="898"/>
      <c r="B6113" s="898"/>
      <c r="C6113" s="898"/>
      <c r="D6113" s="970"/>
      <c r="E6113" s="1363"/>
      <c r="F6113" s="898"/>
      <c r="G6113" s="899"/>
      <c r="H6113" s="220"/>
      <c r="I6113" s="942"/>
      <c r="J6113" s="942"/>
      <c r="K6113" s="942"/>
      <c r="L6113" s="942"/>
      <c r="M6113" s="942"/>
      <c r="N6113" s="941"/>
    </row>
    <row r="6114" spans="1:14" ht="21" customHeight="1">
      <c r="A6114" s="1121">
        <v>150511</v>
      </c>
      <c r="B6114" s="1494" t="s">
        <v>1549</v>
      </c>
      <c r="C6114" s="1495"/>
      <c r="D6114" s="1495"/>
      <c r="E6114" s="1495"/>
      <c r="F6114" s="1495"/>
      <c r="G6114" s="1495"/>
      <c r="H6114" s="1495"/>
      <c r="I6114" s="1495"/>
      <c r="J6114" s="1496"/>
      <c r="K6114" s="196" t="s">
        <v>28</v>
      </c>
      <c r="L6114" s="1497">
        <f>'27ª MEDIÇÃO '!F426</f>
        <v>240</v>
      </c>
      <c r="M6114" s="1498"/>
      <c r="N6114" s="197">
        <f>L6114-H6121</f>
        <v>0</v>
      </c>
    </row>
    <row r="6115" spans="1:14">
      <c r="A6115" s="1554"/>
      <c r="B6115" s="1541"/>
      <c r="C6115" s="366"/>
      <c r="D6115" s="367" t="s">
        <v>2183</v>
      </c>
      <c r="E6115" s="1320" t="s">
        <v>2184</v>
      </c>
      <c r="F6115" s="367" t="s">
        <v>2185</v>
      </c>
      <c r="G6115" s="367" t="s">
        <v>2186</v>
      </c>
      <c r="H6115" s="1542" t="s">
        <v>476</v>
      </c>
      <c r="I6115" s="1543"/>
      <c r="J6115" s="1543"/>
      <c r="K6115" s="1543"/>
      <c r="L6115" s="1543"/>
      <c r="M6115" s="1543"/>
      <c r="N6115" s="1566"/>
    </row>
    <row r="6116" spans="1:14" ht="24">
      <c r="A6116" s="1554"/>
      <c r="B6116" s="1541"/>
      <c r="C6116" s="368" t="s">
        <v>2627</v>
      </c>
      <c r="D6116" s="369" t="s">
        <v>2187</v>
      </c>
      <c r="E6116" s="529" t="s">
        <v>3152</v>
      </c>
      <c r="F6116" s="369" t="s">
        <v>2649</v>
      </c>
      <c r="G6116" s="370" t="s">
        <v>2709</v>
      </c>
      <c r="H6116" s="1542"/>
      <c r="I6116" s="1543"/>
      <c r="J6116" s="1543"/>
      <c r="K6116" s="1543"/>
      <c r="L6116" s="1543"/>
      <c r="M6116" s="1543"/>
      <c r="N6116" s="1566"/>
    </row>
    <row r="6117" spans="1:14">
      <c r="A6117" s="1194" t="s">
        <v>3569</v>
      </c>
      <c r="B6117" s="876" t="s">
        <v>3199</v>
      </c>
      <c r="C6117" s="317">
        <v>240</v>
      </c>
      <c r="D6117" s="287"/>
      <c r="E6117" s="531">
        <v>0.2</v>
      </c>
      <c r="F6117" s="287"/>
      <c r="G6117" s="431"/>
      <c r="H6117" s="349">
        <f>E6117*C6117</f>
        <v>48</v>
      </c>
      <c r="I6117" s="1567"/>
      <c r="J6117" s="1543"/>
      <c r="K6117" s="1543"/>
      <c r="L6117" s="1543"/>
      <c r="M6117" s="1543"/>
      <c r="N6117" s="1566"/>
    </row>
    <row r="6118" spans="1:14">
      <c r="A6118" s="1136" t="s">
        <v>3850</v>
      </c>
      <c r="B6118" s="876" t="s">
        <v>3199</v>
      </c>
      <c r="C6118" s="317">
        <v>240</v>
      </c>
      <c r="D6118" s="692"/>
      <c r="E6118" s="993">
        <v>0.5</v>
      </c>
      <c r="F6118" s="692"/>
      <c r="G6118" s="1199"/>
      <c r="H6118" s="349">
        <f>E6118*C6118</f>
        <v>120</v>
      </c>
      <c r="I6118" s="1567"/>
      <c r="J6118" s="1543"/>
      <c r="K6118" s="1543"/>
      <c r="L6118" s="1543"/>
      <c r="M6118" s="1543"/>
      <c r="N6118" s="1566"/>
    </row>
    <row r="6119" spans="1:14">
      <c r="A6119" s="1136" t="s">
        <v>3892</v>
      </c>
      <c r="B6119" s="876" t="s">
        <v>3199</v>
      </c>
      <c r="C6119" s="317">
        <v>240</v>
      </c>
      <c r="D6119" s="692"/>
      <c r="E6119" s="993">
        <v>0.3</v>
      </c>
      <c r="F6119" s="692"/>
      <c r="G6119" s="1199"/>
      <c r="H6119" s="349">
        <f>E6119*C6119</f>
        <v>72</v>
      </c>
      <c r="I6119" s="1567"/>
      <c r="J6119" s="1543"/>
      <c r="K6119" s="1543"/>
      <c r="L6119" s="1543"/>
      <c r="M6119" s="1543"/>
      <c r="N6119" s="1566"/>
    </row>
    <row r="6120" spans="1:14">
      <c r="A6120" s="1137"/>
      <c r="B6120" s="876"/>
      <c r="C6120" s="743"/>
      <c r="D6120" s="294"/>
      <c r="E6120" s="348"/>
      <c r="F6120" s="348"/>
      <c r="G6120" s="348"/>
      <c r="H6120" s="349"/>
      <c r="I6120" s="1567"/>
      <c r="J6120" s="1543"/>
      <c r="K6120" s="1543"/>
      <c r="L6120" s="1543"/>
      <c r="M6120" s="1543"/>
      <c r="N6120" s="1566"/>
    </row>
    <row r="6121" spans="1:14">
      <c r="A6121" s="1578" t="s">
        <v>2218</v>
      </c>
      <c r="B6121" s="1538"/>
      <c r="C6121" s="1538"/>
      <c r="D6121" s="1538"/>
      <c r="E6121" s="1538"/>
      <c r="F6121" s="1538"/>
      <c r="G6121" s="1538"/>
      <c r="H6121" s="271">
        <f>SUM(H6117:H6120)</f>
        <v>240</v>
      </c>
      <c r="I6121" s="1567"/>
      <c r="J6121" s="1543"/>
      <c r="K6121" s="1543"/>
      <c r="L6121" s="1543"/>
      <c r="M6121" s="1543"/>
      <c r="N6121" s="1566"/>
    </row>
    <row r="6122" spans="1:14">
      <c r="A6122" s="1519" t="s">
        <v>2219</v>
      </c>
      <c r="B6122" s="1517"/>
      <c r="C6122" s="1517"/>
      <c r="D6122" s="1551"/>
      <c r="E6122" s="1551"/>
      <c r="F6122" s="1551"/>
      <c r="G6122" s="1552"/>
      <c r="H6122" s="325">
        <f>H6117</f>
        <v>48</v>
      </c>
      <c r="I6122" s="1543"/>
      <c r="J6122" s="1543"/>
      <c r="K6122" s="1543"/>
      <c r="L6122" s="1543"/>
      <c r="M6122" s="1543"/>
      <c r="N6122" s="1566"/>
    </row>
    <row r="6123" spans="1:14" ht="21" customHeight="1" thickBot="1">
      <c r="A6123" s="1520" t="s">
        <v>2220</v>
      </c>
      <c r="B6123" s="1521"/>
      <c r="C6123" s="1521"/>
      <c r="D6123" s="1521"/>
      <c r="E6123" s="1521"/>
      <c r="F6123" s="1521"/>
      <c r="G6123" s="1522"/>
      <c r="H6123" s="216">
        <f>H6121-H6122</f>
        <v>192</v>
      </c>
      <c r="I6123" s="1568"/>
      <c r="J6123" s="1568"/>
      <c r="K6123" s="1568"/>
      <c r="L6123" s="1568"/>
      <c r="M6123" s="1568"/>
      <c r="N6123" s="1569"/>
    </row>
    <row r="6124" spans="1:14" ht="15.75" thickBot="1">
      <c r="A6124" s="898"/>
      <c r="B6124" s="898"/>
      <c r="C6124" s="898"/>
      <c r="D6124" s="970"/>
      <c r="E6124" s="1363"/>
      <c r="F6124" s="898"/>
      <c r="G6124" s="899"/>
      <c r="H6124" s="220"/>
      <c r="I6124" s="942"/>
      <c r="J6124" s="942"/>
      <c r="K6124" s="942"/>
      <c r="L6124" s="942"/>
      <c r="M6124" s="942"/>
      <c r="N6124" s="941"/>
    </row>
    <row r="6125" spans="1:14">
      <c r="A6125" s="1121">
        <v>150512</v>
      </c>
      <c r="B6125" s="1494" t="s">
        <v>1552</v>
      </c>
      <c r="C6125" s="1495"/>
      <c r="D6125" s="1495"/>
      <c r="E6125" s="1495"/>
      <c r="F6125" s="1495"/>
      <c r="G6125" s="1495"/>
      <c r="H6125" s="1495"/>
      <c r="I6125" s="1495"/>
      <c r="J6125" s="1496"/>
      <c r="K6125" s="196" t="s">
        <v>28</v>
      </c>
      <c r="L6125" s="1497">
        <f>'27ª MEDIÇÃO '!F427</f>
        <v>322</v>
      </c>
      <c r="M6125" s="1498"/>
      <c r="N6125" s="197">
        <f>L6125-H6131</f>
        <v>0</v>
      </c>
    </row>
    <row r="6126" spans="1:14">
      <c r="A6126" s="1554"/>
      <c r="B6126" s="1541"/>
      <c r="C6126" s="366"/>
      <c r="D6126" s="367" t="s">
        <v>2183</v>
      </c>
      <c r="E6126" s="1320" t="s">
        <v>2184</v>
      </c>
      <c r="F6126" s="367" t="s">
        <v>2185</v>
      </c>
      <c r="G6126" s="367" t="s">
        <v>2186</v>
      </c>
      <c r="H6126" s="1542" t="s">
        <v>476</v>
      </c>
      <c r="I6126" s="1543"/>
      <c r="J6126" s="1543"/>
      <c r="K6126" s="1543"/>
      <c r="L6126" s="1543"/>
      <c r="M6126" s="1543"/>
      <c r="N6126" s="1566"/>
    </row>
    <row r="6127" spans="1:14" ht="24">
      <c r="A6127" s="1554"/>
      <c r="B6127" s="1541"/>
      <c r="C6127" s="368" t="s">
        <v>2627</v>
      </c>
      <c r="D6127" s="369" t="s">
        <v>2187</v>
      </c>
      <c r="E6127" s="529" t="s">
        <v>3152</v>
      </c>
      <c r="F6127" s="369" t="s">
        <v>2649</v>
      </c>
      <c r="G6127" s="370" t="s">
        <v>2709</v>
      </c>
      <c r="H6127" s="1542"/>
      <c r="I6127" s="1543"/>
      <c r="J6127" s="1543"/>
      <c r="K6127" s="1543"/>
      <c r="L6127" s="1543"/>
      <c r="M6127" s="1543"/>
      <c r="N6127" s="1566"/>
    </row>
    <row r="6128" spans="1:14">
      <c r="A6128" s="1194" t="s">
        <v>3569</v>
      </c>
      <c r="B6128" s="876" t="s">
        <v>3199</v>
      </c>
      <c r="C6128" s="317">
        <v>322</v>
      </c>
      <c r="D6128" s="287"/>
      <c r="E6128" s="531">
        <v>0.2</v>
      </c>
      <c r="F6128" s="287"/>
      <c r="G6128" s="431"/>
      <c r="H6128" s="349">
        <f>E6128*C6128</f>
        <v>64.400000000000006</v>
      </c>
      <c r="I6128" s="1567"/>
      <c r="J6128" s="1543"/>
      <c r="K6128" s="1543"/>
      <c r="L6128" s="1543"/>
      <c r="M6128" s="1543"/>
      <c r="N6128" s="1566"/>
    </row>
    <row r="6129" spans="1:14">
      <c r="A6129" s="1136" t="s">
        <v>3850</v>
      </c>
      <c r="B6129" s="876" t="s">
        <v>3199</v>
      </c>
      <c r="C6129" s="317">
        <v>322</v>
      </c>
      <c r="D6129" s="692"/>
      <c r="E6129" s="993">
        <v>0.5</v>
      </c>
      <c r="F6129" s="692"/>
      <c r="G6129" s="1199"/>
      <c r="H6129" s="349">
        <f>E6129*C6129</f>
        <v>161</v>
      </c>
      <c r="I6129" s="1567"/>
      <c r="J6129" s="1543"/>
      <c r="K6129" s="1543"/>
      <c r="L6129" s="1543"/>
      <c r="M6129" s="1543"/>
      <c r="N6129" s="1566"/>
    </row>
    <row r="6130" spans="1:14">
      <c r="A6130" s="1136" t="s">
        <v>3892</v>
      </c>
      <c r="B6130" s="876" t="s">
        <v>3199</v>
      </c>
      <c r="C6130" s="317">
        <v>322</v>
      </c>
      <c r="D6130" s="692"/>
      <c r="E6130" s="993">
        <v>0.3</v>
      </c>
      <c r="F6130" s="692"/>
      <c r="G6130" s="1199"/>
      <c r="H6130" s="349">
        <f>E6130*C6130</f>
        <v>96.6</v>
      </c>
      <c r="I6130" s="1567"/>
      <c r="J6130" s="1543"/>
      <c r="K6130" s="1543"/>
      <c r="L6130" s="1543"/>
      <c r="M6130" s="1543"/>
      <c r="N6130" s="1566"/>
    </row>
    <row r="6131" spans="1:14">
      <c r="A6131" s="1578" t="s">
        <v>2218</v>
      </c>
      <c r="B6131" s="1538"/>
      <c r="C6131" s="1538"/>
      <c r="D6131" s="1538"/>
      <c r="E6131" s="1538"/>
      <c r="F6131" s="1538"/>
      <c r="G6131" s="1538"/>
      <c r="H6131" s="271">
        <f>SUM(H6128:H6130)</f>
        <v>322</v>
      </c>
      <c r="I6131" s="1567"/>
      <c r="J6131" s="1543"/>
      <c r="K6131" s="1543"/>
      <c r="L6131" s="1543"/>
      <c r="M6131" s="1543"/>
      <c r="N6131" s="1566"/>
    </row>
    <row r="6132" spans="1:14" ht="21" customHeight="1">
      <c r="A6132" s="1519" t="s">
        <v>2219</v>
      </c>
      <c r="B6132" s="1517"/>
      <c r="C6132" s="1517"/>
      <c r="D6132" s="1551"/>
      <c r="E6132" s="1551"/>
      <c r="F6132" s="1551"/>
      <c r="G6132" s="1552"/>
      <c r="H6132" s="325">
        <f>H6128</f>
        <v>64.400000000000006</v>
      </c>
      <c r="I6132" s="1543"/>
      <c r="J6132" s="1543"/>
      <c r="K6132" s="1543"/>
      <c r="L6132" s="1543"/>
      <c r="M6132" s="1543"/>
      <c r="N6132" s="1566"/>
    </row>
    <row r="6133" spans="1:14" ht="15.75" thickBot="1">
      <c r="A6133" s="1520" t="s">
        <v>2220</v>
      </c>
      <c r="B6133" s="1521"/>
      <c r="C6133" s="1521"/>
      <c r="D6133" s="1521"/>
      <c r="E6133" s="1521"/>
      <c r="F6133" s="1521"/>
      <c r="G6133" s="1522"/>
      <c r="H6133" s="216">
        <f>H6131-H6132</f>
        <v>257.60000000000002</v>
      </c>
      <c r="I6133" s="1568"/>
      <c r="J6133" s="1568"/>
      <c r="K6133" s="1568"/>
      <c r="L6133" s="1568"/>
      <c r="M6133" s="1568"/>
      <c r="N6133" s="1569"/>
    </row>
    <row r="6134" spans="1:14" ht="15.75" thickBot="1">
      <c r="A6134" s="898"/>
      <c r="B6134" s="898"/>
      <c r="C6134" s="898"/>
      <c r="D6134" s="970"/>
      <c r="E6134" s="1363"/>
      <c r="F6134" s="898"/>
      <c r="G6134" s="899"/>
      <c r="H6134" s="220"/>
      <c r="I6134" s="942"/>
      <c r="J6134" s="942"/>
      <c r="K6134" s="942"/>
      <c r="L6134" s="942"/>
      <c r="M6134" s="942"/>
      <c r="N6134" s="941"/>
    </row>
    <row r="6135" spans="1:14">
      <c r="A6135" s="1121">
        <v>150513</v>
      </c>
      <c r="B6135" s="1494" t="s">
        <v>337</v>
      </c>
      <c r="C6135" s="1495"/>
      <c r="D6135" s="1495"/>
      <c r="E6135" s="1495"/>
      <c r="F6135" s="1495"/>
      <c r="G6135" s="1495"/>
      <c r="H6135" s="1495"/>
      <c r="I6135" s="1495"/>
      <c r="J6135" s="1496"/>
      <c r="K6135" s="196" t="s">
        <v>28</v>
      </c>
      <c r="L6135" s="1497">
        <f>'27ª MEDIÇÃO '!F428</f>
        <v>2635</v>
      </c>
      <c r="M6135" s="1498"/>
      <c r="N6135" s="197">
        <f>L6135-H6158</f>
        <v>0</v>
      </c>
    </row>
    <row r="6136" spans="1:14">
      <c r="A6136" s="1554"/>
      <c r="B6136" s="1541"/>
      <c r="C6136" s="366"/>
      <c r="D6136" s="367" t="s">
        <v>2183</v>
      </c>
      <c r="E6136" s="1320" t="s">
        <v>2184</v>
      </c>
      <c r="F6136" s="367" t="s">
        <v>2185</v>
      </c>
      <c r="G6136" s="367" t="s">
        <v>2186</v>
      </c>
      <c r="H6136" s="1542" t="s">
        <v>476</v>
      </c>
      <c r="I6136" s="1543"/>
      <c r="J6136" s="1543"/>
      <c r="K6136" s="1543"/>
      <c r="L6136" s="1543"/>
      <c r="M6136" s="1543"/>
      <c r="N6136" s="1566"/>
    </row>
    <row r="6137" spans="1:14" ht="24">
      <c r="A6137" s="1554"/>
      <c r="B6137" s="1541"/>
      <c r="C6137" s="368" t="s">
        <v>2627</v>
      </c>
      <c r="D6137" s="369" t="s">
        <v>2187</v>
      </c>
      <c r="E6137" s="529" t="s">
        <v>3152</v>
      </c>
      <c r="F6137" s="369" t="s">
        <v>2649</v>
      </c>
      <c r="G6137" s="370" t="s">
        <v>2709</v>
      </c>
      <c r="H6137" s="1542"/>
      <c r="I6137" s="1543"/>
      <c r="J6137" s="1543"/>
      <c r="K6137" s="1543"/>
      <c r="L6137" s="1543"/>
      <c r="M6137" s="1543"/>
      <c r="N6137" s="1566"/>
    </row>
    <row r="6138" spans="1:14">
      <c r="A6138" s="1535" t="s">
        <v>3521</v>
      </c>
      <c r="B6138" s="876" t="s">
        <v>3199</v>
      </c>
      <c r="C6138" s="317">
        <v>1747</v>
      </c>
      <c r="D6138" s="287"/>
      <c r="E6138" s="531"/>
      <c r="F6138" s="287"/>
      <c r="G6138" s="431"/>
      <c r="H6138" s="349">
        <f>E6138*C6138</f>
        <v>0</v>
      </c>
      <c r="I6138" s="1567"/>
      <c r="J6138" s="1543"/>
      <c r="K6138" s="1543"/>
      <c r="L6138" s="1543"/>
      <c r="M6138" s="1543"/>
      <c r="N6138" s="1566"/>
    </row>
    <row r="6139" spans="1:14">
      <c r="A6139" s="1529"/>
      <c r="B6139" s="876" t="s">
        <v>3197</v>
      </c>
      <c r="C6139" s="743">
        <v>366</v>
      </c>
      <c r="D6139" s="198"/>
      <c r="E6139" s="341"/>
      <c r="F6139" s="341"/>
      <c r="G6139" s="341"/>
      <c r="H6139" s="349">
        <f>E6139*C6139</f>
        <v>0</v>
      </c>
      <c r="I6139" s="1567"/>
      <c r="J6139" s="1543"/>
      <c r="K6139" s="1543"/>
      <c r="L6139" s="1543"/>
      <c r="M6139" s="1543"/>
      <c r="N6139" s="1566"/>
    </row>
    <row r="6140" spans="1:14">
      <c r="A6140" s="1529"/>
      <c r="B6140" s="876" t="s">
        <v>3198</v>
      </c>
      <c r="C6140" s="743">
        <v>522</v>
      </c>
      <c r="D6140" s="199"/>
      <c r="E6140" s="351">
        <v>0.4</v>
      </c>
      <c r="F6140" s="351"/>
      <c r="G6140" s="351"/>
      <c r="H6140" s="349">
        <f>E6140*C6140</f>
        <v>208.8</v>
      </c>
      <c r="I6140" s="1567"/>
      <c r="J6140" s="1543"/>
      <c r="K6140" s="1543"/>
      <c r="L6140" s="1543"/>
      <c r="M6140" s="1543"/>
      <c r="N6140" s="1566"/>
    </row>
    <row r="6141" spans="1:14" ht="21" customHeight="1">
      <c r="A6141" s="1545"/>
      <c r="B6141" s="1007"/>
      <c r="C6141" s="1008"/>
      <c r="D6141" s="294"/>
      <c r="E6141" s="348"/>
      <c r="F6141" s="348"/>
      <c r="G6141" s="348"/>
      <c r="H6141" s="349"/>
      <c r="I6141" s="1567"/>
      <c r="J6141" s="1543"/>
      <c r="K6141" s="1543"/>
      <c r="L6141" s="1543"/>
      <c r="M6141" s="1543"/>
      <c r="N6141" s="1566"/>
    </row>
    <row r="6142" spans="1:14">
      <c r="A6142" s="1535" t="s">
        <v>3569</v>
      </c>
      <c r="B6142" s="1009" t="s">
        <v>3199</v>
      </c>
      <c r="C6142" s="1010">
        <v>1747</v>
      </c>
      <c r="D6142" s="287"/>
      <c r="E6142" s="531"/>
      <c r="F6142" s="287"/>
      <c r="G6142" s="431"/>
      <c r="H6142" s="349">
        <f>E6142*C6142</f>
        <v>0</v>
      </c>
      <c r="I6142" s="1567"/>
      <c r="J6142" s="1543"/>
      <c r="K6142" s="1543"/>
      <c r="L6142" s="1543"/>
      <c r="M6142" s="1543"/>
      <c r="N6142" s="1566"/>
    </row>
    <row r="6143" spans="1:14">
      <c r="A6143" s="1529"/>
      <c r="B6143" s="876" t="s">
        <v>3197</v>
      </c>
      <c r="C6143" s="743">
        <v>366</v>
      </c>
      <c r="D6143" s="198"/>
      <c r="E6143" s="341">
        <v>0.6</v>
      </c>
      <c r="F6143" s="341"/>
      <c r="G6143" s="341"/>
      <c r="H6143" s="349">
        <f>E6143*C6143</f>
        <v>219.6</v>
      </c>
      <c r="I6143" s="1567"/>
      <c r="J6143" s="1543"/>
      <c r="K6143" s="1543"/>
      <c r="L6143" s="1543"/>
      <c r="M6143" s="1543"/>
      <c r="N6143" s="1566"/>
    </row>
    <row r="6144" spans="1:14">
      <c r="A6144" s="1529"/>
      <c r="B6144" s="876" t="s">
        <v>3198</v>
      </c>
      <c r="C6144" s="743">
        <v>522</v>
      </c>
      <c r="D6144" s="199"/>
      <c r="E6144" s="351">
        <v>0.4</v>
      </c>
      <c r="F6144" s="351"/>
      <c r="G6144" s="351"/>
      <c r="H6144" s="349">
        <f>E6144*C6144</f>
        <v>208.8</v>
      </c>
      <c r="I6144" s="1567"/>
      <c r="J6144" s="1543"/>
      <c r="K6144" s="1543"/>
      <c r="L6144" s="1543"/>
      <c r="M6144" s="1543"/>
      <c r="N6144" s="1566"/>
    </row>
    <row r="6145" spans="1:14">
      <c r="A6145" s="1545"/>
      <c r="B6145" s="876"/>
      <c r="C6145" s="743"/>
      <c r="D6145" s="294"/>
      <c r="E6145" s="348"/>
      <c r="F6145" s="348"/>
      <c r="G6145" s="348"/>
      <c r="H6145" s="349"/>
      <c r="I6145" s="1567"/>
      <c r="J6145" s="1543"/>
      <c r="K6145" s="1543"/>
      <c r="L6145" s="1543"/>
      <c r="M6145" s="1543"/>
      <c r="N6145" s="1566"/>
    </row>
    <row r="6146" spans="1:14">
      <c r="A6146" s="1535" t="s">
        <v>3620</v>
      </c>
      <c r="B6146" s="1009" t="s">
        <v>3199</v>
      </c>
      <c r="C6146" s="1010">
        <v>1747</v>
      </c>
      <c r="D6146" s="287"/>
      <c r="E6146" s="531">
        <v>0.2</v>
      </c>
      <c r="F6146" s="287"/>
      <c r="G6146" s="431"/>
      <c r="H6146" s="349">
        <f>E6146*C6146</f>
        <v>349.40000000000003</v>
      </c>
      <c r="I6146" s="1567"/>
      <c r="J6146" s="1543"/>
      <c r="K6146" s="1543"/>
      <c r="L6146" s="1543"/>
      <c r="M6146" s="1543"/>
      <c r="N6146" s="1566"/>
    </row>
    <row r="6147" spans="1:14">
      <c r="A6147" s="1529"/>
      <c r="B6147" s="876" t="s">
        <v>3197</v>
      </c>
      <c r="C6147" s="743">
        <v>366</v>
      </c>
      <c r="D6147" s="198"/>
      <c r="E6147" s="341">
        <v>0.2</v>
      </c>
      <c r="F6147" s="341"/>
      <c r="G6147" s="341"/>
      <c r="H6147" s="349">
        <f>E6147*C6147</f>
        <v>73.2</v>
      </c>
      <c r="I6147" s="1567"/>
      <c r="J6147" s="1543"/>
      <c r="K6147" s="1543"/>
      <c r="L6147" s="1543"/>
      <c r="M6147" s="1543"/>
      <c r="N6147" s="1566"/>
    </row>
    <row r="6148" spans="1:14">
      <c r="A6148" s="1529"/>
      <c r="B6148" s="876" t="s">
        <v>3198</v>
      </c>
      <c r="C6148" s="743">
        <v>522</v>
      </c>
      <c r="D6148" s="199"/>
      <c r="E6148" s="351">
        <v>0.2</v>
      </c>
      <c r="F6148" s="351"/>
      <c r="G6148" s="351"/>
      <c r="H6148" s="349">
        <f>E6148*C6148</f>
        <v>104.4</v>
      </c>
      <c r="I6148" s="1567"/>
      <c r="J6148" s="1543"/>
      <c r="K6148" s="1543"/>
      <c r="L6148" s="1543"/>
      <c r="M6148" s="1543"/>
      <c r="N6148" s="1566"/>
    </row>
    <row r="6149" spans="1:14">
      <c r="A6149" s="1545"/>
      <c r="B6149" s="876"/>
      <c r="C6149" s="743"/>
      <c r="D6149" s="294"/>
      <c r="E6149" s="348"/>
      <c r="F6149" s="348"/>
      <c r="G6149" s="348"/>
      <c r="H6149" s="349"/>
      <c r="I6149" s="1567"/>
      <c r="J6149" s="1543"/>
      <c r="K6149" s="1543"/>
      <c r="L6149" s="1543"/>
      <c r="M6149" s="1543"/>
      <c r="N6149" s="1566"/>
    </row>
    <row r="6150" spans="1:14" ht="21" customHeight="1">
      <c r="A6150" s="1535" t="s">
        <v>3850</v>
      </c>
      <c r="B6150" s="1009" t="s">
        <v>3199</v>
      </c>
      <c r="C6150" s="1010">
        <v>1747</v>
      </c>
      <c r="D6150" s="287"/>
      <c r="E6150" s="531">
        <v>0.6</v>
      </c>
      <c r="F6150" s="287"/>
      <c r="G6150" s="431"/>
      <c r="H6150" s="349">
        <f>E6150*C6150</f>
        <v>1048.2</v>
      </c>
      <c r="I6150" s="1567"/>
      <c r="J6150" s="1543"/>
      <c r="K6150" s="1543"/>
      <c r="L6150" s="1543"/>
      <c r="M6150" s="1543"/>
      <c r="N6150" s="1566"/>
    </row>
    <row r="6151" spans="1:14">
      <c r="A6151" s="1529"/>
      <c r="B6151" s="876" t="s">
        <v>3197</v>
      </c>
      <c r="C6151" s="743">
        <v>366</v>
      </c>
      <c r="D6151" s="198"/>
      <c r="E6151" s="341">
        <v>0.2</v>
      </c>
      <c r="F6151" s="341"/>
      <c r="G6151" s="341"/>
      <c r="H6151" s="349">
        <f>E6151*C6151</f>
        <v>73.2</v>
      </c>
      <c r="I6151" s="1567"/>
      <c r="J6151" s="1543"/>
      <c r="K6151" s="1543"/>
      <c r="L6151" s="1543"/>
      <c r="M6151" s="1543"/>
      <c r="N6151" s="1566"/>
    </row>
    <row r="6152" spans="1:14">
      <c r="A6152" s="1529"/>
      <c r="B6152" s="876" t="s">
        <v>3198</v>
      </c>
      <c r="C6152" s="743">
        <v>522</v>
      </c>
      <c r="D6152" s="199"/>
      <c r="E6152" s="351"/>
      <c r="F6152" s="351"/>
      <c r="G6152" s="351"/>
      <c r="H6152" s="349">
        <f>E6152*C6152</f>
        <v>0</v>
      </c>
      <c r="I6152" s="1567"/>
      <c r="J6152" s="1543"/>
      <c r="K6152" s="1543"/>
      <c r="L6152" s="1543"/>
      <c r="M6152" s="1543"/>
      <c r="N6152" s="1566"/>
    </row>
    <row r="6153" spans="1:14">
      <c r="A6153" s="1545"/>
      <c r="B6153" s="876"/>
      <c r="C6153" s="743"/>
      <c r="D6153" s="294"/>
      <c r="E6153" s="348"/>
      <c r="F6153" s="348"/>
      <c r="G6153" s="348"/>
      <c r="H6153" s="349"/>
      <c r="I6153" s="1567"/>
      <c r="J6153" s="1543"/>
      <c r="K6153" s="1543"/>
      <c r="L6153" s="1543"/>
      <c r="M6153" s="1543"/>
      <c r="N6153" s="1566"/>
    </row>
    <row r="6154" spans="1:14" ht="21" customHeight="1">
      <c r="A6154" s="1535" t="s">
        <v>3892</v>
      </c>
      <c r="B6154" s="1009" t="s">
        <v>3199</v>
      </c>
      <c r="C6154" s="1010">
        <v>1747</v>
      </c>
      <c r="D6154" s="287"/>
      <c r="E6154" s="531">
        <v>0.2</v>
      </c>
      <c r="F6154" s="287"/>
      <c r="G6154" s="431"/>
      <c r="H6154" s="349">
        <f>E6154*C6154</f>
        <v>349.40000000000003</v>
      </c>
      <c r="I6154" s="1567"/>
      <c r="J6154" s="1543"/>
      <c r="K6154" s="1543"/>
      <c r="L6154" s="1543"/>
      <c r="M6154" s="1543"/>
      <c r="N6154" s="1566"/>
    </row>
    <row r="6155" spans="1:14">
      <c r="A6155" s="1529"/>
      <c r="B6155" s="876" t="s">
        <v>3197</v>
      </c>
      <c r="C6155" s="743">
        <v>366</v>
      </c>
      <c r="D6155" s="198"/>
      <c r="E6155" s="341"/>
      <c r="F6155" s="341"/>
      <c r="G6155" s="341"/>
      <c r="H6155" s="349">
        <f>E6155*C6155</f>
        <v>0</v>
      </c>
      <c r="I6155" s="1567"/>
      <c r="J6155" s="1543"/>
      <c r="K6155" s="1543"/>
      <c r="L6155" s="1543"/>
      <c r="M6155" s="1543"/>
      <c r="N6155" s="1566"/>
    </row>
    <row r="6156" spans="1:14">
      <c r="A6156" s="1529"/>
      <c r="B6156" s="876" t="s">
        <v>3198</v>
      </c>
      <c r="C6156" s="743">
        <v>522</v>
      </c>
      <c r="D6156" s="199"/>
      <c r="E6156" s="351"/>
      <c r="F6156" s="351"/>
      <c r="G6156" s="351"/>
      <c r="H6156" s="349">
        <f>E6156*C6156</f>
        <v>0</v>
      </c>
      <c r="I6156" s="1567"/>
      <c r="J6156" s="1543"/>
      <c r="K6156" s="1543"/>
      <c r="L6156" s="1543"/>
      <c r="M6156" s="1543"/>
      <c r="N6156" s="1566"/>
    </row>
    <row r="6157" spans="1:14">
      <c r="A6157" s="1545"/>
      <c r="B6157" s="876"/>
      <c r="C6157" s="743"/>
      <c r="D6157" s="294"/>
      <c r="E6157" s="348"/>
      <c r="F6157" s="348"/>
      <c r="G6157" s="348"/>
      <c r="H6157" s="349"/>
      <c r="I6157" s="1567"/>
      <c r="J6157" s="1543"/>
      <c r="K6157" s="1543"/>
      <c r="L6157" s="1543"/>
      <c r="M6157" s="1543"/>
      <c r="N6157" s="1566"/>
    </row>
    <row r="6158" spans="1:14">
      <c r="A6158" s="1578" t="s">
        <v>2218</v>
      </c>
      <c r="B6158" s="1538"/>
      <c r="C6158" s="1538"/>
      <c r="D6158" s="1538"/>
      <c r="E6158" s="1538"/>
      <c r="F6158" s="1538"/>
      <c r="G6158" s="1538"/>
      <c r="H6158" s="271">
        <f>SUM(H6138:H6156)</f>
        <v>2635.0000000000005</v>
      </c>
      <c r="I6158" s="1567"/>
      <c r="J6158" s="1543"/>
      <c r="K6158" s="1543"/>
      <c r="L6158" s="1543"/>
      <c r="M6158" s="1543"/>
      <c r="N6158" s="1566"/>
    </row>
    <row r="6159" spans="1:14">
      <c r="A6159" s="1519" t="s">
        <v>2219</v>
      </c>
      <c r="B6159" s="1517"/>
      <c r="C6159" s="1517"/>
      <c r="D6159" s="1551"/>
      <c r="E6159" s="1551"/>
      <c r="F6159" s="1551"/>
      <c r="G6159" s="1552"/>
      <c r="H6159" s="325">
        <f>SUM(H6138:H6153)</f>
        <v>2285.6000000000004</v>
      </c>
      <c r="I6159" s="1543"/>
      <c r="J6159" s="1543"/>
      <c r="K6159" s="1543"/>
      <c r="L6159" s="1543"/>
      <c r="M6159" s="1543"/>
      <c r="N6159" s="1566"/>
    </row>
    <row r="6160" spans="1:14" ht="15.75" thickBot="1">
      <c r="A6160" s="1520" t="s">
        <v>2220</v>
      </c>
      <c r="B6160" s="1521"/>
      <c r="C6160" s="1521"/>
      <c r="D6160" s="1521"/>
      <c r="E6160" s="1521"/>
      <c r="F6160" s="1521"/>
      <c r="G6160" s="1522"/>
      <c r="H6160" s="216">
        <f>H6158-H6159</f>
        <v>349.40000000000009</v>
      </c>
      <c r="I6160" s="1568"/>
      <c r="J6160" s="1568"/>
      <c r="K6160" s="1568"/>
      <c r="L6160" s="1568"/>
      <c r="M6160" s="1568"/>
      <c r="N6160" s="1569"/>
    </row>
    <row r="6161" spans="1:14" ht="15.75" thickBot="1">
      <c r="A6161" s="898"/>
      <c r="B6161" s="898"/>
      <c r="C6161" s="898"/>
      <c r="D6161" s="970"/>
      <c r="E6161" s="1363"/>
      <c r="F6161" s="898"/>
      <c r="G6161" s="899"/>
      <c r="H6161" s="220"/>
      <c r="I6161" s="942"/>
      <c r="J6161" s="942"/>
      <c r="K6161" s="942"/>
      <c r="L6161" s="942"/>
      <c r="M6161" s="942"/>
      <c r="N6161" s="941"/>
    </row>
    <row r="6162" spans="1:14">
      <c r="A6162" s="1121">
        <v>150514</v>
      </c>
      <c r="B6162" s="1494" t="s">
        <v>340</v>
      </c>
      <c r="C6162" s="1495"/>
      <c r="D6162" s="1495"/>
      <c r="E6162" s="1495"/>
      <c r="F6162" s="1495"/>
      <c r="G6162" s="1495"/>
      <c r="H6162" s="1495"/>
      <c r="I6162" s="1495"/>
      <c r="J6162" s="1496"/>
      <c r="K6162" s="196" t="s">
        <v>28</v>
      </c>
      <c r="L6162" s="1497">
        <f>'27ª MEDIÇÃO '!F429</f>
        <v>161</v>
      </c>
      <c r="M6162" s="1498"/>
      <c r="N6162" s="197">
        <f>L6162-H6169</f>
        <v>0</v>
      </c>
    </row>
    <row r="6163" spans="1:14" ht="21" customHeight="1">
      <c r="A6163" s="1554"/>
      <c r="B6163" s="1541"/>
      <c r="C6163" s="366"/>
      <c r="D6163" s="367" t="s">
        <v>2183</v>
      </c>
      <c r="E6163" s="1320" t="s">
        <v>2184</v>
      </c>
      <c r="F6163" s="367" t="s">
        <v>2185</v>
      </c>
      <c r="G6163" s="367" t="s">
        <v>2186</v>
      </c>
      <c r="H6163" s="1542" t="s">
        <v>476</v>
      </c>
      <c r="I6163" s="1543"/>
      <c r="J6163" s="1543"/>
      <c r="K6163" s="1543"/>
      <c r="L6163" s="1543"/>
      <c r="M6163" s="1543"/>
      <c r="N6163" s="1566"/>
    </row>
    <row r="6164" spans="1:14" ht="24">
      <c r="A6164" s="1554"/>
      <c r="B6164" s="1541"/>
      <c r="C6164" s="368" t="s">
        <v>2627</v>
      </c>
      <c r="D6164" s="369" t="s">
        <v>2187</v>
      </c>
      <c r="E6164" s="529" t="s">
        <v>3152</v>
      </c>
      <c r="F6164" s="369" t="s">
        <v>2649</v>
      </c>
      <c r="G6164" s="370" t="s">
        <v>2709</v>
      </c>
      <c r="H6164" s="1542"/>
      <c r="I6164" s="1543"/>
      <c r="J6164" s="1543"/>
      <c r="K6164" s="1543"/>
      <c r="L6164" s="1543"/>
      <c r="M6164" s="1543"/>
      <c r="N6164" s="1566"/>
    </row>
    <row r="6165" spans="1:14">
      <c r="A6165" s="1535" t="s">
        <v>3569</v>
      </c>
      <c r="B6165" s="876" t="s">
        <v>3199</v>
      </c>
      <c r="C6165" s="317">
        <v>161</v>
      </c>
      <c r="D6165" s="287"/>
      <c r="E6165" s="531">
        <v>0.2</v>
      </c>
      <c r="F6165" s="287"/>
      <c r="G6165" s="431"/>
      <c r="H6165" s="349">
        <f>E6165*C6165</f>
        <v>32.200000000000003</v>
      </c>
      <c r="I6165" s="1567"/>
      <c r="J6165" s="1543"/>
      <c r="K6165" s="1543"/>
      <c r="L6165" s="1543"/>
      <c r="M6165" s="1543"/>
      <c r="N6165" s="1566"/>
    </row>
    <row r="6166" spans="1:14">
      <c r="A6166" s="1545"/>
      <c r="B6166" s="876"/>
      <c r="C6166" s="743"/>
      <c r="D6166" s="294"/>
      <c r="E6166" s="348"/>
      <c r="F6166" s="348"/>
      <c r="G6166" s="348"/>
      <c r="H6166" s="349"/>
      <c r="I6166" s="1567"/>
      <c r="J6166" s="1543"/>
      <c r="K6166" s="1543"/>
      <c r="L6166" s="1543"/>
      <c r="M6166" s="1543"/>
      <c r="N6166" s="1566"/>
    </row>
    <row r="6167" spans="1:14">
      <c r="A6167" s="1535" t="s">
        <v>3892</v>
      </c>
      <c r="B6167" s="876" t="s">
        <v>3199</v>
      </c>
      <c r="C6167" s="317">
        <v>161</v>
      </c>
      <c r="D6167" s="287"/>
      <c r="E6167" s="531">
        <v>0.8</v>
      </c>
      <c r="F6167" s="287"/>
      <c r="G6167" s="431"/>
      <c r="H6167" s="349">
        <f>E6167*C6167</f>
        <v>128.80000000000001</v>
      </c>
      <c r="I6167" s="1567"/>
      <c r="J6167" s="1543"/>
      <c r="K6167" s="1543"/>
      <c r="L6167" s="1543"/>
      <c r="M6167" s="1543"/>
      <c r="N6167" s="1566"/>
    </row>
    <row r="6168" spans="1:14">
      <c r="A6168" s="1545"/>
      <c r="B6168" s="876"/>
      <c r="C6168" s="743"/>
      <c r="D6168" s="294"/>
      <c r="E6168" s="348"/>
      <c r="F6168" s="348"/>
      <c r="G6168" s="348"/>
      <c r="H6168" s="349"/>
      <c r="I6168" s="1567"/>
      <c r="J6168" s="1543"/>
      <c r="K6168" s="1543"/>
      <c r="L6168" s="1543"/>
      <c r="M6168" s="1543"/>
      <c r="N6168" s="1566"/>
    </row>
    <row r="6169" spans="1:14">
      <c r="A6169" s="1578" t="s">
        <v>2218</v>
      </c>
      <c r="B6169" s="1538"/>
      <c r="C6169" s="1538"/>
      <c r="D6169" s="1538"/>
      <c r="E6169" s="1538"/>
      <c r="F6169" s="1538"/>
      <c r="G6169" s="1538"/>
      <c r="H6169" s="271">
        <f>SUM(H6165:H6168)</f>
        <v>161</v>
      </c>
      <c r="I6169" s="1567"/>
      <c r="J6169" s="1543"/>
      <c r="K6169" s="1543"/>
      <c r="L6169" s="1543"/>
      <c r="M6169" s="1543"/>
      <c r="N6169" s="1566"/>
    </row>
    <row r="6170" spans="1:14">
      <c r="A6170" s="1519" t="s">
        <v>2219</v>
      </c>
      <c r="B6170" s="1517"/>
      <c r="C6170" s="1517"/>
      <c r="D6170" s="1551"/>
      <c r="E6170" s="1551"/>
      <c r="F6170" s="1551"/>
      <c r="G6170" s="1552"/>
      <c r="H6170" s="325">
        <f>SUM(H6165:H6166)</f>
        <v>32.200000000000003</v>
      </c>
      <c r="I6170" s="1543"/>
      <c r="J6170" s="1543"/>
      <c r="K6170" s="1543"/>
      <c r="L6170" s="1543"/>
      <c r="M6170" s="1543"/>
      <c r="N6170" s="1566"/>
    </row>
    <row r="6171" spans="1:14" ht="15.75" thickBot="1">
      <c r="A6171" s="1520" t="s">
        <v>2220</v>
      </c>
      <c r="B6171" s="1521"/>
      <c r="C6171" s="1521"/>
      <c r="D6171" s="1521"/>
      <c r="E6171" s="1521"/>
      <c r="F6171" s="1521"/>
      <c r="G6171" s="1522"/>
      <c r="H6171" s="216">
        <f>H6169-H6170</f>
        <v>128.80000000000001</v>
      </c>
      <c r="I6171" s="1568"/>
      <c r="J6171" s="1568"/>
      <c r="K6171" s="1568"/>
      <c r="L6171" s="1568"/>
      <c r="M6171" s="1568"/>
      <c r="N6171" s="1569"/>
    </row>
    <row r="6172" spans="1:14">
      <c r="A6172" s="898"/>
      <c r="B6172" s="898"/>
      <c r="C6172" s="898"/>
      <c r="D6172" s="898"/>
      <c r="E6172" s="1363"/>
      <c r="F6172" s="898"/>
      <c r="G6172" s="899"/>
      <c r="H6172" s="220"/>
      <c r="I6172" s="942"/>
      <c r="J6172" s="942"/>
      <c r="K6172" s="942"/>
      <c r="L6172" s="942"/>
      <c r="M6172" s="942"/>
      <c r="N6172" s="941"/>
    </row>
    <row r="6173" spans="1:14" ht="15.75" thickBot="1">
      <c r="A6173" s="970">
        <v>1506</v>
      </c>
      <c r="B6173" s="1874" t="s">
        <v>1556</v>
      </c>
      <c r="C6173" s="1874"/>
      <c r="D6173" s="1874"/>
      <c r="E6173" s="1874"/>
      <c r="F6173" s="1874"/>
      <c r="G6173" s="1874"/>
      <c r="H6173" s="1874"/>
      <c r="I6173" s="1874"/>
      <c r="J6173" s="1874"/>
      <c r="K6173" s="1874"/>
      <c r="L6173" s="1874"/>
      <c r="M6173" s="1874"/>
      <c r="N6173" s="1874"/>
    </row>
    <row r="6174" spans="1:14">
      <c r="A6174" s="1121">
        <v>150601</v>
      </c>
      <c r="B6174" s="1494" t="str">
        <f>'27ª MEDIÇÃO '!C431</f>
        <v>Disjuntor DR bipolar 16A a 25A, corrente nominal 30 mA</v>
      </c>
      <c r="C6174" s="1495"/>
      <c r="D6174" s="1495"/>
      <c r="E6174" s="1495"/>
      <c r="F6174" s="1495"/>
      <c r="G6174" s="1495"/>
      <c r="H6174" s="1495"/>
      <c r="I6174" s="1495"/>
      <c r="J6174" s="1496"/>
      <c r="K6174" s="196" t="s">
        <v>28</v>
      </c>
      <c r="L6174" s="1497">
        <f>'27ª MEDIÇÃO '!F431</f>
        <v>1</v>
      </c>
      <c r="M6174" s="1498"/>
      <c r="N6174" s="197">
        <f>L6174-H6179</f>
        <v>0</v>
      </c>
    </row>
    <row r="6175" spans="1:14" ht="21" customHeight="1">
      <c r="A6175" s="1554"/>
      <c r="B6175" s="1541"/>
      <c r="C6175" s="366"/>
      <c r="D6175" s="367" t="s">
        <v>2183</v>
      </c>
      <c r="E6175" s="1320" t="s">
        <v>2184</v>
      </c>
      <c r="F6175" s="367" t="s">
        <v>2185</v>
      </c>
      <c r="G6175" s="367" t="s">
        <v>2186</v>
      </c>
      <c r="H6175" s="1542" t="s">
        <v>476</v>
      </c>
      <c r="I6175" s="1543"/>
      <c r="J6175" s="1543"/>
      <c r="K6175" s="1543"/>
      <c r="L6175" s="1543"/>
      <c r="M6175" s="1543"/>
      <c r="N6175" s="1566"/>
    </row>
    <row r="6176" spans="1:14" ht="24">
      <c r="A6176" s="1554"/>
      <c r="B6176" s="1541"/>
      <c r="C6176" s="368" t="s">
        <v>2627</v>
      </c>
      <c r="D6176" s="369" t="s">
        <v>2187</v>
      </c>
      <c r="E6176" s="529" t="s">
        <v>3152</v>
      </c>
      <c r="F6176" s="369" t="s">
        <v>2649</v>
      </c>
      <c r="G6176" s="370" t="s">
        <v>2709</v>
      </c>
      <c r="H6176" s="1542"/>
      <c r="I6176" s="1543"/>
      <c r="J6176" s="1543"/>
      <c r="K6176" s="1543"/>
      <c r="L6176" s="1543"/>
      <c r="M6176" s="1543"/>
      <c r="N6176" s="1566"/>
    </row>
    <row r="6177" spans="1:14">
      <c r="A6177" s="1535" t="s">
        <v>3850</v>
      </c>
      <c r="B6177" s="876" t="s">
        <v>3524</v>
      </c>
      <c r="C6177" s="468">
        <v>1</v>
      </c>
      <c r="D6177" s="287"/>
      <c r="E6177" s="531"/>
      <c r="F6177" s="287"/>
      <c r="G6177" s="431"/>
      <c r="H6177" s="349">
        <f>C6177</f>
        <v>1</v>
      </c>
      <c r="I6177" s="1567"/>
      <c r="J6177" s="1543"/>
      <c r="K6177" s="1543"/>
      <c r="L6177" s="1543"/>
      <c r="M6177" s="1543"/>
      <c r="N6177" s="1566"/>
    </row>
    <row r="6178" spans="1:14">
      <c r="A6178" s="1545"/>
      <c r="C6178" s="743"/>
      <c r="D6178" s="294"/>
      <c r="E6178" s="348"/>
      <c r="F6178" s="348"/>
      <c r="G6178" s="348"/>
      <c r="H6178" s="349"/>
      <c r="I6178" s="1567"/>
      <c r="J6178" s="1543"/>
      <c r="K6178" s="1543"/>
      <c r="L6178" s="1543"/>
      <c r="M6178" s="1543"/>
      <c r="N6178" s="1566"/>
    </row>
    <row r="6179" spans="1:14">
      <c r="A6179" s="1578" t="s">
        <v>2218</v>
      </c>
      <c r="B6179" s="1538"/>
      <c r="C6179" s="1538"/>
      <c r="D6179" s="1538"/>
      <c r="E6179" s="1538"/>
      <c r="F6179" s="1538"/>
      <c r="G6179" s="1538"/>
      <c r="H6179" s="271">
        <f>SUM(H6177:H6178)</f>
        <v>1</v>
      </c>
      <c r="I6179" s="1567"/>
      <c r="J6179" s="1543"/>
      <c r="K6179" s="1543"/>
      <c r="L6179" s="1543"/>
      <c r="M6179" s="1543"/>
      <c r="N6179" s="1566"/>
    </row>
    <row r="6180" spans="1:14">
      <c r="A6180" s="1519" t="s">
        <v>2219</v>
      </c>
      <c r="B6180" s="1517"/>
      <c r="C6180" s="1517"/>
      <c r="D6180" s="1551"/>
      <c r="E6180" s="1551"/>
      <c r="F6180" s="1551"/>
      <c r="G6180" s="1552"/>
      <c r="H6180" s="325">
        <f>SUM(H6175)</f>
        <v>0</v>
      </c>
      <c r="I6180" s="1543"/>
      <c r="J6180" s="1543"/>
      <c r="K6180" s="1543"/>
      <c r="L6180" s="1543"/>
      <c r="M6180" s="1543"/>
      <c r="N6180" s="1566"/>
    </row>
    <row r="6181" spans="1:14" ht="15.75" thickBot="1">
      <c r="A6181" s="1520" t="s">
        <v>2220</v>
      </c>
      <c r="B6181" s="1521"/>
      <c r="C6181" s="1521"/>
      <c r="D6181" s="1521"/>
      <c r="E6181" s="1521"/>
      <c r="F6181" s="1521"/>
      <c r="G6181" s="1522"/>
      <c r="H6181" s="216">
        <f>H6179-H6180</f>
        <v>1</v>
      </c>
      <c r="I6181" s="1568"/>
      <c r="J6181" s="1568"/>
      <c r="K6181" s="1568"/>
      <c r="L6181" s="1568"/>
      <c r="M6181" s="1568"/>
      <c r="N6181" s="1569"/>
    </row>
    <row r="6182" spans="1:14" ht="15.75" thickBot="1">
      <c r="A6182" s="898"/>
      <c r="B6182" s="898"/>
      <c r="C6182" s="898"/>
      <c r="D6182" s="970"/>
      <c r="E6182" s="1363"/>
      <c r="F6182" s="898"/>
      <c r="G6182" s="899"/>
      <c r="H6182" s="220"/>
      <c r="I6182" s="942"/>
      <c r="J6182" s="942"/>
      <c r="K6182" s="942"/>
      <c r="L6182" s="942"/>
      <c r="M6182" s="942"/>
      <c r="N6182" s="941"/>
    </row>
    <row r="6183" spans="1:14">
      <c r="A6183" s="1121">
        <v>150602</v>
      </c>
      <c r="B6183" s="1494" t="str">
        <f>'27ª MEDIÇÃO '!C432</f>
        <v>Mini-Disjuntor monopolar 16 A, curva C - 5KA 220/127VCA (NBR IEC 60947-2), Ref. Siemens, GE, Schneider ou equivalente</v>
      </c>
      <c r="C6183" s="1495"/>
      <c r="D6183" s="1495"/>
      <c r="E6183" s="1495"/>
      <c r="F6183" s="1495"/>
      <c r="G6183" s="1495"/>
      <c r="H6183" s="1495"/>
      <c r="I6183" s="1495"/>
      <c r="J6183" s="1496"/>
      <c r="K6183" s="196" t="s">
        <v>28</v>
      </c>
      <c r="L6183" s="1497">
        <f>'27ª MEDIÇÃO '!F432</f>
        <v>11</v>
      </c>
      <c r="M6183" s="1498"/>
      <c r="N6183" s="197">
        <f>L6183-H6189</f>
        <v>0</v>
      </c>
    </row>
    <row r="6184" spans="1:14" ht="21" customHeight="1">
      <c r="A6184" s="1554"/>
      <c r="B6184" s="1541"/>
      <c r="C6184" s="366"/>
      <c r="D6184" s="367" t="s">
        <v>2183</v>
      </c>
      <c r="E6184" s="1320" t="s">
        <v>2184</v>
      </c>
      <c r="F6184" s="367" t="s">
        <v>2185</v>
      </c>
      <c r="G6184" s="367" t="s">
        <v>2186</v>
      </c>
      <c r="H6184" s="1542" t="s">
        <v>476</v>
      </c>
      <c r="I6184" s="1543"/>
      <c r="J6184" s="1543"/>
      <c r="K6184" s="1543"/>
      <c r="L6184" s="1543"/>
      <c r="M6184" s="1543"/>
      <c r="N6184" s="1566"/>
    </row>
    <row r="6185" spans="1:14" ht="24">
      <c r="A6185" s="1554"/>
      <c r="B6185" s="1541"/>
      <c r="C6185" s="368" t="s">
        <v>2627</v>
      </c>
      <c r="D6185" s="369" t="s">
        <v>2187</v>
      </c>
      <c r="E6185" s="529" t="s">
        <v>3152</v>
      </c>
      <c r="F6185" s="369" t="s">
        <v>2649</v>
      </c>
      <c r="G6185" s="370" t="s">
        <v>2709</v>
      </c>
      <c r="H6185" s="1542"/>
      <c r="I6185" s="1543"/>
      <c r="J6185" s="1543"/>
      <c r="K6185" s="1543"/>
      <c r="L6185" s="1543"/>
      <c r="M6185" s="1543"/>
      <c r="N6185" s="1566"/>
    </row>
    <row r="6186" spans="1:14">
      <c r="A6186" s="1535" t="s">
        <v>3850</v>
      </c>
      <c r="B6186" s="876" t="s">
        <v>3524</v>
      </c>
      <c r="C6186" s="1200">
        <v>5</v>
      </c>
      <c r="D6186" s="287"/>
      <c r="E6186" s="531"/>
      <c r="F6186" s="287"/>
      <c r="G6186" s="431"/>
      <c r="H6186" s="349">
        <f>C6186</f>
        <v>5</v>
      </c>
      <c r="I6186" s="1567"/>
      <c r="J6186" s="1543"/>
      <c r="K6186" s="1543"/>
      <c r="L6186" s="1543"/>
      <c r="M6186" s="1543"/>
      <c r="N6186" s="1566"/>
    </row>
    <row r="6187" spans="1:14">
      <c r="A6187" s="1545"/>
      <c r="B6187" s="876" t="s">
        <v>3655</v>
      </c>
      <c r="C6187" s="1201">
        <v>6</v>
      </c>
      <c r="D6187" s="294"/>
      <c r="E6187" s="348"/>
      <c r="F6187" s="348"/>
      <c r="G6187" s="348"/>
      <c r="H6187" s="349">
        <f>C6187</f>
        <v>6</v>
      </c>
      <c r="I6187" s="1567"/>
      <c r="J6187" s="1543"/>
      <c r="K6187" s="1543"/>
      <c r="L6187" s="1543"/>
      <c r="M6187" s="1543"/>
      <c r="N6187" s="1566"/>
    </row>
    <row r="6188" spans="1:14">
      <c r="A6188" s="1093" t="s">
        <v>3937</v>
      </c>
      <c r="B6188" s="777" t="s">
        <v>3955</v>
      </c>
      <c r="C6188" s="1240">
        <v>1</v>
      </c>
      <c r="D6188" s="478"/>
      <c r="E6188" s="479"/>
      <c r="F6188" s="479"/>
      <c r="G6188" s="479"/>
      <c r="H6188" s="480"/>
      <c r="I6188" s="1567"/>
      <c r="J6188" s="1543"/>
      <c r="K6188" s="1543"/>
      <c r="L6188" s="1543"/>
      <c r="M6188" s="1543"/>
      <c r="N6188" s="1566"/>
    </row>
    <row r="6189" spans="1:14">
      <c r="A6189" s="1578" t="s">
        <v>2218</v>
      </c>
      <c r="B6189" s="1538"/>
      <c r="C6189" s="1538"/>
      <c r="D6189" s="1538"/>
      <c r="E6189" s="1538"/>
      <c r="F6189" s="1538"/>
      <c r="G6189" s="1538"/>
      <c r="H6189" s="271">
        <f>SUM(H6186:H6187)</f>
        <v>11</v>
      </c>
      <c r="I6189" s="1567"/>
      <c r="J6189" s="1543"/>
      <c r="K6189" s="1543"/>
      <c r="L6189" s="1543"/>
      <c r="M6189" s="1543"/>
      <c r="N6189" s="1566"/>
    </row>
    <row r="6190" spans="1:14">
      <c r="A6190" s="1519" t="s">
        <v>2219</v>
      </c>
      <c r="B6190" s="1517"/>
      <c r="C6190" s="1517"/>
      <c r="D6190" s="1551"/>
      <c r="E6190" s="1551"/>
      <c r="F6190" s="1551"/>
      <c r="G6190" s="1552"/>
      <c r="H6190" s="325">
        <f>SUM(H6184)</f>
        <v>0</v>
      </c>
      <c r="I6190" s="1543"/>
      <c r="J6190" s="1543"/>
      <c r="K6190" s="1543"/>
      <c r="L6190" s="1543"/>
      <c r="M6190" s="1543"/>
      <c r="N6190" s="1566"/>
    </row>
    <row r="6191" spans="1:14" ht="15.75" thickBot="1">
      <c r="A6191" s="1520" t="s">
        <v>2220</v>
      </c>
      <c r="B6191" s="1521"/>
      <c r="C6191" s="1521"/>
      <c r="D6191" s="1521"/>
      <c r="E6191" s="1521"/>
      <c r="F6191" s="1521"/>
      <c r="G6191" s="1522"/>
      <c r="H6191" s="216">
        <f>H6189-H6190</f>
        <v>11</v>
      </c>
      <c r="I6191" s="1568"/>
      <c r="J6191" s="1568"/>
      <c r="K6191" s="1568"/>
      <c r="L6191" s="1568"/>
      <c r="M6191" s="1568"/>
      <c r="N6191" s="1569"/>
    </row>
    <row r="6192" spans="1:14" ht="15.75" thickBot="1">
      <c r="A6192" s="898"/>
      <c r="B6192" s="898"/>
      <c r="C6192" s="898"/>
      <c r="D6192" s="970"/>
      <c r="E6192" s="1363"/>
      <c r="F6192" s="898"/>
      <c r="G6192" s="899"/>
      <c r="H6192" s="220"/>
      <c r="I6192" s="942"/>
      <c r="J6192" s="942"/>
      <c r="K6192" s="942"/>
      <c r="L6192" s="942"/>
      <c r="M6192" s="942"/>
      <c r="N6192" s="941"/>
    </row>
    <row r="6193" spans="1:14">
      <c r="A6193" s="1121">
        <v>150603</v>
      </c>
      <c r="B6193" s="1494" t="str">
        <f>'27ª MEDIÇÃO '!C433</f>
        <v>Mini-Disjuntor monopolar 20 A, curva C - 5KA 220/127VCA (NBR IEC 60947-2), Ref. Siemens, GE, Schneider ou equivalente</v>
      </c>
      <c r="C6193" s="1495"/>
      <c r="D6193" s="1495"/>
      <c r="E6193" s="1495"/>
      <c r="F6193" s="1495"/>
      <c r="G6193" s="1495"/>
      <c r="H6193" s="1495"/>
      <c r="I6193" s="1495"/>
      <c r="J6193" s="1496"/>
      <c r="K6193" s="196" t="s">
        <v>28</v>
      </c>
      <c r="L6193" s="1497">
        <f>'27ª MEDIÇÃO '!F433</f>
        <v>55</v>
      </c>
      <c r="M6193" s="1498"/>
      <c r="N6193" s="197">
        <f>L6193-H6198</f>
        <v>0</v>
      </c>
    </row>
    <row r="6194" spans="1:14" ht="21" customHeight="1">
      <c r="A6194" s="1554"/>
      <c r="B6194" s="1541"/>
      <c r="C6194" s="366"/>
      <c r="D6194" s="367" t="s">
        <v>2183</v>
      </c>
      <c r="E6194" s="1320" t="s">
        <v>2184</v>
      </c>
      <c r="F6194" s="367" t="s">
        <v>2185</v>
      </c>
      <c r="G6194" s="367" t="s">
        <v>2186</v>
      </c>
      <c r="H6194" s="1542" t="s">
        <v>476</v>
      </c>
      <c r="I6194" s="1543"/>
      <c r="J6194" s="1543"/>
      <c r="K6194" s="1543"/>
      <c r="L6194" s="1543"/>
      <c r="M6194" s="1543"/>
      <c r="N6194" s="1566"/>
    </row>
    <row r="6195" spans="1:14" ht="24">
      <c r="A6195" s="1554"/>
      <c r="B6195" s="1541"/>
      <c r="C6195" s="368" t="s">
        <v>2627</v>
      </c>
      <c r="D6195" s="369" t="s">
        <v>2187</v>
      </c>
      <c r="E6195" s="529" t="s">
        <v>3152</v>
      </c>
      <c r="F6195" s="369" t="s">
        <v>2649</v>
      </c>
      <c r="G6195" s="370" t="s">
        <v>2709</v>
      </c>
      <c r="H6195" s="1542"/>
      <c r="I6195" s="1543"/>
      <c r="J6195" s="1543"/>
      <c r="K6195" s="1543"/>
      <c r="L6195" s="1543"/>
      <c r="M6195" s="1543"/>
      <c r="N6195" s="1566"/>
    </row>
    <row r="6196" spans="1:14">
      <c r="A6196" s="1535" t="s">
        <v>3850</v>
      </c>
      <c r="B6196" s="876" t="s">
        <v>3524</v>
      </c>
      <c r="C6196" s="1200">
        <v>29</v>
      </c>
      <c r="D6196" s="287"/>
      <c r="E6196" s="531"/>
      <c r="F6196" s="287"/>
      <c r="G6196" s="431"/>
      <c r="H6196" s="349">
        <f>C6196</f>
        <v>29</v>
      </c>
      <c r="I6196" s="1567"/>
      <c r="J6196" s="1543"/>
      <c r="K6196" s="1543"/>
      <c r="L6196" s="1543"/>
      <c r="M6196" s="1543"/>
      <c r="N6196" s="1566"/>
    </row>
    <row r="6197" spans="1:14">
      <c r="A6197" s="1545"/>
      <c r="B6197" s="876" t="s">
        <v>3655</v>
      </c>
      <c r="C6197" s="1201">
        <v>26</v>
      </c>
      <c r="D6197" s="294"/>
      <c r="E6197" s="348"/>
      <c r="F6197" s="348"/>
      <c r="G6197" s="348"/>
      <c r="H6197" s="349">
        <f>C6197</f>
        <v>26</v>
      </c>
      <c r="I6197" s="1567"/>
      <c r="J6197" s="1543"/>
      <c r="K6197" s="1543"/>
      <c r="L6197" s="1543"/>
      <c r="M6197" s="1543"/>
      <c r="N6197" s="1566"/>
    </row>
    <row r="6198" spans="1:14">
      <c r="A6198" s="1578" t="s">
        <v>2218</v>
      </c>
      <c r="B6198" s="1538"/>
      <c r="C6198" s="1538"/>
      <c r="D6198" s="1538"/>
      <c r="E6198" s="1538"/>
      <c r="F6198" s="1538"/>
      <c r="G6198" s="1538"/>
      <c r="H6198" s="271">
        <f>SUM(H6196:H6197)</f>
        <v>55</v>
      </c>
      <c r="I6198" s="1567"/>
      <c r="J6198" s="1543"/>
      <c r="K6198" s="1543"/>
      <c r="L6198" s="1543"/>
      <c r="M6198" s="1543"/>
      <c r="N6198" s="1566"/>
    </row>
    <row r="6199" spans="1:14" ht="30" customHeight="1">
      <c r="A6199" s="1519" t="s">
        <v>2219</v>
      </c>
      <c r="B6199" s="1517"/>
      <c r="C6199" s="1517"/>
      <c r="D6199" s="1551"/>
      <c r="E6199" s="1551"/>
      <c r="F6199" s="1551"/>
      <c r="G6199" s="1552"/>
      <c r="H6199" s="325">
        <f>SUM(H6194)</f>
        <v>0</v>
      </c>
      <c r="I6199" s="1543"/>
      <c r="J6199" s="1543"/>
      <c r="K6199" s="1543"/>
      <c r="L6199" s="1543"/>
      <c r="M6199" s="1543"/>
      <c r="N6199" s="1566"/>
    </row>
    <row r="6200" spans="1:14" ht="15.75" thickBot="1">
      <c r="A6200" s="1520" t="s">
        <v>2220</v>
      </c>
      <c r="B6200" s="1521"/>
      <c r="C6200" s="1521"/>
      <c r="D6200" s="1521"/>
      <c r="E6200" s="1521"/>
      <c r="F6200" s="1521"/>
      <c r="G6200" s="1522"/>
      <c r="H6200" s="216">
        <f>H6198-H6199</f>
        <v>55</v>
      </c>
      <c r="I6200" s="1568"/>
      <c r="J6200" s="1568"/>
      <c r="K6200" s="1568"/>
      <c r="L6200" s="1568"/>
      <c r="M6200" s="1568"/>
      <c r="N6200" s="1569"/>
    </row>
    <row r="6201" spans="1:14" ht="15.75" thickBot="1">
      <c r="A6201" s="898"/>
      <c r="B6201" s="898"/>
      <c r="C6201" s="898"/>
      <c r="D6201" s="970"/>
      <c r="E6201" s="1363"/>
      <c r="F6201" s="898"/>
      <c r="G6201" s="899"/>
      <c r="H6201" s="220"/>
      <c r="I6201" s="942"/>
      <c r="J6201" s="942"/>
      <c r="K6201" s="942"/>
      <c r="L6201" s="942"/>
      <c r="M6201" s="942"/>
      <c r="N6201" s="941"/>
    </row>
    <row r="6202" spans="1:14">
      <c r="A6202" s="1121">
        <v>150604</v>
      </c>
      <c r="B6202" s="1494" t="str">
        <f>'27ª MEDIÇÃO '!C434</f>
        <v>Mini-Disjuntor monopolar 25 A, curva C - 5KA 220/127VCA (NBR IEC 60947-2), Ref. Siemens, GE, Schneider ou equivalente</v>
      </c>
      <c r="C6202" s="1495"/>
      <c r="D6202" s="1495"/>
      <c r="E6202" s="1495"/>
      <c r="F6202" s="1495"/>
      <c r="G6202" s="1495"/>
      <c r="H6202" s="1495"/>
      <c r="I6202" s="1495"/>
      <c r="J6202" s="1496"/>
      <c r="K6202" s="196" t="s">
        <v>28</v>
      </c>
      <c r="L6202" s="1497">
        <f>'27ª MEDIÇÃO '!F434</f>
        <v>14</v>
      </c>
      <c r="M6202" s="1498"/>
      <c r="N6202" s="197">
        <f>L6202-H6207</f>
        <v>0</v>
      </c>
    </row>
    <row r="6203" spans="1:14" ht="21" customHeight="1">
      <c r="A6203" s="1554"/>
      <c r="B6203" s="1541"/>
      <c r="C6203" s="366"/>
      <c r="D6203" s="367" t="s">
        <v>2183</v>
      </c>
      <c r="E6203" s="1320" t="s">
        <v>2184</v>
      </c>
      <c r="F6203" s="367" t="s">
        <v>2185</v>
      </c>
      <c r="G6203" s="367" t="s">
        <v>2186</v>
      </c>
      <c r="H6203" s="1542" t="s">
        <v>476</v>
      </c>
      <c r="I6203" s="1543"/>
      <c r="J6203" s="1543"/>
      <c r="K6203" s="1543"/>
      <c r="L6203" s="1543"/>
      <c r="M6203" s="1543"/>
      <c r="N6203" s="1566"/>
    </row>
    <row r="6204" spans="1:14" ht="24">
      <c r="A6204" s="1554"/>
      <c r="B6204" s="1541"/>
      <c r="C6204" s="368" t="s">
        <v>2627</v>
      </c>
      <c r="D6204" s="369" t="s">
        <v>2187</v>
      </c>
      <c r="E6204" s="529" t="s">
        <v>3152</v>
      </c>
      <c r="F6204" s="369" t="s">
        <v>2649</v>
      </c>
      <c r="G6204" s="370" t="s">
        <v>2709</v>
      </c>
      <c r="H6204" s="1542"/>
      <c r="I6204" s="1543"/>
      <c r="J6204" s="1543"/>
      <c r="K6204" s="1543"/>
      <c r="L6204" s="1543"/>
      <c r="M6204" s="1543"/>
      <c r="N6204" s="1566"/>
    </row>
    <row r="6205" spans="1:14">
      <c r="A6205" s="1535" t="s">
        <v>3850</v>
      </c>
      <c r="B6205" s="876" t="s">
        <v>3524</v>
      </c>
      <c r="C6205" s="1200">
        <v>8</v>
      </c>
      <c r="D6205" s="287"/>
      <c r="E6205" s="531"/>
      <c r="F6205" s="287"/>
      <c r="G6205" s="431"/>
      <c r="H6205" s="349">
        <f>C6205</f>
        <v>8</v>
      </c>
      <c r="I6205" s="1567"/>
      <c r="J6205" s="1543"/>
      <c r="K6205" s="1543"/>
      <c r="L6205" s="1543"/>
      <c r="M6205" s="1543"/>
      <c r="N6205" s="1566"/>
    </row>
    <row r="6206" spans="1:14">
      <c r="A6206" s="1545"/>
      <c r="B6206" s="876" t="s">
        <v>3655</v>
      </c>
      <c r="C6206" s="1201">
        <v>6</v>
      </c>
      <c r="D6206" s="294"/>
      <c r="E6206" s="348"/>
      <c r="F6206" s="348"/>
      <c r="G6206" s="348"/>
      <c r="H6206" s="349">
        <f>C6206</f>
        <v>6</v>
      </c>
      <c r="I6206" s="1567"/>
      <c r="J6206" s="1543"/>
      <c r="K6206" s="1543"/>
      <c r="L6206" s="1543"/>
      <c r="M6206" s="1543"/>
      <c r="N6206" s="1566"/>
    </row>
    <row r="6207" spans="1:14">
      <c r="A6207" s="1578" t="s">
        <v>2218</v>
      </c>
      <c r="B6207" s="1538"/>
      <c r="C6207" s="1538"/>
      <c r="D6207" s="1538"/>
      <c r="E6207" s="1538"/>
      <c r="F6207" s="1538"/>
      <c r="G6207" s="1538"/>
      <c r="H6207" s="271">
        <f>SUM(H6205:H6206)</f>
        <v>14</v>
      </c>
      <c r="I6207" s="1567"/>
      <c r="J6207" s="1543"/>
      <c r="K6207" s="1543"/>
      <c r="L6207" s="1543"/>
      <c r="M6207" s="1543"/>
      <c r="N6207" s="1566"/>
    </row>
    <row r="6208" spans="1:14" ht="24.75" customHeight="1">
      <c r="A6208" s="1519" t="s">
        <v>2219</v>
      </c>
      <c r="B6208" s="1517"/>
      <c r="C6208" s="1517"/>
      <c r="D6208" s="1551"/>
      <c r="E6208" s="1551"/>
      <c r="F6208" s="1551"/>
      <c r="G6208" s="1552"/>
      <c r="H6208" s="325">
        <f>SUM(H6203)</f>
        <v>0</v>
      </c>
      <c r="I6208" s="1543"/>
      <c r="J6208" s="1543"/>
      <c r="K6208" s="1543"/>
      <c r="L6208" s="1543"/>
      <c r="M6208" s="1543"/>
      <c r="N6208" s="1566"/>
    </row>
    <row r="6209" spans="1:14" ht="15.75" thickBot="1">
      <c r="A6209" s="1520" t="s">
        <v>2220</v>
      </c>
      <c r="B6209" s="1521"/>
      <c r="C6209" s="1521"/>
      <c r="D6209" s="1521"/>
      <c r="E6209" s="1521"/>
      <c r="F6209" s="1521"/>
      <c r="G6209" s="1522"/>
      <c r="H6209" s="216">
        <f>H6207-H6208</f>
        <v>14</v>
      </c>
      <c r="I6209" s="1568"/>
      <c r="J6209" s="1568"/>
      <c r="K6209" s="1568"/>
      <c r="L6209" s="1568"/>
      <c r="M6209" s="1568"/>
      <c r="N6209" s="1569"/>
    </row>
    <row r="6210" spans="1:14" ht="15.75" thickBot="1">
      <c r="A6210" s="898"/>
      <c r="B6210" s="898"/>
      <c r="C6210" s="898"/>
      <c r="D6210" s="970"/>
      <c r="E6210" s="1363"/>
      <c r="F6210" s="898"/>
      <c r="G6210" s="899"/>
      <c r="H6210" s="220"/>
      <c r="I6210" s="942"/>
      <c r="J6210" s="942"/>
      <c r="K6210" s="942"/>
      <c r="L6210" s="942"/>
      <c r="M6210" s="942"/>
      <c r="N6210" s="941"/>
    </row>
    <row r="6211" spans="1:14">
      <c r="A6211" s="1121">
        <v>150605</v>
      </c>
      <c r="B6211" s="1494" t="str">
        <f>'27ª MEDIÇÃO '!C435</f>
        <v>Mini-Disjuntor monopolar 50 A, curva C - 5KA 220/127VCA (NBR IEC 60947-2), Ref. Siemens, GE, Schneider ou equivalente</v>
      </c>
      <c r="C6211" s="1495"/>
      <c r="D6211" s="1495"/>
      <c r="E6211" s="1495"/>
      <c r="F6211" s="1495"/>
      <c r="G6211" s="1495"/>
      <c r="H6211" s="1495"/>
      <c r="I6211" s="1495"/>
      <c r="J6211" s="1496"/>
      <c r="K6211" s="196" t="s">
        <v>28</v>
      </c>
      <c r="L6211" s="1497">
        <f>'27ª MEDIÇÃO '!F435</f>
        <v>3</v>
      </c>
      <c r="M6211" s="1498"/>
      <c r="N6211" s="197">
        <f>L6211-H6216</f>
        <v>0</v>
      </c>
    </row>
    <row r="6212" spans="1:14" ht="21" customHeight="1">
      <c r="A6212" s="1554"/>
      <c r="B6212" s="1541"/>
      <c r="C6212" s="366"/>
      <c r="D6212" s="367" t="s">
        <v>2183</v>
      </c>
      <c r="E6212" s="1320" t="s">
        <v>2184</v>
      </c>
      <c r="F6212" s="367" t="s">
        <v>2185</v>
      </c>
      <c r="G6212" s="367" t="s">
        <v>2186</v>
      </c>
      <c r="H6212" s="1542" t="s">
        <v>476</v>
      </c>
      <c r="I6212" s="1543"/>
      <c r="J6212" s="1543"/>
      <c r="K6212" s="1543"/>
      <c r="L6212" s="1543"/>
      <c r="M6212" s="1543"/>
      <c r="N6212" s="1566"/>
    </row>
    <row r="6213" spans="1:14" ht="24">
      <c r="A6213" s="1554"/>
      <c r="B6213" s="1541"/>
      <c r="C6213" s="368" t="s">
        <v>2627</v>
      </c>
      <c r="D6213" s="369" t="s">
        <v>2187</v>
      </c>
      <c r="E6213" s="529" t="s">
        <v>3152</v>
      </c>
      <c r="F6213" s="369" t="s">
        <v>2649</v>
      </c>
      <c r="G6213" s="370" t="s">
        <v>2709</v>
      </c>
      <c r="H6213" s="1542"/>
      <c r="I6213" s="1543"/>
      <c r="J6213" s="1543"/>
      <c r="K6213" s="1543"/>
      <c r="L6213" s="1543"/>
      <c r="M6213" s="1543"/>
      <c r="N6213" s="1566"/>
    </row>
    <row r="6214" spans="1:14">
      <c r="A6214" s="1535" t="s">
        <v>3850</v>
      </c>
      <c r="B6214" s="876" t="s">
        <v>3524</v>
      </c>
      <c r="C6214" s="468">
        <v>3</v>
      </c>
      <c r="D6214" s="287"/>
      <c r="E6214" s="531"/>
      <c r="F6214" s="287"/>
      <c r="G6214" s="431"/>
      <c r="H6214" s="349">
        <f>C6214</f>
        <v>3</v>
      </c>
      <c r="I6214" s="1567"/>
      <c r="J6214" s="1543"/>
      <c r="K6214" s="1543"/>
      <c r="L6214" s="1543"/>
      <c r="M6214" s="1543"/>
      <c r="N6214" s="1566"/>
    </row>
    <row r="6215" spans="1:14">
      <c r="A6215" s="1545"/>
      <c r="B6215" s="876"/>
      <c r="C6215" s="743"/>
      <c r="D6215" s="294"/>
      <c r="E6215" s="348"/>
      <c r="F6215" s="348"/>
      <c r="G6215" s="348"/>
      <c r="H6215" s="349"/>
      <c r="I6215" s="1567"/>
      <c r="J6215" s="1543"/>
      <c r="K6215" s="1543"/>
      <c r="L6215" s="1543"/>
      <c r="M6215" s="1543"/>
      <c r="N6215" s="1566"/>
    </row>
    <row r="6216" spans="1:14">
      <c r="A6216" s="1578" t="s">
        <v>2218</v>
      </c>
      <c r="B6216" s="1538"/>
      <c r="C6216" s="1538"/>
      <c r="D6216" s="1538"/>
      <c r="E6216" s="1538"/>
      <c r="F6216" s="1538"/>
      <c r="G6216" s="1538"/>
      <c r="H6216" s="271">
        <f>SUM(H6214:H6215)</f>
        <v>3</v>
      </c>
      <c r="I6216" s="1567"/>
      <c r="J6216" s="1543"/>
      <c r="K6216" s="1543"/>
      <c r="L6216" s="1543"/>
      <c r="M6216" s="1543"/>
      <c r="N6216" s="1566"/>
    </row>
    <row r="6217" spans="1:14">
      <c r="A6217" s="1519" t="s">
        <v>2219</v>
      </c>
      <c r="B6217" s="1517"/>
      <c r="C6217" s="1517"/>
      <c r="D6217" s="1551"/>
      <c r="E6217" s="1551"/>
      <c r="F6217" s="1551"/>
      <c r="G6217" s="1552"/>
      <c r="H6217" s="325">
        <f>SUM(H6212)</f>
        <v>0</v>
      </c>
      <c r="I6217" s="1543"/>
      <c r="J6217" s="1543"/>
      <c r="K6217" s="1543"/>
      <c r="L6217" s="1543"/>
      <c r="M6217" s="1543"/>
      <c r="N6217" s="1566"/>
    </row>
    <row r="6218" spans="1:14" ht="15.75" thickBot="1">
      <c r="A6218" s="1520" t="s">
        <v>2220</v>
      </c>
      <c r="B6218" s="1521"/>
      <c r="C6218" s="1521"/>
      <c r="D6218" s="1521"/>
      <c r="E6218" s="1521"/>
      <c r="F6218" s="1521"/>
      <c r="G6218" s="1522"/>
      <c r="H6218" s="216">
        <f>H6216-H6217</f>
        <v>3</v>
      </c>
      <c r="I6218" s="1568"/>
      <c r="J6218" s="1568"/>
      <c r="K6218" s="1568"/>
      <c r="L6218" s="1568"/>
      <c r="M6218" s="1568"/>
      <c r="N6218" s="1569"/>
    </row>
    <row r="6219" spans="1:14" ht="15.75" thickBot="1">
      <c r="A6219" s="898"/>
      <c r="B6219" s="898"/>
      <c r="C6219" s="898"/>
      <c r="D6219" s="970"/>
      <c r="E6219" s="1363"/>
      <c r="F6219" s="898"/>
      <c r="G6219" s="899"/>
      <c r="H6219" s="220"/>
      <c r="I6219" s="942"/>
      <c r="J6219" s="942"/>
      <c r="K6219" s="942"/>
      <c r="L6219" s="942"/>
      <c r="M6219" s="942"/>
      <c r="N6219" s="941"/>
    </row>
    <row r="6220" spans="1:14">
      <c r="A6220" s="1121">
        <v>150606</v>
      </c>
      <c r="B6220" s="1494" t="str">
        <f>'27ª MEDIÇÃO '!C436</f>
        <v>Mini-Disjuntor bipolar 20 A, curva C - 5KA 220/127VCA (NBR IEC 60947-2), Ref. Siemens, GE, Schneider ou equivalente</v>
      </c>
      <c r="C6220" s="1495"/>
      <c r="D6220" s="1495"/>
      <c r="E6220" s="1495"/>
      <c r="F6220" s="1495"/>
      <c r="G6220" s="1495"/>
      <c r="H6220" s="1495"/>
      <c r="I6220" s="1495"/>
      <c r="J6220" s="1496"/>
      <c r="K6220" s="196" t="s">
        <v>28</v>
      </c>
      <c r="L6220" s="1497">
        <f>'27ª MEDIÇÃO '!F436</f>
        <v>27</v>
      </c>
      <c r="M6220" s="1498"/>
      <c r="N6220" s="197">
        <f>L6220-H6225</f>
        <v>0</v>
      </c>
    </row>
    <row r="6221" spans="1:14" ht="21" customHeight="1">
      <c r="A6221" s="1554"/>
      <c r="B6221" s="1541"/>
      <c r="C6221" s="366"/>
      <c r="D6221" s="367" t="s">
        <v>2183</v>
      </c>
      <c r="E6221" s="1320" t="s">
        <v>2184</v>
      </c>
      <c r="F6221" s="367" t="s">
        <v>2185</v>
      </c>
      <c r="G6221" s="367" t="s">
        <v>2186</v>
      </c>
      <c r="H6221" s="1542" t="s">
        <v>476</v>
      </c>
      <c r="I6221" s="1543"/>
      <c r="J6221" s="1543"/>
      <c r="K6221" s="1543"/>
      <c r="L6221" s="1543"/>
      <c r="M6221" s="1543"/>
      <c r="N6221" s="1566"/>
    </row>
    <row r="6222" spans="1:14" ht="24">
      <c r="A6222" s="1554"/>
      <c r="B6222" s="1541"/>
      <c r="C6222" s="368" t="s">
        <v>2627</v>
      </c>
      <c r="D6222" s="369" t="s">
        <v>2187</v>
      </c>
      <c r="E6222" s="529" t="s">
        <v>3152</v>
      </c>
      <c r="F6222" s="369" t="s">
        <v>2649</v>
      </c>
      <c r="G6222" s="370" t="s">
        <v>2709</v>
      </c>
      <c r="H6222" s="1542"/>
      <c r="I6222" s="1543"/>
      <c r="J6222" s="1543"/>
      <c r="K6222" s="1543"/>
      <c r="L6222" s="1543"/>
      <c r="M6222" s="1543"/>
      <c r="N6222" s="1566"/>
    </row>
    <row r="6223" spans="1:14">
      <c r="A6223" s="1535" t="s">
        <v>3850</v>
      </c>
      <c r="B6223" s="876" t="s">
        <v>3524</v>
      </c>
      <c r="C6223" s="468">
        <v>27</v>
      </c>
      <c r="D6223" s="287"/>
      <c r="E6223" s="531"/>
      <c r="F6223" s="287"/>
      <c r="G6223" s="431"/>
      <c r="H6223" s="349">
        <f>C6223</f>
        <v>27</v>
      </c>
      <c r="I6223" s="1567"/>
      <c r="J6223" s="1543"/>
      <c r="K6223" s="1543"/>
      <c r="L6223" s="1543"/>
      <c r="M6223" s="1543"/>
      <c r="N6223" s="1566"/>
    </row>
    <row r="6224" spans="1:14">
      <c r="A6224" s="1545"/>
      <c r="B6224" s="876"/>
      <c r="C6224" s="743"/>
      <c r="D6224" s="294"/>
      <c r="E6224" s="348"/>
      <c r="F6224" s="348"/>
      <c r="G6224" s="348"/>
      <c r="H6224" s="349"/>
      <c r="I6224" s="1567"/>
      <c r="J6224" s="1543"/>
      <c r="K6224" s="1543"/>
      <c r="L6224" s="1543"/>
      <c r="M6224" s="1543"/>
      <c r="N6224" s="1566"/>
    </row>
    <row r="6225" spans="1:14">
      <c r="A6225" s="1578" t="s">
        <v>2218</v>
      </c>
      <c r="B6225" s="1538"/>
      <c r="C6225" s="1538"/>
      <c r="D6225" s="1538"/>
      <c r="E6225" s="1538"/>
      <c r="F6225" s="1538"/>
      <c r="G6225" s="1538"/>
      <c r="H6225" s="271">
        <f>SUM(H6223:H6224)</f>
        <v>27</v>
      </c>
      <c r="I6225" s="1567"/>
      <c r="J6225" s="1543"/>
      <c r="K6225" s="1543"/>
      <c r="L6225" s="1543"/>
      <c r="M6225" s="1543"/>
      <c r="N6225" s="1566"/>
    </row>
    <row r="6226" spans="1:14">
      <c r="A6226" s="1519" t="s">
        <v>2219</v>
      </c>
      <c r="B6226" s="1517"/>
      <c r="C6226" s="1517"/>
      <c r="D6226" s="1551"/>
      <c r="E6226" s="1551"/>
      <c r="F6226" s="1551"/>
      <c r="G6226" s="1552"/>
      <c r="H6226" s="325">
        <f>SUM(H6221)</f>
        <v>0</v>
      </c>
      <c r="I6226" s="1543"/>
      <c r="J6226" s="1543"/>
      <c r="K6226" s="1543"/>
      <c r="L6226" s="1543"/>
      <c r="M6226" s="1543"/>
      <c r="N6226" s="1566"/>
    </row>
    <row r="6227" spans="1:14" ht="15.75" thickBot="1">
      <c r="A6227" s="1520" t="s">
        <v>2220</v>
      </c>
      <c r="B6227" s="1521"/>
      <c r="C6227" s="1521"/>
      <c r="D6227" s="1521"/>
      <c r="E6227" s="1521"/>
      <c r="F6227" s="1521"/>
      <c r="G6227" s="1522"/>
      <c r="H6227" s="216">
        <f>H6225-H6226</f>
        <v>27</v>
      </c>
      <c r="I6227" s="1568"/>
      <c r="J6227" s="1568"/>
      <c r="K6227" s="1568"/>
      <c r="L6227" s="1568"/>
      <c r="M6227" s="1568"/>
      <c r="N6227" s="1569"/>
    </row>
    <row r="6228" spans="1:14" ht="15.75" thickBot="1">
      <c r="A6228" s="898"/>
      <c r="B6228" s="898"/>
      <c r="C6228" s="898"/>
      <c r="D6228" s="970"/>
      <c r="E6228" s="1363"/>
      <c r="F6228" s="898"/>
      <c r="G6228" s="899"/>
      <c r="H6228" s="220"/>
      <c r="I6228" s="942"/>
      <c r="J6228" s="942"/>
      <c r="K6228" s="942"/>
      <c r="L6228" s="942"/>
      <c r="M6228" s="942"/>
      <c r="N6228" s="941"/>
    </row>
    <row r="6229" spans="1:14">
      <c r="A6229" s="1121">
        <v>150607</v>
      </c>
      <c r="B6229" s="1494" t="str">
        <f>'27ª MEDIÇÃO '!C437</f>
        <v>Mini-Disjuntor bipolar 25 A, curva C - 5KA 220/127VCA (NBR IEC 60947-2), Ref. Siemens, GE, Schneider ou equivalente</v>
      </c>
      <c r="C6229" s="1495"/>
      <c r="D6229" s="1495"/>
      <c r="E6229" s="1495"/>
      <c r="F6229" s="1495"/>
      <c r="G6229" s="1495"/>
      <c r="H6229" s="1495"/>
      <c r="I6229" s="1495"/>
      <c r="J6229" s="1496"/>
      <c r="K6229" s="196" t="s">
        <v>28</v>
      </c>
      <c r="L6229" s="1497">
        <f>'27ª MEDIÇÃO '!F437</f>
        <v>7</v>
      </c>
      <c r="M6229" s="1498"/>
      <c r="N6229" s="197">
        <f>L6229-H6234</f>
        <v>0</v>
      </c>
    </row>
    <row r="6230" spans="1:14" ht="21.6" customHeight="1">
      <c r="A6230" s="1554"/>
      <c r="B6230" s="1541"/>
      <c r="C6230" s="366"/>
      <c r="D6230" s="367" t="s">
        <v>2183</v>
      </c>
      <c r="E6230" s="1320" t="s">
        <v>2184</v>
      </c>
      <c r="F6230" s="367" t="s">
        <v>2185</v>
      </c>
      <c r="G6230" s="367" t="s">
        <v>2186</v>
      </c>
      <c r="H6230" s="1542" t="s">
        <v>476</v>
      </c>
      <c r="I6230" s="1543"/>
      <c r="J6230" s="1543"/>
      <c r="K6230" s="1543"/>
      <c r="L6230" s="1543"/>
      <c r="M6230" s="1543"/>
      <c r="N6230" s="1566"/>
    </row>
    <row r="6231" spans="1:14" ht="21" customHeight="1">
      <c r="A6231" s="1554"/>
      <c r="B6231" s="1541"/>
      <c r="C6231" s="368" t="s">
        <v>2627</v>
      </c>
      <c r="D6231" s="369" t="s">
        <v>2187</v>
      </c>
      <c r="E6231" s="529" t="s">
        <v>3152</v>
      </c>
      <c r="F6231" s="369" t="s">
        <v>2649</v>
      </c>
      <c r="G6231" s="370" t="s">
        <v>2709</v>
      </c>
      <c r="H6231" s="1542"/>
      <c r="I6231" s="1543"/>
      <c r="J6231" s="1543"/>
      <c r="K6231" s="1543"/>
      <c r="L6231" s="1543"/>
      <c r="M6231" s="1543"/>
      <c r="N6231" s="1566"/>
    </row>
    <row r="6232" spans="1:14">
      <c r="A6232" s="1535" t="s">
        <v>3850</v>
      </c>
      <c r="B6232" s="876" t="s">
        <v>3524</v>
      </c>
      <c r="C6232" s="468">
        <v>7</v>
      </c>
      <c r="D6232" s="287"/>
      <c r="E6232" s="531"/>
      <c r="F6232" s="287"/>
      <c r="G6232" s="431"/>
      <c r="H6232" s="349">
        <f>C6232</f>
        <v>7</v>
      </c>
      <c r="I6232" s="1567"/>
      <c r="J6232" s="1543"/>
      <c r="K6232" s="1543"/>
      <c r="L6232" s="1543"/>
      <c r="M6232" s="1543"/>
      <c r="N6232" s="1566"/>
    </row>
    <row r="6233" spans="1:14">
      <c r="A6233" s="1545"/>
      <c r="B6233" s="876"/>
      <c r="C6233" s="743"/>
      <c r="D6233" s="294"/>
      <c r="E6233" s="348"/>
      <c r="F6233" s="348"/>
      <c r="G6233" s="348"/>
      <c r="H6233" s="349"/>
      <c r="I6233" s="1567"/>
      <c r="J6233" s="1543"/>
      <c r="K6233" s="1543"/>
      <c r="L6233" s="1543"/>
      <c r="M6233" s="1543"/>
      <c r="N6233" s="1566"/>
    </row>
    <row r="6234" spans="1:14">
      <c r="A6234" s="1578" t="s">
        <v>2218</v>
      </c>
      <c r="B6234" s="1538"/>
      <c r="C6234" s="1538"/>
      <c r="D6234" s="1538"/>
      <c r="E6234" s="1538"/>
      <c r="F6234" s="1538"/>
      <c r="G6234" s="1538"/>
      <c r="H6234" s="271">
        <f>SUM(H6232:H6233)</f>
        <v>7</v>
      </c>
      <c r="I6234" s="1567"/>
      <c r="J6234" s="1543"/>
      <c r="K6234" s="1543"/>
      <c r="L6234" s="1543"/>
      <c r="M6234" s="1543"/>
      <c r="N6234" s="1566"/>
    </row>
    <row r="6235" spans="1:14">
      <c r="A6235" s="1519" t="s">
        <v>2219</v>
      </c>
      <c r="B6235" s="1517"/>
      <c r="C6235" s="1517"/>
      <c r="D6235" s="1551"/>
      <c r="E6235" s="1551"/>
      <c r="F6235" s="1551"/>
      <c r="G6235" s="1552"/>
      <c r="H6235" s="325">
        <f>SUM(H6230)</f>
        <v>0</v>
      </c>
      <c r="I6235" s="1543"/>
      <c r="J6235" s="1543"/>
      <c r="K6235" s="1543"/>
      <c r="L6235" s="1543"/>
      <c r="M6235" s="1543"/>
      <c r="N6235" s="1566"/>
    </row>
    <row r="6236" spans="1:14" ht="15.75" thickBot="1">
      <c r="A6236" s="1520" t="s">
        <v>2220</v>
      </c>
      <c r="B6236" s="1521"/>
      <c r="C6236" s="1521"/>
      <c r="D6236" s="1521"/>
      <c r="E6236" s="1521"/>
      <c r="F6236" s="1521"/>
      <c r="G6236" s="1522"/>
      <c r="H6236" s="216">
        <f>H6234-H6235</f>
        <v>7</v>
      </c>
      <c r="I6236" s="1568"/>
      <c r="J6236" s="1568"/>
      <c r="K6236" s="1568"/>
      <c r="L6236" s="1568"/>
      <c r="M6236" s="1568"/>
      <c r="N6236" s="1569"/>
    </row>
    <row r="6237" spans="1:14" ht="15.75" thickBot="1">
      <c r="A6237" s="898"/>
      <c r="B6237" s="898"/>
      <c r="C6237" s="898"/>
      <c r="D6237" s="970"/>
      <c r="E6237" s="1363"/>
      <c r="F6237" s="898"/>
      <c r="G6237" s="899"/>
      <c r="H6237" s="220"/>
      <c r="I6237" s="942"/>
      <c r="J6237" s="942"/>
      <c r="K6237" s="942"/>
      <c r="L6237" s="942"/>
      <c r="M6237" s="942"/>
      <c r="N6237" s="941"/>
    </row>
    <row r="6238" spans="1:14">
      <c r="A6238" s="1121">
        <v>150608</v>
      </c>
      <c r="B6238" s="1494" t="str">
        <f>'27ª MEDIÇÃO '!C438</f>
        <v>Mini-Disjuntor tripolar 63 A, curva C - 5KA 220/127VCA (NBR IEC 60947-2), Ref. Siemens, GE, Schneider ou equivalente</v>
      </c>
      <c r="C6238" s="1495"/>
      <c r="D6238" s="1495"/>
      <c r="E6238" s="1495"/>
      <c r="F6238" s="1495"/>
      <c r="G6238" s="1495"/>
      <c r="H6238" s="1495"/>
      <c r="I6238" s="1495"/>
      <c r="J6238" s="1496"/>
      <c r="K6238" s="196" t="s">
        <v>28</v>
      </c>
      <c r="L6238" s="1497">
        <f>'27ª MEDIÇÃO '!F438</f>
        <v>1</v>
      </c>
      <c r="M6238" s="1498"/>
      <c r="N6238" s="197">
        <f>L6238-H6243</f>
        <v>0</v>
      </c>
    </row>
    <row r="6239" spans="1:14">
      <c r="A6239" s="1554"/>
      <c r="B6239" s="1541"/>
      <c r="C6239" s="366"/>
      <c r="D6239" s="367" t="s">
        <v>2183</v>
      </c>
      <c r="E6239" s="1320" t="s">
        <v>2184</v>
      </c>
      <c r="F6239" s="367" t="s">
        <v>2185</v>
      </c>
      <c r="G6239" s="367" t="s">
        <v>2186</v>
      </c>
      <c r="H6239" s="1542" t="s">
        <v>476</v>
      </c>
      <c r="I6239" s="1543"/>
      <c r="J6239" s="1543"/>
      <c r="K6239" s="1543"/>
      <c r="L6239" s="1543"/>
      <c r="M6239" s="1543"/>
      <c r="N6239" s="1566"/>
    </row>
    <row r="6240" spans="1:14" ht="24">
      <c r="A6240" s="1554"/>
      <c r="B6240" s="1541"/>
      <c r="C6240" s="368" t="s">
        <v>2627</v>
      </c>
      <c r="D6240" s="369" t="s">
        <v>2187</v>
      </c>
      <c r="E6240" s="529" t="s">
        <v>3152</v>
      </c>
      <c r="F6240" s="369" t="s">
        <v>2649</v>
      </c>
      <c r="G6240" s="370" t="s">
        <v>2709</v>
      </c>
      <c r="H6240" s="1542"/>
      <c r="I6240" s="1543"/>
      <c r="J6240" s="1543"/>
      <c r="K6240" s="1543"/>
      <c r="L6240" s="1543"/>
      <c r="M6240" s="1543"/>
      <c r="N6240" s="1566"/>
    </row>
    <row r="6241" spans="1:14" ht="21" customHeight="1">
      <c r="A6241" s="1535" t="s">
        <v>3850</v>
      </c>
      <c r="B6241" s="876" t="s">
        <v>3655</v>
      </c>
      <c r="C6241" s="468">
        <v>1</v>
      </c>
      <c r="D6241" s="287"/>
      <c r="E6241" s="531"/>
      <c r="F6241" s="287"/>
      <c r="G6241" s="431"/>
      <c r="H6241" s="349">
        <f>C6241</f>
        <v>1</v>
      </c>
      <c r="I6241" s="1567"/>
      <c r="J6241" s="1543"/>
      <c r="K6241" s="1543"/>
      <c r="L6241" s="1543"/>
      <c r="M6241" s="1543"/>
      <c r="N6241" s="1566"/>
    </row>
    <row r="6242" spans="1:14">
      <c r="A6242" s="1545"/>
      <c r="B6242" s="876"/>
      <c r="C6242" s="743"/>
      <c r="D6242" s="294"/>
      <c r="E6242" s="348"/>
      <c r="F6242" s="348"/>
      <c r="G6242" s="348"/>
      <c r="H6242" s="349"/>
      <c r="I6242" s="1567"/>
      <c r="J6242" s="1543"/>
      <c r="K6242" s="1543"/>
      <c r="L6242" s="1543"/>
      <c r="M6242" s="1543"/>
      <c r="N6242" s="1566"/>
    </row>
    <row r="6243" spans="1:14">
      <c r="A6243" s="1578" t="s">
        <v>2218</v>
      </c>
      <c r="B6243" s="1538"/>
      <c r="C6243" s="1538"/>
      <c r="D6243" s="1538"/>
      <c r="E6243" s="1538"/>
      <c r="F6243" s="1538"/>
      <c r="G6243" s="1538"/>
      <c r="H6243" s="271">
        <f>SUM(H6241:H6242)</f>
        <v>1</v>
      </c>
      <c r="I6243" s="1567"/>
      <c r="J6243" s="1543"/>
      <c r="K6243" s="1543"/>
      <c r="L6243" s="1543"/>
      <c r="M6243" s="1543"/>
      <c r="N6243" s="1566"/>
    </row>
    <row r="6244" spans="1:14">
      <c r="A6244" s="1519" t="s">
        <v>2219</v>
      </c>
      <c r="B6244" s="1517"/>
      <c r="C6244" s="1517"/>
      <c r="D6244" s="1551"/>
      <c r="E6244" s="1551"/>
      <c r="F6244" s="1551"/>
      <c r="G6244" s="1552"/>
      <c r="H6244" s="325">
        <f>SUM(H6239)</f>
        <v>0</v>
      </c>
      <c r="I6244" s="1543"/>
      <c r="J6244" s="1543"/>
      <c r="K6244" s="1543"/>
      <c r="L6244" s="1543"/>
      <c r="M6244" s="1543"/>
      <c r="N6244" s="1566"/>
    </row>
    <row r="6245" spans="1:14" ht="15.75" thickBot="1">
      <c r="A6245" s="1520" t="s">
        <v>2220</v>
      </c>
      <c r="B6245" s="1521"/>
      <c r="C6245" s="1521"/>
      <c r="D6245" s="1521"/>
      <c r="E6245" s="1521"/>
      <c r="F6245" s="1521"/>
      <c r="G6245" s="1522"/>
      <c r="H6245" s="216">
        <f>H6243-H6244</f>
        <v>1</v>
      </c>
      <c r="I6245" s="1568"/>
      <c r="J6245" s="1568"/>
      <c r="K6245" s="1568"/>
      <c r="L6245" s="1568"/>
      <c r="M6245" s="1568"/>
      <c r="N6245" s="1569"/>
    </row>
    <row r="6246" spans="1:14" ht="15.75" thickBot="1">
      <c r="A6246" s="898"/>
      <c r="B6246" s="898"/>
      <c r="C6246" s="898"/>
      <c r="D6246" s="970"/>
      <c r="E6246" s="1363"/>
      <c r="F6246" s="898"/>
      <c r="G6246" s="899"/>
      <c r="H6246" s="220"/>
      <c r="I6246" s="942"/>
      <c r="J6246" s="942"/>
      <c r="K6246" s="942"/>
      <c r="L6246" s="942"/>
      <c r="M6246" s="942"/>
      <c r="N6246" s="941"/>
    </row>
    <row r="6247" spans="1:14">
      <c r="A6247" s="1121">
        <v>150609</v>
      </c>
      <c r="B6247" s="1494" t="str">
        <f>'27ª MEDIÇÃO '!C439</f>
        <v>Mini-Disjuntor tripolar 80 A, curva C - 5KA 240VCA (NBR IEC 60947-2), Ref. Siemens, GE, Schneider ou equivalente</v>
      </c>
      <c r="C6247" s="1495"/>
      <c r="D6247" s="1495"/>
      <c r="E6247" s="1495"/>
      <c r="F6247" s="1495"/>
      <c r="G6247" s="1495"/>
      <c r="H6247" s="1495"/>
      <c r="I6247" s="1495"/>
      <c r="J6247" s="1496"/>
      <c r="K6247" s="196" t="s">
        <v>28</v>
      </c>
      <c r="L6247" s="1497">
        <f>'27ª MEDIÇÃO '!F439</f>
        <v>1</v>
      </c>
      <c r="M6247" s="1498"/>
      <c r="N6247" s="197">
        <f>L6247-H6252</f>
        <v>0</v>
      </c>
    </row>
    <row r="6248" spans="1:14">
      <c r="A6248" s="1554"/>
      <c r="B6248" s="1541"/>
      <c r="C6248" s="366"/>
      <c r="D6248" s="367" t="s">
        <v>2183</v>
      </c>
      <c r="E6248" s="1320" t="s">
        <v>2184</v>
      </c>
      <c r="F6248" s="367" t="s">
        <v>2185</v>
      </c>
      <c r="G6248" s="367" t="s">
        <v>2186</v>
      </c>
      <c r="H6248" s="1542" t="s">
        <v>476</v>
      </c>
      <c r="I6248" s="1543"/>
      <c r="J6248" s="1543"/>
      <c r="K6248" s="1543"/>
      <c r="L6248" s="1543"/>
      <c r="M6248" s="1543"/>
      <c r="N6248" s="1566"/>
    </row>
    <row r="6249" spans="1:14" ht="24">
      <c r="A6249" s="1554"/>
      <c r="B6249" s="1541"/>
      <c r="C6249" s="368" t="s">
        <v>2627</v>
      </c>
      <c r="D6249" s="369" t="s">
        <v>2187</v>
      </c>
      <c r="E6249" s="529" t="s">
        <v>3152</v>
      </c>
      <c r="F6249" s="369" t="s">
        <v>2649</v>
      </c>
      <c r="G6249" s="370" t="s">
        <v>2709</v>
      </c>
      <c r="H6249" s="1542"/>
      <c r="I6249" s="1543"/>
      <c r="J6249" s="1543"/>
      <c r="K6249" s="1543"/>
      <c r="L6249" s="1543"/>
      <c r="M6249" s="1543"/>
      <c r="N6249" s="1566"/>
    </row>
    <row r="6250" spans="1:14">
      <c r="A6250" s="1535" t="s">
        <v>3850</v>
      </c>
      <c r="B6250" s="876" t="s">
        <v>3524</v>
      </c>
      <c r="C6250" s="468">
        <v>1</v>
      </c>
      <c r="D6250" s="287"/>
      <c r="E6250" s="531"/>
      <c r="F6250" s="287"/>
      <c r="G6250" s="431"/>
      <c r="H6250" s="349">
        <f>C6250</f>
        <v>1</v>
      </c>
      <c r="I6250" s="1567"/>
      <c r="J6250" s="1543"/>
      <c r="K6250" s="1543"/>
      <c r="L6250" s="1543"/>
      <c r="M6250" s="1543"/>
      <c r="N6250" s="1566"/>
    </row>
    <row r="6251" spans="1:14">
      <c r="A6251" s="1545"/>
      <c r="B6251" s="876"/>
      <c r="C6251" s="743"/>
      <c r="D6251" s="294"/>
      <c r="E6251" s="348"/>
      <c r="F6251" s="348"/>
      <c r="G6251" s="348"/>
      <c r="H6251" s="349"/>
      <c r="I6251" s="1567"/>
      <c r="J6251" s="1543"/>
      <c r="K6251" s="1543"/>
      <c r="L6251" s="1543"/>
      <c r="M6251" s="1543"/>
      <c r="N6251" s="1566"/>
    </row>
    <row r="6252" spans="1:14">
      <c r="A6252" s="1578" t="s">
        <v>2218</v>
      </c>
      <c r="B6252" s="1538"/>
      <c r="C6252" s="1538"/>
      <c r="D6252" s="1538"/>
      <c r="E6252" s="1538"/>
      <c r="F6252" s="1538"/>
      <c r="G6252" s="1538"/>
      <c r="H6252" s="271">
        <f>SUM(H6250:H6251)</f>
        <v>1</v>
      </c>
      <c r="I6252" s="1567"/>
      <c r="J6252" s="1543"/>
      <c r="K6252" s="1543"/>
      <c r="L6252" s="1543"/>
      <c r="M6252" s="1543"/>
      <c r="N6252" s="1566"/>
    </row>
    <row r="6253" spans="1:14" ht="21" customHeight="1">
      <c r="A6253" s="1519" t="s">
        <v>2219</v>
      </c>
      <c r="B6253" s="1517"/>
      <c r="C6253" s="1517"/>
      <c r="D6253" s="1551"/>
      <c r="E6253" s="1551"/>
      <c r="F6253" s="1551"/>
      <c r="G6253" s="1552"/>
      <c r="H6253" s="325">
        <f>SUM(H6248)</f>
        <v>0</v>
      </c>
      <c r="I6253" s="1543"/>
      <c r="J6253" s="1543"/>
      <c r="K6253" s="1543"/>
      <c r="L6253" s="1543"/>
      <c r="M6253" s="1543"/>
      <c r="N6253" s="1566"/>
    </row>
    <row r="6254" spans="1:14" ht="15.75" thickBot="1">
      <c r="A6254" s="1520" t="s">
        <v>2220</v>
      </c>
      <c r="B6254" s="1521"/>
      <c r="C6254" s="1521"/>
      <c r="D6254" s="1521"/>
      <c r="E6254" s="1521"/>
      <c r="F6254" s="1521"/>
      <c r="G6254" s="1522"/>
      <c r="H6254" s="216">
        <f>H6252-H6253</f>
        <v>1</v>
      </c>
      <c r="I6254" s="1568"/>
      <c r="J6254" s="1568"/>
      <c r="K6254" s="1568"/>
      <c r="L6254" s="1568"/>
      <c r="M6254" s="1568"/>
      <c r="N6254" s="1569"/>
    </row>
    <row r="6255" spans="1:14" ht="15.75" thickBot="1">
      <c r="A6255" s="898"/>
      <c r="B6255" s="898"/>
      <c r="C6255" s="898"/>
      <c r="D6255" s="970"/>
      <c r="E6255" s="1363"/>
      <c r="F6255" s="898"/>
      <c r="G6255" s="899"/>
      <c r="H6255" s="220"/>
      <c r="I6255" s="942"/>
      <c r="J6255" s="942"/>
      <c r="K6255" s="942"/>
      <c r="L6255" s="942"/>
      <c r="M6255" s="942"/>
      <c r="N6255" s="941"/>
    </row>
    <row r="6256" spans="1:14">
      <c r="A6256" s="1121">
        <v>150610</v>
      </c>
      <c r="B6256" s="1494" t="str">
        <f>'27ª MEDIÇÃO '!C440</f>
        <v>Disjuntor Compacto em caixa moldada tripolar 100 A, curva C - 15KA 240VCA (NBR IEC 60947-2), Ref. Siemens, GE, Schneider ou equivalente</v>
      </c>
      <c r="C6256" s="1495"/>
      <c r="D6256" s="1495"/>
      <c r="E6256" s="1495"/>
      <c r="F6256" s="1495"/>
      <c r="G6256" s="1495"/>
      <c r="H6256" s="1495"/>
      <c r="I6256" s="1495"/>
      <c r="J6256" s="1496"/>
      <c r="K6256" s="196" t="s">
        <v>28</v>
      </c>
      <c r="L6256" s="1497">
        <f>'27ª MEDIÇÃO '!F440</f>
        <v>2</v>
      </c>
      <c r="M6256" s="1498"/>
      <c r="N6256" s="197">
        <f>L6256-H6261</f>
        <v>0</v>
      </c>
    </row>
    <row r="6257" spans="1:14">
      <c r="A6257" s="1554"/>
      <c r="B6257" s="1541"/>
      <c r="C6257" s="366"/>
      <c r="D6257" s="367" t="s">
        <v>2183</v>
      </c>
      <c r="E6257" s="1320" t="s">
        <v>2184</v>
      </c>
      <c r="F6257" s="367" t="s">
        <v>2185</v>
      </c>
      <c r="G6257" s="367" t="s">
        <v>2186</v>
      </c>
      <c r="H6257" s="1542" t="s">
        <v>476</v>
      </c>
      <c r="I6257" s="1543"/>
      <c r="J6257" s="1543"/>
      <c r="K6257" s="1543"/>
      <c r="L6257" s="1543"/>
      <c r="M6257" s="1543"/>
      <c r="N6257" s="1566"/>
    </row>
    <row r="6258" spans="1:14" ht="24">
      <c r="A6258" s="1554"/>
      <c r="B6258" s="1541"/>
      <c r="C6258" s="368" t="s">
        <v>2627</v>
      </c>
      <c r="D6258" s="369" t="s">
        <v>2187</v>
      </c>
      <c r="E6258" s="529" t="s">
        <v>3152</v>
      </c>
      <c r="F6258" s="369" t="s">
        <v>2649</v>
      </c>
      <c r="G6258" s="370" t="s">
        <v>2709</v>
      </c>
      <c r="H6258" s="1542"/>
      <c r="I6258" s="1543"/>
      <c r="J6258" s="1543"/>
      <c r="K6258" s="1543"/>
      <c r="L6258" s="1543"/>
      <c r="M6258" s="1543"/>
      <c r="N6258" s="1566"/>
    </row>
    <row r="6259" spans="1:14">
      <c r="A6259" s="1535" t="s">
        <v>3850</v>
      </c>
      <c r="B6259" s="876" t="s">
        <v>3524</v>
      </c>
      <c r="C6259" s="1200">
        <v>1</v>
      </c>
      <c r="D6259" s="287"/>
      <c r="E6259" s="531"/>
      <c r="F6259" s="287"/>
      <c r="G6259" s="431"/>
      <c r="H6259" s="349">
        <f>C6259</f>
        <v>1</v>
      </c>
      <c r="I6259" s="1567"/>
      <c r="J6259" s="1543"/>
      <c r="K6259" s="1543"/>
      <c r="L6259" s="1543"/>
      <c r="M6259" s="1543"/>
      <c r="N6259" s="1566"/>
    </row>
    <row r="6260" spans="1:14">
      <c r="A6260" s="1545"/>
      <c r="B6260" s="876" t="s">
        <v>3655</v>
      </c>
      <c r="C6260" s="1201">
        <v>1</v>
      </c>
      <c r="D6260" s="294"/>
      <c r="E6260" s="348"/>
      <c r="F6260" s="348"/>
      <c r="G6260" s="348"/>
      <c r="H6260" s="349">
        <f>C6260</f>
        <v>1</v>
      </c>
      <c r="I6260" s="1567"/>
      <c r="J6260" s="1543"/>
      <c r="K6260" s="1543"/>
      <c r="L6260" s="1543"/>
      <c r="M6260" s="1543"/>
      <c r="N6260" s="1566"/>
    </row>
    <row r="6261" spans="1:14">
      <c r="A6261" s="1578" t="s">
        <v>2218</v>
      </c>
      <c r="B6261" s="1538"/>
      <c r="C6261" s="1538"/>
      <c r="D6261" s="1538"/>
      <c r="E6261" s="1538"/>
      <c r="F6261" s="1538"/>
      <c r="G6261" s="1538"/>
      <c r="H6261" s="271">
        <f>SUM(H6259:H6260)</f>
        <v>2</v>
      </c>
      <c r="I6261" s="1567"/>
      <c r="J6261" s="1543"/>
      <c r="K6261" s="1543"/>
      <c r="L6261" s="1543"/>
      <c r="M6261" s="1543"/>
      <c r="N6261" s="1566"/>
    </row>
    <row r="6262" spans="1:14">
      <c r="A6262" s="1519" t="s">
        <v>2219</v>
      </c>
      <c r="B6262" s="1517"/>
      <c r="C6262" s="1517"/>
      <c r="D6262" s="1551"/>
      <c r="E6262" s="1551"/>
      <c r="F6262" s="1551"/>
      <c r="G6262" s="1552"/>
      <c r="H6262" s="325">
        <f>SUM(H6257)</f>
        <v>0</v>
      </c>
      <c r="I6262" s="1543"/>
      <c r="J6262" s="1543"/>
      <c r="K6262" s="1543"/>
      <c r="L6262" s="1543"/>
      <c r="M6262" s="1543"/>
      <c r="N6262" s="1566"/>
    </row>
    <row r="6263" spans="1:14" ht="21" customHeight="1" thickBot="1">
      <c r="A6263" s="1520" t="s">
        <v>2220</v>
      </c>
      <c r="B6263" s="1521"/>
      <c r="C6263" s="1521"/>
      <c r="D6263" s="1521"/>
      <c r="E6263" s="1521"/>
      <c r="F6263" s="1521"/>
      <c r="G6263" s="1522"/>
      <c r="H6263" s="216">
        <f>H6261-H6262</f>
        <v>2</v>
      </c>
      <c r="I6263" s="1568"/>
      <c r="J6263" s="1568"/>
      <c r="K6263" s="1568"/>
      <c r="L6263" s="1568"/>
      <c r="M6263" s="1568"/>
      <c r="N6263" s="1569"/>
    </row>
    <row r="6264" spans="1:14" ht="15.75" thickBot="1">
      <c r="A6264" s="898"/>
      <c r="B6264" s="898"/>
      <c r="C6264" s="898"/>
      <c r="D6264" s="970"/>
      <c r="E6264" s="1363"/>
      <c r="F6264" s="898"/>
      <c r="G6264" s="899"/>
      <c r="H6264" s="220"/>
      <c r="I6264" s="942"/>
      <c r="J6264" s="942"/>
      <c r="K6264" s="942"/>
      <c r="L6264" s="942"/>
      <c r="M6264" s="942"/>
      <c r="N6264" s="941"/>
    </row>
    <row r="6265" spans="1:14">
      <c r="A6265" s="1121">
        <v>150611</v>
      </c>
      <c r="B6265" s="1494" t="str">
        <f>'27ª MEDIÇÃO '!C441</f>
        <v>Disjuntor Compacto em caixa moldada tripolar 200 A, 50KA 220/240V / 25KA 380/415V 20KA/440V (NBR IEC 60947-2), Ref. Siemens, GE, Schneider ou equivalente</v>
      </c>
      <c r="C6265" s="1495"/>
      <c r="D6265" s="1495"/>
      <c r="E6265" s="1495"/>
      <c r="F6265" s="1495"/>
      <c r="G6265" s="1495"/>
      <c r="H6265" s="1495"/>
      <c r="I6265" s="1495"/>
      <c r="J6265" s="1496"/>
      <c r="K6265" s="196" t="s">
        <v>28</v>
      </c>
      <c r="L6265" s="1497">
        <f>'27ª MEDIÇÃO '!F441</f>
        <v>1</v>
      </c>
      <c r="M6265" s="1498"/>
      <c r="N6265" s="197">
        <f>L6265-H6270</f>
        <v>0</v>
      </c>
    </row>
    <row r="6266" spans="1:14">
      <c r="A6266" s="1554"/>
      <c r="B6266" s="1541"/>
      <c r="C6266" s="366"/>
      <c r="D6266" s="367" t="s">
        <v>2183</v>
      </c>
      <c r="E6266" s="1320" t="s">
        <v>2184</v>
      </c>
      <c r="F6266" s="367" t="s">
        <v>2185</v>
      </c>
      <c r="G6266" s="367" t="s">
        <v>2186</v>
      </c>
      <c r="H6266" s="1542" t="s">
        <v>476</v>
      </c>
      <c r="I6266" s="1543"/>
      <c r="J6266" s="1543"/>
      <c r="K6266" s="1543"/>
      <c r="L6266" s="1543"/>
      <c r="M6266" s="1543"/>
      <c r="N6266" s="1566"/>
    </row>
    <row r="6267" spans="1:14" ht="24">
      <c r="A6267" s="1554"/>
      <c r="B6267" s="1541"/>
      <c r="C6267" s="368" t="s">
        <v>2627</v>
      </c>
      <c r="D6267" s="369" t="s">
        <v>2187</v>
      </c>
      <c r="E6267" s="529" t="s">
        <v>3152</v>
      </c>
      <c r="F6267" s="369" t="s">
        <v>2649</v>
      </c>
      <c r="G6267" s="370" t="s">
        <v>2709</v>
      </c>
      <c r="H6267" s="1542"/>
      <c r="I6267" s="1543"/>
      <c r="J6267" s="1543"/>
      <c r="K6267" s="1543"/>
      <c r="L6267" s="1543"/>
      <c r="M6267" s="1543"/>
      <c r="N6267" s="1566"/>
    </row>
    <row r="6268" spans="1:14">
      <c r="A6268" s="1535" t="s">
        <v>3850</v>
      </c>
      <c r="B6268" s="876" t="s">
        <v>3524</v>
      </c>
      <c r="C6268" s="468">
        <v>1</v>
      </c>
      <c r="D6268" s="287"/>
      <c r="E6268" s="531"/>
      <c r="F6268" s="287"/>
      <c r="G6268" s="431"/>
      <c r="H6268" s="349">
        <f>C6268</f>
        <v>1</v>
      </c>
      <c r="I6268" s="1567"/>
      <c r="J6268" s="1543"/>
      <c r="K6268" s="1543"/>
      <c r="L6268" s="1543"/>
      <c r="M6268" s="1543"/>
      <c r="N6268" s="1566"/>
    </row>
    <row r="6269" spans="1:14">
      <c r="A6269" s="1545"/>
      <c r="B6269" s="876"/>
      <c r="C6269" s="743"/>
      <c r="D6269" s="294"/>
      <c r="E6269" s="348"/>
      <c r="F6269" s="348"/>
      <c r="G6269" s="348"/>
      <c r="H6269" s="349"/>
      <c r="I6269" s="1567"/>
      <c r="J6269" s="1543"/>
      <c r="K6269" s="1543"/>
      <c r="L6269" s="1543"/>
      <c r="M6269" s="1543"/>
      <c r="N6269" s="1566"/>
    </row>
    <row r="6270" spans="1:14">
      <c r="A6270" s="1578" t="s">
        <v>2218</v>
      </c>
      <c r="B6270" s="1538"/>
      <c r="C6270" s="1538"/>
      <c r="D6270" s="1538"/>
      <c r="E6270" s="1538"/>
      <c r="F6270" s="1538"/>
      <c r="G6270" s="1538"/>
      <c r="H6270" s="271">
        <f>SUM(H6268:H6269)</f>
        <v>1</v>
      </c>
      <c r="I6270" s="1567"/>
      <c r="J6270" s="1543"/>
      <c r="K6270" s="1543"/>
      <c r="L6270" s="1543"/>
      <c r="M6270" s="1543"/>
      <c r="N6270" s="1566"/>
    </row>
    <row r="6271" spans="1:14">
      <c r="A6271" s="1519" t="s">
        <v>2219</v>
      </c>
      <c r="B6271" s="1517"/>
      <c r="C6271" s="1517"/>
      <c r="D6271" s="1551"/>
      <c r="E6271" s="1551"/>
      <c r="F6271" s="1551"/>
      <c r="G6271" s="1552"/>
      <c r="H6271" s="325">
        <f>SUM(H6266)</f>
        <v>0</v>
      </c>
      <c r="I6271" s="1543"/>
      <c r="J6271" s="1543"/>
      <c r="K6271" s="1543"/>
      <c r="L6271" s="1543"/>
      <c r="M6271" s="1543"/>
      <c r="N6271" s="1566"/>
    </row>
    <row r="6272" spans="1:14" ht="15.75" thickBot="1">
      <c r="A6272" s="1520" t="s">
        <v>2220</v>
      </c>
      <c r="B6272" s="1521"/>
      <c r="C6272" s="1521"/>
      <c r="D6272" s="1521"/>
      <c r="E6272" s="1521"/>
      <c r="F6272" s="1521"/>
      <c r="G6272" s="1522"/>
      <c r="H6272" s="216">
        <f>H6270-H6271</f>
        <v>1</v>
      </c>
      <c r="I6272" s="1568"/>
      <c r="J6272" s="1568"/>
      <c r="K6272" s="1568"/>
      <c r="L6272" s="1568"/>
      <c r="M6272" s="1568"/>
      <c r="N6272" s="1569"/>
    </row>
    <row r="6273" spans="1:14" ht="25.15" customHeight="1" thickBot="1">
      <c r="A6273" s="898"/>
      <c r="B6273" s="898"/>
      <c r="C6273" s="898"/>
      <c r="D6273" s="970"/>
      <c r="E6273" s="1363"/>
      <c r="F6273" s="898"/>
      <c r="G6273" s="899"/>
      <c r="H6273" s="220"/>
      <c r="I6273" s="942"/>
      <c r="J6273" s="942"/>
      <c r="K6273" s="942"/>
      <c r="L6273" s="942"/>
      <c r="M6273" s="942"/>
      <c r="N6273" s="941"/>
    </row>
    <row r="6274" spans="1:14" ht="21.6" customHeight="1">
      <c r="A6274" s="1121">
        <v>150612</v>
      </c>
      <c r="B6274" s="1494" t="str">
        <f>'27ª MEDIÇÃO '!C442</f>
        <v>Dispositivo de proteção contra surto (DPS) bipolar, tensão nominal máxima 275VCA, corente de surto máxima 40KA.</v>
      </c>
      <c r="C6274" s="1495"/>
      <c r="D6274" s="1495"/>
      <c r="E6274" s="1495"/>
      <c r="F6274" s="1495"/>
      <c r="G6274" s="1495"/>
      <c r="H6274" s="1495"/>
      <c r="I6274" s="1495"/>
      <c r="J6274" s="1496"/>
      <c r="K6274" s="196" t="s">
        <v>28</v>
      </c>
      <c r="L6274" s="1497">
        <f>'27ª MEDIÇÃO '!F442</f>
        <v>20</v>
      </c>
      <c r="M6274" s="1498"/>
      <c r="N6274" s="197">
        <f>L6274-H6279</f>
        <v>0</v>
      </c>
    </row>
    <row r="6275" spans="1:14">
      <c r="A6275" s="1554"/>
      <c r="B6275" s="1541"/>
      <c r="C6275" s="366"/>
      <c r="D6275" s="367" t="s">
        <v>2183</v>
      </c>
      <c r="E6275" s="1320" t="s">
        <v>2184</v>
      </c>
      <c r="F6275" s="367" t="s">
        <v>2185</v>
      </c>
      <c r="G6275" s="367" t="s">
        <v>2186</v>
      </c>
      <c r="H6275" s="1542" t="s">
        <v>476</v>
      </c>
      <c r="I6275" s="1543"/>
      <c r="J6275" s="1543"/>
      <c r="K6275" s="1543"/>
      <c r="L6275" s="1543"/>
      <c r="M6275" s="1543"/>
      <c r="N6275" s="1566"/>
    </row>
    <row r="6276" spans="1:14" ht="24">
      <c r="A6276" s="1554"/>
      <c r="B6276" s="1541"/>
      <c r="C6276" s="368" t="s">
        <v>2627</v>
      </c>
      <c r="D6276" s="369" t="s">
        <v>2187</v>
      </c>
      <c r="E6276" s="529" t="s">
        <v>3152</v>
      </c>
      <c r="F6276" s="369" t="s">
        <v>2649</v>
      </c>
      <c r="G6276" s="370" t="s">
        <v>2709</v>
      </c>
      <c r="H6276" s="1542"/>
      <c r="I6276" s="1543"/>
      <c r="J6276" s="1543"/>
      <c r="K6276" s="1543"/>
      <c r="L6276" s="1543"/>
      <c r="M6276" s="1543"/>
      <c r="N6276" s="1566"/>
    </row>
    <row r="6277" spans="1:14">
      <c r="A6277" s="1535" t="s">
        <v>3850</v>
      </c>
      <c r="B6277" s="876" t="s">
        <v>3524</v>
      </c>
      <c r="C6277" s="1200">
        <v>12</v>
      </c>
      <c r="D6277" s="287"/>
      <c r="E6277" s="531"/>
      <c r="F6277" s="287"/>
      <c r="G6277" s="431"/>
      <c r="H6277" s="349">
        <f>C6277</f>
        <v>12</v>
      </c>
      <c r="I6277" s="1567"/>
      <c r="J6277" s="1543"/>
      <c r="K6277" s="1543"/>
      <c r="L6277" s="1543"/>
      <c r="M6277" s="1543"/>
      <c r="N6277" s="1566"/>
    </row>
    <row r="6278" spans="1:14">
      <c r="A6278" s="1545"/>
      <c r="B6278" s="876" t="s">
        <v>3655</v>
      </c>
      <c r="C6278" s="1201">
        <v>8</v>
      </c>
      <c r="D6278" s="294"/>
      <c r="E6278" s="348"/>
      <c r="F6278" s="348"/>
      <c r="G6278" s="348"/>
      <c r="H6278" s="349">
        <f>C6278</f>
        <v>8</v>
      </c>
      <c r="I6278" s="1567"/>
      <c r="J6278" s="1543"/>
      <c r="K6278" s="1543"/>
      <c r="L6278" s="1543"/>
      <c r="M6278" s="1543"/>
      <c r="N6278" s="1566"/>
    </row>
    <row r="6279" spans="1:14">
      <c r="A6279" s="1578" t="s">
        <v>2218</v>
      </c>
      <c r="B6279" s="1538"/>
      <c r="C6279" s="1538"/>
      <c r="D6279" s="1538"/>
      <c r="E6279" s="1538"/>
      <c r="F6279" s="1538"/>
      <c r="G6279" s="1538"/>
      <c r="H6279" s="271">
        <f>SUM(H6277:H6278)</f>
        <v>20</v>
      </c>
      <c r="I6279" s="1567"/>
      <c r="J6279" s="1543"/>
      <c r="K6279" s="1543"/>
      <c r="L6279" s="1543"/>
      <c r="M6279" s="1543"/>
      <c r="N6279" s="1566"/>
    </row>
    <row r="6280" spans="1:14">
      <c r="A6280" s="1519" t="s">
        <v>2219</v>
      </c>
      <c r="B6280" s="1517"/>
      <c r="C6280" s="1517"/>
      <c r="D6280" s="1551"/>
      <c r="E6280" s="1551"/>
      <c r="F6280" s="1551"/>
      <c r="G6280" s="1552"/>
      <c r="H6280" s="325">
        <f>SUM(H6275)</f>
        <v>0</v>
      </c>
      <c r="I6280" s="1543"/>
      <c r="J6280" s="1543"/>
      <c r="K6280" s="1543"/>
      <c r="L6280" s="1543"/>
      <c r="M6280" s="1543"/>
      <c r="N6280" s="1566"/>
    </row>
    <row r="6281" spans="1:14" ht="15.75" thickBot="1">
      <c r="A6281" s="1520" t="s">
        <v>2220</v>
      </c>
      <c r="B6281" s="1521"/>
      <c r="C6281" s="1521"/>
      <c r="D6281" s="1521"/>
      <c r="E6281" s="1521"/>
      <c r="F6281" s="1521"/>
      <c r="G6281" s="1522"/>
      <c r="H6281" s="216">
        <f>H6279-H6280</f>
        <v>20</v>
      </c>
      <c r="I6281" s="1568"/>
      <c r="J6281" s="1568"/>
      <c r="K6281" s="1568"/>
      <c r="L6281" s="1568"/>
      <c r="M6281" s="1568"/>
      <c r="N6281" s="1569"/>
    </row>
    <row r="6282" spans="1:14">
      <c r="A6282" s="898"/>
      <c r="B6282" s="898"/>
      <c r="C6282" s="898"/>
      <c r="D6282" s="970"/>
      <c r="E6282" s="1363"/>
      <c r="F6282" s="898"/>
      <c r="G6282" s="899"/>
      <c r="H6282" s="220"/>
      <c r="I6282" s="942"/>
      <c r="J6282" s="942"/>
      <c r="K6282" s="942"/>
      <c r="L6282" s="942"/>
      <c r="M6282" s="942"/>
      <c r="N6282" s="941"/>
    </row>
    <row r="6283" spans="1:14" ht="15.75" thickBot="1">
      <c r="A6283" s="970">
        <v>1507</v>
      </c>
      <c r="B6283" s="898" t="s">
        <v>1588</v>
      </c>
      <c r="C6283" s="898"/>
      <c r="D6283" s="970"/>
      <c r="E6283" s="1363"/>
      <c r="F6283" s="898"/>
      <c r="G6283" s="899"/>
      <c r="H6283" s="220"/>
      <c r="I6283" s="942"/>
      <c r="J6283" s="942"/>
      <c r="K6283" s="942"/>
      <c r="L6283" s="942"/>
      <c r="M6283" s="942"/>
      <c r="N6283" s="941"/>
    </row>
    <row r="6284" spans="1:14">
      <c r="A6284" s="1121">
        <v>150701</v>
      </c>
      <c r="B6284" s="1494" t="s">
        <v>1591</v>
      </c>
      <c r="C6284" s="1495"/>
      <c r="D6284" s="1495"/>
      <c r="E6284" s="1495"/>
      <c r="F6284" s="1495"/>
      <c r="G6284" s="1495"/>
      <c r="H6284" s="1495"/>
      <c r="I6284" s="1495"/>
      <c r="J6284" s="1496"/>
      <c r="K6284" s="196" t="s">
        <v>28</v>
      </c>
      <c r="L6284" s="1497">
        <v>3</v>
      </c>
      <c r="M6284" s="1498"/>
      <c r="N6284" s="197">
        <f>L6284-H6289</f>
        <v>0</v>
      </c>
    </row>
    <row r="6285" spans="1:14">
      <c r="A6285" s="1554"/>
      <c r="B6285" s="1541"/>
      <c r="C6285" s="366"/>
      <c r="D6285" s="367" t="s">
        <v>2183</v>
      </c>
      <c r="E6285" s="1320" t="s">
        <v>2184</v>
      </c>
      <c r="F6285" s="367" t="s">
        <v>2185</v>
      </c>
      <c r="G6285" s="367" t="s">
        <v>2186</v>
      </c>
      <c r="H6285" s="1542" t="s">
        <v>476</v>
      </c>
      <c r="I6285" s="1543"/>
      <c r="J6285" s="1543"/>
      <c r="K6285" s="1543"/>
      <c r="L6285" s="1543"/>
      <c r="M6285" s="1543"/>
      <c r="N6285" s="1566"/>
    </row>
    <row r="6286" spans="1:14" ht="24">
      <c r="A6286" s="1554"/>
      <c r="B6286" s="1541"/>
      <c r="C6286" s="368" t="s">
        <v>2627</v>
      </c>
      <c r="D6286" s="369" t="s">
        <v>2187</v>
      </c>
      <c r="E6286" s="529" t="s">
        <v>3152</v>
      </c>
      <c r="F6286" s="369" t="s">
        <v>2649</v>
      </c>
      <c r="G6286" s="370" t="s">
        <v>2709</v>
      </c>
      <c r="H6286" s="1542"/>
      <c r="I6286" s="1543"/>
      <c r="J6286" s="1543"/>
      <c r="K6286" s="1543"/>
      <c r="L6286" s="1543"/>
      <c r="M6286" s="1543"/>
      <c r="N6286" s="1566"/>
    </row>
    <row r="6287" spans="1:14">
      <c r="A6287" s="1535" t="s">
        <v>3745</v>
      </c>
      <c r="B6287" s="876" t="s">
        <v>3815</v>
      </c>
      <c r="C6287" s="468">
        <v>3</v>
      </c>
      <c r="D6287" s="287"/>
      <c r="E6287" s="531"/>
      <c r="F6287" s="287"/>
      <c r="G6287" s="431"/>
      <c r="H6287" s="349">
        <f>C6287</f>
        <v>3</v>
      </c>
      <c r="I6287" s="1567"/>
      <c r="J6287" s="1543"/>
      <c r="K6287" s="1543"/>
      <c r="L6287" s="1543"/>
      <c r="M6287" s="1543"/>
      <c r="N6287" s="1566"/>
    </row>
    <row r="6288" spans="1:14">
      <c r="A6288" s="1545"/>
      <c r="C6288" s="743"/>
      <c r="D6288" s="294"/>
      <c r="E6288" s="348"/>
      <c r="F6288" s="348"/>
      <c r="G6288" s="348"/>
      <c r="H6288" s="349"/>
      <c r="I6288" s="1567"/>
      <c r="J6288" s="1543"/>
      <c r="K6288" s="1543"/>
      <c r="L6288" s="1543"/>
      <c r="M6288" s="1543"/>
      <c r="N6288" s="1566"/>
    </row>
    <row r="6289" spans="1:14">
      <c r="A6289" s="1578" t="s">
        <v>2218</v>
      </c>
      <c r="B6289" s="1538"/>
      <c r="C6289" s="1538"/>
      <c r="D6289" s="1538"/>
      <c r="E6289" s="1538"/>
      <c r="F6289" s="1538"/>
      <c r="G6289" s="1538"/>
      <c r="H6289" s="271">
        <f>SUM(H6287:H6288)</f>
        <v>3</v>
      </c>
      <c r="I6289" s="1567"/>
      <c r="J6289" s="1543"/>
      <c r="K6289" s="1543"/>
      <c r="L6289" s="1543"/>
      <c r="M6289" s="1543"/>
      <c r="N6289" s="1566"/>
    </row>
    <row r="6290" spans="1:14">
      <c r="A6290" s="1519" t="s">
        <v>2219</v>
      </c>
      <c r="B6290" s="1517"/>
      <c r="C6290" s="1517"/>
      <c r="D6290" s="1551"/>
      <c r="E6290" s="1551"/>
      <c r="F6290" s="1551"/>
      <c r="G6290" s="1552"/>
      <c r="H6290" s="325">
        <f>SUM(H6285)</f>
        <v>0</v>
      </c>
      <c r="I6290" s="1543"/>
      <c r="J6290" s="1543"/>
      <c r="K6290" s="1543"/>
      <c r="L6290" s="1543"/>
      <c r="M6290" s="1543"/>
      <c r="N6290" s="1566"/>
    </row>
    <row r="6291" spans="1:14" ht="15.75" thickBot="1">
      <c r="A6291" s="1520" t="s">
        <v>2220</v>
      </c>
      <c r="B6291" s="1521"/>
      <c r="C6291" s="1521"/>
      <c r="D6291" s="1521"/>
      <c r="E6291" s="1521"/>
      <c r="F6291" s="1521"/>
      <c r="G6291" s="1522"/>
      <c r="H6291" s="216">
        <f>H6289-H6290</f>
        <v>3</v>
      </c>
      <c r="I6291" s="1568"/>
      <c r="J6291" s="1568"/>
      <c r="K6291" s="1568"/>
      <c r="L6291" s="1568"/>
      <c r="M6291" s="1568"/>
      <c r="N6291" s="1569"/>
    </row>
    <row r="6292" spans="1:14" ht="15.75" thickBot="1">
      <c r="A6292" s="898"/>
      <c r="B6292" s="898"/>
      <c r="C6292" s="898"/>
      <c r="D6292" s="970"/>
      <c r="E6292" s="1363"/>
      <c r="F6292" s="898"/>
      <c r="G6292" s="899"/>
      <c r="H6292" s="220"/>
      <c r="I6292" s="942"/>
      <c r="J6292" s="942"/>
      <c r="K6292" s="942"/>
      <c r="L6292" s="942"/>
      <c r="M6292" s="942"/>
      <c r="N6292" s="941"/>
    </row>
    <row r="6293" spans="1:14">
      <c r="A6293" s="1121">
        <v>150702</v>
      </c>
      <c r="B6293" s="1494" t="s">
        <v>1594</v>
      </c>
      <c r="C6293" s="1495"/>
      <c r="D6293" s="1495"/>
      <c r="E6293" s="1495"/>
      <c r="F6293" s="1495"/>
      <c r="G6293" s="1495"/>
      <c r="H6293" s="1495"/>
      <c r="I6293" s="1495"/>
      <c r="J6293" s="1496"/>
      <c r="K6293" s="196" t="s">
        <v>28</v>
      </c>
      <c r="L6293" s="1497">
        <v>55</v>
      </c>
      <c r="M6293" s="1498"/>
      <c r="N6293" s="197">
        <f>L6293-H6298</f>
        <v>0</v>
      </c>
    </row>
    <row r="6294" spans="1:14">
      <c r="A6294" s="1554"/>
      <c r="B6294" s="1541"/>
      <c r="C6294" s="366"/>
      <c r="D6294" s="367" t="s">
        <v>2183</v>
      </c>
      <c r="E6294" s="1320" t="s">
        <v>2184</v>
      </c>
      <c r="F6294" s="367" t="s">
        <v>2185</v>
      </c>
      <c r="G6294" s="367" t="s">
        <v>2186</v>
      </c>
      <c r="H6294" s="1542" t="s">
        <v>476</v>
      </c>
      <c r="I6294" s="1543"/>
      <c r="J6294" s="1543"/>
      <c r="K6294" s="1543"/>
      <c r="L6294" s="1543"/>
      <c r="M6294" s="1543"/>
      <c r="N6294" s="1566"/>
    </row>
    <row r="6295" spans="1:14" ht="24">
      <c r="A6295" s="1554"/>
      <c r="B6295" s="1541"/>
      <c r="C6295" s="368" t="s">
        <v>2627</v>
      </c>
      <c r="D6295" s="369" t="s">
        <v>2187</v>
      </c>
      <c r="E6295" s="529" t="s">
        <v>3152</v>
      </c>
      <c r="F6295" s="369" t="s">
        <v>2649</v>
      </c>
      <c r="G6295" s="370" t="s">
        <v>2709</v>
      </c>
      <c r="H6295" s="1542"/>
      <c r="I6295" s="1543"/>
      <c r="J6295" s="1543"/>
      <c r="K6295" s="1543"/>
      <c r="L6295" s="1543"/>
      <c r="M6295" s="1543"/>
      <c r="N6295" s="1566"/>
    </row>
    <row r="6296" spans="1:14">
      <c r="A6296" s="1194" t="s">
        <v>3745</v>
      </c>
      <c r="B6296" s="876" t="s">
        <v>3820</v>
      </c>
      <c r="C6296" s="317">
        <v>18</v>
      </c>
      <c r="D6296" s="287"/>
      <c r="E6296" s="531"/>
      <c r="F6296" s="287"/>
      <c r="G6296" s="431"/>
      <c r="H6296" s="349">
        <f>C6296</f>
        <v>18</v>
      </c>
      <c r="I6296" s="1567"/>
      <c r="J6296" s="1543"/>
      <c r="K6296" s="1543"/>
      <c r="L6296" s="1543"/>
      <c r="M6296" s="1543"/>
      <c r="N6296" s="1566"/>
    </row>
    <row r="6297" spans="1:14">
      <c r="A6297" s="1137" t="s">
        <v>3850</v>
      </c>
      <c r="B6297" s="876" t="s">
        <v>3524</v>
      </c>
      <c r="C6297" s="743">
        <v>37</v>
      </c>
      <c r="D6297" s="294"/>
      <c r="E6297" s="348"/>
      <c r="F6297" s="348"/>
      <c r="G6297" s="348"/>
      <c r="H6297" s="349">
        <f>C6297</f>
        <v>37</v>
      </c>
      <c r="I6297" s="1567"/>
      <c r="J6297" s="1543"/>
      <c r="K6297" s="1543"/>
      <c r="L6297" s="1543"/>
      <c r="M6297" s="1543"/>
      <c r="N6297" s="1566"/>
    </row>
    <row r="6298" spans="1:14">
      <c r="A6298" s="1578" t="s">
        <v>2218</v>
      </c>
      <c r="B6298" s="1538"/>
      <c r="C6298" s="1538"/>
      <c r="D6298" s="1538"/>
      <c r="E6298" s="1538"/>
      <c r="F6298" s="1538"/>
      <c r="G6298" s="1538"/>
      <c r="H6298" s="271">
        <f>SUM(H6296:H6297)</f>
        <v>55</v>
      </c>
      <c r="I6298" s="1567"/>
      <c r="J6298" s="1543"/>
      <c r="K6298" s="1543"/>
      <c r="L6298" s="1543"/>
      <c r="M6298" s="1543"/>
      <c r="N6298" s="1566"/>
    </row>
    <row r="6299" spans="1:14">
      <c r="A6299" s="1519" t="s">
        <v>2219</v>
      </c>
      <c r="B6299" s="1517"/>
      <c r="C6299" s="1517"/>
      <c r="D6299" s="1551"/>
      <c r="E6299" s="1551"/>
      <c r="F6299" s="1551"/>
      <c r="G6299" s="1552"/>
      <c r="H6299" s="325">
        <f>H6296</f>
        <v>18</v>
      </c>
      <c r="I6299" s="1543"/>
      <c r="J6299" s="1543"/>
      <c r="K6299" s="1543"/>
      <c r="L6299" s="1543"/>
      <c r="M6299" s="1543"/>
      <c r="N6299" s="1566"/>
    </row>
    <row r="6300" spans="1:14" ht="15.75" thickBot="1">
      <c r="A6300" s="1520" t="s">
        <v>2220</v>
      </c>
      <c r="B6300" s="1521"/>
      <c r="C6300" s="1521"/>
      <c r="D6300" s="1521"/>
      <c r="E6300" s="1521"/>
      <c r="F6300" s="1521"/>
      <c r="G6300" s="1522"/>
      <c r="H6300" s="216">
        <f>H6298-H6299</f>
        <v>37</v>
      </c>
      <c r="I6300" s="1568"/>
      <c r="J6300" s="1568"/>
      <c r="K6300" s="1568"/>
      <c r="L6300" s="1568"/>
      <c r="M6300" s="1568"/>
      <c r="N6300" s="1569"/>
    </row>
    <row r="6301" spans="1:14" ht="15.75" thickBot="1">
      <c r="A6301" s="898"/>
      <c r="B6301" s="898"/>
      <c r="C6301" s="898"/>
      <c r="D6301" s="970"/>
      <c r="E6301" s="1363"/>
      <c r="F6301" s="898"/>
      <c r="G6301" s="899"/>
      <c r="H6301" s="220"/>
      <c r="I6301" s="942"/>
      <c r="J6301" s="942"/>
      <c r="K6301" s="942"/>
      <c r="L6301" s="942"/>
      <c r="M6301" s="942"/>
      <c r="N6301" s="941"/>
    </row>
    <row r="6302" spans="1:14">
      <c r="A6302" s="1121">
        <v>150703</v>
      </c>
      <c r="B6302" s="1494" t="s">
        <v>1597</v>
      </c>
      <c r="C6302" s="1495"/>
      <c r="D6302" s="1495"/>
      <c r="E6302" s="1495"/>
      <c r="F6302" s="1495"/>
      <c r="G6302" s="1495"/>
      <c r="H6302" s="1495"/>
      <c r="I6302" s="1495"/>
      <c r="J6302" s="1496"/>
      <c r="K6302" s="196" t="s">
        <v>28</v>
      </c>
      <c r="L6302" s="1497">
        <v>50</v>
      </c>
      <c r="M6302" s="1498"/>
      <c r="N6302" s="197">
        <f>L6302-H6308</f>
        <v>0</v>
      </c>
    </row>
    <row r="6303" spans="1:14">
      <c r="A6303" s="1554"/>
      <c r="B6303" s="1541"/>
      <c r="C6303" s="366"/>
      <c r="D6303" s="367" t="s">
        <v>2183</v>
      </c>
      <c r="E6303" s="1320" t="s">
        <v>2184</v>
      </c>
      <c r="F6303" s="367" t="s">
        <v>2185</v>
      </c>
      <c r="G6303" s="367" t="s">
        <v>2186</v>
      </c>
      <c r="H6303" s="1542" t="s">
        <v>476</v>
      </c>
      <c r="I6303" s="1543"/>
      <c r="J6303" s="1543"/>
      <c r="K6303" s="1543"/>
      <c r="L6303" s="1543"/>
      <c r="M6303" s="1543"/>
      <c r="N6303" s="1566"/>
    </row>
    <row r="6304" spans="1:14" ht="24">
      <c r="A6304" s="1554"/>
      <c r="B6304" s="1541"/>
      <c r="C6304" s="368" t="s">
        <v>2627</v>
      </c>
      <c r="D6304" s="369" t="s">
        <v>2187</v>
      </c>
      <c r="E6304" s="529" t="s">
        <v>3152</v>
      </c>
      <c r="F6304" s="369" t="s">
        <v>2649</v>
      </c>
      <c r="G6304" s="370" t="s">
        <v>2709</v>
      </c>
      <c r="H6304" s="1542"/>
      <c r="I6304" s="1543"/>
      <c r="J6304" s="1543"/>
      <c r="K6304" s="1543"/>
      <c r="L6304" s="1543"/>
      <c r="M6304" s="1543"/>
      <c r="N6304" s="1566"/>
    </row>
    <row r="6305" spans="1:14">
      <c r="A6305" s="1194" t="s">
        <v>3745</v>
      </c>
      <c r="B6305" s="876" t="s">
        <v>3655</v>
      </c>
      <c r="C6305" s="317">
        <v>28</v>
      </c>
      <c r="D6305" s="287"/>
      <c r="E6305" s="531"/>
      <c r="F6305" s="287"/>
      <c r="G6305" s="431"/>
      <c r="H6305" s="349">
        <f>C6305</f>
        <v>28</v>
      </c>
      <c r="I6305" s="1567"/>
      <c r="J6305" s="1543"/>
      <c r="K6305" s="1543"/>
      <c r="L6305" s="1543"/>
      <c r="M6305" s="1543"/>
      <c r="N6305" s="1566"/>
    </row>
    <row r="6306" spans="1:14">
      <c r="A6306" s="1137" t="s">
        <v>3850</v>
      </c>
      <c r="B6306" s="876" t="s">
        <v>3524</v>
      </c>
      <c r="C6306" s="743">
        <v>12</v>
      </c>
      <c r="D6306" s="294"/>
      <c r="E6306" s="348"/>
      <c r="F6306" s="348"/>
      <c r="G6306" s="348"/>
      <c r="H6306" s="349">
        <f>C6306</f>
        <v>12</v>
      </c>
      <c r="I6306" s="1567"/>
      <c r="J6306" s="1543"/>
      <c r="K6306" s="1543"/>
      <c r="L6306" s="1543"/>
      <c r="M6306" s="1543"/>
      <c r="N6306" s="1566"/>
    </row>
    <row r="6307" spans="1:14">
      <c r="A6307" s="1137" t="s">
        <v>3892</v>
      </c>
      <c r="B6307" s="876" t="s">
        <v>3524</v>
      </c>
      <c r="C6307" s="743">
        <v>10</v>
      </c>
      <c r="D6307" s="294"/>
      <c r="E6307" s="348"/>
      <c r="F6307" s="348"/>
      <c r="G6307" s="348"/>
      <c r="H6307" s="349">
        <f>C6307</f>
        <v>10</v>
      </c>
      <c r="I6307" s="1567"/>
      <c r="J6307" s="1543"/>
      <c r="K6307" s="1543"/>
      <c r="L6307" s="1543"/>
      <c r="M6307" s="1543"/>
      <c r="N6307" s="1566"/>
    </row>
    <row r="6308" spans="1:14">
      <c r="A6308" s="1578" t="s">
        <v>2218</v>
      </c>
      <c r="B6308" s="1538"/>
      <c r="C6308" s="1538"/>
      <c r="D6308" s="1538"/>
      <c r="E6308" s="1538"/>
      <c r="F6308" s="1538"/>
      <c r="G6308" s="1538"/>
      <c r="H6308" s="271">
        <f>SUM(H6305:H6307)</f>
        <v>50</v>
      </c>
      <c r="I6308" s="1567"/>
      <c r="J6308" s="1543"/>
      <c r="K6308" s="1543"/>
      <c r="L6308" s="1543"/>
      <c r="M6308" s="1543"/>
      <c r="N6308" s="1566"/>
    </row>
    <row r="6309" spans="1:14">
      <c r="A6309" s="1519" t="s">
        <v>2219</v>
      </c>
      <c r="B6309" s="1517"/>
      <c r="C6309" s="1517"/>
      <c r="D6309" s="1551"/>
      <c r="E6309" s="1551"/>
      <c r="F6309" s="1551"/>
      <c r="G6309" s="1552"/>
      <c r="H6309" s="325">
        <f>SUM(H6305:H6306)</f>
        <v>40</v>
      </c>
      <c r="I6309" s="1543"/>
      <c r="J6309" s="1543"/>
      <c r="K6309" s="1543"/>
      <c r="L6309" s="1543"/>
      <c r="M6309" s="1543"/>
      <c r="N6309" s="1566"/>
    </row>
    <row r="6310" spans="1:14" ht="15.75" thickBot="1">
      <c r="A6310" s="1520" t="s">
        <v>2220</v>
      </c>
      <c r="B6310" s="1521"/>
      <c r="C6310" s="1521"/>
      <c r="D6310" s="1521"/>
      <c r="E6310" s="1521"/>
      <c r="F6310" s="1521"/>
      <c r="G6310" s="1522"/>
      <c r="H6310" s="216">
        <f>H6308-H6309</f>
        <v>10</v>
      </c>
      <c r="I6310" s="1568"/>
      <c r="J6310" s="1568"/>
      <c r="K6310" s="1568"/>
      <c r="L6310" s="1568"/>
      <c r="M6310" s="1568"/>
      <c r="N6310" s="1569"/>
    </row>
    <row r="6311" spans="1:14" ht="15.75" thickBot="1">
      <c r="A6311" s="898"/>
      <c r="B6311" s="898"/>
      <c r="C6311" s="898"/>
      <c r="D6311" s="970"/>
      <c r="E6311" s="1363"/>
      <c r="F6311" s="898"/>
      <c r="G6311" s="899"/>
      <c r="H6311" s="220"/>
      <c r="I6311" s="942"/>
      <c r="J6311" s="942"/>
      <c r="K6311" s="942"/>
      <c r="L6311" s="942"/>
      <c r="M6311" s="942"/>
      <c r="N6311" s="941"/>
    </row>
    <row r="6312" spans="1:14" ht="21.6" customHeight="1">
      <c r="A6312" s="1121">
        <v>150704</v>
      </c>
      <c r="B6312" s="1494" t="s">
        <v>1600</v>
      </c>
      <c r="C6312" s="1495"/>
      <c r="D6312" s="1495"/>
      <c r="E6312" s="1495"/>
      <c r="F6312" s="1495"/>
      <c r="G6312" s="1495"/>
      <c r="H6312" s="1495"/>
      <c r="I6312" s="1495"/>
      <c r="J6312" s="1496"/>
      <c r="K6312" s="196" t="s">
        <v>28</v>
      </c>
      <c r="L6312" s="1497">
        <v>8</v>
      </c>
      <c r="M6312" s="1498"/>
      <c r="N6312" s="197">
        <f>L6312-H6317</f>
        <v>0</v>
      </c>
    </row>
    <row r="6313" spans="1:14" ht="28.15" customHeight="1">
      <c r="A6313" s="1554"/>
      <c r="B6313" s="1541"/>
      <c r="C6313" s="366"/>
      <c r="D6313" s="367" t="s">
        <v>2183</v>
      </c>
      <c r="E6313" s="1320" t="s">
        <v>2184</v>
      </c>
      <c r="F6313" s="367" t="s">
        <v>2185</v>
      </c>
      <c r="G6313" s="367" t="s">
        <v>2186</v>
      </c>
      <c r="H6313" s="1542" t="s">
        <v>476</v>
      </c>
      <c r="I6313" s="1543"/>
      <c r="J6313" s="1543"/>
      <c r="K6313" s="1543"/>
      <c r="L6313" s="1543"/>
      <c r="M6313" s="1543"/>
      <c r="N6313" s="1566"/>
    </row>
    <row r="6314" spans="1:14" ht="24">
      <c r="A6314" s="1554"/>
      <c r="B6314" s="1541"/>
      <c r="C6314" s="368" t="s">
        <v>2627</v>
      </c>
      <c r="D6314" s="369" t="s">
        <v>2187</v>
      </c>
      <c r="E6314" s="529" t="s">
        <v>3152</v>
      </c>
      <c r="F6314" s="369" t="s">
        <v>2649</v>
      </c>
      <c r="G6314" s="370" t="s">
        <v>2709</v>
      </c>
      <c r="H6314" s="1542"/>
      <c r="I6314" s="1543"/>
      <c r="J6314" s="1543"/>
      <c r="K6314" s="1543"/>
      <c r="L6314" s="1543"/>
      <c r="M6314" s="1543"/>
      <c r="N6314" s="1566"/>
    </row>
    <row r="6315" spans="1:14">
      <c r="A6315" s="1137" t="s">
        <v>3850</v>
      </c>
      <c r="B6315" s="876" t="s">
        <v>3889</v>
      </c>
      <c r="C6315" s="317">
        <v>2</v>
      </c>
      <c r="D6315" s="287"/>
      <c r="E6315" s="531"/>
      <c r="F6315" s="287"/>
      <c r="G6315" s="431"/>
      <c r="H6315" s="349">
        <f>C6315</f>
        <v>2</v>
      </c>
      <c r="I6315" s="1567"/>
      <c r="J6315" s="1543"/>
      <c r="K6315" s="1543"/>
      <c r="L6315" s="1543"/>
      <c r="M6315" s="1543"/>
      <c r="N6315" s="1566"/>
    </row>
    <row r="6316" spans="1:14">
      <c r="A6316" s="1137" t="s">
        <v>3981</v>
      </c>
      <c r="B6316" s="876" t="s">
        <v>3889</v>
      </c>
      <c r="C6316" s="317">
        <v>6</v>
      </c>
      <c r="D6316" s="287"/>
      <c r="E6316" s="531"/>
      <c r="F6316" s="287"/>
      <c r="G6316" s="431"/>
      <c r="H6316" s="349">
        <v>6</v>
      </c>
      <c r="I6316" s="1567"/>
      <c r="J6316" s="1543"/>
      <c r="K6316" s="1543"/>
      <c r="L6316" s="1543"/>
      <c r="M6316" s="1543"/>
      <c r="N6316" s="1566"/>
    </row>
    <row r="6317" spans="1:14">
      <c r="A6317" s="1578" t="s">
        <v>2218</v>
      </c>
      <c r="B6317" s="1538"/>
      <c r="C6317" s="1538"/>
      <c r="D6317" s="1538"/>
      <c r="E6317" s="1538"/>
      <c r="F6317" s="1538"/>
      <c r="G6317" s="1538"/>
      <c r="H6317" s="271">
        <f>SUM(H6315:H6316)</f>
        <v>8</v>
      </c>
      <c r="I6317" s="1567"/>
      <c r="J6317" s="1543"/>
      <c r="K6317" s="1543"/>
      <c r="L6317" s="1543"/>
      <c r="M6317" s="1543"/>
      <c r="N6317" s="1566"/>
    </row>
    <row r="6318" spans="1:14">
      <c r="A6318" s="1519" t="s">
        <v>2219</v>
      </c>
      <c r="B6318" s="1517"/>
      <c r="C6318" s="1517"/>
      <c r="D6318" s="1551"/>
      <c r="E6318" s="1551"/>
      <c r="F6318" s="1551"/>
      <c r="G6318" s="1552"/>
      <c r="H6318" s="325">
        <f>SUM(H6313)</f>
        <v>0</v>
      </c>
      <c r="I6318" s="1543"/>
      <c r="J6318" s="1543"/>
      <c r="K6318" s="1543"/>
      <c r="L6318" s="1543"/>
      <c r="M6318" s="1543"/>
      <c r="N6318" s="1566"/>
    </row>
    <row r="6319" spans="1:14" ht="15.75" thickBot="1">
      <c r="A6319" s="1520" t="s">
        <v>2220</v>
      </c>
      <c r="B6319" s="1521"/>
      <c r="C6319" s="1521"/>
      <c r="D6319" s="1521"/>
      <c r="E6319" s="1521"/>
      <c r="F6319" s="1521"/>
      <c r="G6319" s="1522"/>
      <c r="H6319" s="216">
        <f>H6317-H6318</f>
        <v>8</v>
      </c>
      <c r="I6319" s="1568"/>
      <c r="J6319" s="1568"/>
      <c r="K6319" s="1568"/>
      <c r="L6319" s="1568"/>
      <c r="M6319" s="1568"/>
      <c r="N6319" s="1569"/>
    </row>
    <row r="6320" spans="1:14" ht="15.75" thickBot="1">
      <c r="A6320" s="898"/>
      <c r="B6320" s="898"/>
      <c r="C6320" s="898"/>
      <c r="D6320" s="970"/>
      <c r="E6320" s="1363"/>
      <c r="F6320" s="898"/>
      <c r="G6320" s="899"/>
      <c r="H6320" s="220"/>
      <c r="I6320" s="942"/>
      <c r="J6320" s="942"/>
      <c r="K6320" s="942"/>
      <c r="L6320" s="942"/>
      <c r="M6320" s="942"/>
      <c r="N6320" s="941"/>
    </row>
    <row r="6321" spans="1:14">
      <c r="A6321" s="1121">
        <v>150705</v>
      </c>
      <c r="B6321" s="1494" t="s">
        <v>1603</v>
      </c>
      <c r="C6321" s="1495"/>
      <c r="D6321" s="1495"/>
      <c r="E6321" s="1495"/>
      <c r="F6321" s="1495"/>
      <c r="G6321" s="1495"/>
      <c r="H6321" s="1495"/>
      <c r="I6321" s="1495"/>
      <c r="J6321" s="1496"/>
      <c r="K6321" s="196" t="s">
        <v>28</v>
      </c>
      <c r="L6321" s="1497">
        <v>4</v>
      </c>
      <c r="M6321" s="1498"/>
      <c r="N6321" s="197">
        <f>L6321-H6326</f>
        <v>0</v>
      </c>
    </row>
    <row r="6322" spans="1:14">
      <c r="A6322" s="1554"/>
      <c r="B6322" s="1541"/>
      <c r="C6322" s="366"/>
      <c r="D6322" s="367" t="s">
        <v>2183</v>
      </c>
      <c r="E6322" s="1320" t="s">
        <v>2184</v>
      </c>
      <c r="F6322" s="367" t="s">
        <v>2185</v>
      </c>
      <c r="G6322" s="367" t="s">
        <v>2186</v>
      </c>
      <c r="H6322" s="1542" t="s">
        <v>476</v>
      </c>
      <c r="I6322" s="1543"/>
      <c r="J6322" s="1543"/>
      <c r="K6322" s="1543"/>
      <c r="L6322" s="1543"/>
      <c r="M6322" s="1543"/>
      <c r="N6322" s="1566"/>
    </row>
    <row r="6323" spans="1:14" ht="24">
      <c r="A6323" s="1554"/>
      <c r="B6323" s="1541"/>
      <c r="C6323" s="368" t="s">
        <v>2627</v>
      </c>
      <c r="D6323" s="369" t="s">
        <v>2187</v>
      </c>
      <c r="E6323" s="529" t="s">
        <v>3152</v>
      </c>
      <c r="F6323" s="369" t="s">
        <v>2649</v>
      </c>
      <c r="G6323" s="370" t="s">
        <v>2709</v>
      </c>
      <c r="H6323" s="1542"/>
      <c r="I6323" s="1543"/>
      <c r="J6323" s="1543"/>
      <c r="K6323" s="1543"/>
      <c r="L6323" s="1543"/>
      <c r="M6323" s="1543"/>
      <c r="N6323" s="1566"/>
    </row>
    <row r="6324" spans="1:14">
      <c r="A6324" s="1137" t="s">
        <v>3892</v>
      </c>
      <c r="B6324" s="876" t="s">
        <v>3889</v>
      </c>
      <c r="C6324" s="317">
        <v>4</v>
      </c>
      <c r="D6324" s="287"/>
      <c r="E6324" s="531"/>
      <c r="F6324" s="287"/>
      <c r="G6324" s="431"/>
      <c r="H6324" s="349">
        <f t="shared" ref="H6324:H6325" si="115">C6324</f>
        <v>4</v>
      </c>
      <c r="I6324" s="1567"/>
      <c r="J6324" s="1543"/>
      <c r="K6324" s="1543"/>
      <c r="L6324" s="1543"/>
      <c r="M6324" s="1543"/>
      <c r="N6324" s="1566"/>
    </row>
    <row r="6325" spans="1:14">
      <c r="A6325" s="1137"/>
      <c r="B6325" s="876"/>
      <c r="C6325" s="317"/>
      <c r="D6325" s="287"/>
      <c r="E6325" s="531"/>
      <c r="F6325" s="287"/>
      <c r="G6325" s="431"/>
      <c r="H6325" s="349">
        <f t="shared" si="115"/>
        <v>0</v>
      </c>
      <c r="I6325" s="1567"/>
      <c r="J6325" s="1543"/>
      <c r="K6325" s="1543"/>
      <c r="L6325" s="1543"/>
      <c r="M6325" s="1543"/>
      <c r="N6325" s="1566"/>
    </row>
    <row r="6326" spans="1:14" ht="28.15" customHeight="1">
      <c r="A6326" s="1578" t="s">
        <v>2218</v>
      </c>
      <c r="B6326" s="1538"/>
      <c r="C6326" s="1538"/>
      <c r="D6326" s="1538"/>
      <c r="E6326" s="1538"/>
      <c r="F6326" s="1538"/>
      <c r="G6326" s="1538"/>
      <c r="H6326" s="271">
        <f>SUM(H6324:H6325)</f>
        <v>4</v>
      </c>
      <c r="I6326" s="1567"/>
      <c r="J6326" s="1543"/>
      <c r="K6326" s="1543"/>
      <c r="L6326" s="1543"/>
      <c r="M6326" s="1543"/>
      <c r="N6326" s="1566"/>
    </row>
    <row r="6327" spans="1:14">
      <c r="A6327" s="1519" t="s">
        <v>2219</v>
      </c>
      <c r="B6327" s="1517"/>
      <c r="C6327" s="1517"/>
      <c r="D6327" s="1551"/>
      <c r="E6327" s="1551"/>
      <c r="F6327" s="1551"/>
      <c r="G6327" s="1552"/>
      <c r="H6327" s="325">
        <f>SUM(H6322)</f>
        <v>0</v>
      </c>
      <c r="I6327" s="1543"/>
      <c r="J6327" s="1543"/>
      <c r="K6327" s="1543"/>
      <c r="L6327" s="1543"/>
      <c r="M6327" s="1543"/>
      <c r="N6327" s="1566"/>
    </row>
    <row r="6328" spans="1:14" ht="15.75" thickBot="1">
      <c r="A6328" s="1520" t="s">
        <v>2220</v>
      </c>
      <c r="B6328" s="1521"/>
      <c r="C6328" s="1521"/>
      <c r="D6328" s="1521"/>
      <c r="E6328" s="1521"/>
      <c r="F6328" s="1521"/>
      <c r="G6328" s="1522"/>
      <c r="H6328" s="216">
        <f>H6326-H6327</f>
        <v>4</v>
      </c>
      <c r="I6328" s="1568"/>
      <c r="J6328" s="1568"/>
      <c r="K6328" s="1568"/>
      <c r="L6328" s="1568"/>
      <c r="M6328" s="1568"/>
      <c r="N6328" s="1569"/>
    </row>
    <row r="6329" spans="1:14" ht="15.75" thickBot="1">
      <c r="A6329" s="898"/>
      <c r="B6329" s="898"/>
      <c r="C6329" s="898"/>
      <c r="D6329" s="970"/>
      <c r="E6329" s="1363"/>
      <c r="F6329" s="898"/>
      <c r="G6329" s="899"/>
      <c r="H6329" s="220"/>
      <c r="I6329" s="942"/>
      <c r="J6329" s="942"/>
      <c r="K6329" s="942"/>
      <c r="L6329" s="942"/>
      <c r="M6329" s="942"/>
      <c r="N6329" s="941"/>
    </row>
    <row r="6330" spans="1:14">
      <c r="A6330" s="1121">
        <v>150706</v>
      </c>
      <c r="B6330" s="1494" t="s">
        <v>1606</v>
      </c>
      <c r="C6330" s="1495"/>
      <c r="D6330" s="1495"/>
      <c r="E6330" s="1495"/>
      <c r="F6330" s="1495"/>
      <c r="G6330" s="1495"/>
      <c r="H6330" s="1495"/>
      <c r="I6330" s="1495"/>
      <c r="J6330" s="1496"/>
      <c r="K6330" s="196" t="s">
        <v>28</v>
      </c>
      <c r="L6330" s="1497">
        <v>31</v>
      </c>
      <c r="M6330" s="1498"/>
      <c r="N6330" s="197">
        <f>L6330-H6335</f>
        <v>0</v>
      </c>
    </row>
    <row r="6331" spans="1:14">
      <c r="A6331" s="1554"/>
      <c r="B6331" s="1541"/>
      <c r="C6331" s="366"/>
      <c r="D6331" s="367" t="s">
        <v>2183</v>
      </c>
      <c r="E6331" s="1320" t="s">
        <v>2184</v>
      </c>
      <c r="F6331" s="367" t="s">
        <v>2185</v>
      </c>
      <c r="G6331" s="367" t="s">
        <v>2186</v>
      </c>
      <c r="H6331" s="1542" t="s">
        <v>476</v>
      </c>
      <c r="I6331" s="1543"/>
      <c r="J6331" s="1543"/>
      <c r="K6331" s="1543"/>
      <c r="L6331" s="1543"/>
      <c r="M6331" s="1543"/>
      <c r="N6331" s="1566"/>
    </row>
    <row r="6332" spans="1:14" ht="24">
      <c r="A6332" s="1554"/>
      <c r="B6332" s="1541"/>
      <c r="C6332" s="368" t="s">
        <v>2627</v>
      </c>
      <c r="D6332" s="369" t="s">
        <v>2187</v>
      </c>
      <c r="E6332" s="529" t="s">
        <v>3152</v>
      </c>
      <c r="F6332" s="369" t="s">
        <v>2649</v>
      </c>
      <c r="G6332" s="370" t="s">
        <v>2709</v>
      </c>
      <c r="H6332" s="1542"/>
      <c r="I6332" s="1543"/>
      <c r="J6332" s="1543"/>
      <c r="K6332" s="1543"/>
      <c r="L6332" s="1543"/>
      <c r="M6332" s="1543"/>
      <c r="N6332" s="1566"/>
    </row>
    <row r="6333" spans="1:14">
      <c r="A6333" s="1194"/>
      <c r="B6333" s="876" t="s">
        <v>3655</v>
      </c>
      <c r="C6333" s="317">
        <v>11</v>
      </c>
      <c r="D6333" s="287"/>
      <c r="E6333" s="531"/>
      <c r="F6333" s="287"/>
      <c r="G6333" s="431"/>
      <c r="H6333" s="349">
        <f>C6333</f>
        <v>11</v>
      </c>
      <c r="I6333" s="1567"/>
      <c r="J6333" s="1543"/>
      <c r="K6333" s="1543"/>
      <c r="L6333" s="1543"/>
      <c r="M6333" s="1543"/>
      <c r="N6333" s="1566"/>
    </row>
    <row r="6334" spans="1:14">
      <c r="A6334" s="1137" t="s">
        <v>3850</v>
      </c>
      <c r="B6334" s="876" t="s">
        <v>3524</v>
      </c>
      <c r="C6334" s="743">
        <v>20</v>
      </c>
      <c r="D6334" s="294"/>
      <c r="E6334" s="348"/>
      <c r="F6334" s="348"/>
      <c r="G6334" s="348"/>
      <c r="H6334" s="349">
        <f>C6334</f>
        <v>20</v>
      </c>
      <c r="I6334" s="1567"/>
      <c r="J6334" s="1543"/>
      <c r="K6334" s="1543"/>
      <c r="L6334" s="1543"/>
      <c r="M6334" s="1543"/>
      <c r="N6334" s="1566"/>
    </row>
    <row r="6335" spans="1:14">
      <c r="A6335" s="1578" t="s">
        <v>2218</v>
      </c>
      <c r="B6335" s="1538"/>
      <c r="C6335" s="1538"/>
      <c r="D6335" s="1538"/>
      <c r="E6335" s="1538"/>
      <c r="F6335" s="1538"/>
      <c r="G6335" s="1538"/>
      <c r="H6335" s="271">
        <f>SUM(H6333:H6334)</f>
        <v>31</v>
      </c>
      <c r="I6335" s="1567"/>
      <c r="J6335" s="1543"/>
      <c r="K6335" s="1543"/>
      <c r="L6335" s="1543"/>
      <c r="M6335" s="1543"/>
      <c r="N6335" s="1566"/>
    </row>
    <row r="6336" spans="1:14">
      <c r="A6336" s="1519" t="s">
        <v>2219</v>
      </c>
      <c r="B6336" s="1517"/>
      <c r="C6336" s="1517"/>
      <c r="D6336" s="1551"/>
      <c r="E6336" s="1551"/>
      <c r="F6336" s="1551"/>
      <c r="G6336" s="1552"/>
      <c r="H6336" s="325">
        <f>SUM(H6331)</f>
        <v>0</v>
      </c>
      <c r="I6336" s="1543"/>
      <c r="J6336" s="1543"/>
      <c r="K6336" s="1543"/>
      <c r="L6336" s="1543"/>
      <c r="M6336" s="1543"/>
      <c r="N6336" s="1566"/>
    </row>
    <row r="6337" spans="1:14" ht="15.75" thickBot="1">
      <c r="A6337" s="1520" t="s">
        <v>2220</v>
      </c>
      <c r="B6337" s="1521"/>
      <c r="C6337" s="1521"/>
      <c r="D6337" s="1521"/>
      <c r="E6337" s="1521"/>
      <c r="F6337" s="1521"/>
      <c r="G6337" s="1522"/>
      <c r="H6337" s="216">
        <f>H6335-H6336</f>
        <v>31</v>
      </c>
      <c r="I6337" s="1568"/>
      <c r="J6337" s="1568"/>
      <c r="K6337" s="1568"/>
      <c r="L6337" s="1568"/>
      <c r="M6337" s="1568"/>
      <c r="N6337" s="1569"/>
    </row>
    <row r="6338" spans="1:14" ht="15.75" thickBot="1">
      <c r="A6338" s="898"/>
      <c r="B6338" s="898"/>
      <c r="C6338" s="898"/>
      <c r="D6338" s="970"/>
      <c r="E6338" s="1363"/>
      <c r="F6338" s="898"/>
      <c r="G6338" s="899"/>
      <c r="H6338" s="220"/>
      <c r="I6338" s="942"/>
      <c r="J6338" s="942"/>
      <c r="K6338" s="942"/>
      <c r="L6338" s="942"/>
      <c r="M6338" s="942"/>
      <c r="N6338" s="941"/>
    </row>
    <row r="6339" spans="1:14" ht="28.15" customHeight="1">
      <c r="A6339" s="1121">
        <v>150707</v>
      </c>
      <c r="B6339" s="1494" t="s">
        <v>440</v>
      </c>
      <c r="C6339" s="1495"/>
      <c r="D6339" s="1495"/>
      <c r="E6339" s="1495"/>
      <c r="F6339" s="1495"/>
      <c r="G6339" s="1495"/>
      <c r="H6339" s="1495"/>
      <c r="I6339" s="1495"/>
      <c r="J6339" s="1496"/>
      <c r="K6339" s="196" t="s">
        <v>28</v>
      </c>
      <c r="L6339" s="1497">
        <v>11</v>
      </c>
      <c r="M6339" s="1498"/>
      <c r="N6339" s="197">
        <f>L6339-H6344</f>
        <v>0</v>
      </c>
    </row>
    <row r="6340" spans="1:14">
      <c r="A6340" s="1554"/>
      <c r="B6340" s="1541"/>
      <c r="C6340" s="366"/>
      <c r="D6340" s="367" t="s">
        <v>2183</v>
      </c>
      <c r="E6340" s="1320" t="s">
        <v>2184</v>
      </c>
      <c r="F6340" s="367" t="s">
        <v>2185</v>
      </c>
      <c r="G6340" s="367" t="s">
        <v>2186</v>
      </c>
      <c r="H6340" s="1542" t="s">
        <v>476</v>
      </c>
      <c r="I6340" s="1543"/>
      <c r="J6340" s="1543"/>
      <c r="K6340" s="1543"/>
      <c r="L6340" s="1543"/>
      <c r="M6340" s="1543"/>
      <c r="N6340" s="1566"/>
    </row>
    <row r="6341" spans="1:14" ht="24">
      <c r="A6341" s="1554"/>
      <c r="B6341" s="1541"/>
      <c r="C6341" s="368" t="s">
        <v>2627</v>
      </c>
      <c r="D6341" s="369" t="s">
        <v>2187</v>
      </c>
      <c r="E6341" s="529" t="s">
        <v>3152</v>
      </c>
      <c r="F6341" s="369" t="s">
        <v>2649</v>
      </c>
      <c r="G6341" s="370" t="s">
        <v>2709</v>
      </c>
      <c r="H6341" s="1542"/>
      <c r="I6341" s="1543"/>
      <c r="J6341" s="1543"/>
      <c r="K6341" s="1543"/>
      <c r="L6341" s="1543"/>
      <c r="M6341" s="1543"/>
      <c r="N6341" s="1566"/>
    </row>
    <row r="6342" spans="1:14">
      <c r="A6342" s="1535" t="s">
        <v>3850</v>
      </c>
      <c r="B6342" s="876" t="s">
        <v>3655</v>
      </c>
      <c r="C6342" s="317">
        <v>5</v>
      </c>
      <c r="D6342" s="287"/>
      <c r="E6342" s="531"/>
      <c r="F6342" s="287"/>
      <c r="G6342" s="431"/>
      <c r="H6342" s="349">
        <f>C6342</f>
        <v>5</v>
      </c>
      <c r="I6342" s="1567"/>
      <c r="J6342" s="1543"/>
      <c r="K6342" s="1543"/>
      <c r="L6342" s="1543"/>
      <c r="M6342" s="1543"/>
      <c r="N6342" s="1566"/>
    </row>
    <row r="6343" spans="1:14">
      <c r="A6343" s="1545"/>
      <c r="B6343" s="876" t="s">
        <v>3524</v>
      </c>
      <c r="C6343" s="743">
        <v>6</v>
      </c>
      <c r="D6343" s="294"/>
      <c r="E6343" s="348"/>
      <c r="F6343" s="348"/>
      <c r="G6343" s="348"/>
      <c r="H6343" s="349">
        <f>C6343</f>
        <v>6</v>
      </c>
      <c r="I6343" s="1567"/>
      <c r="J6343" s="1543"/>
      <c r="K6343" s="1543"/>
      <c r="L6343" s="1543"/>
      <c r="M6343" s="1543"/>
      <c r="N6343" s="1566"/>
    </row>
    <row r="6344" spans="1:14">
      <c r="A6344" s="1578" t="s">
        <v>2218</v>
      </c>
      <c r="B6344" s="1538"/>
      <c r="C6344" s="1538"/>
      <c r="D6344" s="1538"/>
      <c r="E6344" s="1538"/>
      <c r="F6344" s="1538"/>
      <c r="G6344" s="1538"/>
      <c r="H6344" s="271">
        <f>SUM(H6342:H6343)</f>
        <v>11</v>
      </c>
      <c r="I6344" s="1567"/>
      <c r="J6344" s="1543"/>
      <c r="K6344" s="1543"/>
      <c r="L6344" s="1543"/>
      <c r="M6344" s="1543"/>
      <c r="N6344" s="1566"/>
    </row>
    <row r="6345" spans="1:14">
      <c r="A6345" s="1519" t="s">
        <v>2219</v>
      </c>
      <c r="B6345" s="1517"/>
      <c r="C6345" s="1517"/>
      <c r="D6345" s="1551"/>
      <c r="E6345" s="1551"/>
      <c r="F6345" s="1551"/>
      <c r="G6345" s="1552"/>
      <c r="H6345" s="325">
        <f>SUM(H6340)</f>
        <v>0</v>
      </c>
      <c r="I6345" s="1543"/>
      <c r="J6345" s="1543"/>
      <c r="K6345" s="1543"/>
      <c r="L6345" s="1543"/>
      <c r="M6345" s="1543"/>
      <c r="N6345" s="1566"/>
    </row>
    <row r="6346" spans="1:14" ht="15.75" thickBot="1">
      <c r="A6346" s="1520" t="s">
        <v>2220</v>
      </c>
      <c r="B6346" s="1521"/>
      <c r="C6346" s="1521"/>
      <c r="D6346" s="1521"/>
      <c r="E6346" s="1521"/>
      <c r="F6346" s="1521"/>
      <c r="G6346" s="1522"/>
      <c r="H6346" s="216">
        <f>H6344-H6345</f>
        <v>11</v>
      </c>
      <c r="I6346" s="1568"/>
      <c r="J6346" s="1568"/>
      <c r="K6346" s="1568"/>
      <c r="L6346" s="1568"/>
      <c r="M6346" s="1568"/>
      <c r="N6346" s="1569"/>
    </row>
    <row r="6347" spans="1:14" ht="15.75" thickBot="1">
      <c r="A6347" s="898"/>
      <c r="B6347" s="898"/>
      <c r="C6347" s="898"/>
      <c r="D6347" s="970"/>
      <c r="E6347" s="1363"/>
      <c r="F6347" s="898"/>
      <c r="G6347" s="899"/>
      <c r="H6347" s="220"/>
      <c r="I6347" s="942"/>
      <c r="J6347" s="942"/>
      <c r="K6347" s="942"/>
      <c r="L6347" s="942"/>
      <c r="M6347" s="942"/>
      <c r="N6347" s="941"/>
    </row>
    <row r="6348" spans="1:14">
      <c r="A6348" s="1121">
        <v>150708</v>
      </c>
      <c r="B6348" s="1494" t="s">
        <v>1610</v>
      </c>
      <c r="C6348" s="1495"/>
      <c r="D6348" s="1495"/>
      <c r="E6348" s="1495"/>
      <c r="F6348" s="1495"/>
      <c r="G6348" s="1495"/>
      <c r="H6348" s="1495"/>
      <c r="I6348" s="1495"/>
      <c r="J6348" s="1496"/>
      <c r="K6348" s="196" t="s">
        <v>28</v>
      </c>
      <c r="L6348" s="1497">
        <v>4</v>
      </c>
      <c r="M6348" s="1498"/>
      <c r="N6348" s="197">
        <f>L6348-H6353</f>
        <v>0</v>
      </c>
    </row>
    <row r="6349" spans="1:14">
      <c r="A6349" s="1554"/>
      <c r="B6349" s="1541"/>
      <c r="C6349" s="366"/>
      <c r="D6349" s="367" t="s">
        <v>2183</v>
      </c>
      <c r="E6349" s="1320" t="s">
        <v>2184</v>
      </c>
      <c r="F6349" s="367" t="s">
        <v>2185</v>
      </c>
      <c r="G6349" s="367" t="s">
        <v>2186</v>
      </c>
      <c r="H6349" s="1542" t="s">
        <v>476</v>
      </c>
      <c r="I6349" s="1543"/>
      <c r="J6349" s="1543"/>
      <c r="K6349" s="1543"/>
      <c r="L6349" s="1543"/>
      <c r="M6349" s="1543"/>
      <c r="N6349" s="1566"/>
    </row>
    <row r="6350" spans="1:14" ht="28.15" customHeight="1">
      <c r="A6350" s="1554"/>
      <c r="B6350" s="1541"/>
      <c r="C6350" s="368" t="s">
        <v>2627</v>
      </c>
      <c r="D6350" s="369" t="s">
        <v>2187</v>
      </c>
      <c r="E6350" s="529" t="s">
        <v>3152</v>
      </c>
      <c r="F6350" s="369" t="s">
        <v>2649</v>
      </c>
      <c r="G6350" s="370" t="s">
        <v>2709</v>
      </c>
      <c r="H6350" s="1542"/>
      <c r="I6350" s="1543"/>
      <c r="J6350" s="1543"/>
      <c r="K6350" s="1543"/>
      <c r="L6350" s="1543"/>
      <c r="M6350" s="1543"/>
      <c r="N6350" s="1566"/>
    </row>
    <row r="6351" spans="1:14">
      <c r="A6351" s="1137" t="s">
        <v>3892</v>
      </c>
      <c r="B6351" s="876" t="s">
        <v>3889</v>
      </c>
      <c r="C6351" s="317">
        <v>4</v>
      </c>
      <c r="D6351" s="287"/>
      <c r="E6351" s="531"/>
      <c r="F6351" s="287"/>
      <c r="G6351" s="431"/>
      <c r="H6351" s="349">
        <f t="shared" ref="H6351:H6352" si="116">C6351</f>
        <v>4</v>
      </c>
      <c r="I6351" s="1567"/>
      <c r="J6351" s="1543"/>
      <c r="K6351" s="1543"/>
      <c r="L6351" s="1543"/>
      <c r="M6351" s="1543"/>
      <c r="N6351" s="1566"/>
    </row>
    <row r="6352" spans="1:14">
      <c r="A6352" s="1137"/>
      <c r="B6352" s="876"/>
      <c r="C6352" s="317"/>
      <c r="D6352" s="287"/>
      <c r="E6352" s="531"/>
      <c r="F6352" s="287"/>
      <c r="G6352" s="431"/>
      <c r="H6352" s="349">
        <f t="shared" si="116"/>
        <v>0</v>
      </c>
      <c r="I6352" s="1567"/>
      <c r="J6352" s="1543"/>
      <c r="K6352" s="1543"/>
      <c r="L6352" s="1543"/>
      <c r="M6352" s="1543"/>
      <c r="N6352" s="1566"/>
    </row>
    <row r="6353" spans="1:14">
      <c r="A6353" s="1578" t="s">
        <v>2218</v>
      </c>
      <c r="B6353" s="1538"/>
      <c r="C6353" s="1538"/>
      <c r="D6353" s="1538"/>
      <c r="E6353" s="1538"/>
      <c r="F6353" s="1538"/>
      <c r="G6353" s="1538"/>
      <c r="H6353" s="271">
        <f>SUM(H6351:H6352)</f>
        <v>4</v>
      </c>
      <c r="I6353" s="1567"/>
      <c r="J6353" s="1543"/>
      <c r="K6353" s="1543"/>
      <c r="L6353" s="1543"/>
      <c r="M6353" s="1543"/>
      <c r="N6353" s="1566"/>
    </row>
    <row r="6354" spans="1:14">
      <c r="A6354" s="1519" t="s">
        <v>2219</v>
      </c>
      <c r="B6354" s="1517"/>
      <c r="C6354" s="1517"/>
      <c r="D6354" s="1551"/>
      <c r="E6354" s="1551"/>
      <c r="F6354" s="1551"/>
      <c r="G6354" s="1552"/>
      <c r="H6354" s="325">
        <f>SUM(H6349)</f>
        <v>0</v>
      </c>
      <c r="I6354" s="1543"/>
      <c r="J6354" s="1543"/>
      <c r="K6354" s="1543"/>
      <c r="L6354" s="1543"/>
      <c r="M6354" s="1543"/>
      <c r="N6354" s="1566"/>
    </row>
    <row r="6355" spans="1:14" ht="15.75" thickBot="1">
      <c r="A6355" s="1520" t="s">
        <v>2220</v>
      </c>
      <c r="B6355" s="1521"/>
      <c r="C6355" s="1521"/>
      <c r="D6355" s="1521"/>
      <c r="E6355" s="1521"/>
      <c r="F6355" s="1521"/>
      <c r="G6355" s="1522"/>
      <c r="H6355" s="216">
        <f>H6353-H6354</f>
        <v>4</v>
      </c>
      <c r="I6355" s="1568"/>
      <c r="J6355" s="1568"/>
      <c r="K6355" s="1568"/>
      <c r="L6355" s="1568"/>
      <c r="M6355" s="1568"/>
      <c r="N6355" s="1569"/>
    </row>
    <row r="6356" spans="1:14">
      <c r="A6356" s="898"/>
      <c r="B6356" s="898"/>
      <c r="C6356" s="898"/>
      <c r="D6356" s="970"/>
      <c r="E6356" s="1363"/>
      <c r="F6356" s="898"/>
      <c r="G6356" s="899"/>
      <c r="H6356" s="220"/>
      <c r="I6356" s="942"/>
      <c r="J6356" s="942"/>
      <c r="K6356" s="942"/>
      <c r="L6356" s="942"/>
      <c r="M6356" s="942"/>
      <c r="N6356" s="941"/>
    </row>
    <row r="6357" spans="1:14" ht="15.75" thickBot="1">
      <c r="A6357" s="1123">
        <v>1508</v>
      </c>
      <c r="B6357" s="1641" t="s">
        <v>3427</v>
      </c>
      <c r="C6357" s="1641"/>
      <c r="D6357" s="1641"/>
      <c r="E6357" s="1641"/>
      <c r="F6357" s="1641"/>
      <c r="G6357" s="1641"/>
      <c r="H6357" s="1641"/>
      <c r="I6357" s="1641"/>
      <c r="J6357" s="1641"/>
      <c r="K6357" s="1641"/>
      <c r="L6357" s="1641"/>
      <c r="M6357" s="1641"/>
      <c r="N6357" s="1641"/>
    </row>
    <row r="6358" spans="1:14">
      <c r="A6358" s="1121">
        <v>150801</v>
      </c>
      <c r="B6358" s="1494" t="s">
        <v>1615</v>
      </c>
      <c r="C6358" s="1495"/>
      <c r="D6358" s="1495"/>
      <c r="E6358" s="1495"/>
      <c r="F6358" s="1495"/>
      <c r="G6358" s="1495"/>
      <c r="H6358" s="1495"/>
      <c r="I6358" s="1495"/>
      <c r="J6358" s="1496"/>
      <c r="K6358" s="196" t="s">
        <v>28</v>
      </c>
      <c r="L6358" s="1497">
        <f>'27ª MEDIÇÃO '!F453</f>
        <v>1</v>
      </c>
      <c r="M6358" s="1498"/>
      <c r="N6358" s="197">
        <f>L6358-H6365</f>
        <v>0</v>
      </c>
    </row>
    <row r="6359" spans="1:14">
      <c r="A6359" s="1554"/>
      <c r="B6359" s="1541"/>
      <c r="C6359" s="366"/>
      <c r="D6359" s="367" t="s">
        <v>2183</v>
      </c>
      <c r="E6359" s="1320" t="s">
        <v>2184</v>
      </c>
      <c r="F6359" s="367" t="s">
        <v>2185</v>
      </c>
      <c r="G6359" s="367" t="s">
        <v>2186</v>
      </c>
      <c r="H6359" s="1542" t="s">
        <v>476</v>
      </c>
      <c r="I6359" s="1543"/>
      <c r="J6359" s="1543"/>
      <c r="K6359" s="1543"/>
      <c r="L6359" s="1543"/>
      <c r="M6359" s="1543"/>
      <c r="N6359" s="1566"/>
    </row>
    <row r="6360" spans="1:14" ht="24">
      <c r="A6360" s="1554"/>
      <c r="B6360" s="1541"/>
      <c r="C6360" s="368" t="s">
        <v>2627</v>
      </c>
      <c r="D6360" s="369" t="s">
        <v>2187</v>
      </c>
      <c r="E6360" s="529" t="s">
        <v>3152</v>
      </c>
      <c r="F6360" s="369" t="s">
        <v>2649</v>
      </c>
      <c r="G6360" s="370" t="s">
        <v>2709</v>
      </c>
      <c r="H6360" s="1542"/>
      <c r="I6360" s="1543"/>
      <c r="J6360" s="1543"/>
      <c r="K6360" s="1543"/>
      <c r="L6360" s="1543"/>
      <c r="M6360" s="1543"/>
      <c r="N6360" s="1566"/>
    </row>
    <row r="6361" spans="1:14">
      <c r="A6361" s="1535" t="s">
        <v>3428</v>
      </c>
      <c r="B6361" s="876"/>
      <c r="C6361" s="317"/>
      <c r="D6361" s="287"/>
      <c r="E6361" s="531"/>
      <c r="F6361" s="287"/>
      <c r="G6361" s="431"/>
      <c r="H6361" s="432"/>
      <c r="I6361" s="1567"/>
      <c r="J6361" s="1543"/>
      <c r="K6361" s="1543"/>
      <c r="L6361" s="1543"/>
      <c r="M6361" s="1543"/>
      <c r="N6361" s="1566"/>
    </row>
    <row r="6362" spans="1:14">
      <c r="A6362" s="1529"/>
      <c r="B6362" s="876" t="s">
        <v>3198</v>
      </c>
      <c r="C6362" s="743">
        <v>1</v>
      </c>
      <c r="D6362" s="198"/>
      <c r="E6362" s="341">
        <v>0.5</v>
      </c>
      <c r="F6362" s="341"/>
      <c r="G6362" s="341"/>
      <c r="H6362" s="349">
        <f>E6362*C6362</f>
        <v>0.5</v>
      </c>
      <c r="I6362" s="1567"/>
      <c r="J6362" s="1543"/>
      <c r="K6362" s="1543"/>
      <c r="L6362" s="1543"/>
      <c r="M6362" s="1543"/>
      <c r="N6362" s="1566"/>
    </row>
    <row r="6363" spans="1:14">
      <c r="A6363" s="1535" t="s">
        <v>3850</v>
      </c>
      <c r="B6363" s="876"/>
      <c r="C6363" s="743"/>
      <c r="D6363" s="199"/>
      <c r="E6363" s="351"/>
      <c r="F6363" s="351"/>
      <c r="G6363" s="351"/>
      <c r="H6363" s="349"/>
      <c r="I6363" s="1567"/>
      <c r="J6363" s="1543"/>
      <c r="K6363" s="1543"/>
      <c r="L6363" s="1543"/>
      <c r="M6363" s="1543"/>
      <c r="N6363" s="1566"/>
    </row>
    <row r="6364" spans="1:14">
      <c r="A6364" s="1529"/>
      <c r="B6364" s="876" t="s">
        <v>3198</v>
      </c>
      <c r="C6364" s="743">
        <v>1</v>
      </c>
      <c r="D6364" s="198"/>
      <c r="E6364" s="341">
        <v>0.5</v>
      </c>
      <c r="F6364" s="341"/>
      <c r="G6364" s="341"/>
      <c r="H6364" s="349">
        <f>E6364*C6364</f>
        <v>0.5</v>
      </c>
      <c r="I6364" s="1567"/>
      <c r="J6364" s="1543"/>
      <c r="K6364" s="1543"/>
      <c r="L6364" s="1543"/>
      <c r="M6364" s="1543"/>
      <c r="N6364" s="1566"/>
    </row>
    <row r="6365" spans="1:14" ht="28.15" customHeight="1">
      <c r="A6365" s="1578" t="s">
        <v>2218</v>
      </c>
      <c r="B6365" s="1538"/>
      <c r="C6365" s="1538"/>
      <c r="D6365" s="1538"/>
      <c r="E6365" s="1538"/>
      <c r="F6365" s="1538"/>
      <c r="G6365" s="1538"/>
      <c r="H6365" s="271">
        <f>SUM(H6361:H6364)</f>
        <v>1</v>
      </c>
      <c r="I6365" s="1567"/>
      <c r="J6365" s="1543"/>
      <c r="K6365" s="1543"/>
      <c r="L6365" s="1543"/>
      <c r="M6365" s="1543"/>
      <c r="N6365" s="1566"/>
    </row>
    <row r="6366" spans="1:14">
      <c r="A6366" s="1519" t="s">
        <v>2219</v>
      </c>
      <c r="B6366" s="1517"/>
      <c r="C6366" s="1517"/>
      <c r="D6366" s="1551"/>
      <c r="E6366" s="1551"/>
      <c r="F6366" s="1551"/>
      <c r="G6366" s="1552"/>
      <c r="H6366" s="325">
        <f>SUM(H6361)</f>
        <v>0</v>
      </c>
      <c r="I6366" s="1543"/>
      <c r="J6366" s="1543"/>
      <c r="K6366" s="1543"/>
      <c r="L6366" s="1543"/>
      <c r="M6366" s="1543"/>
      <c r="N6366" s="1566"/>
    </row>
    <row r="6367" spans="1:14" ht="15.75" thickBot="1">
      <c r="A6367" s="1520" t="s">
        <v>2220</v>
      </c>
      <c r="B6367" s="1521"/>
      <c r="C6367" s="1521"/>
      <c r="D6367" s="1521"/>
      <c r="E6367" s="1521"/>
      <c r="F6367" s="1521"/>
      <c r="G6367" s="1522"/>
      <c r="H6367" s="216">
        <f>H6365-H6366</f>
        <v>1</v>
      </c>
      <c r="I6367" s="1568"/>
      <c r="J6367" s="1568"/>
      <c r="K6367" s="1568"/>
      <c r="L6367" s="1568"/>
      <c r="M6367" s="1568"/>
      <c r="N6367" s="1569"/>
    </row>
    <row r="6368" spans="1:14" ht="15.75" thickBot="1">
      <c r="A6368" s="898"/>
      <c r="B6368" s="898"/>
      <c r="C6368" s="898"/>
      <c r="D6368" s="970"/>
      <c r="E6368" s="1363"/>
      <c r="F6368" s="898"/>
      <c r="G6368" s="899"/>
      <c r="H6368" s="220"/>
      <c r="I6368" s="942"/>
      <c r="J6368" s="942"/>
      <c r="K6368" s="942"/>
      <c r="L6368" s="942"/>
      <c r="M6368" s="942"/>
      <c r="N6368" s="941"/>
    </row>
    <row r="6369" spans="1:14">
      <c r="A6369" s="1121">
        <v>150802</v>
      </c>
      <c r="B6369" s="1494" t="s">
        <v>1618</v>
      </c>
      <c r="C6369" s="1495"/>
      <c r="D6369" s="1495"/>
      <c r="E6369" s="1495"/>
      <c r="F6369" s="1495"/>
      <c r="G6369" s="1495"/>
      <c r="H6369" s="1495"/>
      <c r="I6369" s="1495"/>
      <c r="J6369" s="1496"/>
      <c r="K6369" s="196" t="s">
        <v>28</v>
      </c>
      <c r="L6369" s="1497">
        <f>'27ª MEDIÇÃO '!F454</f>
        <v>3</v>
      </c>
      <c r="M6369" s="1498"/>
      <c r="N6369" s="197">
        <f>L6369-H6376</f>
        <v>0</v>
      </c>
    </row>
    <row r="6370" spans="1:14">
      <c r="A6370" s="1554"/>
      <c r="B6370" s="1541"/>
      <c r="C6370" s="366"/>
      <c r="D6370" s="367" t="s">
        <v>2183</v>
      </c>
      <c r="E6370" s="1320" t="s">
        <v>2184</v>
      </c>
      <c r="F6370" s="367" t="s">
        <v>2185</v>
      </c>
      <c r="G6370" s="367" t="s">
        <v>2186</v>
      </c>
      <c r="H6370" s="1542" t="s">
        <v>476</v>
      </c>
      <c r="I6370" s="1543"/>
      <c r="J6370" s="1543"/>
      <c r="K6370" s="1543"/>
      <c r="L6370" s="1543"/>
      <c r="M6370" s="1543"/>
      <c r="N6370" s="1566"/>
    </row>
    <row r="6371" spans="1:14" ht="24">
      <c r="A6371" s="1554"/>
      <c r="B6371" s="1541"/>
      <c r="C6371" s="368" t="s">
        <v>2627</v>
      </c>
      <c r="D6371" s="369" t="s">
        <v>2187</v>
      </c>
      <c r="E6371" s="529" t="s">
        <v>3152</v>
      </c>
      <c r="F6371" s="369" t="s">
        <v>2649</v>
      </c>
      <c r="G6371" s="370" t="s">
        <v>2709</v>
      </c>
      <c r="H6371" s="1542"/>
      <c r="I6371" s="1543"/>
      <c r="J6371" s="1543"/>
      <c r="K6371" s="1543"/>
      <c r="L6371" s="1543"/>
      <c r="M6371" s="1543"/>
      <c r="N6371" s="1566"/>
    </row>
    <row r="6372" spans="1:14">
      <c r="A6372" s="1535" t="s">
        <v>3428</v>
      </c>
      <c r="B6372" s="876" t="s">
        <v>3197</v>
      </c>
      <c r="C6372" s="743">
        <v>2</v>
      </c>
      <c r="D6372" s="198"/>
      <c r="E6372" s="341">
        <v>0.5</v>
      </c>
      <c r="F6372" s="341"/>
      <c r="G6372" s="341"/>
      <c r="H6372" s="349">
        <f>E6372*C6372</f>
        <v>1</v>
      </c>
      <c r="I6372" s="1567"/>
      <c r="J6372" s="1543"/>
      <c r="K6372" s="1543"/>
      <c r="L6372" s="1543"/>
      <c r="M6372" s="1543"/>
      <c r="N6372" s="1566"/>
    </row>
    <row r="6373" spans="1:14">
      <c r="A6373" s="1529"/>
      <c r="B6373" s="876" t="s">
        <v>3198</v>
      </c>
      <c r="C6373" s="743">
        <v>1</v>
      </c>
      <c r="D6373" s="199"/>
      <c r="E6373" s="351">
        <v>0.5</v>
      </c>
      <c r="F6373" s="351"/>
      <c r="G6373" s="351"/>
      <c r="H6373" s="349">
        <f>E6373*C6373</f>
        <v>0.5</v>
      </c>
      <c r="I6373" s="1567"/>
      <c r="J6373" s="1543"/>
      <c r="K6373" s="1543"/>
      <c r="L6373" s="1543"/>
      <c r="M6373" s="1543"/>
      <c r="N6373" s="1566"/>
    </row>
    <row r="6374" spans="1:14">
      <c r="A6374" s="1535" t="s">
        <v>3937</v>
      </c>
      <c r="B6374" s="876" t="s">
        <v>3197</v>
      </c>
      <c r="C6374" s="743">
        <v>2</v>
      </c>
      <c r="D6374" s="198"/>
      <c r="E6374" s="341">
        <v>0.5</v>
      </c>
      <c r="F6374" s="341"/>
      <c r="G6374" s="341"/>
      <c r="H6374" s="349">
        <f>E6374*C6374</f>
        <v>1</v>
      </c>
      <c r="I6374" s="1567"/>
      <c r="J6374" s="1543"/>
      <c r="K6374" s="1543"/>
      <c r="L6374" s="1543"/>
      <c r="M6374" s="1543"/>
      <c r="N6374" s="1566"/>
    </row>
    <row r="6375" spans="1:14">
      <c r="A6375" s="1529"/>
      <c r="B6375" s="876" t="s">
        <v>3198</v>
      </c>
      <c r="C6375" s="743">
        <v>1</v>
      </c>
      <c r="D6375" s="199"/>
      <c r="E6375" s="351">
        <v>0.5</v>
      </c>
      <c r="F6375" s="351"/>
      <c r="G6375" s="351"/>
      <c r="H6375" s="349">
        <f>E6375*C6375</f>
        <v>0.5</v>
      </c>
      <c r="I6375" s="1567"/>
      <c r="J6375" s="1543"/>
      <c r="K6375" s="1543"/>
      <c r="L6375" s="1543"/>
      <c r="M6375" s="1543"/>
      <c r="N6375" s="1566"/>
    </row>
    <row r="6376" spans="1:14">
      <c r="A6376" s="1578" t="s">
        <v>2218</v>
      </c>
      <c r="B6376" s="1538"/>
      <c r="C6376" s="1538"/>
      <c r="D6376" s="1538"/>
      <c r="E6376" s="1538"/>
      <c r="F6376" s="1538"/>
      <c r="G6376" s="1538"/>
      <c r="H6376" s="271">
        <f>SUM(H6372:H6375)</f>
        <v>3</v>
      </c>
      <c r="I6376" s="1567"/>
      <c r="J6376" s="1543"/>
      <c r="K6376" s="1543"/>
      <c r="L6376" s="1543"/>
      <c r="M6376" s="1543"/>
      <c r="N6376" s="1566"/>
    </row>
    <row r="6377" spans="1:14">
      <c r="A6377" s="1519" t="s">
        <v>2219</v>
      </c>
      <c r="B6377" s="1517"/>
      <c r="C6377" s="1517"/>
      <c r="D6377" s="1551"/>
      <c r="E6377" s="1551"/>
      <c r="F6377" s="1551"/>
      <c r="G6377" s="1552"/>
      <c r="H6377" s="325">
        <f>SUM(H6372)</f>
        <v>1</v>
      </c>
      <c r="I6377" s="1543"/>
      <c r="J6377" s="1543"/>
      <c r="K6377" s="1543"/>
      <c r="L6377" s="1543"/>
      <c r="M6377" s="1543"/>
      <c r="N6377" s="1566"/>
    </row>
    <row r="6378" spans="1:14" ht="28.15" customHeight="1" thickBot="1">
      <c r="A6378" s="1520" t="s">
        <v>2220</v>
      </c>
      <c r="B6378" s="1521"/>
      <c r="C6378" s="1521"/>
      <c r="D6378" s="1521"/>
      <c r="E6378" s="1521"/>
      <c r="F6378" s="1521"/>
      <c r="G6378" s="1522"/>
      <c r="H6378" s="216">
        <f>H6376-H6377</f>
        <v>2</v>
      </c>
      <c r="I6378" s="1568"/>
      <c r="J6378" s="1568"/>
      <c r="K6378" s="1568"/>
      <c r="L6378" s="1568"/>
      <c r="M6378" s="1568"/>
      <c r="N6378" s="1569"/>
    </row>
    <row r="6379" spans="1:14" ht="15.75" thickBot="1">
      <c r="A6379" s="898"/>
      <c r="B6379" s="898"/>
      <c r="C6379" s="898"/>
      <c r="D6379" s="970"/>
      <c r="E6379" s="1363"/>
      <c r="F6379" s="898"/>
      <c r="G6379" s="899"/>
      <c r="H6379" s="220"/>
      <c r="I6379" s="942"/>
      <c r="J6379" s="942"/>
      <c r="K6379" s="942"/>
      <c r="L6379" s="942"/>
      <c r="M6379" s="942"/>
      <c r="N6379" s="941"/>
    </row>
    <row r="6380" spans="1:14">
      <c r="A6380" s="1121">
        <v>150803</v>
      </c>
      <c r="B6380" s="1494" t="s">
        <v>1621</v>
      </c>
      <c r="C6380" s="1495"/>
      <c r="D6380" s="1495"/>
      <c r="E6380" s="1495"/>
      <c r="F6380" s="1495"/>
      <c r="G6380" s="1495"/>
      <c r="H6380" s="1495"/>
      <c r="I6380" s="1495"/>
      <c r="J6380" s="1496"/>
      <c r="K6380" s="196" t="s">
        <v>28</v>
      </c>
      <c r="L6380" s="1497">
        <f>'27ª MEDIÇÃO '!F455</f>
        <v>1</v>
      </c>
      <c r="M6380" s="1498"/>
      <c r="N6380" s="197">
        <f>L6380-H6386</f>
        <v>0</v>
      </c>
    </row>
    <row r="6381" spans="1:14">
      <c r="A6381" s="1554"/>
      <c r="B6381" s="1541"/>
      <c r="C6381" s="366"/>
      <c r="D6381" s="367" t="s">
        <v>2183</v>
      </c>
      <c r="E6381" s="1320" t="s">
        <v>2184</v>
      </c>
      <c r="F6381" s="367" t="s">
        <v>2185</v>
      </c>
      <c r="G6381" s="367" t="s">
        <v>2186</v>
      </c>
      <c r="H6381" s="1542" t="s">
        <v>476</v>
      </c>
      <c r="I6381" s="1543"/>
      <c r="J6381" s="1543"/>
      <c r="K6381" s="1543"/>
      <c r="L6381" s="1543"/>
      <c r="M6381" s="1543"/>
      <c r="N6381" s="1566"/>
    </row>
    <row r="6382" spans="1:14" ht="24">
      <c r="A6382" s="1554"/>
      <c r="B6382" s="1541"/>
      <c r="C6382" s="368" t="s">
        <v>2627</v>
      </c>
      <c r="D6382" s="369" t="s">
        <v>2187</v>
      </c>
      <c r="E6382" s="529" t="s">
        <v>3152</v>
      </c>
      <c r="F6382" s="369" t="s">
        <v>2649</v>
      </c>
      <c r="G6382" s="370" t="s">
        <v>2709</v>
      </c>
      <c r="H6382" s="1542"/>
      <c r="I6382" s="1543"/>
      <c r="J6382" s="1543"/>
      <c r="K6382" s="1543"/>
      <c r="L6382" s="1543"/>
      <c r="M6382" s="1543"/>
      <c r="N6382" s="1566"/>
    </row>
    <row r="6383" spans="1:14">
      <c r="A6383" s="1194" t="s">
        <v>3428</v>
      </c>
      <c r="B6383" s="876" t="s">
        <v>3197</v>
      </c>
      <c r="C6383" s="743">
        <v>1</v>
      </c>
      <c r="D6383" s="198"/>
      <c r="E6383" s="341">
        <v>0.5</v>
      </c>
      <c r="F6383" s="341"/>
      <c r="G6383" s="341"/>
      <c r="H6383" s="349">
        <v>0.5</v>
      </c>
      <c r="I6383" s="1567"/>
      <c r="J6383" s="1543"/>
      <c r="K6383" s="1543"/>
      <c r="L6383" s="1543"/>
      <c r="M6383" s="1543"/>
      <c r="N6383" s="1566"/>
    </row>
    <row r="6384" spans="1:14">
      <c r="A6384" s="1194" t="s">
        <v>3937</v>
      </c>
      <c r="B6384" s="876" t="s">
        <v>3197</v>
      </c>
      <c r="C6384" s="743">
        <v>1</v>
      </c>
      <c r="D6384" s="198"/>
      <c r="E6384" s="341">
        <v>0.5</v>
      </c>
      <c r="F6384" s="341"/>
      <c r="G6384" s="341"/>
      <c r="H6384" s="349">
        <v>0.5</v>
      </c>
      <c r="I6384" s="1567"/>
      <c r="J6384" s="1543"/>
      <c r="K6384" s="1543"/>
      <c r="L6384" s="1543"/>
      <c r="M6384" s="1543"/>
      <c r="N6384" s="1566"/>
    </row>
    <row r="6385" spans="1:14">
      <c r="A6385" s="1137"/>
      <c r="B6385" s="876"/>
      <c r="C6385" s="743"/>
      <c r="D6385" s="294"/>
      <c r="E6385" s="348"/>
      <c r="F6385" s="348"/>
      <c r="G6385" s="348"/>
      <c r="H6385" s="349"/>
      <c r="I6385" s="1567"/>
      <c r="J6385" s="1543"/>
      <c r="K6385" s="1543"/>
      <c r="L6385" s="1543"/>
      <c r="M6385" s="1543"/>
      <c r="N6385" s="1566"/>
    </row>
    <row r="6386" spans="1:14">
      <c r="A6386" s="1578" t="s">
        <v>2218</v>
      </c>
      <c r="B6386" s="1538"/>
      <c r="C6386" s="1538"/>
      <c r="D6386" s="1538"/>
      <c r="E6386" s="1538"/>
      <c r="F6386" s="1538"/>
      <c r="G6386" s="1538"/>
      <c r="H6386" s="271">
        <f>SUM(H6383:H6385)</f>
        <v>1</v>
      </c>
      <c r="I6386" s="1567"/>
      <c r="J6386" s="1543"/>
      <c r="K6386" s="1543"/>
      <c r="L6386" s="1543"/>
      <c r="M6386" s="1543"/>
      <c r="N6386" s="1566"/>
    </row>
    <row r="6387" spans="1:14">
      <c r="A6387" s="1519" t="s">
        <v>2219</v>
      </c>
      <c r="B6387" s="1517"/>
      <c r="C6387" s="1517"/>
      <c r="D6387" s="1551"/>
      <c r="E6387" s="1551"/>
      <c r="F6387" s="1551"/>
      <c r="G6387" s="1552"/>
      <c r="H6387" s="325">
        <f>SUM(H6383)</f>
        <v>0.5</v>
      </c>
      <c r="I6387" s="1543"/>
      <c r="J6387" s="1543"/>
      <c r="K6387" s="1543"/>
      <c r="L6387" s="1543"/>
      <c r="M6387" s="1543"/>
      <c r="N6387" s="1566"/>
    </row>
    <row r="6388" spans="1:14" ht="15.75" thickBot="1">
      <c r="A6388" s="1520" t="s">
        <v>2220</v>
      </c>
      <c r="B6388" s="1521"/>
      <c r="C6388" s="1521"/>
      <c r="D6388" s="1521"/>
      <c r="E6388" s="1521"/>
      <c r="F6388" s="1521"/>
      <c r="G6388" s="1522"/>
      <c r="H6388" s="216">
        <f>H6386-H6387</f>
        <v>0.5</v>
      </c>
      <c r="I6388" s="1568"/>
      <c r="J6388" s="1568"/>
      <c r="K6388" s="1568"/>
      <c r="L6388" s="1568"/>
      <c r="M6388" s="1568"/>
      <c r="N6388" s="1569"/>
    </row>
    <row r="6389" spans="1:14" ht="28.15" customHeight="1" thickBot="1">
      <c r="A6389" s="898"/>
      <c r="B6389" s="898"/>
      <c r="C6389" s="898"/>
      <c r="D6389" s="970"/>
      <c r="E6389" s="1363"/>
      <c r="F6389" s="898"/>
      <c r="G6389" s="899"/>
      <c r="H6389" s="220"/>
      <c r="I6389" s="942"/>
      <c r="J6389" s="942"/>
      <c r="K6389" s="942"/>
      <c r="L6389" s="942"/>
      <c r="M6389" s="942"/>
      <c r="N6389" s="941"/>
    </row>
    <row r="6390" spans="1:14">
      <c r="A6390" s="1121">
        <v>150804</v>
      </c>
      <c r="B6390" s="1494" t="s">
        <v>1624</v>
      </c>
      <c r="C6390" s="1495"/>
      <c r="D6390" s="1495"/>
      <c r="E6390" s="1495"/>
      <c r="F6390" s="1495"/>
      <c r="G6390" s="1495"/>
      <c r="H6390" s="1495"/>
      <c r="I6390" s="1495"/>
      <c r="J6390" s="1496"/>
      <c r="K6390" s="196" t="s">
        <v>28</v>
      </c>
      <c r="L6390" s="1497">
        <f>'27ª MEDIÇÃO '!F456</f>
        <v>1</v>
      </c>
      <c r="M6390" s="1498"/>
      <c r="N6390" s="197">
        <f>L6390-H6396</f>
        <v>0</v>
      </c>
    </row>
    <row r="6391" spans="1:14">
      <c r="A6391" s="1554"/>
      <c r="B6391" s="1541"/>
      <c r="C6391" s="366"/>
      <c r="D6391" s="367" t="s">
        <v>2183</v>
      </c>
      <c r="E6391" s="1320" t="s">
        <v>2184</v>
      </c>
      <c r="F6391" s="367" t="s">
        <v>2185</v>
      </c>
      <c r="G6391" s="367" t="s">
        <v>2186</v>
      </c>
      <c r="H6391" s="1542" t="s">
        <v>476</v>
      </c>
      <c r="I6391" s="1543"/>
      <c r="J6391" s="1543"/>
      <c r="K6391" s="1543"/>
      <c r="L6391" s="1543"/>
      <c r="M6391" s="1543"/>
      <c r="N6391" s="1566"/>
    </row>
    <row r="6392" spans="1:14" ht="24">
      <c r="A6392" s="1554"/>
      <c r="B6392" s="1541"/>
      <c r="C6392" s="368" t="s">
        <v>2627</v>
      </c>
      <c r="D6392" s="369" t="s">
        <v>2187</v>
      </c>
      <c r="E6392" s="529" t="s">
        <v>3152</v>
      </c>
      <c r="F6392" s="369" t="s">
        <v>2649</v>
      </c>
      <c r="G6392" s="370" t="s">
        <v>2709</v>
      </c>
      <c r="H6392" s="1542"/>
      <c r="I6392" s="1543"/>
      <c r="J6392" s="1543"/>
      <c r="K6392" s="1543"/>
      <c r="L6392" s="1543"/>
      <c r="M6392" s="1543"/>
      <c r="N6392" s="1566"/>
    </row>
    <row r="6393" spans="1:14">
      <c r="A6393" s="1535" t="s">
        <v>3364</v>
      </c>
      <c r="B6393" s="876"/>
      <c r="C6393" s="317"/>
      <c r="D6393" s="287"/>
      <c r="E6393" s="531"/>
      <c r="F6393" s="287"/>
      <c r="G6393" s="431"/>
      <c r="H6393" s="432"/>
      <c r="I6393" s="1567"/>
      <c r="J6393" s="1543"/>
      <c r="K6393" s="1543"/>
      <c r="L6393" s="1543"/>
      <c r="M6393" s="1543"/>
      <c r="N6393" s="1566"/>
    </row>
    <row r="6394" spans="1:14">
      <c r="A6394" s="1529"/>
      <c r="B6394" s="876" t="s">
        <v>3197</v>
      </c>
      <c r="C6394" s="743">
        <v>1</v>
      </c>
      <c r="D6394" s="198"/>
      <c r="E6394" s="341">
        <v>0.5</v>
      </c>
      <c r="F6394" s="341"/>
      <c r="G6394" s="341"/>
      <c r="H6394" s="349">
        <v>0.5</v>
      </c>
      <c r="I6394" s="1567"/>
      <c r="J6394" s="1543"/>
      <c r="K6394" s="1543"/>
      <c r="L6394" s="1543"/>
      <c r="M6394" s="1543"/>
      <c r="N6394" s="1566"/>
    </row>
    <row r="6395" spans="1:14">
      <c r="A6395" s="1137" t="s">
        <v>3937</v>
      </c>
      <c r="B6395" s="876" t="s">
        <v>3197</v>
      </c>
      <c r="C6395" s="743">
        <v>1</v>
      </c>
      <c r="D6395" s="198"/>
      <c r="E6395" s="341">
        <v>0.5</v>
      </c>
      <c r="F6395" s="341"/>
      <c r="G6395" s="341"/>
      <c r="H6395" s="349">
        <v>0.5</v>
      </c>
      <c r="I6395" s="1567"/>
      <c r="J6395" s="1543"/>
      <c r="K6395" s="1543"/>
      <c r="L6395" s="1543"/>
      <c r="M6395" s="1543"/>
      <c r="N6395" s="1566"/>
    </row>
    <row r="6396" spans="1:14">
      <c r="A6396" s="1578" t="s">
        <v>2218</v>
      </c>
      <c r="B6396" s="1538"/>
      <c r="C6396" s="1538"/>
      <c r="D6396" s="1538"/>
      <c r="E6396" s="1538"/>
      <c r="F6396" s="1538"/>
      <c r="G6396" s="1538"/>
      <c r="H6396" s="271">
        <f>SUM(H6393:H6395)</f>
        <v>1</v>
      </c>
      <c r="I6396" s="1567"/>
      <c r="J6396" s="1543"/>
      <c r="K6396" s="1543"/>
      <c r="L6396" s="1543"/>
      <c r="M6396" s="1543"/>
      <c r="N6396" s="1566"/>
    </row>
    <row r="6397" spans="1:14">
      <c r="A6397" s="1519" t="s">
        <v>2219</v>
      </c>
      <c r="B6397" s="1517"/>
      <c r="C6397" s="1517"/>
      <c r="D6397" s="1551"/>
      <c r="E6397" s="1551"/>
      <c r="F6397" s="1551"/>
      <c r="G6397" s="1552"/>
      <c r="H6397" s="325">
        <f>SUM(H6393:H6394)</f>
        <v>0.5</v>
      </c>
      <c r="I6397" s="1543"/>
      <c r="J6397" s="1543"/>
      <c r="K6397" s="1543"/>
      <c r="L6397" s="1543"/>
      <c r="M6397" s="1543"/>
      <c r="N6397" s="1566"/>
    </row>
    <row r="6398" spans="1:14" ht="15.75" thickBot="1">
      <c r="A6398" s="1520" t="s">
        <v>2220</v>
      </c>
      <c r="B6398" s="1521"/>
      <c r="C6398" s="1521"/>
      <c r="D6398" s="1521"/>
      <c r="E6398" s="1521"/>
      <c r="F6398" s="1521"/>
      <c r="G6398" s="1522"/>
      <c r="H6398" s="216">
        <f>H6396-H6397</f>
        <v>0.5</v>
      </c>
      <c r="I6398" s="1568"/>
      <c r="J6398" s="1568"/>
      <c r="K6398" s="1568"/>
      <c r="L6398" s="1568"/>
      <c r="M6398" s="1568"/>
      <c r="N6398" s="1569"/>
    </row>
    <row r="6399" spans="1:14" ht="15.75" thickBot="1">
      <c r="A6399" s="898"/>
      <c r="B6399" s="898"/>
      <c r="C6399" s="898"/>
      <c r="D6399" s="970"/>
      <c r="E6399" s="1363"/>
      <c r="F6399" s="898"/>
      <c r="G6399" s="899"/>
      <c r="H6399" s="220"/>
      <c r="I6399" s="942"/>
      <c r="J6399" s="942"/>
      <c r="K6399" s="942"/>
      <c r="L6399" s="942"/>
      <c r="M6399" s="942"/>
      <c r="N6399" s="941"/>
    </row>
    <row r="6400" spans="1:14">
      <c r="A6400" s="1121">
        <v>150901</v>
      </c>
      <c r="B6400" s="1494" t="s">
        <v>690</v>
      </c>
      <c r="C6400" s="1495"/>
      <c r="D6400" s="1495"/>
      <c r="E6400" s="1495"/>
      <c r="F6400" s="1495"/>
      <c r="G6400" s="1495"/>
      <c r="H6400" s="1495"/>
      <c r="I6400" s="1495"/>
      <c r="J6400" s="1496"/>
      <c r="K6400" s="196" t="s">
        <v>28</v>
      </c>
      <c r="L6400" s="1497">
        <v>33</v>
      </c>
      <c r="M6400" s="1498"/>
      <c r="N6400" s="197">
        <f>L6400-H6406</f>
        <v>0</v>
      </c>
    </row>
    <row r="6401" spans="1:14">
      <c r="A6401" s="1554"/>
      <c r="B6401" s="1541"/>
      <c r="C6401" s="366"/>
      <c r="D6401" s="367" t="s">
        <v>2183</v>
      </c>
      <c r="E6401" s="1320" t="s">
        <v>2184</v>
      </c>
      <c r="F6401" s="367" t="s">
        <v>2185</v>
      </c>
      <c r="G6401" s="367" t="s">
        <v>2186</v>
      </c>
      <c r="H6401" s="1542" t="s">
        <v>476</v>
      </c>
      <c r="I6401" s="1543"/>
      <c r="J6401" s="1543"/>
      <c r="K6401" s="1543"/>
      <c r="L6401" s="1543"/>
      <c r="M6401" s="1543"/>
      <c r="N6401" s="1566"/>
    </row>
    <row r="6402" spans="1:14" ht="24">
      <c r="A6402" s="1554"/>
      <c r="B6402" s="1541"/>
      <c r="C6402" s="368" t="s">
        <v>2627</v>
      </c>
      <c r="D6402" s="369" t="s">
        <v>2187</v>
      </c>
      <c r="E6402" s="529" t="s">
        <v>3152</v>
      </c>
      <c r="F6402" s="369" t="s">
        <v>2649</v>
      </c>
      <c r="G6402" s="370" t="s">
        <v>2709</v>
      </c>
      <c r="H6402" s="1542"/>
      <c r="I6402" s="1543"/>
      <c r="J6402" s="1543"/>
      <c r="K6402" s="1543"/>
      <c r="L6402" s="1543"/>
      <c r="M6402" s="1543"/>
      <c r="N6402" s="1566"/>
    </row>
    <row r="6403" spans="1:14">
      <c r="A6403" s="1535" t="s">
        <v>3892</v>
      </c>
      <c r="B6403" s="876"/>
      <c r="C6403" s="317"/>
      <c r="D6403" s="287"/>
      <c r="E6403" s="531"/>
      <c r="F6403" s="287"/>
      <c r="G6403" s="431"/>
      <c r="H6403" s="432"/>
      <c r="I6403" s="1567"/>
      <c r="J6403" s="1543"/>
      <c r="K6403" s="1543"/>
      <c r="L6403" s="1543"/>
      <c r="M6403" s="1543"/>
      <c r="N6403" s="1566"/>
    </row>
    <row r="6404" spans="1:14">
      <c r="A6404" s="1529"/>
      <c r="B6404" s="876" t="s">
        <v>3197</v>
      </c>
      <c r="C6404" s="743">
        <v>33</v>
      </c>
      <c r="D6404" s="198"/>
      <c r="E6404" s="341">
        <v>1</v>
      </c>
      <c r="F6404" s="341"/>
      <c r="G6404" s="341"/>
      <c r="H6404" s="349">
        <v>33</v>
      </c>
      <c r="I6404" s="1567"/>
      <c r="J6404" s="1543"/>
      <c r="K6404" s="1543"/>
      <c r="L6404" s="1543"/>
      <c r="M6404" s="1543"/>
      <c r="N6404" s="1566"/>
    </row>
    <row r="6405" spans="1:14">
      <c r="A6405" s="1545"/>
      <c r="B6405" s="876"/>
      <c r="C6405" s="743"/>
      <c r="D6405" s="294"/>
      <c r="E6405" s="348"/>
      <c r="F6405" s="348"/>
      <c r="G6405" s="348"/>
      <c r="H6405" s="349"/>
      <c r="I6405" s="1567"/>
      <c r="J6405" s="1543"/>
      <c r="K6405" s="1543"/>
      <c r="L6405" s="1543"/>
      <c r="M6405" s="1543"/>
      <c r="N6405" s="1566"/>
    </row>
    <row r="6406" spans="1:14">
      <c r="A6406" s="1578" t="s">
        <v>2218</v>
      </c>
      <c r="B6406" s="1538"/>
      <c r="C6406" s="1538"/>
      <c r="D6406" s="1538"/>
      <c r="E6406" s="1538"/>
      <c r="F6406" s="1538"/>
      <c r="G6406" s="1538"/>
      <c r="H6406" s="271">
        <f>SUM(H6403:H6405)</f>
        <v>33</v>
      </c>
      <c r="I6406" s="1567"/>
      <c r="J6406" s="1543"/>
      <c r="K6406" s="1543"/>
      <c r="L6406" s="1543"/>
      <c r="M6406" s="1543"/>
      <c r="N6406" s="1566"/>
    </row>
    <row r="6407" spans="1:14">
      <c r="A6407" s="1519" t="s">
        <v>2219</v>
      </c>
      <c r="B6407" s="1517"/>
      <c r="C6407" s="1517"/>
      <c r="D6407" s="1551"/>
      <c r="E6407" s="1551"/>
      <c r="F6407" s="1551"/>
      <c r="G6407" s="1552"/>
      <c r="H6407" s="325">
        <f>SUM(H6403)</f>
        <v>0</v>
      </c>
      <c r="I6407" s="1543"/>
      <c r="J6407" s="1543"/>
      <c r="K6407" s="1543"/>
      <c r="L6407" s="1543"/>
      <c r="M6407" s="1543"/>
      <c r="N6407" s="1566"/>
    </row>
    <row r="6408" spans="1:14" ht="15.75" thickBot="1">
      <c r="A6408" s="1520" t="s">
        <v>2220</v>
      </c>
      <c r="B6408" s="1521"/>
      <c r="C6408" s="1521"/>
      <c r="D6408" s="1521"/>
      <c r="E6408" s="1521"/>
      <c r="F6408" s="1521"/>
      <c r="G6408" s="1522"/>
      <c r="H6408" s="216">
        <f>H6406-H6407</f>
        <v>33</v>
      </c>
      <c r="I6408" s="1568"/>
      <c r="J6408" s="1568"/>
      <c r="K6408" s="1568"/>
      <c r="L6408" s="1568"/>
      <c r="M6408" s="1568"/>
      <c r="N6408" s="1569"/>
    </row>
    <row r="6409" spans="1:14" ht="15.75" thickBot="1">
      <c r="A6409" s="898"/>
      <c r="B6409" s="898"/>
      <c r="C6409" s="898"/>
      <c r="D6409" s="970"/>
      <c r="E6409" s="1363"/>
      <c r="F6409" s="898"/>
      <c r="G6409" s="899"/>
      <c r="H6409" s="220"/>
      <c r="I6409" s="942"/>
      <c r="J6409" s="942"/>
      <c r="K6409" s="942"/>
      <c r="L6409" s="942"/>
      <c r="M6409" s="942"/>
      <c r="N6409" s="941"/>
    </row>
    <row r="6410" spans="1:14">
      <c r="A6410" s="1121">
        <v>150902</v>
      </c>
      <c r="B6410" s="1494" t="s">
        <v>1629</v>
      </c>
      <c r="C6410" s="1495"/>
      <c r="D6410" s="1495"/>
      <c r="E6410" s="1495"/>
      <c r="F6410" s="1495"/>
      <c r="G6410" s="1495"/>
      <c r="H6410" s="1495"/>
      <c r="I6410" s="1495"/>
      <c r="J6410" s="1496"/>
      <c r="K6410" s="196" t="s">
        <v>28</v>
      </c>
      <c r="L6410" s="1497">
        <v>23.5</v>
      </c>
      <c r="M6410" s="1498"/>
      <c r="N6410" s="197">
        <f>L6410-H6416</f>
        <v>0</v>
      </c>
    </row>
    <row r="6411" spans="1:14">
      <c r="A6411" s="1554"/>
      <c r="B6411" s="1541"/>
      <c r="C6411" s="366"/>
      <c r="D6411" s="367" t="s">
        <v>2183</v>
      </c>
      <c r="E6411" s="1320" t="s">
        <v>2184</v>
      </c>
      <c r="F6411" s="367" t="s">
        <v>2185</v>
      </c>
      <c r="G6411" s="367" t="s">
        <v>2186</v>
      </c>
      <c r="H6411" s="1542" t="s">
        <v>476</v>
      </c>
      <c r="I6411" s="1543"/>
      <c r="J6411" s="1543"/>
      <c r="K6411" s="1543"/>
      <c r="L6411" s="1543"/>
      <c r="M6411" s="1543"/>
      <c r="N6411" s="1566"/>
    </row>
    <row r="6412" spans="1:14" ht="24">
      <c r="A6412" s="1554"/>
      <c r="B6412" s="1541"/>
      <c r="C6412" s="368" t="s">
        <v>2627</v>
      </c>
      <c r="D6412" s="369" t="s">
        <v>2187</v>
      </c>
      <c r="E6412" s="529" t="s">
        <v>3152</v>
      </c>
      <c r="F6412" s="369" t="s">
        <v>2649</v>
      </c>
      <c r="G6412" s="370" t="s">
        <v>2709</v>
      </c>
      <c r="H6412" s="1542"/>
      <c r="I6412" s="1543"/>
      <c r="J6412" s="1543"/>
      <c r="K6412" s="1543"/>
      <c r="L6412" s="1543"/>
      <c r="M6412" s="1543"/>
      <c r="N6412" s="1566"/>
    </row>
    <row r="6413" spans="1:14">
      <c r="A6413" s="1535" t="s">
        <v>3892</v>
      </c>
      <c r="B6413" s="876"/>
      <c r="C6413" s="317"/>
      <c r="D6413" s="287"/>
      <c r="E6413" s="531"/>
      <c r="F6413" s="287"/>
      <c r="G6413" s="431"/>
      <c r="H6413" s="432"/>
      <c r="I6413" s="1567"/>
      <c r="J6413" s="1543"/>
      <c r="K6413" s="1543"/>
      <c r="L6413" s="1543"/>
      <c r="M6413" s="1543"/>
      <c r="N6413" s="1566"/>
    </row>
    <row r="6414" spans="1:14">
      <c r="A6414" s="1529"/>
      <c r="B6414" s="876" t="s">
        <v>3197</v>
      </c>
      <c r="C6414" s="743">
        <v>23.5</v>
      </c>
      <c r="D6414" s="198"/>
      <c r="E6414" s="341">
        <v>1</v>
      </c>
      <c r="F6414" s="341"/>
      <c r="G6414" s="341"/>
      <c r="H6414" s="349">
        <v>23.5</v>
      </c>
      <c r="I6414" s="1567"/>
      <c r="J6414" s="1543"/>
      <c r="K6414" s="1543"/>
      <c r="L6414" s="1543"/>
      <c r="M6414" s="1543"/>
      <c r="N6414" s="1566"/>
    </row>
    <row r="6415" spans="1:14">
      <c r="A6415" s="1545"/>
      <c r="B6415" s="876"/>
      <c r="C6415" s="743"/>
      <c r="D6415" s="294"/>
      <c r="E6415" s="348"/>
      <c r="F6415" s="348"/>
      <c r="G6415" s="348"/>
      <c r="H6415" s="349"/>
      <c r="I6415" s="1567"/>
      <c r="J6415" s="1543"/>
      <c r="K6415" s="1543"/>
      <c r="L6415" s="1543"/>
      <c r="M6415" s="1543"/>
      <c r="N6415" s="1566"/>
    </row>
    <row r="6416" spans="1:14">
      <c r="A6416" s="1578" t="s">
        <v>2218</v>
      </c>
      <c r="B6416" s="1538"/>
      <c r="C6416" s="1538"/>
      <c r="D6416" s="1538"/>
      <c r="E6416" s="1538"/>
      <c r="F6416" s="1538"/>
      <c r="G6416" s="1538"/>
      <c r="H6416" s="271">
        <f>SUM(H6413:H6415)</f>
        <v>23.5</v>
      </c>
      <c r="I6416" s="1567"/>
      <c r="J6416" s="1543"/>
      <c r="K6416" s="1543"/>
      <c r="L6416" s="1543"/>
      <c r="M6416" s="1543"/>
      <c r="N6416" s="1566"/>
    </row>
    <row r="6417" spans="1:14">
      <c r="A6417" s="1519" t="s">
        <v>2219</v>
      </c>
      <c r="B6417" s="1517"/>
      <c r="C6417" s="1517"/>
      <c r="D6417" s="1551"/>
      <c r="E6417" s="1551"/>
      <c r="F6417" s="1551"/>
      <c r="G6417" s="1552"/>
      <c r="H6417" s="325">
        <f>SUM(H6413)</f>
        <v>0</v>
      </c>
      <c r="I6417" s="1543"/>
      <c r="J6417" s="1543"/>
      <c r="K6417" s="1543"/>
      <c r="L6417" s="1543"/>
      <c r="M6417" s="1543"/>
      <c r="N6417" s="1566"/>
    </row>
    <row r="6418" spans="1:14" ht="15.75" thickBot="1">
      <c r="A6418" s="1520" t="s">
        <v>2220</v>
      </c>
      <c r="B6418" s="1521"/>
      <c r="C6418" s="1521"/>
      <c r="D6418" s="1521"/>
      <c r="E6418" s="1521"/>
      <c r="F6418" s="1521"/>
      <c r="G6418" s="1522"/>
      <c r="H6418" s="216">
        <f>H6416-H6417</f>
        <v>23.5</v>
      </c>
      <c r="I6418" s="1568"/>
      <c r="J6418" s="1568"/>
      <c r="K6418" s="1568"/>
      <c r="L6418" s="1568"/>
      <c r="M6418" s="1568"/>
      <c r="N6418" s="1569"/>
    </row>
    <row r="6419" spans="1:14" ht="15.75" thickBot="1">
      <c r="A6419" s="898"/>
      <c r="B6419" s="898"/>
      <c r="C6419" s="898"/>
      <c r="D6419" s="970"/>
      <c r="E6419" s="1363"/>
      <c r="F6419" s="898"/>
      <c r="G6419" s="899"/>
      <c r="H6419" s="220"/>
      <c r="I6419" s="942"/>
      <c r="J6419" s="942"/>
      <c r="K6419" s="942"/>
      <c r="L6419" s="942"/>
      <c r="M6419" s="942"/>
      <c r="N6419" s="941"/>
    </row>
    <row r="6420" spans="1:14">
      <c r="A6420" s="1121">
        <v>150903</v>
      </c>
      <c r="B6420" s="1494" t="s">
        <v>1632</v>
      </c>
      <c r="C6420" s="1495"/>
      <c r="D6420" s="1495"/>
      <c r="E6420" s="1495"/>
      <c r="F6420" s="1495"/>
      <c r="G6420" s="1495"/>
      <c r="H6420" s="1495"/>
      <c r="I6420" s="1495"/>
      <c r="J6420" s="1496"/>
      <c r="K6420" s="196" t="s">
        <v>28</v>
      </c>
      <c r="L6420" s="1497">
        <v>99</v>
      </c>
      <c r="M6420" s="1498"/>
      <c r="N6420" s="197">
        <f>L6420-H6426</f>
        <v>0</v>
      </c>
    </row>
    <row r="6421" spans="1:14">
      <c r="A6421" s="1554"/>
      <c r="B6421" s="1541"/>
      <c r="C6421" s="366"/>
      <c r="D6421" s="367" t="s">
        <v>2183</v>
      </c>
      <c r="E6421" s="1320" t="s">
        <v>2184</v>
      </c>
      <c r="F6421" s="367" t="s">
        <v>2185</v>
      </c>
      <c r="G6421" s="367" t="s">
        <v>2186</v>
      </c>
      <c r="H6421" s="1542" t="s">
        <v>476</v>
      </c>
      <c r="I6421" s="1543"/>
      <c r="J6421" s="1543"/>
      <c r="K6421" s="1543"/>
      <c r="L6421" s="1543"/>
      <c r="M6421" s="1543"/>
      <c r="N6421" s="1566"/>
    </row>
    <row r="6422" spans="1:14" ht="24">
      <c r="A6422" s="1554"/>
      <c r="B6422" s="1541"/>
      <c r="C6422" s="368" t="s">
        <v>2627</v>
      </c>
      <c r="D6422" s="369" t="s">
        <v>2187</v>
      </c>
      <c r="E6422" s="529" t="s">
        <v>3152</v>
      </c>
      <c r="F6422" s="369" t="s">
        <v>2649</v>
      </c>
      <c r="G6422" s="370" t="s">
        <v>2709</v>
      </c>
      <c r="H6422" s="1542"/>
      <c r="I6422" s="1543"/>
      <c r="J6422" s="1543"/>
      <c r="K6422" s="1543"/>
      <c r="L6422" s="1543"/>
      <c r="M6422" s="1543"/>
      <c r="N6422" s="1566"/>
    </row>
    <row r="6423" spans="1:14">
      <c r="A6423" s="1535" t="s">
        <v>3892</v>
      </c>
      <c r="B6423" s="876"/>
      <c r="C6423" s="317"/>
      <c r="D6423" s="287"/>
      <c r="E6423" s="531"/>
      <c r="F6423" s="287"/>
      <c r="G6423" s="431"/>
      <c r="H6423" s="432"/>
      <c r="I6423" s="1567"/>
      <c r="J6423" s="1543"/>
      <c r="K6423" s="1543"/>
      <c r="L6423" s="1543"/>
      <c r="M6423" s="1543"/>
      <c r="N6423" s="1566"/>
    </row>
    <row r="6424" spans="1:14">
      <c r="A6424" s="1529"/>
      <c r="B6424" s="876" t="s">
        <v>3197</v>
      </c>
      <c r="C6424" s="743">
        <v>99</v>
      </c>
      <c r="D6424" s="198"/>
      <c r="E6424" s="341">
        <v>1</v>
      </c>
      <c r="F6424" s="341"/>
      <c r="G6424" s="341"/>
      <c r="H6424" s="349">
        <v>99</v>
      </c>
      <c r="I6424" s="1567"/>
      <c r="J6424" s="1543"/>
      <c r="K6424" s="1543"/>
      <c r="L6424" s="1543"/>
      <c r="M6424" s="1543"/>
      <c r="N6424" s="1566"/>
    </row>
    <row r="6425" spans="1:14">
      <c r="A6425" s="1545"/>
      <c r="B6425" s="876"/>
      <c r="C6425" s="743"/>
      <c r="D6425" s="294"/>
      <c r="E6425" s="348"/>
      <c r="F6425" s="348"/>
      <c r="G6425" s="348"/>
      <c r="H6425" s="349"/>
      <c r="I6425" s="1567"/>
      <c r="J6425" s="1543"/>
      <c r="K6425" s="1543"/>
      <c r="L6425" s="1543"/>
      <c r="M6425" s="1543"/>
      <c r="N6425" s="1566"/>
    </row>
    <row r="6426" spans="1:14">
      <c r="A6426" s="1578" t="s">
        <v>2218</v>
      </c>
      <c r="B6426" s="1538"/>
      <c r="C6426" s="1538"/>
      <c r="D6426" s="1538"/>
      <c r="E6426" s="1538"/>
      <c r="F6426" s="1538"/>
      <c r="G6426" s="1538"/>
      <c r="H6426" s="271">
        <f>SUM(H6423:H6425)</f>
        <v>99</v>
      </c>
      <c r="I6426" s="1567"/>
      <c r="J6426" s="1543"/>
      <c r="K6426" s="1543"/>
      <c r="L6426" s="1543"/>
      <c r="M6426" s="1543"/>
      <c r="N6426" s="1566"/>
    </row>
    <row r="6427" spans="1:14">
      <c r="A6427" s="1519" t="s">
        <v>2219</v>
      </c>
      <c r="B6427" s="1517"/>
      <c r="C6427" s="1517"/>
      <c r="D6427" s="1551"/>
      <c r="E6427" s="1551"/>
      <c r="F6427" s="1551"/>
      <c r="G6427" s="1552"/>
      <c r="H6427" s="325">
        <f>SUM(H6423)</f>
        <v>0</v>
      </c>
      <c r="I6427" s="1543"/>
      <c r="J6427" s="1543"/>
      <c r="K6427" s="1543"/>
      <c r="L6427" s="1543"/>
      <c r="M6427" s="1543"/>
      <c r="N6427" s="1566"/>
    </row>
    <row r="6428" spans="1:14" ht="15.75" thickBot="1">
      <c r="A6428" s="1520" t="s">
        <v>2220</v>
      </c>
      <c r="B6428" s="1521"/>
      <c r="C6428" s="1521"/>
      <c r="D6428" s="1521"/>
      <c r="E6428" s="1521"/>
      <c r="F6428" s="1521"/>
      <c r="G6428" s="1522"/>
      <c r="H6428" s="216">
        <f>H6426-H6427</f>
        <v>99</v>
      </c>
      <c r="I6428" s="1568"/>
      <c r="J6428" s="1568"/>
      <c r="K6428" s="1568"/>
      <c r="L6428" s="1568"/>
      <c r="M6428" s="1568"/>
      <c r="N6428" s="1569"/>
    </row>
    <row r="6429" spans="1:14" ht="15.75" thickBot="1">
      <c r="A6429" s="898"/>
      <c r="B6429" s="898"/>
      <c r="C6429" s="898"/>
      <c r="D6429" s="970"/>
      <c r="E6429" s="1363"/>
      <c r="F6429" s="898"/>
      <c r="G6429" s="899"/>
      <c r="H6429" s="220"/>
      <c r="I6429" s="942"/>
      <c r="J6429" s="942"/>
      <c r="K6429" s="942"/>
      <c r="L6429" s="942"/>
      <c r="M6429" s="942"/>
      <c r="N6429" s="941"/>
    </row>
    <row r="6430" spans="1:14">
      <c r="A6430" s="1121">
        <v>150904</v>
      </c>
      <c r="B6430" s="1494" t="s">
        <v>1635</v>
      </c>
      <c r="C6430" s="1495"/>
      <c r="D6430" s="1495"/>
      <c r="E6430" s="1495"/>
      <c r="F6430" s="1495"/>
      <c r="G6430" s="1495"/>
      <c r="H6430" s="1495"/>
      <c r="I6430" s="1495"/>
      <c r="J6430" s="1496"/>
      <c r="K6430" s="196" t="s">
        <v>28</v>
      </c>
      <c r="L6430" s="1497">
        <v>24.75</v>
      </c>
      <c r="M6430" s="1498"/>
      <c r="N6430" s="197">
        <f>L6430-H6436</f>
        <v>0</v>
      </c>
    </row>
    <row r="6431" spans="1:14">
      <c r="A6431" s="1554"/>
      <c r="B6431" s="1541"/>
      <c r="C6431" s="366"/>
      <c r="D6431" s="367" t="s">
        <v>2183</v>
      </c>
      <c r="E6431" s="1320" t="s">
        <v>2184</v>
      </c>
      <c r="F6431" s="367" t="s">
        <v>2185</v>
      </c>
      <c r="G6431" s="367" t="s">
        <v>2186</v>
      </c>
      <c r="H6431" s="1542" t="s">
        <v>476</v>
      </c>
      <c r="I6431" s="1543"/>
      <c r="J6431" s="1543"/>
      <c r="K6431" s="1543"/>
      <c r="L6431" s="1543"/>
      <c r="M6431" s="1543"/>
      <c r="N6431" s="1566"/>
    </row>
    <row r="6432" spans="1:14" ht="24">
      <c r="A6432" s="1554"/>
      <c r="B6432" s="1541"/>
      <c r="C6432" s="368" t="s">
        <v>2627</v>
      </c>
      <c r="D6432" s="369" t="s">
        <v>2187</v>
      </c>
      <c r="E6432" s="529" t="s">
        <v>3152</v>
      </c>
      <c r="F6432" s="369" t="s">
        <v>2649</v>
      </c>
      <c r="G6432" s="370" t="s">
        <v>2709</v>
      </c>
      <c r="H6432" s="1542"/>
      <c r="I6432" s="1543"/>
      <c r="J6432" s="1543"/>
      <c r="K6432" s="1543"/>
      <c r="L6432" s="1543"/>
      <c r="M6432" s="1543"/>
      <c r="N6432" s="1566"/>
    </row>
    <row r="6433" spans="1:14">
      <c r="A6433" s="1535" t="s">
        <v>3892</v>
      </c>
      <c r="B6433" s="876"/>
      <c r="C6433" s="317"/>
      <c r="D6433" s="287"/>
      <c r="E6433" s="531"/>
      <c r="F6433" s="287"/>
      <c r="G6433" s="431"/>
      <c r="H6433" s="432"/>
      <c r="I6433" s="1567"/>
      <c r="J6433" s="1543"/>
      <c r="K6433" s="1543"/>
      <c r="L6433" s="1543"/>
      <c r="M6433" s="1543"/>
      <c r="N6433" s="1566"/>
    </row>
    <row r="6434" spans="1:14">
      <c r="A6434" s="1529"/>
      <c r="B6434" s="876" t="s">
        <v>3197</v>
      </c>
      <c r="C6434" s="743">
        <v>24.75</v>
      </c>
      <c r="D6434" s="198"/>
      <c r="E6434" s="341">
        <v>1</v>
      </c>
      <c r="F6434" s="341"/>
      <c r="G6434" s="341"/>
      <c r="H6434" s="349">
        <v>24.75</v>
      </c>
      <c r="I6434" s="1567"/>
      <c r="J6434" s="1543"/>
      <c r="K6434" s="1543"/>
      <c r="L6434" s="1543"/>
      <c r="M6434" s="1543"/>
      <c r="N6434" s="1566"/>
    </row>
    <row r="6435" spans="1:14">
      <c r="A6435" s="1545"/>
      <c r="B6435" s="876"/>
      <c r="C6435" s="743"/>
      <c r="D6435" s="294"/>
      <c r="E6435" s="348"/>
      <c r="F6435" s="348"/>
      <c r="G6435" s="348"/>
      <c r="H6435" s="349"/>
      <c r="I6435" s="1567"/>
      <c r="J6435" s="1543"/>
      <c r="K6435" s="1543"/>
      <c r="L6435" s="1543"/>
      <c r="M6435" s="1543"/>
      <c r="N6435" s="1566"/>
    </row>
    <row r="6436" spans="1:14">
      <c r="A6436" s="1578" t="s">
        <v>2218</v>
      </c>
      <c r="B6436" s="1538"/>
      <c r="C6436" s="1538"/>
      <c r="D6436" s="1538"/>
      <c r="E6436" s="1538"/>
      <c r="F6436" s="1538"/>
      <c r="G6436" s="1538"/>
      <c r="H6436" s="271">
        <f>SUM(H6433:H6435)</f>
        <v>24.75</v>
      </c>
      <c r="I6436" s="1567"/>
      <c r="J6436" s="1543"/>
      <c r="K6436" s="1543"/>
      <c r="L6436" s="1543"/>
      <c r="M6436" s="1543"/>
      <c r="N6436" s="1566"/>
    </row>
    <row r="6437" spans="1:14">
      <c r="A6437" s="1519" t="s">
        <v>2219</v>
      </c>
      <c r="B6437" s="1517"/>
      <c r="C6437" s="1517"/>
      <c r="D6437" s="1551"/>
      <c r="E6437" s="1551"/>
      <c r="F6437" s="1551"/>
      <c r="G6437" s="1552"/>
      <c r="H6437" s="325">
        <f>SUM(H6433)</f>
        <v>0</v>
      </c>
      <c r="I6437" s="1543"/>
      <c r="J6437" s="1543"/>
      <c r="K6437" s="1543"/>
      <c r="L6437" s="1543"/>
      <c r="M6437" s="1543"/>
      <c r="N6437" s="1566"/>
    </row>
    <row r="6438" spans="1:14" ht="15.75" thickBot="1">
      <c r="A6438" s="1520" t="s">
        <v>2220</v>
      </c>
      <c r="B6438" s="1521"/>
      <c r="C6438" s="1521"/>
      <c r="D6438" s="1521"/>
      <c r="E6438" s="1521"/>
      <c r="F6438" s="1521"/>
      <c r="G6438" s="1522"/>
      <c r="H6438" s="216">
        <f>H6436-H6437</f>
        <v>24.75</v>
      </c>
      <c r="I6438" s="1568"/>
      <c r="J6438" s="1568"/>
      <c r="K6438" s="1568"/>
      <c r="L6438" s="1568"/>
      <c r="M6438" s="1568"/>
      <c r="N6438" s="1569"/>
    </row>
    <row r="6439" spans="1:14" ht="15.75" thickBot="1">
      <c r="A6439" s="898"/>
      <c r="B6439" s="898"/>
      <c r="C6439" s="898"/>
      <c r="D6439" s="970"/>
      <c r="E6439" s="1363"/>
      <c r="F6439" s="898"/>
      <c r="G6439" s="899"/>
      <c r="H6439" s="220"/>
      <c r="I6439" s="942"/>
      <c r="J6439" s="942"/>
      <c r="K6439" s="942"/>
      <c r="L6439" s="942"/>
      <c r="M6439" s="942"/>
      <c r="N6439" s="941"/>
    </row>
    <row r="6440" spans="1:14">
      <c r="A6440" s="1121">
        <v>150905</v>
      </c>
      <c r="B6440" s="1494" t="s">
        <v>219</v>
      </c>
      <c r="C6440" s="1495"/>
      <c r="D6440" s="1495"/>
      <c r="E6440" s="1495"/>
      <c r="F6440" s="1495"/>
      <c r="G6440" s="1495"/>
      <c r="H6440" s="1495"/>
      <c r="I6440" s="1495"/>
      <c r="J6440" s="1496"/>
      <c r="K6440" s="196" t="s">
        <v>28</v>
      </c>
      <c r="L6440" s="1497">
        <v>23.5</v>
      </c>
      <c r="M6440" s="1498"/>
      <c r="N6440" s="197">
        <f>L6440-H6446</f>
        <v>0</v>
      </c>
    </row>
    <row r="6441" spans="1:14">
      <c r="A6441" s="1554"/>
      <c r="B6441" s="1541"/>
      <c r="C6441" s="366"/>
      <c r="D6441" s="367" t="s">
        <v>2183</v>
      </c>
      <c r="E6441" s="1320" t="s">
        <v>2184</v>
      </c>
      <c r="F6441" s="367" t="s">
        <v>2185</v>
      </c>
      <c r="G6441" s="367" t="s">
        <v>2186</v>
      </c>
      <c r="H6441" s="1542" t="s">
        <v>476</v>
      </c>
      <c r="I6441" s="1543"/>
      <c r="J6441" s="1543"/>
      <c r="K6441" s="1543"/>
      <c r="L6441" s="1543"/>
      <c r="M6441" s="1543"/>
      <c r="N6441" s="1566"/>
    </row>
    <row r="6442" spans="1:14" ht="24">
      <c r="A6442" s="1554"/>
      <c r="B6442" s="1541"/>
      <c r="C6442" s="368" t="s">
        <v>2627</v>
      </c>
      <c r="D6442" s="369" t="s">
        <v>2187</v>
      </c>
      <c r="E6442" s="529" t="s">
        <v>3152</v>
      </c>
      <c r="F6442" s="369" t="s">
        <v>2649</v>
      </c>
      <c r="G6442" s="370" t="s">
        <v>2709</v>
      </c>
      <c r="H6442" s="1542"/>
      <c r="I6442" s="1543"/>
      <c r="J6442" s="1543"/>
      <c r="K6442" s="1543"/>
      <c r="L6442" s="1543"/>
      <c r="M6442" s="1543"/>
      <c r="N6442" s="1566"/>
    </row>
    <row r="6443" spans="1:14">
      <c r="A6443" s="1535" t="s">
        <v>3892</v>
      </c>
      <c r="B6443" s="876"/>
      <c r="C6443" s="317"/>
      <c r="D6443" s="287"/>
      <c r="E6443" s="531"/>
      <c r="F6443" s="287"/>
      <c r="G6443" s="431"/>
      <c r="H6443" s="432"/>
      <c r="I6443" s="1567"/>
      <c r="J6443" s="1543"/>
      <c r="K6443" s="1543"/>
      <c r="L6443" s="1543"/>
      <c r="M6443" s="1543"/>
      <c r="N6443" s="1566"/>
    </row>
    <row r="6444" spans="1:14">
      <c r="A6444" s="1529"/>
      <c r="B6444" s="876" t="s">
        <v>3197</v>
      </c>
      <c r="C6444" s="743">
        <v>23.5</v>
      </c>
      <c r="D6444" s="198"/>
      <c r="E6444" s="341">
        <v>1</v>
      </c>
      <c r="F6444" s="341"/>
      <c r="G6444" s="341"/>
      <c r="H6444" s="349">
        <v>23.5</v>
      </c>
      <c r="I6444" s="1567"/>
      <c r="J6444" s="1543"/>
      <c r="K6444" s="1543"/>
      <c r="L6444" s="1543"/>
      <c r="M6444" s="1543"/>
      <c r="N6444" s="1566"/>
    </row>
    <row r="6445" spans="1:14">
      <c r="A6445" s="1545"/>
      <c r="B6445" s="876"/>
      <c r="C6445" s="743"/>
      <c r="D6445" s="294"/>
      <c r="E6445" s="348"/>
      <c r="F6445" s="348"/>
      <c r="G6445" s="348"/>
      <c r="H6445" s="349"/>
      <c r="I6445" s="1567"/>
      <c r="J6445" s="1543"/>
      <c r="K6445" s="1543"/>
      <c r="L6445" s="1543"/>
      <c r="M6445" s="1543"/>
      <c r="N6445" s="1566"/>
    </row>
    <row r="6446" spans="1:14">
      <c r="A6446" s="1578" t="s">
        <v>2218</v>
      </c>
      <c r="B6446" s="1538"/>
      <c r="C6446" s="1538"/>
      <c r="D6446" s="1538"/>
      <c r="E6446" s="1538"/>
      <c r="F6446" s="1538"/>
      <c r="G6446" s="1538"/>
      <c r="H6446" s="271">
        <f>SUM(H6443:H6445)</f>
        <v>23.5</v>
      </c>
      <c r="I6446" s="1567"/>
      <c r="J6446" s="1543"/>
      <c r="K6446" s="1543"/>
      <c r="L6446" s="1543"/>
      <c r="M6446" s="1543"/>
      <c r="N6446" s="1566"/>
    </row>
    <row r="6447" spans="1:14">
      <c r="A6447" s="1519" t="s">
        <v>2219</v>
      </c>
      <c r="B6447" s="1517"/>
      <c r="C6447" s="1517"/>
      <c r="D6447" s="1551"/>
      <c r="E6447" s="1551"/>
      <c r="F6447" s="1551"/>
      <c r="G6447" s="1552"/>
      <c r="H6447" s="325">
        <f>SUM(H6443)</f>
        <v>0</v>
      </c>
      <c r="I6447" s="1543"/>
      <c r="J6447" s="1543"/>
      <c r="K6447" s="1543"/>
      <c r="L6447" s="1543"/>
      <c r="M6447" s="1543"/>
      <c r="N6447" s="1566"/>
    </row>
    <row r="6448" spans="1:14" ht="15.75" thickBot="1">
      <c r="A6448" s="1520" t="s">
        <v>2220</v>
      </c>
      <c r="B6448" s="1521"/>
      <c r="C6448" s="1521"/>
      <c r="D6448" s="1521"/>
      <c r="E6448" s="1521"/>
      <c r="F6448" s="1521"/>
      <c r="G6448" s="1522"/>
      <c r="H6448" s="216">
        <f>H6446-H6447</f>
        <v>23.5</v>
      </c>
      <c r="I6448" s="1568"/>
      <c r="J6448" s="1568"/>
      <c r="K6448" s="1568"/>
      <c r="L6448" s="1568"/>
      <c r="M6448" s="1568"/>
      <c r="N6448" s="1569"/>
    </row>
    <row r="6449" spans="1:14">
      <c r="A6449" s="898"/>
      <c r="B6449" s="898"/>
      <c r="C6449" s="898"/>
      <c r="D6449" s="970"/>
      <c r="E6449" s="1363"/>
      <c r="F6449" s="898"/>
      <c r="G6449" s="899"/>
      <c r="H6449" s="220"/>
      <c r="I6449" s="942"/>
      <c r="J6449" s="942"/>
      <c r="K6449" s="942"/>
      <c r="L6449" s="942"/>
      <c r="M6449" s="942"/>
      <c r="N6449" s="941"/>
    </row>
    <row r="6450" spans="1:14" ht="21.6" customHeight="1">
      <c r="A6450" s="1114" t="str">
        <f>'27ª MEDIÇÃO '!A463</f>
        <v>'16</v>
      </c>
      <c r="B6450" s="1548" t="s">
        <v>4012</v>
      </c>
      <c r="C6450" s="1548"/>
      <c r="D6450" s="1548"/>
      <c r="E6450" s="1548"/>
      <c r="F6450" s="1548"/>
      <c r="G6450" s="1548"/>
      <c r="H6450" s="1548"/>
      <c r="I6450" s="1548"/>
      <c r="J6450" s="1548"/>
      <c r="K6450" s="1548"/>
      <c r="L6450" s="1548"/>
      <c r="M6450" s="1548"/>
      <c r="N6450" s="1548"/>
    </row>
    <row r="6451" spans="1:14" ht="21.6" customHeight="1">
      <c r="A6451" s="1114" t="str">
        <f>'27ª MEDIÇÃO '!A464</f>
        <v>'1601</v>
      </c>
      <c r="B6451" s="1548" t="s">
        <v>4013</v>
      </c>
      <c r="C6451" s="1548"/>
      <c r="D6451" s="1548"/>
      <c r="E6451" s="1548"/>
      <c r="F6451" s="1548"/>
      <c r="G6451" s="1548"/>
      <c r="H6451" s="1548"/>
      <c r="I6451" s="1548"/>
      <c r="J6451" s="1548"/>
      <c r="K6451" s="1548"/>
      <c r="L6451" s="1548"/>
      <c r="M6451" s="1548"/>
      <c r="N6451" s="1548"/>
    </row>
    <row r="6452" spans="1:14">
      <c r="A6452" s="1114" t="s">
        <v>1641</v>
      </c>
      <c r="B6452" s="1549" t="s">
        <v>4014</v>
      </c>
      <c r="C6452" s="1549"/>
      <c r="D6452" s="1549"/>
      <c r="E6452" s="1549"/>
      <c r="F6452" s="1549"/>
      <c r="G6452" s="1549"/>
      <c r="H6452" s="1549"/>
      <c r="I6452" s="1549"/>
      <c r="J6452" s="1549"/>
      <c r="K6452" s="1549"/>
      <c r="L6452" s="1549"/>
      <c r="M6452" s="1549"/>
      <c r="N6452" s="1549"/>
    </row>
    <row r="6453" spans="1:14" ht="23.25" customHeight="1">
      <c r="A6453" s="1124" t="s">
        <v>4010</v>
      </c>
      <c r="B6453" s="1550" t="s">
        <v>4015</v>
      </c>
      <c r="C6453" s="1539"/>
      <c r="D6453" s="1539"/>
      <c r="E6453" s="1539"/>
      <c r="F6453" s="1539"/>
      <c r="G6453" s="1539"/>
      <c r="H6453" s="1539"/>
      <c r="I6453" s="1539"/>
      <c r="J6453" s="1539"/>
      <c r="K6453" s="864" t="s">
        <v>3154</v>
      </c>
      <c r="L6453" s="1540">
        <f>'27ª MEDIÇÃO '!F466</f>
        <v>1</v>
      </c>
      <c r="M6453" s="1540"/>
      <c r="N6453" s="865">
        <f>L6453-H6458</f>
        <v>0</v>
      </c>
    </row>
    <row r="6454" spans="1:14" ht="15" customHeight="1">
      <c r="A6454" s="1541"/>
      <c r="B6454" s="1541"/>
      <c r="C6454" s="366"/>
      <c r="D6454" s="367" t="s">
        <v>2183</v>
      </c>
      <c r="E6454" s="1320" t="s">
        <v>2184</v>
      </c>
      <c r="F6454" s="367" t="s">
        <v>2185</v>
      </c>
      <c r="G6454" s="367" t="s">
        <v>2186</v>
      </c>
      <c r="H6454" s="1542" t="s">
        <v>476</v>
      </c>
      <c r="I6454" s="1543"/>
      <c r="J6454" s="1543"/>
      <c r="K6454" s="1543"/>
      <c r="L6454" s="1543"/>
      <c r="M6454" s="1543"/>
      <c r="N6454" s="1543"/>
    </row>
    <row r="6455" spans="1:14" ht="24" customHeight="1">
      <c r="A6455" s="1541"/>
      <c r="B6455" s="1541"/>
      <c r="C6455" s="368" t="s">
        <v>2627</v>
      </c>
      <c r="D6455" s="369" t="s">
        <v>2187</v>
      </c>
      <c r="E6455" s="529" t="s">
        <v>3152</v>
      </c>
      <c r="F6455" s="369" t="s">
        <v>2649</v>
      </c>
      <c r="G6455" s="370" t="s">
        <v>2709</v>
      </c>
      <c r="H6455" s="1542"/>
      <c r="I6455" s="1543"/>
      <c r="J6455" s="1543"/>
      <c r="K6455" s="1543"/>
      <c r="L6455" s="1543"/>
      <c r="M6455" s="1543"/>
      <c r="N6455" s="1543"/>
    </row>
    <row r="6456" spans="1:14">
      <c r="A6456" s="1544" t="s">
        <v>4080</v>
      </c>
      <c r="B6456" s="876" t="s">
        <v>2727</v>
      </c>
      <c r="C6456" s="743"/>
      <c r="D6456" s="743"/>
      <c r="E6456" s="379"/>
      <c r="F6456" s="379"/>
      <c r="G6456" s="379"/>
      <c r="H6456" s="380"/>
      <c r="I6456" s="1543"/>
      <c r="J6456" s="1543"/>
      <c r="K6456" s="1543"/>
      <c r="L6456" s="1543"/>
      <c r="M6456" s="1543"/>
      <c r="N6456" s="1543"/>
    </row>
    <row r="6457" spans="1:14">
      <c r="A6457" s="1544"/>
      <c r="B6457" s="876" t="s">
        <v>4016</v>
      </c>
      <c r="C6457" s="743">
        <v>1</v>
      </c>
      <c r="D6457" s="743"/>
      <c r="E6457" s="379">
        <v>1</v>
      </c>
      <c r="F6457" s="379"/>
      <c r="G6457" s="379"/>
      <c r="H6457" s="380">
        <f>E6457*C6457</f>
        <v>1</v>
      </c>
      <c r="I6457" s="1543"/>
      <c r="J6457" s="1543"/>
      <c r="K6457" s="1543"/>
      <c r="L6457" s="1543"/>
      <c r="M6457" s="1543"/>
      <c r="N6457" s="1543"/>
    </row>
    <row r="6458" spans="1:14">
      <c r="A6458" s="1538" t="s">
        <v>2218</v>
      </c>
      <c r="B6458" s="1538"/>
      <c r="C6458" s="1538"/>
      <c r="D6458" s="1538"/>
      <c r="E6458" s="1538"/>
      <c r="F6458" s="1538"/>
      <c r="G6458" s="1538"/>
      <c r="H6458" s="271">
        <f>SUM(H6456:H6457)</f>
        <v>1</v>
      </c>
      <c r="I6458" s="1543"/>
      <c r="J6458" s="1543"/>
      <c r="K6458" s="1543"/>
      <c r="L6458" s="1543"/>
      <c r="M6458" s="1543"/>
      <c r="N6458" s="1543"/>
    </row>
    <row r="6459" spans="1:14">
      <c r="A6459" s="1538" t="s">
        <v>2219</v>
      </c>
      <c r="B6459" s="1538"/>
      <c r="C6459" s="1538"/>
      <c r="D6459" s="1538"/>
      <c r="E6459" s="1538"/>
      <c r="F6459" s="1538"/>
      <c r="G6459" s="1538"/>
      <c r="H6459" s="271">
        <f>SUM(H6454)</f>
        <v>0</v>
      </c>
      <c r="I6459" s="1543"/>
      <c r="J6459" s="1543"/>
      <c r="K6459" s="1543"/>
      <c r="L6459" s="1543"/>
      <c r="M6459" s="1543"/>
      <c r="N6459" s="1543"/>
    </row>
    <row r="6460" spans="1:14" ht="28.15" customHeight="1">
      <c r="A6460" s="1553" t="s">
        <v>2220</v>
      </c>
      <c r="B6460" s="1553"/>
      <c r="C6460" s="1553"/>
      <c r="D6460" s="1553"/>
      <c r="E6460" s="1553"/>
      <c r="F6460" s="1553"/>
      <c r="G6460" s="1553"/>
      <c r="H6460" s="825">
        <f>H6458-H6459</f>
        <v>1</v>
      </c>
      <c r="I6460" s="1547"/>
      <c r="J6460" s="1547"/>
      <c r="K6460" s="1547"/>
      <c r="L6460" s="1547"/>
      <c r="M6460" s="1547"/>
      <c r="N6460" s="1547"/>
    </row>
    <row r="6461" spans="1:14" ht="25.5" customHeight="1">
      <c r="A6461" s="1124" t="s">
        <v>4017</v>
      </c>
      <c r="B6461" s="1550" t="str">
        <f>'27ª MEDIÇÃO '!C467</f>
        <v>Extintor de incêndio portátil de pó químico ABC com capacidade 2A-20B:C (6 kg), inclusive suporte para fixação, EXCLUSIVE placa sinalizadora em PVC fotoluminescente</v>
      </c>
      <c r="C6461" s="1539"/>
      <c r="D6461" s="1539"/>
      <c r="E6461" s="1539"/>
      <c r="F6461" s="1539"/>
      <c r="G6461" s="1539"/>
      <c r="H6461" s="1539"/>
      <c r="I6461" s="1539"/>
      <c r="J6461" s="1539"/>
      <c r="K6461" s="864" t="s">
        <v>3154</v>
      </c>
      <c r="L6461" s="1540">
        <f>'27ª MEDIÇÃO '!F467</f>
        <v>5</v>
      </c>
      <c r="M6461" s="1540"/>
      <c r="N6461" s="865">
        <f>L6461-H6471</f>
        <v>0</v>
      </c>
    </row>
    <row r="6462" spans="1:14" ht="15" customHeight="1">
      <c r="A6462" s="1541"/>
      <c r="B6462" s="1541"/>
      <c r="C6462" s="366"/>
      <c r="D6462" s="367" t="s">
        <v>2183</v>
      </c>
      <c r="E6462" s="1320" t="s">
        <v>2184</v>
      </c>
      <c r="F6462" s="367" t="s">
        <v>2185</v>
      </c>
      <c r="G6462" s="367" t="s">
        <v>2186</v>
      </c>
      <c r="H6462" s="1542" t="s">
        <v>476</v>
      </c>
      <c r="I6462" s="1543"/>
      <c r="J6462" s="1543"/>
      <c r="K6462" s="1543"/>
      <c r="L6462" s="1543"/>
      <c r="M6462" s="1543"/>
      <c r="N6462" s="1543"/>
    </row>
    <row r="6463" spans="1:14" ht="24" customHeight="1">
      <c r="A6463" s="1541"/>
      <c r="B6463" s="1541"/>
      <c r="C6463" s="368" t="s">
        <v>2627</v>
      </c>
      <c r="D6463" s="369" t="s">
        <v>2187</v>
      </c>
      <c r="E6463" s="529" t="s">
        <v>3152</v>
      </c>
      <c r="F6463" s="369" t="s">
        <v>2649</v>
      </c>
      <c r="G6463" s="370" t="s">
        <v>2709</v>
      </c>
      <c r="H6463" s="1542"/>
      <c r="I6463" s="1543"/>
      <c r="J6463" s="1543"/>
      <c r="K6463" s="1543"/>
      <c r="L6463" s="1543"/>
      <c r="M6463" s="1543"/>
      <c r="N6463" s="1543"/>
    </row>
    <row r="6464" spans="1:14">
      <c r="A6464" s="1544" t="s">
        <v>4080</v>
      </c>
      <c r="B6464" s="866" t="s">
        <v>2727</v>
      </c>
      <c r="C6464" s="212"/>
      <c r="D6464" s="212"/>
      <c r="E6464" s="379"/>
      <c r="F6464" s="379"/>
      <c r="G6464" s="379"/>
      <c r="H6464" s="380"/>
      <c r="I6464" s="1543"/>
      <c r="J6464" s="1543"/>
      <c r="K6464" s="1543"/>
      <c r="L6464" s="1543"/>
      <c r="M6464" s="1543"/>
      <c r="N6464" s="1543"/>
    </row>
    <row r="6465" spans="1:14">
      <c r="A6465" s="1544"/>
      <c r="B6465" s="866" t="s">
        <v>2958</v>
      </c>
      <c r="C6465" s="212">
        <v>1</v>
      </c>
      <c r="D6465" s="212"/>
      <c r="E6465" s="379">
        <v>1</v>
      </c>
      <c r="F6465" s="379"/>
      <c r="G6465" s="379"/>
      <c r="H6465" s="380">
        <f t="shared" ref="H6465:H6466" si="117">E6465*C6465</f>
        <v>1</v>
      </c>
      <c r="I6465" s="1543"/>
      <c r="J6465" s="1543"/>
      <c r="K6465" s="1543"/>
      <c r="L6465" s="1543"/>
      <c r="M6465" s="1543"/>
      <c r="N6465" s="1543"/>
    </row>
    <row r="6466" spans="1:14">
      <c r="A6466" s="1544"/>
      <c r="B6466" s="866" t="s">
        <v>4018</v>
      </c>
      <c r="C6466" s="212">
        <v>1</v>
      </c>
      <c r="D6466" s="212"/>
      <c r="E6466" s="379">
        <v>1</v>
      </c>
      <c r="F6466" s="379"/>
      <c r="G6466" s="379"/>
      <c r="H6466" s="380">
        <f t="shared" si="117"/>
        <v>1</v>
      </c>
      <c r="I6466" s="1543"/>
      <c r="J6466" s="1543"/>
      <c r="K6466" s="1543"/>
      <c r="L6466" s="1543"/>
      <c r="M6466" s="1543"/>
      <c r="N6466" s="1543"/>
    </row>
    <row r="6467" spans="1:14">
      <c r="A6467" s="1544"/>
      <c r="B6467" s="866" t="s">
        <v>3390</v>
      </c>
      <c r="C6467" s="212">
        <v>1</v>
      </c>
      <c r="D6467" s="212"/>
      <c r="E6467" s="379">
        <v>1</v>
      </c>
      <c r="F6467" s="379"/>
      <c r="G6467" s="379"/>
      <c r="H6467" s="380">
        <f>E6467*C6467</f>
        <v>1</v>
      </c>
      <c r="I6467" s="1543"/>
      <c r="J6467" s="1543"/>
      <c r="K6467" s="1543"/>
      <c r="L6467" s="1543"/>
      <c r="M6467" s="1543"/>
      <c r="N6467" s="1543"/>
    </row>
    <row r="6468" spans="1:14">
      <c r="A6468" s="1264"/>
      <c r="B6468" s="866" t="s">
        <v>2929</v>
      </c>
      <c r="C6468" s="212"/>
      <c r="D6468" s="212"/>
      <c r="E6468" s="379"/>
      <c r="F6468" s="379"/>
      <c r="G6468" s="379"/>
      <c r="H6468" s="380"/>
      <c r="I6468" s="1543"/>
      <c r="J6468" s="1543"/>
      <c r="K6468" s="1543"/>
      <c r="L6468" s="1543"/>
      <c r="M6468" s="1543"/>
      <c r="N6468" s="1543"/>
    </row>
    <row r="6469" spans="1:14">
      <c r="A6469" s="1264"/>
      <c r="B6469" s="866" t="s">
        <v>4019</v>
      </c>
      <c r="C6469" s="212">
        <v>1</v>
      </c>
      <c r="D6469" s="212"/>
      <c r="E6469" s="379">
        <v>1</v>
      </c>
      <c r="F6469" s="379"/>
      <c r="G6469" s="379"/>
      <c r="H6469" s="380">
        <f>E6469*C6469</f>
        <v>1</v>
      </c>
      <c r="I6469" s="1543"/>
      <c r="J6469" s="1543"/>
      <c r="K6469" s="1543"/>
      <c r="L6469" s="1543"/>
      <c r="M6469" s="1543"/>
      <c r="N6469" s="1543"/>
    </row>
    <row r="6470" spans="1:14">
      <c r="A6470" s="1264"/>
      <c r="B6470" s="866" t="s">
        <v>4020</v>
      </c>
      <c r="C6470" s="212">
        <v>1</v>
      </c>
      <c r="D6470" s="212"/>
      <c r="E6470" s="379">
        <v>1</v>
      </c>
      <c r="F6470" s="379"/>
      <c r="G6470" s="379"/>
      <c r="H6470" s="380">
        <f t="shared" ref="H6470" si="118">E6470*C6470</f>
        <v>1</v>
      </c>
      <c r="I6470" s="1543"/>
      <c r="J6470" s="1543"/>
      <c r="K6470" s="1543"/>
      <c r="L6470" s="1543"/>
      <c r="M6470" s="1543"/>
      <c r="N6470" s="1543"/>
    </row>
    <row r="6471" spans="1:14">
      <c r="A6471" s="1538" t="s">
        <v>2218</v>
      </c>
      <c r="B6471" s="1538"/>
      <c r="C6471" s="1538"/>
      <c r="D6471" s="1538"/>
      <c r="E6471" s="1538"/>
      <c r="F6471" s="1538"/>
      <c r="G6471" s="1538"/>
      <c r="H6471" s="271">
        <f>SUM(H6464:H6470)</f>
        <v>5</v>
      </c>
      <c r="I6471" s="1543"/>
      <c r="J6471" s="1543"/>
      <c r="K6471" s="1543"/>
      <c r="L6471" s="1543"/>
      <c r="M6471" s="1543"/>
      <c r="N6471" s="1543"/>
    </row>
    <row r="6472" spans="1:14">
      <c r="A6472" s="1538" t="s">
        <v>2219</v>
      </c>
      <c r="B6472" s="1538"/>
      <c r="C6472" s="1538"/>
      <c r="D6472" s="1538"/>
      <c r="E6472" s="1538"/>
      <c r="F6472" s="1538"/>
      <c r="G6472" s="1538"/>
      <c r="H6472" s="271">
        <f>SUM(H6462)</f>
        <v>0</v>
      </c>
      <c r="I6472" s="1543"/>
      <c r="J6472" s="1543"/>
      <c r="K6472" s="1543"/>
      <c r="L6472" s="1543"/>
      <c r="M6472" s="1543"/>
      <c r="N6472" s="1543"/>
    </row>
    <row r="6473" spans="1:14" ht="28.15" customHeight="1">
      <c r="A6473" s="1553" t="s">
        <v>2220</v>
      </c>
      <c r="B6473" s="1553"/>
      <c r="C6473" s="1553"/>
      <c r="D6473" s="1553"/>
      <c r="E6473" s="1553"/>
      <c r="F6473" s="1553"/>
      <c r="G6473" s="1553"/>
      <c r="H6473" s="825">
        <f>H6471-H6472</f>
        <v>5</v>
      </c>
      <c r="I6473" s="1547"/>
      <c r="J6473" s="1547"/>
      <c r="K6473" s="1547"/>
      <c r="L6473" s="1547"/>
      <c r="M6473" s="1547"/>
      <c r="N6473" s="1547"/>
    </row>
    <row r="6474" spans="1:14">
      <c r="A6474" s="1114" t="s">
        <v>4023</v>
      </c>
      <c r="B6474" s="1549" t="s">
        <v>4021</v>
      </c>
      <c r="C6474" s="1549"/>
      <c r="D6474" s="1549"/>
      <c r="E6474" s="1549"/>
      <c r="F6474" s="1549"/>
      <c r="G6474" s="1549"/>
      <c r="H6474" s="1549"/>
      <c r="I6474" s="1549"/>
      <c r="J6474" s="1549"/>
      <c r="K6474" s="1549"/>
      <c r="L6474" s="1549"/>
      <c r="M6474" s="1549"/>
      <c r="N6474" s="1549"/>
    </row>
    <row r="6475" spans="1:14" ht="25.5" customHeight="1">
      <c r="A6475" s="1124" t="s">
        <v>4022</v>
      </c>
      <c r="B6475" s="1550" t="str">
        <f>'27ª MEDIÇÃO '!C469</f>
        <v>Placa de sinalização de segurança contra incêndio fotoluminescente (tipos "S") dim. 13x26cm, conforme projeto </v>
      </c>
      <c r="C6475" s="1539"/>
      <c r="D6475" s="1539"/>
      <c r="E6475" s="1539"/>
      <c r="F6475" s="1539"/>
      <c r="G6475" s="1539"/>
      <c r="H6475" s="1539"/>
      <c r="I6475" s="1539"/>
      <c r="J6475" s="1539"/>
      <c r="K6475" s="864" t="s">
        <v>3154</v>
      </c>
      <c r="L6475" s="1540">
        <f>'27ª MEDIÇÃO '!F469</f>
        <v>22</v>
      </c>
      <c r="M6475" s="1540"/>
      <c r="N6475" s="865">
        <f>L6475-H6480</f>
        <v>0</v>
      </c>
    </row>
    <row r="6476" spans="1:14" ht="15" customHeight="1">
      <c r="A6476" s="1541"/>
      <c r="B6476" s="1541"/>
      <c r="C6476" s="366"/>
      <c r="D6476" s="367" t="s">
        <v>2183</v>
      </c>
      <c r="E6476" s="1320" t="s">
        <v>2184</v>
      </c>
      <c r="F6476" s="367" t="s">
        <v>2185</v>
      </c>
      <c r="G6476" s="367" t="s">
        <v>2186</v>
      </c>
      <c r="H6476" s="1542" t="s">
        <v>476</v>
      </c>
      <c r="I6476" s="1543"/>
      <c r="J6476" s="1543"/>
      <c r="K6476" s="1543"/>
      <c r="L6476" s="1543"/>
      <c r="M6476" s="1543"/>
      <c r="N6476" s="1543"/>
    </row>
    <row r="6477" spans="1:14" ht="24" customHeight="1">
      <c r="A6477" s="1541"/>
      <c r="B6477" s="1541"/>
      <c r="C6477" s="368" t="s">
        <v>2627</v>
      </c>
      <c r="D6477" s="369" t="s">
        <v>2187</v>
      </c>
      <c r="E6477" s="529" t="s">
        <v>3152</v>
      </c>
      <c r="F6477" s="369" t="s">
        <v>2649</v>
      </c>
      <c r="G6477" s="370" t="s">
        <v>2709</v>
      </c>
      <c r="H6477" s="1542"/>
      <c r="I6477" s="1543"/>
      <c r="J6477" s="1543"/>
      <c r="K6477" s="1543"/>
      <c r="L6477" s="1543"/>
      <c r="M6477" s="1543"/>
      <c r="N6477" s="1543"/>
    </row>
    <row r="6478" spans="1:14">
      <c r="A6478" s="1544" t="s">
        <v>4080</v>
      </c>
      <c r="B6478" s="866"/>
      <c r="C6478" s="212"/>
      <c r="D6478" s="212"/>
      <c r="E6478" s="379"/>
      <c r="F6478" s="379"/>
      <c r="G6478" s="379"/>
      <c r="H6478" s="380"/>
      <c r="I6478" s="1543"/>
      <c r="J6478" s="1543"/>
      <c r="K6478" s="1543"/>
      <c r="L6478" s="1543"/>
      <c r="M6478" s="1543"/>
      <c r="N6478" s="1543"/>
    </row>
    <row r="6479" spans="1:14">
      <c r="A6479" s="1544"/>
      <c r="B6479" s="866" t="s">
        <v>4024</v>
      </c>
      <c r="C6479" s="212">
        <v>22</v>
      </c>
      <c r="D6479" s="212"/>
      <c r="E6479" s="379">
        <f>C6479</f>
        <v>22</v>
      </c>
      <c r="F6479" s="379"/>
      <c r="G6479" s="379"/>
      <c r="H6479" s="380">
        <f>E6479</f>
        <v>22</v>
      </c>
      <c r="I6479" s="1543"/>
      <c r="J6479" s="1543"/>
      <c r="K6479" s="1543"/>
      <c r="L6479" s="1543"/>
      <c r="M6479" s="1543"/>
      <c r="N6479" s="1543"/>
    </row>
    <row r="6480" spans="1:14">
      <c r="A6480" s="1538" t="s">
        <v>2218</v>
      </c>
      <c r="B6480" s="1538"/>
      <c r="C6480" s="1538"/>
      <c r="D6480" s="1538"/>
      <c r="E6480" s="1538"/>
      <c r="F6480" s="1538"/>
      <c r="G6480" s="1538"/>
      <c r="H6480" s="271">
        <f>SUM(H6478:H6479)</f>
        <v>22</v>
      </c>
      <c r="I6480" s="1543"/>
      <c r="J6480" s="1543"/>
      <c r="K6480" s="1543"/>
      <c r="L6480" s="1543"/>
      <c r="M6480" s="1543"/>
      <c r="N6480" s="1543"/>
    </row>
    <row r="6481" spans="1:14">
      <c r="A6481" s="1538" t="s">
        <v>2219</v>
      </c>
      <c r="B6481" s="1538"/>
      <c r="C6481" s="1538"/>
      <c r="D6481" s="1538"/>
      <c r="E6481" s="1538"/>
      <c r="F6481" s="1538"/>
      <c r="G6481" s="1538"/>
      <c r="H6481" s="271">
        <f>SUM(H6476)</f>
        <v>0</v>
      </c>
      <c r="I6481" s="1543"/>
      <c r="J6481" s="1543"/>
      <c r="K6481" s="1543"/>
      <c r="L6481" s="1543"/>
      <c r="M6481" s="1543"/>
      <c r="N6481" s="1543"/>
    </row>
    <row r="6482" spans="1:14" ht="28.15" customHeight="1">
      <c r="A6482" s="1553" t="s">
        <v>2220</v>
      </c>
      <c r="B6482" s="1553"/>
      <c r="C6482" s="1553"/>
      <c r="D6482" s="1553"/>
      <c r="E6482" s="1553"/>
      <c r="F6482" s="1553"/>
      <c r="G6482" s="1553"/>
      <c r="H6482" s="825">
        <f>H6480-H6481</f>
        <v>22</v>
      </c>
      <c r="I6482" s="1547"/>
      <c r="J6482" s="1547"/>
      <c r="K6482" s="1547"/>
      <c r="L6482" s="1547"/>
      <c r="M6482" s="1547"/>
      <c r="N6482" s="1547"/>
    </row>
    <row r="6483" spans="1:14" ht="25.5" customHeight="1">
      <c r="A6483" s="1124" t="s">
        <v>4025</v>
      </c>
      <c r="B6483" s="1550" t="str">
        <f>'27ª MEDIÇÃO '!C470</f>
        <v>Placa de sinalização de segurança contra incêndio fotoluminescente (tipos "E") dim. 20x20cm, conforme projeto</v>
      </c>
      <c r="C6483" s="1539"/>
      <c r="D6483" s="1539"/>
      <c r="E6483" s="1539"/>
      <c r="F6483" s="1539"/>
      <c r="G6483" s="1539"/>
      <c r="H6483" s="1539"/>
      <c r="I6483" s="1539"/>
      <c r="J6483" s="1539"/>
      <c r="K6483" s="864" t="s">
        <v>3154</v>
      </c>
      <c r="L6483" s="1540">
        <f>'27ª MEDIÇÃO '!F470</f>
        <v>6</v>
      </c>
      <c r="M6483" s="1540"/>
      <c r="N6483" s="865">
        <f>L6483-H6488</f>
        <v>0</v>
      </c>
    </row>
    <row r="6484" spans="1:14" ht="15" customHeight="1">
      <c r="A6484" s="1541"/>
      <c r="B6484" s="1541"/>
      <c r="C6484" s="366"/>
      <c r="D6484" s="367" t="s">
        <v>2183</v>
      </c>
      <c r="E6484" s="1320" t="s">
        <v>2184</v>
      </c>
      <c r="F6484" s="367" t="s">
        <v>2185</v>
      </c>
      <c r="G6484" s="367" t="s">
        <v>2186</v>
      </c>
      <c r="H6484" s="1542" t="s">
        <v>476</v>
      </c>
      <c r="I6484" s="1543"/>
      <c r="J6484" s="1543"/>
      <c r="K6484" s="1543"/>
      <c r="L6484" s="1543"/>
      <c r="M6484" s="1543"/>
      <c r="N6484" s="1543"/>
    </row>
    <row r="6485" spans="1:14" ht="24" customHeight="1">
      <c r="A6485" s="1541"/>
      <c r="B6485" s="1541"/>
      <c r="C6485" s="368" t="s">
        <v>2627</v>
      </c>
      <c r="D6485" s="369" t="s">
        <v>2187</v>
      </c>
      <c r="E6485" s="529" t="s">
        <v>3152</v>
      </c>
      <c r="F6485" s="369" t="s">
        <v>2649</v>
      </c>
      <c r="G6485" s="370" t="s">
        <v>2709</v>
      </c>
      <c r="H6485" s="1542"/>
      <c r="I6485" s="1543"/>
      <c r="J6485" s="1543"/>
      <c r="K6485" s="1543"/>
      <c r="L6485" s="1543"/>
      <c r="M6485" s="1543"/>
      <c r="N6485" s="1543"/>
    </row>
    <row r="6486" spans="1:14">
      <c r="A6486" s="1544" t="s">
        <v>4080</v>
      </c>
      <c r="B6486" s="866"/>
      <c r="C6486" s="212"/>
      <c r="D6486" s="212"/>
      <c r="E6486" s="379"/>
      <c r="F6486" s="379"/>
      <c r="G6486" s="379"/>
      <c r="H6486" s="380"/>
      <c r="I6486" s="1543"/>
      <c r="J6486" s="1543"/>
      <c r="K6486" s="1543"/>
      <c r="L6486" s="1543"/>
      <c r="M6486" s="1543"/>
      <c r="N6486" s="1543"/>
    </row>
    <row r="6487" spans="1:14">
      <c r="A6487" s="1544"/>
      <c r="B6487" s="866" t="s">
        <v>4024</v>
      </c>
      <c r="C6487" s="212">
        <v>6</v>
      </c>
      <c r="D6487" s="212"/>
      <c r="E6487" s="379">
        <f>C6487</f>
        <v>6</v>
      </c>
      <c r="F6487" s="379"/>
      <c r="G6487" s="379"/>
      <c r="H6487" s="380">
        <f>E6487</f>
        <v>6</v>
      </c>
      <c r="I6487" s="1543"/>
      <c r="J6487" s="1543"/>
      <c r="K6487" s="1543"/>
      <c r="L6487" s="1543"/>
      <c r="M6487" s="1543"/>
      <c r="N6487" s="1543"/>
    </row>
    <row r="6488" spans="1:14">
      <c r="A6488" s="1538" t="s">
        <v>2218</v>
      </c>
      <c r="B6488" s="1538"/>
      <c r="C6488" s="1538"/>
      <c r="D6488" s="1538"/>
      <c r="E6488" s="1538"/>
      <c r="F6488" s="1538"/>
      <c r="G6488" s="1538"/>
      <c r="H6488" s="271">
        <f>SUM(H6486:H6487)</f>
        <v>6</v>
      </c>
      <c r="I6488" s="1543"/>
      <c r="J6488" s="1543"/>
      <c r="K6488" s="1543"/>
      <c r="L6488" s="1543"/>
      <c r="M6488" s="1543"/>
      <c r="N6488" s="1543"/>
    </row>
    <row r="6489" spans="1:14">
      <c r="A6489" s="1538" t="s">
        <v>2219</v>
      </c>
      <c r="B6489" s="1538"/>
      <c r="C6489" s="1538"/>
      <c r="D6489" s="1538"/>
      <c r="E6489" s="1538"/>
      <c r="F6489" s="1538"/>
      <c r="G6489" s="1538"/>
      <c r="H6489" s="271">
        <f>SUM(H6484)</f>
        <v>0</v>
      </c>
      <c r="I6489" s="1543"/>
      <c r="J6489" s="1543"/>
      <c r="K6489" s="1543"/>
      <c r="L6489" s="1543"/>
      <c r="M6489" s="1543"/>
      <c r="N6489" s="1543"/>
    </row>
    <row r="6490" spans="1:14" ht="28.15" customHeight="1">
      <c r="A6490" s="1553" t="s">
        <v>2220</v>
      </c>
      <c r="B6490" s="1553"/>
      <c r="C6490" s="1553"/>
      <c r="D6490" s="1553"/>
      <c r="E6490" s="1553"/>
      <c r="F6490" s="1553"/>
      <c r="G6490" s="1553"/>
      <c r="H6490" s="825">
        <f>H6488-H6489</f>
        <v>6</v>
      </c>
      <c r="I6490" s="1547"/>
      <c r="J6490" s="1547"/>
      <c r="K6490" s="1547"/>
      <c r="L6490" s="1547"/>
      <c r="M6490" s="1547"/>
      <c r="N6490" s="1547"/>
    </row>
    <row r="6491" spans="1:14" ht="21.6" customHeight="1">
      <c r="A6491" s="235" t="s">
        <v>1655</v>
      </c>
      <c r="B6491" s="1548" t="s">
        <v>1656</v>
      </c>
      <c r="C6491" s="1548"/>
      <c r="D6491" s="1548"/>
      <c r="E6491" s="1548"/>
      <c r="F6491" s="1548"/>
      <c r="G6491" s="1548"/>
      <c r="H6491" s="1548"/>
      <c r="I6491" s="1548"/>
      <c r="J6491" s="1548"/>
      <c r="K6491" s="1548"/>
      <c r="L6491" s="1548"/>
      <c r="M6491" s="1548"/>
      <c r="N6491" s="1548"/>
    </row>
    <row r="6492" spans="1:14">
      <c r="A6492" s="1114" t="s">
        <v>3498</v>
      </c>
      <c r="B6492" s="1549" t="s">
        <v>3499</v>
      </c>
      <c r="C6492" s="1549"/>
      <c r="D6492" s="1549"/>
      <c r="E6492" s="1549"/>
      <c r="F6492" s="1549"/>
      <c r="G6492" s="1549"/>
      <c r="H6492" s="1549"/>
      <c r="I6492" s="1549"/>
      <c r="J6492" s="1549"/>
      <c r="K6492" s="1549"/>
      <c r="L6492" s="1549"/>
      <c r="M6492" s="1549"/>
      <c r="N6492" s="1549"/>
    </row>
    <row r="6493" spans="1:14">
      <c r="A6493" s="1124" t="s">
        <v>3500</v>
      </c>
      <c r="B6493" s="1539" t="s">
        <v>1438</v>
      </c>
      <c r="C6493" s="1539"/>
      <c r="D6493" s="1539"/>
      <c r="E6493" s="1539"/>
      <c r="F6493" s="1539"/>
      <c r="G6493" s="1539"/>
      <c r="H6493" s="1539"/>
      <c r="I6493" s="1539"/>
      <c r="J6493" s="1539"/>
      <c r="K6493" s="864" t="s">
        <v>3154</v>
      </c>
      <c r="L6493" s="1540">
        <f>'27ª MEDIÇÃO '!F473</f>
        <v>20</v>
      </c>
      <c r="M6493" s="1540"/>
      <c r="N6493" s="865">
        <f>L6493-H6498</f>
        <v>0</v>
      </c>
    </row>
    <row r="6494" spans="1:14" ht="15" customHeight="1">
      <c r="A6494" s="1541"/>
      <c r="B6494" s="1541"/>
      <c r="C6494" s="366"/>
      <c r="D6494" s="367" t="s">
        <v>2183</v>
      </c>
      <c r="E6494" s="1320" t="s">
        <v>2184</v>
      </c>
      <c r="F6494" s="367" t="s">
        <v>2185</v>
      </c>
      <c r="G6494" s="367" t="s">
        <v>2186</v>
      </c>
      <c r="H6494" s="1542" t="s">
        <v>476</v>
      </c>
      <c r="I6494" s="1543"/>
      <c r="J6494" s="1543"/>
      <c r="K6494" s="1543"/>
      <c r="L6494" s="1543"/>
      <c r="M6494" s="1543"/>
      <c r="N6494" s="1543"/>
    </row>
    <row r="6495" spans="1:14" ht="15" customHeight="1">
      <c r="A6495" s="1541"/>
      <c r="B6495" s="1541"/>
      <c r="C6495" s="368" t="s">
        <v>2627</v>
      </c>
      <c r="D6495" s="369" t="s">
        <v>2187</v>
      </c>
      <c r="E6495" s="529" t="s">
        <v>3152</v>
      </c>
      <c r="F6495" s="369" t="s">
        <v>2649</v>
      </c>
      <c r="G6495" s="370" t="s">
        <v>2709</v>
      </c>
      <c r="H6495" s="1542"/>
      <c r="I6495" s="1543"/>
      <c r="J6495" s="1543"/>
      <c r="K6495" s="1543"/>
      <c r="L6495" s="1543"/>
      <c r="M6495" s="1543"/>
      <c r="N6495" s="1543"/>
    </row>
    <row r="6496" spans="1:14">
      <c r="A6496" s="1544" t="s">
        <v>3465</v>
      </c>
      <c r="B6496" s="876" t="s">
        <v>3197</v>
      </c>
      <c r="C6496" s="743">
        <v>20</v>
      </c>
      <c r="D6496" s="743"/>
      <c r="E6496" s="379">
        <v>1</v>
      </c>
      <c r="F6496" s="379"/>
      <c r="G6496" s="379"/>
      <c r="H6496" s="380">
        <f>E6496*C6496</f>
        <v>20</v>
      </c>
      <c r="I6496" s="1543"/>
      <c r="J6496" s="1543"/>
      <c r="K6496" s="1543"/>
      <c r="L6496" s="1543"/>
      <c r="M6496" s="1543"/>
      <c r="N6496" s="1543"/>
    </row>
    <row r="6497" spans="1:14">
      <c r="A6497" s="1544"/>
      <c r="B6497" s="876"/>
      <c r="C6497" s="743"/>
      <c r="D6497" s="743"/>
      <c r="E6497" s="379"/>
      <c r="F6497" s="379"/>
      <c r="G6497" s="379"/>
      <c r="H6497" s="380"/>
      <c r="I6497" s="1543"/>
      <c r="J6497" s="1543"/>
      <c r="K6497" s="1543"/>
      <c r="L6497" s="1543"/>
      <c r="M6497" s="1543"/>
      <c r="N6497" s="1543"/>
    </row>
    <row r="6498" spans="1:14">
      <c r="A6498" s="1538" t="s">
        <v>2218</v>
      </c>
      <c r="B6498" s="1538"/>
      <c r="C6498" s="1538"/>
      <c r="D6498" s="1538"/>
      <c r="E6498" s="1538"/>
      <c r="F6498" s="1538"/>
      <c r="G6498" s="1538"/>
      <c r="H6498" s="271">
        <f>SUM(H6496:H6497)</f>
        <v>20</v>
      </c>
      <c r="I6498" s="1543"/>
      <c r="J6498" s="1543"/>
      <c r="K6498" s="1543"/>
      <c r="L6498" s="1543"/>
      <c r="M6498" s="1543"/>
      <c r="N6498" s="1543"/>
    </row>
    <row r="6499" spans="1:14">
      <c r="A6499" s="1538" t="s">
        <v>2219</v>
      </c>
      <c r="B6499" s="1538"/>
      <c r="C6499" s="1538"/>
      <c r="D6499" s="1538"/>
      <c r="E6499" s="1538"/>
      <c r="F6499" s="1538"/>
      <c r="G6499" s="1538"/>
      <c r="H6499" s="271">
        <f>SUM(H6494)</f>
        <v>0</v>
      </c>
      <c r="I6499" s="1543"/>
      <c r="J6499" s="1543"/>
      <c r="K6499" s="1543"/>
      <c r="L6499" s="1543"/>
      <c r="M6499" s="1543"/>
      <c r="N6499" s="1543"/>
    </row>
    <row r="6500" spans="1:14" ht="28.15" customHeight="1">
      <c r="A6500" s="1553" t="s">
        <v>2220</v>
      </c>
      <c r="B6500" s="1553"/>
      <c r="C6500" s="1553"/>
      <c r="D6500" s="1553"/>
      <c r="E6500" s="1553"/>
      <c r="F6500" s="1553"/>
      <c r="G6500" s="1553"/>
      <c r="H6500" s="825">
        <f>H6498-H6499</f>
        <v>20</v>
      </c>
      <c r="I6500" s="1547"/>
      <c r="J6500" s="1547"/>
      <c r="K6500" s="1547"/>
      <c r="L6500" s="1547"/>
      <c r="M6500" s="1547"/>
      <c r="N6500" s="1547"/>
    </row>
    <row r="6501" spans="1:14">
      <c r="A6501" s="961"/>
      <c r="B6501" s="961"/>
      <c r="C6501" s="961"/>
      <c r="D6501" s="972"/>
      <c r="E6501" s="1365"/>
      <c r="F6501" s="961"/>
      <c r="G6501" s="961"/>
      <c r="H6501" s="964"/>
      <c r="I6501" s="965"/>
      <c r="J6501" s="965"/>
      <c r="K6501" s="965"/>
      <c r="L6501" s="965"/>
      <c r="M6501" s="965"/>
      <c r="N6501" s="965"/>
    </row>
    <row r="6502" spans="1:14">
      <c r="A6502" s="1124" t="s">
        <v>3501</v>
      </c>
      <c r="B6502" s="1539" t="s">
        <v>1441</v>
      </c>
      <c r="C6502" s="1539"/>
      <c r="D6502" s="1539"/>
      <c r="E6502" s="1539"/>
      <c r="F6502" s="1539"/>
      <c r="G6502" s="1539"/>
      <c r="H6502" s="1539"/>
      <c r="I6502" s="1539"/>
      <c r="J6502" s="1539"/>
      <c r="K6502" s="864" t="s">
        <v>3154</v>
      </c>
      <c r="L6502" s="1540">
        <f>'27ª MEDIÇÃO '!F474</f>
        <v>16</v>
      </c>
      <c r="M6502" s="1540"/>
      <c r="N6502" s="865">
        <f>L6502-H6507</f>
        <v>0</v>
      </c>
    </row>
    <row r="6503" spans="1:14" ht="16.899999999999999" customHeight="1">
      <c r="A6503" s="1541"/>
      <c r="B6503" s="1541"/>
      <c r="C6503" s="366"/>
      <c r="D6503" s="367" t="s">
        <v>2183</v>
      </c>
      <c r="E6503" s="1320" t="s">
        <v>2184</v>
      </c>
      <c r="F6503" s="367" t="s">
        <v>2185</v>
      </c>
      <c r="G6503" s="367" t="s">
        <v>2186</v>
      </c>
      <c r="H6503" s="1542" t="s">
        <v>476</v>
      </c>
      <c r="I6503" s="1543"/>
      <c r="J6503" s="1543"/>
      <c r="K6503" s="1543"/>
      <c r="L6503" s="1543"/>
      <c r="M6503" s="1543"/>
      <c r="N6503" s="1543"/>
    </row>
    <row r="6504" spans="1:14" ht="17.45" customHeight="1">
      <c r="A6504" s="1541"/>
      <c r="B6504" s="1541"/>
      <c r="C6504" s="368" t="s">
        <v>2627</v>
      </c>
      <c r="D6504" s="369" t="s">
        <v>2187</v>
      </c>
      <c r="E6504" s="529" t="s">
        <v>3152</v>
      </c>
      <c r="F6504" s="369" t="s">
        <v>2649</v>
      </c>
      <c r="G6504" s="370" t="s">
        <v>2709</v>
      </c>
      <c r="H6504" s="1542"/>
      <c r="I6504" s="1543"/>
      <c r="J6504" s="1543"/>
      <c r="K6504" s="1543"/>
      <c r="L6504" s="1543"/>
      <c r="M6504" s="1543"/>
      <c r="N6504" s="1543"/>
    </row>
    <row r="6505" spans="1:14">
      <c r="A6505" s="1544" t="s">
        <v>3465</v>
      </c>
      <c r="B6505" s="876" t="s">
        <v>3197</v>
      </c>
      <c r="C6505" s="743">
        <v>6</v>
      </c>
      <c r="D6505" s="743"/>
      <c r="E6505" s="379">
        <v>1</v>
      </c>
      <c r="F6505" s="379"/>
      <c r="G6505" s="379"/>
      <c r="H6505" s="380">
        <f>E6505*C6505</f>
        <v>6</v>
      </c>
      <c r="I6505" s="1543"/>
      <c r="J6505" s="1543"/>
      <c r="K6505" s="1543"/>
      <c r="L6505" s="1543"/>
      <c r="M6505" s="1543"/>
      <c r="N6505" s="1543"/>
    </row>
    <row r="6506" spans="1:14">
      <c r="A6506" s="1544"/>
      <c r="B6506" s="876" t="s">
        <v>3198</v>
      </c>
      <c r="C6506" s="743">
        <v>10</v>
      </c>
      <c r="D6506" s="743"/>
      <c r="E6506" s="379">
        <v>1</v>
      </c>
      <c r="F6506" s="379"/>
      <c r="G6506" s="379"/>
      <c r="H6506" s="380">
        <f>E6506*C6506</f>
        <v>10</v>
      </c>
      <c r="I6506" s="1543"/>
      <c r="J6506" s="1543"/>
      <c r="K6506" s="1543"/>
      <c r="L6506" s="1543"/>
      <c r="M6506" s="1543"/>
      <c r="N6506" s="1543"/>
    </row>
    <row r="6507" spans="1:14">
      <c r="A6507" s="1538" t="s">
        <v>2218</v>
      </c>
      <c r="B6507" s="1538"/>
      <c r="C6507" s="1538"/>
      <c r="D6507" s="1538"/>
      <c r="E6507" s="1538"/>
      <c r="F6507" s="1538"/>
      <c r="G6507" s="1538"/>
      <c r="H6507" s="271">
        <f>SUM(H6505:H6506)</f>
        <v>16</v>
      </c>
      <c r="I6507" s="1543"/>
      <c r="J6507" s="1543"/>
      <c r="K6507" s="1543"/>
      <c r="L6507" s="1543"/>
      <c r="M6507" s="1543"/>
      <c r="N6507" s="1543"/>
    </row>
    <row r="6508" spans="1:14">
      <c r="A6508" s="1538" t="s">
        <v>2219</v>
      </c>
      <c r="B6508" s="1538"/>
      <c r="C6508" s="1538"/>
      <c r="D6508" s="1538"/>
      <c r="E6508" s="1538"/>
      <c r="F6508" s="1538"/>
      <c r="G6508" s="1538"/>
      <c r="H6508" s="271">
        <f>SUM(H6503)</f>
        <v>0</v>
      </c>
      <c r="I6508" s="1543"/>
      <c r="J6508" s="1543"/>
      <c r="K6508" s="1543"/>
      <c r="L6508" s="1543"/>
      <c r="M6508" s="1543"/>
      <c r="N6508" s="1543"/>
    </row>
    <row r="6509" spans="1:14" ht="21" customHeight="1">
      <c r="A6509" s="1553" t="s">
        <v>2220</v>
      </c>
      <c r="B6509" s="1553"/>
      <c r="C6509" s="1553"/>
      <c r="D6509" s="1553"/>
      <c r="E6509" s="1553"/>
      <c r="F6509" s="1553"/>
      <c r="G6509" s="1553"/>
      <c r="H6509" s="825">
        <f>H6507-H6508</f>
        <v>16</v>
      </c>
      <c r="I6509" s="1547"/>
      <c r="J6509" s="1547"/>
      <c r="K6509" s="1547"/>
      <c r="L6509" s="1547"/>
      <c r="M6509" s="1547"/>
      <c r="N6509" s="1547"/>
    </row>
    <row r="6510" spans="1:14">
      <c r="A6510" s="961"/>
      <c r="B6510" s="961"/>
      <c r="C6510" s="961"/>
      <c r="D6510" s="972"/>
      <c r="E6510" s="1365"/>
      <c r="F6510" s="961"/>
      <c r="G6510" s="961"/>
      <c r="H6510" s="964"/>
      <c r="I6510" s="965"/>
      <c r="J6510" s="965"/>
      <c r="K6510" s="965"/>
      <c r="L6510" s="965"/>
      <c r="M6510" s="965"/>
      <c r="N6510" s="965"/>
    </row>
    <row r="6511" spans="1:14">
      <c r="A6511" s="1124" t="s">
        <v>3961</v>
      </c>
      <c r="B6511" s="1539" t="s">
        <v>1663</v>
      </c>
      <c r="C6511" s="1539"/>
      <c r="D6511" s="1539"/>
      <c r="E6511" s="1539"/>
      <c r="F6511" s="1539"/>
      <c r="G6511" s="1539"/>
      <c r="H6511" s="1539"/>
      <c r="I6511" s="1539"/>
      <c r="J6511" s="1539"/>
      <c r="K6511" s="864" t="s">
        <v>3154</v>
      </c>
      <c r="L6511" s="1540">
        <v>4</v>
      </c>
      <c r="M6511" s="1540"/>
      <c r="N6511" s="865">
        <f>L6511-H6516</f>
        <v>0</v>
      </c>
    </row>
    <row r="6512" spans="1:14" ht="16.899999999999999" customHeight="1">
      <c r="A6512" s="1541"/>
      <c r="B6512" s="1541"/>
      <c r="C6512" s="366"/>
      <c r="D6512" s="367" t="s">
        <v>2183</v>
      </c>
      <c r="E6512" s="1320" t="s">
        <v>2184</v>
      </c>
      <c r="F6512" s="367" t="s">
        <v>2185</v>
      </c>
      <c r="G6512" s="367" t="s">
        <v>2186</v>
      </c>
      <c r="H6512" s="1542" t="s">
        <v>476</v>
      </c>
      <c r="I6512" s="1543"/>
      <c r="J6512" s="1543"/>
      <c r="K6512" s="1543"/>
      <c r="L6512" s="1543"/>
      <c r="M6512" s="1543"/>
      <c r="N6512" s="1543"/>
    </row>
    <row r="6513" spans="1:14" ht="17.45" customHeight="1">
      <c r="A6513" s="1541"/>
      <c r="B6513" s="1541"/>
      <c r="C6513" s="368" t="s">
        <v>2627</v>
      </c>
      <c r="D6513" s="369" t="s">
        <v>2187</v>
      </c>
      <c r="E6513" s="529" t="s">
        <v>3152</v>
      </c>
      <c r="F6513" s="369" t="s">
        <v>2649</v>
      </c>
      <c r="G6513" s="370" t="s">
        <v>2709</v>
      </c>
      <c r="H6513" s="1542"/>
      <c r="I6513" s="1543"/>
      <c r="J6513" s="1543"/>
      <c r="K6513" s="1543"/>
      <c r="L6513" s="1543"/>
      <c r="M6513" s="1543"/>
      <c r="N6513" s="1543"/>
    </row>
    <row r="6514" spans="1:14">
      <c r="A6514" s="1544" t="s">
        <v>3937</v>
      </c>
      <c r="B6514" s="876" t="s">
        <v>3197</v>
      </c>
      <c r="C6514" s="743">
        <v>2</v>
      </c>
      <c r="D6514" s="743"/>
      <c r="E6514" s="379">
        <v>1</v>
      </c>
      <c r="F6514" s="379"/>
      <c r="G6514" s="379"/>
      <c r="H6514" s="380">
        <f>E6514*C6514</f>
        <v>2</v>
      </c>
      <c r="I6514" s="1543"/>
      <c r="J6514" s="1543"/>
      <c r="K6514" s="1543"/>
      <c r="L6514" s="1543"/>
      <c r="M6514" s="1543"/>
      <c r="N6514" s="1543"/>
    </row>
    <row r="6515" spans="1:14">
      <c r="A6515" s="1544"/>
      <c r="B6515" s="876" t="s">
        <v>3198</v>
      </c>
      <c r="C6515" s="743">
        <v>2</v>
      </c>
      <c r="D6515" s="743"/>
      <c r="E6515" s="379">
        <v>1</v>
      </c>
      <c r="F6515" s="379"/>
      <c r="G6515" s="379"/>
      <c r="H6515" s="380">
        <f>E6515*C6515</f>
        <v>2</v>
      </c>
      <c r="I6515" s="1543"/>
      <c r="J6515" s="1543"/>
      <c r="K6515" s="1543"/>
      <c r="L6515" s="1543"/>
      <c r="M6515" s="1543"/>
      <c r="N6515" s="1543"/>
    </row>
    <row r="6516" spans="1:14">
      <c r="A6516" s="1538" t="s">
        <v>2218</v>
      </c>
      <c r="B6516" s="1538"/>
      <c r="C6516" s="1538"/>
      <c r="D6516" s="1538"/>
      <c r="E6516" s="1538"/>
      <c r="F6516" s="1538"/>
      <c r="G6516" s="1538"/>
      <c r="H6516" s="271">
        <f>SUM(H6514:H6515)</f>
        <v>4</v>
      </c>
      <c r="I6516" s="1543"/>
      <c r="J6516" s="1543"/>
      <c r="K6516" s="1543"/>
      <c r="L6516" s="1543"/>
      <c r="M6516" s="1543"/>
      <c r="N6516" s="1543"/>
    </row>
    <row r="6517" spans="1:14">
      <c r="A6517" s="1538" t="s">
        <v>2219</v>
      </c>
      <c r="B6517" s="1538"/>
      <c r="C6517" s="1538"/>
      <c r="D6517" s="1538"/>
      <c r="E6517" s="1538"/>
      <c r="F6517" s="1538"/>
      <c r="G6517" s="1538"/>
      <c r="H6517" s="271">
        <f>SUM(H6512)</f>
        <v>0</v>
      </c>
      <c r="I6517" s="1543"/>
      <c r="J6517" s="1543"/>
      <c r="K6517" s="1543"/>
      <c r="L6517" s="1543"/>
      <c r="M6517" s="1543"/>
      <c r="N6517" s="1543"/>
    </row>
    <row r="6518" spans="1:14" ht="21" customHeight="1">
      <c r="A6518" s="1553" t="s">
        <v>2220</v>
      </c>
      <c r="B6518" s="1553"/>
      <c r="C6518" s="1553"/>
      <c r="D6518" s="1553"/>
      <c r="E6518" s="1553"/>
      <c r="F6518" s="1553"/>
      <c r="G6518" s="1553"/>
      <c r="H6518" s="825">
        <f>H6516-H6517</f>
        <v>4</v>
      </c>
      <c r="I6518" s="1547"/>
      <c r="J6518" s="1547"/>
      <c r="K6518" s="1547"/>
      <c r="L6518" s="1547"/>
      <c r="M6518" s="1547"/>
      <c r="N6518" s="1547"/>
    </row>
    <row r="6519" spans="1:14">
      <c r="A6519" s="961"/>
      <c r="B6519" s="961"/>
      <c r="C6519" s="961"/>
      <c r="D6519" s="972"/>
      <c r="E6519" s="1365"/>
      <c r="F6519" s="961"/>
      <c r="G6519" s="961"/>
      <c r="H6519" s="964"/>
      <c r="I6519" s="965"/>
      <c r="J6519" s="965"/>
      <c r="K6519" s="965"/>
      <c r="L6519" s="965"/>
      <c r="M6519" s="965"/>
      <c r="N6519" s="965"/>
    </row>
    <row r="6520" spans="1:14">
      <c r="A6520" s="1124" t="s">
        <v>3535</v>
      </c>
      <c r="B6520" s="1539" t="s">
        <v>1453</v>
      </c>
      <c r="C6520" s="1539"/>
      <c r="D6520" s="1539"/>
      <c r="E6520" s="1539"/>
      <c r="F6520" s="1539"/>
      <c r="G6520" s="1539"/>
      <c r="H6520" s="1539"/>
      <c r="I6520" s="1539"/>
      <c r="J6520" s="1539"/>
      <c r="K6520" s="864" t="s">
        <v>3154</v>
      </c>
      <c r="L6520" s="1540">
        <f>'27ª MEDIÇÃO '!F477</f>
        <v>1</v>
      </c>
      <c r="M6520" s="1540"/>
      <c r="N6520" s="865">
        <f>L6520-H6525</f>
        <v>0</v>
      </c>
    </row>
    <row r="6521" spans="1:14">
      <c r="A6521" s="1541"/>
      <c r="B6521" s="1541"/>
      <c r="C6521" s="366"/>
      <c r="D6521" s="367" t="s">
        <v>2183</v>
      </c>
      <c r="E6521" s="1320" t="s">
        <v>2184</v>
      </c>
      <c r="F6521" s="367" t="s">
        <v>2185</v>
      </c>
      <c r="G6521" s="367" t="s">
        <v>2186</v>
      </c>
      <c r="H6521" s="1542" t="s">
        <v>476</v>
      </c>
      <c r="I6521" s="1543"/>
      <c r="J6521" s="1543"/>
      <c r="K6521" s="1543"/>
      <c r="L6521" s="1543"/>
      <c r="M6521" s="1543"/>
      <c r="N6521" s="1543"/>
    </row>
    <row r="6522" spans="1:14" ht="24">
      <c r="A6522" s="1541"/>
      <c r="B6522" s="1541"/>
      <c r="C6522" s="368" t="s">
        <v>2627</v>
      </c>
      <c r="D6522" s="369" t="s">
        <v>2187</v>
      </c>
      <c r="E6522" s="529" t="s">
        <v>3152</v>
      </c>
      <c r="F6522" s="369" t="s">
        <v>2649</v>
      </c>
      <c r="G6522" s="370" t="s">
        <v>2709</v>
      </c>
      <c r="H6522" s="1542"/>
      <c r="I6522" s="1543"/>
      <c r="J6522" s="1543"/>
      <c r="K6522" s="1543"/>
      <c r="L6522" s="1543"/>
      <c r="M6522" s="1543"/>
      <c r="N6522" s="1543"/>
    </row>
    <row r="6523" spans="1:14">
      <c r="A6523" s="1094" t="s">
        <v>3521</v>
      </c>
      <c r="B6523" s="876" t="s">
        <v>3198</v>
      </c>
      <c r="C6523" s="743">
        <v>1</v>
      </c>
      <c r="D6523" s="743"/>
      <c r="E6523" s="379">
        <v>0.5</v>
      </c>
      <c r="F6523" s="379"/>
      <c r="G6523" s="379"/>
      <c r="H6523" s="380">
        <f>E6523*C6523</f>
        <v>0.5</v>
      </c>
      <c r="I6523" s="1543"/>
      <c r="J6523" s="1543"/>
      <c r="K6523" s="1543"/>
      <c r="L6523" s="1543"/>
      <c r="M6523" s="1543"/>
      <c r="N6523" s="1543"/>
    </row>
    <row r="6524" spans="1:14">
      <c r="A6524" s="1094" t="s">
        <v>3892</v>
      </c>
      <c r="B6524" s="876" t="s">
        <v>3198</v>
      </c>
      <c r="C6524" s="743">
        <v>1</v>
      </c>
      <c r="D6524" s="743"/>
      <c r="E6524" s="379">
        <v>0.5</v>
      </c>
      <c r="F6524" s="379"/>
      <c r="G6524" s="379"/>
      <c r="H6524" s="380">
        <f>E6524*C6524</f>
        <v>0.5</v>
      </c>
      <c r="I6524" s="1543"/>
      <c r="J6524" s="1543"/>
      <c r="K6524" s="1543"/>
      <c r="L6524" s="1543"/>
      <c r="M6524" s="1543"/>
      <c r="N6524" s="1543"/>
    </row>
    <row r="6525" spans="1:14">
      <c r="A6525" s="1538" t="s">
        <v>2218</v>
      </c>
      <c r="B6525" s="1538"/>
      <c r="C6525" s="1538"/>
      <c r="D6525" s="1538"/>
      <c r="E6525" s="1538"/>
      <c r="F6525" s="1538"/>
      <c r="G6525" s="1538"/>
      <c r="H6525" s="271">
        <f>SUM(H6523:H6524)</f>
        <v>1</v>
      </c>
      <c r="I6525" s="1543"/>
      <c r="J6525" s="1543"/>
      <c r="K6525" s="1543"/>
      <c r="L6525" s="1543"/>
      <c r="M6525" s="1543"/>
      <c r="N6525" s="1543"/>
    </row>
    <row r="6526" spans="1:14">
      <c r="A6526" s="1538" t="s">
        <v>2219</v>
      </c>
      <c r="B6526" s="1538"/>
      <c r="C6526" s="1538"/>
      <c r="D6526" s="1538"/>
      <c r="E6526" s="1538"/>
      <c r="F6526" s="1538"/>
      <c r="G6526" s="1538"/>
      <c r="H6526" s="271">
        <f>SUM(H6521)</f>
        <v>0</v>
      </c>
      <c r="I6526" s="1543"/>
      <c r="J6526" s="1543"/>
      <c r="K6526" s="1543"/>
      <c r="L6526" s="1543"/>
      <c r="M6526" s="1543"/>
      <c r="N6526" s="1543"/>
    </row>
    <row r="6527" spans="1:14" ht="31.9" customHeight="1">
      <c r="A6527" s="1553" t="s">
        <v>2220</v>
      </c>
      <c r="B6527" s="1553"/>
      <c r="C6527" s="1553"/>
      <c r="D6527" s="1553"/>
      <c r="E6527" s="1553"/>
      <c r="F6527" s="1553"/>
      <c r="G6527" s="1553"/>
      <c r="H6527" s="825">
        <f>H6525-H6526</f>
        <v>1</v>
      </c>
      <c r="I6527" s="1547"/>
      <c r="J6527" s="1547"/>
      <c r="K6527" s="1547"/>
      <c r="L6527" s="1547"/>
      <c r="M6527" s="1547"/>
      <c r="N6527" s="1547"/>
    </row>
    <row r="6528" spans="1:14">
      <c r="A6528" s="961"/>
      <c r="B6528" s="961"/>
      <c r="C6528" s="961"/>
      <c r="D6528" s="972"/>
      <c r="E6528" s="1365"/>
      <c r="F6528" s="961"/>
      <c r="G6528" s="961"/>
      <c r="H6528" s="964"/>
      <c r="I6528" s="965"/>
      <c r="J6528" s="965"/>
      <c r="K6528" s="965"/>
      <c r="L6528" s="965"/>
      <c r="M6528" s="965"/>
      <c r="N6528" s="965"/>
    </row>
    <row r="6529" spans="1:14">
      <c r="A6529" s="1124" t="s">
        <v>3502</v>
      </c>
      <c r="B6529" s="1539" t="s">
        <v>1670</v>
      </c>
      <c r="C6529" s="1539"/>
      <c r="D6529" s="1539"/>
      <c r="E6529" s="1539"/>
      <c r="F6529" s="1539"/>
      <c r="G6529" s="1539"/>
      <c r="H6529" s="1539"/>
      <c r="I6529" s="1539"/>
      <c r="J6529" s="1539"/>
      <c r="K6529" s="864" t="s">
        <v>3154</v>
      </c>
      <c r="L6529" s="1540">
        <f>'27ª MEDIÇÃO '!F478</f>
        <v>1</v>
      </c>
      <c r="M6529" s="1540"/>
      <c r="N6529" s="865">
        <f>L6529-H6534</f>
        <v>0</v>
      </c>
    </row>
    <row r="6530" spans="1:14">
      <c r="A6530" s="1541"/>
      <c r="B6530" s="1541"/>
      <c r="C6530" s="366"/>
      <c r="D6530" s="367" t="s">
        <v>2183</v>
      </c>
      <c r="E6530" s="1320" t="s">
        <v>2184</v>
      </c>
      <c r="F6530" s="367" t="s">
        <v>2185</v>
      </c>
      <c r="G6530" s="367" t="s">
        <v>2186</v>
      </c>
      <c r="H6530" s="1542" t="s">
        <v>476</v>
      </c>
      <c r="I6530" s="1543"/>
      <c r="J6530" s="1543"/>
      <c r="K6530" s="1543"/>
      <c r="L6530" s="1543"/>
      <c r="M6530" s="1543"/>
      <c r="N6530" s="1543"/>
    </row>
    <row r="6531" spans="1:14" ht="24">
      <c r="A6531" s="1541"/>
      <c r="B6531" s="1541"/>
      <c r="C6531" s="368" t="s">
        <v>2627</v>
      </c>
      <c r="D6531" s="369" t="s">
        <v>2187</v>
      </c>
      <c r="E6531" s="529" t="s">
        <v>3152</v>
      </c>
      <c r="F6531" s="369" t="s">
        <v>2649</v>
      </c>
      <c r="G6531" s="370" t="s">
        <v>2709</v>
      </c>
      <c r="H6531" s="1542"/>
      <c r="I6531" s="1543"/>
      <c r="J6531" s="1543"/>
      <c r="K6531" s="1543"/>
      <c r="L6531" s="1543"/>
      <c r="M6531" s="1543"/>
      <c r="N6531" s="1543"/>
    </row>
    <row r="6532" spans="1:14">
      <c r="A6532" s="1094" t="s">
        <v>3465</v>
      </c>
      <c r="B6532" s="876" t="s">
        <v>3199</v>
      </c>
      <c r="C6532" s="743">
        <v>1</v>
      </c>
      <c r="D6532" s="743"/>
      <c r="E6532" s="379">
        <v>0.5</v>
      </c>
      <c r="F6532" s="379"/>
      <c r="G6532" s="379"/>
      <c r="H6532" s="380">
        <f>E6532*C6532</f>
        <v>0.5</v>
      </c>
      <c r="I6532" s="1543"/>
      <c r="J6532" s="1543"/>
      <c r="K6532" s="1543"/>
      <c r="L6532" s="1543"/>
      <c r="M6532" s="1543"/>
      <c r="N6532" s="1543"/>
    </row>
    <row r="6533" spans="1:14">
      <c r="A6533" s="1094" t="s">
        <v>4003</v>
      </c>
      <c r="B6533" s="876" t="s">
        <v>3199</v>
      </c>
      <c r="C6533" s="743">
        <v>1</v>
      </c>
      <c r="D6533" s="743"/>
      <c r="E6533" s="379">
        <v>0.5</v>
      </c>
      <c r="F6533" s="379"/>
      <c r="G6533" s="379"/>
      <c r="H6533" s="380">
        <v>0.5</v>
      </c>
      <c r="I6533" s="1543"/>
      <c r="J6533" s="1543"/>
      <c r="K6533" s="1543"/>
      <c r="L6533" s="1543"/>
      <c r="M6533" s="1543"/>
      <c r="N6533" s="1543"/>
    </row>
    <row r="6534" spans="1:14">
      <c r="A6534" s="1538" t="s">
        <v>2218</v>
      </c>
      <c r="B6534" s="1538"/>
      <c r="C6534" s="1538"/>
      <c r="D6534" s="1538"/>
      <c r="E6534" s="1538"/>
      <c r="F6534" s="1538"/>
      <c r="G6534" s="1538"/>
      <c r="H6534" s="271">
        <f>SUM(H6532:H6533)</f>
        <v>1</v>
      </c>
      <c r="I6534" s="1543"/>
      <c r="J6534" s="1543"/>
      <c r="K6534" s="1543"/>
      <c r="L6534" s="1543"/>
      <c r="M6534" s="1543"/>
      <c r="N6534" s="1543"/>
    </row>
    <row r="6535" spans="1:14">
      <c r="A6535" s="1538" t="s">
        <v>2219</v>
      </c>
      <c r="B6535" s="1538"/>
      <c r="C6535" s="1538"/>
      <c r="D6535" s="1538"/>
      <c r="E6535" s="1538"/>
      <c r="F6535" s="1538"/>
      <c r="G6535" s="1538"/>
      <c r="H6535" s="271">
        <f>SUM(H6530)</f>
        <v>0</v>
      </c>
      <c r="I6535" s="1543"/>
      <c r="J6535" s="1543"/>
      <c r="K6535" s="1543"/>
      <c r="L6535" s="1543"/>
      <c r="M6535" s="1543"/>
      <c r="N6535" s="1543"/>
    </row>
    <row r="6536" spans="1:14">
      <c r="A6536" s="1553" t="s">
        <v>2220</v>
      </c>
      <c r="B6536" s="1553"/>
      <c r="C6536" s="1553"/>
      <c r="D6536" s="1553"/>
      <c r="E6536" s="1553"/>
      <c r="F6536" s="1553"/>
      <c r="G6536" s="1553"/>
      <c r="H6536" s="825">
        <f>H6534-H6535</f>
        <v>1</v>
      </c>
      <c r="I6536" s="1547"/>
      <c r="J6536" s="1547"/>
      <c r="K6536" s="1547"/>
      <c r="L6536" s="1547"/>
      <c r="M6536" s="1547"/>
      <c r="N6536" s="1547"/>
    </row>
    <row r="6537" spans="1:14">
      <c r="A6537" s="961"/>
      <c r="B6537" s="961"/>
      <c r="C6537" s="961"/>
      <c r="D6537" s="972"/>
      <c r="E6537" s="1365"/>
      <c r="F6537" s="961"/>
      <c r="G6537" s="961"/>
      <c r="H6537" s="964"/>
      <c r="I6537" s="965"/>
      <c r="J6537" s="965"/>
      <c r="K6537" s="965"/>
      <c r="L6537" s="965"/>
      <c r="M6537" s="965"/>
      <c r="N6537" s="965"/>
    </row>
    <row r="6538" spans="1:14" ht="22.9" customHeight="1">
      <c r="A6538" s="818" t="s">
        <v>1671</v>
      </c>
      <c r="B6538" s="1859" t="s">
        <v>1672</v>
      </c>
      <c r="C6538" s="1859"/>
      <c r="D6538" s="1859"/>
      <c r="E6538" s="1859"/>
      <c r="F6538" s="1859"/>
      <c r="G6538" s="1859"/>
      <c r="H6538" s="1859"/>
      <c r="I6538" s="1859"/>
      <c r="J6538" s="1859"/>
      <c r="K6538" s="1859"/>
      <c r="L6538" s="1859"/>
      <c r="M6538" s="1859"/>
      <c r="N6538" s="1859"/>
    </row>
    <row r="6539" spans="1:14">
      <c r="A6539" s="1124" t="s">
        <v>3425</v>
      </c>
      <c r="B6539" s="1539" t="s">
        <v>313</v>
      </c>
      <c r="C6539" s="1539"/>
      <c r="D6539" s="1539"/>
      <c r="E6539" s="1539"/>
      <c r="F6539" s="1539"/>
      <c r="G6539" s="1539"/>
      <c r="H6539" s="1539"/>
      <c r="I6539" s="1539"/>
      <c r="J6539" s="1539"/>
      <c r="K6539" s="864" t="s">
        <v>3154</v>
      </c>
      <c r="L6539" s="1540">
        <f>'27ª MEDIÇÃO '!F480</f>
        <v>57</v>
      </c>
      <c r="M6539" s="1540"/>
      <c r="N6539" s="865">
        <f>L6539-H6548</f>
        <v>0</v>
      </c>
    </row>
    <row r="6540" spans="1:14">
      <c r="A6540" s="1541"/>
      <c r="B6540" s="1541"/>
      <c r="C6540" s="366"/>
      <c r="D6540" s="367" t="s">
        <v>2183</v>
      </c>
      <c r="E6540" s="1320" t="s">
        <v>2184</v>
      </c>
      <c r="F6540" s="367" t="s">
        <v>2185</v>
      </c>
      <c r="G6540" s="367" t="s">
        <v>2186</v>
      </c>
      <c r="H6540" s="1542" t="s">
        <v>476</v>
      </c>
      <c r="I6540" s="1543"/>
      <c r="J6540" s="1543"/>
      <c r="K6540" s="1543"/>
      <c r="L6540" s="1543"/>
      <c r="M6540" s="1543"/>
      <c r="N6540" s="1543"/>
    </row>
    <row r="6541" spans="1:14" ht="24">
      <c r="A6541" s="1541"/>
      <c r="B6541" s="1541"/>
      <c r="C6541" s="368" t="s">
        <v>2627</v>
      </c>
      <c r="D6541" s="369" t="s">
        <v>2187</v>
      </c>
      <c r="E6541" s="529" t="s">
        <v>3152</v>
      </c>
      <c r="F6541" s="369" t="s">
        <v>2649</v>
      </c>
      <c r="G6541" s="370" t="s">
        <v>2709</v>
      </c>
      <c r="H6541" s="1542"/>
      <c r="I6541" s="1543"/>
      <c r="J6541" s="1543"/>
      <c r="K6541" s="1543"/>
      <c r="L6541" s="1543"/>
      <c r="M6541" s="1543"/>
      <c r="N6541" s="1543"/>
    </row>
    <row r="6542" spans="1:14">
      <c r="A6542" s="1544" t="s">
        <v>3364</v>
      </c>
      <c r="B6542" s="876" t="s">
        <v>3197</v>
      </c>
      <c r="C6542" s="743">
        <v>47</v>
      </c>
      <c r="D6542" s="743"/>
      <c r="E6542" s="379">
        <v>0.15</v>
      </c>
      <c r="F6542" s="379"/>
      <c r="G6542" s="379"/>
      <c r="H6542" s="380">
        <f t="shared" ref="H6542:H6547" si="119">E6542*C6542</f>
        <v>7.05</v>
      </c>
      <c r="I6542" s="1543"/>
      <c r="J6542" s="1543"/>
      <c r="K6542" s="1543"/>
      <c r="L6542" s="1543"/>
      <c r="M6542" s="1543"/>
      <c r="N6542" s="1543"/>
    </row>
    <row r="6543" spans="1:14">
      <c r="A6543" s="1544"/>
      <c r="B6543" s="876" t="s">
        <v>3198</v>
      </c>
      <c r="C6543" s="743">
        <v>10</v>
      </c>
      <c r="D6543" s="743"/>
      <c r="E6543" s="379">
        <v>0.55000000000000004</v>
      </c>
      <c r="F6543" s="379"/>
      <c r="G6543" s="379"/>
      <c r="H6543" s="380">
        <f t="shared" si="119"/>
        <v>5.5</v>
      </c>
      <c r="I6543" s="1543"/>
      <c r="J6543" s="1543"/>
      <c r="K6543" s="1543"/>
      <c r="L6543" s="1543"/>
      <c r="M6543" s="1543"/>
      <c r="N6543" s="1543"/>
    </row>
    <row r="6544" spans="1:14">
      <c r="A6544" s="1544" t="s">
        <v>3428</v>
      </c>
      <c r="B6544" s="876" t="s">
        <v>3197</v>
      </c>
      <c r="C6544" s="743">
        <v>47</v>
      </c>
      <c r="D6544" s="743"/>
      <c r="E6544" s="379">
        <v>0.2</v>
      </c>
      <c r="F6544" s="379"/>
      <c r="G6544" s="379"/>
      <c r="H6544" s="380">
        <f t="shared" si="119"/>
        <v>9.4</v>
      </c>
      <c r="I6544" s="1543"/>
      <c r="J6544" s="1543"/>
      <c r="K6544" s="1543"/>
      <c r="L6544" s="1543"/>
      <c r="M6544" s="1543"/>
      <c r="N6544" s="1543"/>
    </row>
    <row r="6545" spans="1:14">
      <c r="A6545" s="1544"/>
      <c r="B6545" s="876" t="s">
        <v>3198</v>
      </c>
      <c r="C6545" s="743">
        <v>10</v>
      </c>
      <c r="D6545" s="743"/>
      <c r="E6545" s="379">
        <v>0.45</v>
      </c>
      <c r="F6545" s="379"/>
      <c r="G6545" s="379"/>
      <c r="H6545" s="380">
        <f t="shared" si="119"/>
        <v>4.5</v>
      </c>
      <c r="I6545" s="1543"/>
      <c r="J6545" s="1543"/>
      <c r="K6545" s="1543"/>
      <c r="L6545" s="1543"/>
      <c r="M6545" s="1543"/>
      <c r="N6545" s="1543"/>
    </row>
    <row r="6546" spans="1:14">
      <c r="A6546" s="1544" t="s">
        <v>3465</v>
      </c>
      <c r="B6546" s="876" t="s">
        <v>3197</v>
      </c>
      <c r="C6546" s="743">
        <v>47</v>
      </c>
      <c r="D6546" s="743"/>
      <c r="E6546" s="379">
        <v>0.65</v>
      </c>
      <c r="F6546" s="379"/>
      <c r="G6546" s="379"/>
      <c r="H6546" s="380">
        <f t="shared" si="119"/>
        <v>30.55</v>
      </c>
      <c r="I6546" s="1543"/>
      <c r="J6546" s="1543"/>
      <c r="K6546" s="1543"/>
      <c r="L6546" s="1543"/>
      <c r="M6546" s="1543"/>
      <c r="N6546" s="1543"/>
    </row>
    <row r="6547" spans="1:14">
      <c r="A6547" s="1544"/>
      <c r="B6547" s="876" t="s">
        <v>3198</v>
      </c>
      <c r="C6547" s="743">
        <v>10</v>
      </c>
      <c r="D6547" s="743"/>
      <c r="E6547" s="379"/>
      <c r="F6547" s="379"/>
      <c r="G6547" s="379"/>
      <c r="H6547" s="380">
        <f t="shared" si="119"/>
        <v>0</v>
      </c>
      <c r="I6547" s="1543"/>
      <c r="J6547" s="1543"/>
      <c r="K6547" s="1543"/>
      <c r="L6547" s="1543"/>
      <c r="M6547" s="1543"/>
      <c r="N6547" s="1543"/>
    </row>
    <row r="6548" spans="1:14">
      <c r="A6548" s="1538" t="s">
        <v>2218</v>
      </c>
      <c r="B6548" s="1538"/>
      <c r="C6548" s="1538"/>
      <c r="D6548" s="1538"/>
      <c r="E6548" s="1538"/>
      <c r="F6548" s="1538"/>
      <c r="G6548" s="1538"/>
      <c r="H6548" s="271">
        <f>SUM(H6542:H6547)</f>
        <v>57</v>
      </c>
      <c r="I6548" s="1543"/>
      <c r="J6548" s="1543"/>
      <c r="K6548" s="1543"/>
      <c r="L6548" s="1543"/>
      <c r="M6548" s="1543"/>
      <c r="N6548" s="1543"/>
    </row>
    <row r="6549" spans="1:14" ht="22.15" customHeight="1">
      <c r="A6549" s="1538" t="s">
        <v>2219</v>
      </c>
      <c r="B6549" s="1538"/>
      <c r="C6549" s="1538"/>
      <c r="D6549" s="1538"/>
      <c r="E6549" s="1538"/>
      <c r="F6549" s="1538"/>
      <c r="G6549" s="1538"/>
      <c r="H6549" s="271">
        <f>SUM(H6542:H6545)</f>
        <v>26.450000000000003</v>
      </c>
      <c r="I6549" s="1543"/>
      <c r="J6549" s="1543"/>
      <c r="K6549" s="1543"/>
      <c r="L6549" s="1543"/>
      <c r="M6549" s="1543"/>
      <c r="N6549" s="1543"/>
    </row>
    <row r="6550" spans="1:14">
      <c r="A6550" s="1553" t="s">
        <v>2220</v>
      </c>
      <c r="B6550" s="1553"/>
      <c r="C6550" s="1553"/>
      <c r="D6550" s="1553"/>
      <c r="E6550" s="1553"/>
      <c r="F6550" s="1553"/>
      <c r="G6550" s="1553"/>
      <c r="H6550" s="825">
        <f>H6548-H6549</f>
        <v>30.549999999999997</v>
      </c>
      <c r="I6550" s="1547"/>
      <c r="J6550" s="1547"/>
      <c r="K6550" s="1547"/>
      <c r="L6550" s="1547"/>
      <c r="M6550" s="1547"/>
      <c r="N6550" s="1547"/>
    </row>
    <row r="6551" spans="1:14">
      <c r="A6551" s="961"/>
      <c r="B6551" s="961"/>
      <c r="C6551" s="961"/>
      <c r="D6551" s="972"/>
      <c r="E6551" s="1365"/>
      <c r="F6551" s="961"/>
      <c r="G6551" s="961"/>
      <c r="H6551" s="964"/>
      <c r="I6551" s="965"/>
      <c r="J6551" s="965"/>
      <c r="K6551" s="965"/>
      <c r="L6551" s="965"/>
      <c r="M6551" s="965"/>
      <c r="N6551" s="965"/>
    </row>
    <row r="6552" spans="1:14">
      <c r="A6552" s="1125" t="s">
        <v>3424</v>
      </c>
      <c r="B6552" s="1875" t="s">
        <v>316</v>
      </c>
      <c r="C6552" s="1875"/>
      <c r="D6552" s="1875"/>
      <c r="E6552" s="1875"/>
      <c r="F6552" s="1875"/>
      <c r="G6552" s="1875"/>
      <c r="H6552" s="1875"/>
      <c r="I6552" s="1875"/>
      <c r="J6552" s="1875"/>
      <c r="K6552" s="966" t="s">
        <v>3154</v>
      </c>
      <c r="L6552" s="1876">
        <f>'27ª MEDIÇÃO '!F481</f>
        <v>42</v>
      </c>
      <c r="M6552" s="1876"/>
      <c r="N6552" s="967">
        <f>L6552-H6561</f>
        <v>0</v>
      </c>
    </row>
    <row r="6553" spans="1:14">
      <c r="A6553" s="1541"/>
      <c r="B6553" s="1541"/>
      <c r="C6553" s="366"/>
      <c r="D6553" s="367" t="s">
        <v>2183</v>
      </c>
      <c r="E6553" s="1320" t="s">
        <v>2184</v>
      </c>
      <c r="F6553" s="367" t="s">
        <v>2185</v>
      </c>
      <c r="G6553" s="367" t="s">
        <v>2186</v>
      </c>
      <c r="H6553" s="1542" t="s">
        <v>476</v>
      </c>
      <c r="I6553" s="1543"/>
      <c r="J6553" s="1543"/>
      <c r="K6553" s="1543"/>
      <c r="L6553" s="1543"/>
      <c r="M6553" s="1543"/>
      <c r="N6553" s="1543"/>
    </row>
    <row r="6554" spans="1:14" ht="24">
      <c r="A6554" s="1541"/>
      <c r="B6554" s="1541"/>
      <c r="C6554" s="368" t="s">
        <v>2627</v>
      </c>
      <c r="D6554" s="369" t="s">
        <v>2187</v>
      </c>
      <c r="E6554" s="529" t="s">
        <v>3152</v>
      </c>
      <c r="F6554" s="369" t="s">
        <v>2649</v>
      </c>
      <c r="G6554" s="370" t="s">
        <v>2709</v>
      </c>
      <c r="H6554" s="1542"/>
      <c r="I6554" s="1543"/>
      <c r="J6554" s="1543"/>
      <c r="K6554" s="1543"/>
      <c r="L6554" s="1543"/>
      <c r="M6554" s="1543"/>
      <c r="N6554" s="1543"/>
    </row>
    <row r="6555" spans="1:14">
      <c r="A6555" s="1544" t="s">
        <v>3364</v>
      </c>
      <c r="B6555" s="876" t="s">
        <v>3197</v>
      </c>
      <c r="C6555" s="743">
        <v>19</v>
      </c>
      <c r="D6555" s="743"/>
      <c r="E6555" s="379"/>
      <c r="F6555" s="379"/>
      <c r="G6555" s="379"/>
      <c r="H6555" s="380"/>
      <c r="I6555" s="1543"/>
      <c r="J6555" s="1543"/>
      <c r="K6555" s="1543"/>
      <c r="L6555" s="1543"/>
      <c r="M6555" s="1543"/>
      <c r="N6555" s="1543"/>
    </row>
    <row r="6556" spans="1:14">
      <c r="A6556" s="1544"/>
      <c r="B6556" s="876" t="s">
        <v>3198</v>
      </c>
      <c r="C6556" s="743">
        <v>23</v>
      </c>
      <c r="D6556" s="743"/>
      <c r="E6556" s="379">
        <v>0.45</v>
      </c>
      <c r="F6556" s="379"/>
      <c r="G6556" s="379"/>
      <c r="H6556" s="380">
        <f>E6556*C6556</f>
        <v>10.35</v>
      </c>
      <c r="I6556" s="1543"/>
      <c r="J6556" s="1543"/>
      <c r="K6556" s="1543"/>
      <c r="L6556" s="1543"/>
      <c r="M6556" s="1543"/>
      <c r="N6556" s="1543"/>
    </row>
    <row r="6557" spans="1:14">
      <c r="A6557" s="1544" t="s">
        <v>3428</v>
      </c>
      <c r="B6557" s="876" t="s">
        <v>3197</v>
      </c>
      <c r="C6557" s="743">
        <v>19</v>
      </c>
      <c r="D6557" s="743"/>
      <c r="E6557" s="379">
        <v>0.2</v>
      </c>
      <c r="F6557" s="379"/>
      <c r="G6557" s="379"/>
      <c r="H6557" s="380">
        <f>E6557*C6557</f>
        <v>3.8000000000000003</v>
      </c>
      <c r="I6557" s="1543"/>
      <c r="J6557" s="1543"/>
      <c r="K6557" s="1543"/>
      <c r="L6557" s="1543"/>
      <c r="M6557" s="1543"/>
      <c r="N6557" s="1543"/>
    </row>
    <row r="6558" spans="1:14">
      <c r="A6558" s="1544"/>
      <c r="B6558" s="876" t="s">
        <v>3198</v>
      </c>
      <c r="C6558" s="743">
        <v>23</v>
      </c>
      <c r="D6558" s="743"/>
      <c r="E6558" s="379">
        <v>0.55000000000000004</v>
      </c>
      <c r="F6558" s="379"/>
      <c r="G6558" s="379"/>
      <c r="H6558" s="380">
        <f>E6558*C6558</f>
        <v>12.65</v>
      </c>
      <c r="I6558" s="1543"/>
      <c r="J6558" s="1543"/>
      <c r="K6558" s="1543"/>
      <c r="L6558" s="1543"/>
      <c r="M6558" s="1543"/>
      <c r="N6558" s="1543"/>
    </row>
    <row r="6559" spans="1:14">
      <c r="A6559" s="1544" t="s">
        <v>3465</v>
      </c>
      <c r="B6559" s="876" t="s">
        <v>3197</v>
      </c>
      <c r="C6559" s="743">
        <v>19</v>
      </c>
      <c r="D6559" s="743"/>
      <c r="E6559" s="379">
        <v>0.8</v>
      </c>
      <c r="F6559" s="379"/>
      <c r="G6559" s="379"/>
      <c r="H6559" s="380">
        <f>E6559*C6559</f>
        <v>15.200000000000001</v>
      </c>
      <c r="I6559" s="1543"/>
      <c r="J6559" s="1543"/>
      <c r="K6559" s="1543"/>
      <c r="L6559" s="1543"/>
      <c r="M6559" s="1543"/>
      <c r="N6559" s="1543"/>
    </row>
    <row r="6560" spans="1:14" ht="28.15" customHeight="1">
      <c r="A6560" s="1544"/>
      <c r="B6560" s="876" t="s">
        <v>3198</v>
      </c>
      <c r="C6560" s="743">
        <v>23</v>
      </c>
      <c r="D6560" s="743"/>
      <c r="E6560" s="379"/>
      <c r="F6560" s="379"/>
      <c r="G6560" s="379"/>
      <c r="H6560" s="380">
        <f>E6560*C6560</f>
        <v>0</v>
      </c>
      <c r="I6560" s="1543"/>
      <c r="J6560" s="1543"/>
      <c r="K6560" s="1543"/>
      <c r="L6560" s="1543"/>
      <c r="M6560" s="1543"/>
      <c r="N6560" s="1543"/>
    </row>
    <row r="6561" spans="1:14">
      <c r="A6561" s="1538" t="s">
        <v>2218</v>
      </c>
      <c r="B6561" s="1538"/>
      <c r="C6561" s="1538"/>
      <c r="D6561" s="1538"/>
      <c r="E6561" s="1538"/>
      <c r="F6561" s="1538"/>
      <c r="G6561" s="1538"/>
      <c r="H6561" s="271">
        <f>SUM(H6555:H6560)</f>
        <v>42</v>
      </c>
      <c r="I6561" s="1543"/>
      <c r="J6561" s="1543"/>
      <c r="K6561" s="1543"/>
      <c r="L6561" s="1543"/>
      <c r="M6561" s="1543"/>
      <c r="N6561" s="1543"/>
    </row>
    <row r="6562" spans="1:14">
      <c r="A6562" s="1538" t="s">
        <v>2219</v>
      </c>
      <c r="B6562" s="1538"/>
      <c r="C6562" s="1538"/>
      <c r="D6562" s="1538"/>
      <c r="E6562" s="1538"/>
      <c r="F6562" s="1538"/>
      <c r="G6562" s="1538"/>
      <c r="H6562" s="271">
        <f>SUM(H6555:H6558)</f>
        <v>26.8</v>
      </c>
      <c r="I6562" s="1543"/>
      <c r="J6562" s="1543"/>
      <c r="K6562" s="1543"/>
      <c r="L6562" s="1543"/>
      <c r="M6562" s="1543"/>
      <c r="N6562" s="1543"/>
    </row>
    <row r="6563" spans="1:14">
      <c r="A6563" s="1538" t="s">
        <v>2220</v>
      </c>
      <c r="B6563" s="1538"/>
      <c r="C6563" s="1538"/>
      <c r="D6563" s="1538"/>
      <c r="E6563" s="1538"/>
      <c r="F6563" s="1538"/>
      <c r="G6563" s="1538"/>
      <c r="H6563" s="269">
        <f>H6561-H6562</f>
        <v>15.2</v>
      </c>
      <c r="I6563" s="1543"/>
      <c r="J6563" s="1543"/>
      <c r="K6563" s="1543"/>
      <c r="L6563" s="1543"/>
      <c r="M6563" s="1543"/>
      <c r="N6563" s="1543"/>
    </row>
    <row r="6564" spans="1:14">
      <c r="A6564" s="385"/>
      <c r="B6564" s="385"/>
      <c r="C6564" s="385"/>
      <c r="D6564" s="367"/>
      <c r="E6564" s="1366"/>
      <c r="F6564" s="385"/>
      <c r="G6564" s="385"/>
      <c r="H6564" s="269"/>
      <c r="I6564" s="940"/>
      <c r="J6564" s="940"/>
      <c r="K6564" s="940"/>
      <c r="L6564" s="940"/>
      <c r="M6564" s="940"/>
      <c r="N6564" s="940"/>
    </row>
    <row r="6565" spans="1:14">
      <c r="A6565" s="1124" t="s">
        <v>3423</v>
      </c>
      <c r="B6565" s="1539" t="s">
        <v>1677</v>
      </c>
      <c r="C6565" s="1539"/>
      <c r="D6565" s="1539"/>
      <c r="E6565" s="1539"/>
      <c r="F6565" s="1539"/>
      <c r="G6565" s="1539"/>
      <c r="H6565" s="1539"/>
      <c r="I6565" s="1539"/>
      <c r="J6565" s="1539"/>
      <c r="K6565" s="864" t="s">
        <v>3154</v>
      </c>
      <c r="L6565" s="1540">
        <f>'27ª MEDIÇÃO '!F482</f>
        <v>40</v>
      </c>
      <c r="M6565" s="1540"/>
      <c r="N6565" s="865">
        <f>L6565-H6572</f>
        <v>0</v>
      </c>
    </row>
    <row r="6566" spans="1:14">
      <c r="A6566" s="1541"/>
      <c r="B6566" s="1541"/>
      <c r="C6566" s="366"/>
      <c r="D6566" s="367" t="s">
        <v>2183</v>
      </c>
      <c r="E6566" s="1320" t="s">
        <v>2184</v>
      </c>
      <c r="F6566" s="367" t="s">
        <v>2185</v>
      </c>
      <c r="G6566" s="367" t="s">
        <v>2186</v>
      </c>
      <c r="H6566" s="1542" t="s">
        <v>476</v>
      </c>
      <c r="I6566" s="1543"/>
      <c r="J6566" s="1543"/>
      <c r="K6566" s="1543"/>
      <c r="L6566" s="1543"/>
      <c r="M6566" s="1543"/>
      <c r="N6566" s="1543"/>
    </row>
    <row r="6567" spans="1:14" ht="24">
      <c r="A6567" s="1541"/>
      <c r="B6567" s="1541"/>
      <c r="C6567" s="368" t="s">
        <v>2627</v>
      </c>
      <c r="D6567" s="369" t="s">
        <v>2187</v>
      </c>
      <c r="E6567" s="529" t="s">
        <v>3152</v>
      </c>
      <c r="F6567" s="369" t="s">
        <v>2649</v>
      </c>
      <c r="G6567" s="370" t="s">
        <v>2709</v>
      </c>
      <c r="H6567" s="1542"/>
      <c r="I6567" s="1543"/>
      <c r="J6567" s="1543"/>
      <c r="K6567" s="1543"/>
      <c r="L6567" s="1543"/>
      <c r="M6567" s="1543"/>
      <c r="N6567" s="1543"/>
    </row>
    <row r="6568" spans="1:14">
      <c r="A6568" s="1544" t="s">
        <v>3364</v>
      </c>
      <c r="B6568" s="876" t="s">
        <v>3197</v>
      </c>
      <c r="C6568" s="743">
        <v>40</v>
      </c>
      <c r="D6568" s="743"/>
      <c r="E6568" s="379">
        <v>0.15</v>
      </c>
      <c r="F6568" s="379"/>
      <c r="G6568" s="379"/>
      <c r="H6568" s="380">
        <f>E6568*C6568</f>
        <v>6</v>
      </c>
      <c r="I6568" s="1543"/>
      <c r="J6568" s="1543"/>
      <c r="K6568" s="1543"/>
      <c r="L6568" s="1543"/>
      <c r="M6568" s="1543"/>
      <c r="N6568" s="1543"/>
    </row>
    <row r="6569" spans="1:14">
      <c r="A6569" s="1544"/>
      <c r="B6569" s="876"/>
      <c r="C6569" s="743"/>
      <c r="D6569" s="743"/>
      <c r="E6569" s="379"/>
      <c r="F6569" s="379"/>
      <c r="G6569" s="379"/>
      <c r="H6569" s="380"/>
      <c r="I6569" s="1543"/>
      <c r="J6569" s="1543"/>
      <c r="K6569" s="1543"/>
      <c r="L6569" s="1543"/>
      <c r="M6569" s="1543"/>
      <c r="N6569" s="1543"/>
    </row>
    <row r="6570" spans="1:14">
      <c r="A6570" s="1544" t="s">
        <v>3521</v>
      </c>
      <c r="B6570" s="876" t="s">
        <v>3197</v>
      </c>
      <c r="C6570" s="743">
        <v>40</v>
      </c>
      <c r="D6570" s="743"/>
      <c r="E6570" s="379">
        <v>0.85</v>
      </c>
      <c r="F6570" s="379"/>
      <c r="G6570" s="379"/>
      <c r="H6570" s="380">
        <f>E6570*C6570</f>
        <v>34</v>
      </c>
      <c r="I6570" s="1543"/>
      <c r="J6570" s="1543"/>
      <c r="K6570" s="1543"/>
      <c r="L6570" s="1543"/>
      <c r="M6570" s="1543"/>
      <c r="N6570" s="1543"/>
    </row>
    <row r="6571" spans="1:14" ht="28.15" customHeight="1">
      <c r="A6571" s="1544"/>
      <c r="B6571" s="876"/>
      <c r="C6571" s="743"/>
      <c r="D6571" s="743"/>
      <c r="E6571" s="379"/>
      <c r="F6571" s="379"/>
      <c r="G6571" s="379"/>
      <c r="H6571" s="380"/>
      <c r="I6571" s="1543"/>
      <c r="J6571" s="1543"/>
      <c r="K6571" s="1543"/>
      <c r="L6571" s="1543"/>
      <c r="M6571" s="1543"/>
      <c r="N6571" s="1543"/>
    </row>
    <row r="6572" spans="1:14">
      <c r="A6572" s="1538" t="s">
        <v>2218</v>
      </c>
      <c r="B6572" s="1538"/>
      <c r="C6572" s="1538"/>
      <c r="D6572" s="1538"/>
      <c r="E6572" s="1538"/>
      <c r="F6572" s="1538"/>
      <c r="G6572" s="1538"/>
      <c r="H6572" s="271">
        <f>SUM(H6568:H6571)</f>
        <v>40</v>
      </c>
      <c r="I6572" s="1543"/>
      <c r="J6572" s="1543"/>
      <c r="K6572" s="1543"/>
      <c r="L6572" s="1543"/>
      <c r="M6572" s="1543"/>
      <c r="N6572" s="1543"/>
    </row>
    <row r="6573" spans="1:14">
      <c r="A6573" s="1538" t="s">
        <v>2219</v>
      </c>
      <c r="B6573" s="1538"/>
      <c r="C6573" s="1538"/>
      <c r="D6573" s="1538"/>
      <c r="E6573" s="1538"/>
      <c r="F6573" s="1538"/>
      <c r="G6573" s="1538"/>
      <c r="H6573" s="271">
        <f>SUM(H6568:H6569)</f>
        <v>6</v>
      </c>
      <c r="I6573" s="1543"/>
      <c r="J6573" s="1543"/>
      <c r="K6573" s="1543"/>
      <c r="L6573" s="1543"/>
      <c r="M6573" s="1543"/>
      <c r="N6573" s="1543"/>
    </row>
    <row r="6574" spans="1:14">
      <c r="A6574" s="1538" t="s">
        <v>2220</v>
      </c>
      <c r="B6574" s="1538"/>
      <c r="C6574" s="1538"/>
      <c r="D6574" s="1538"/>
      <c r="E6574" s="1538"/>
      <c r="F6574" s="1538"/>
      <c r="G6574" s="1538"/>
      <c r="H6574" s="269">
        <f>H6572-H6573</f>
        <v>34</v>
      </c>
      <c r="I6574" s="1543"/>
      <c r="J6574" s="1543"/>
      <c r="K6574" s="1543"/>
      <c r="L6574" s="1543"/>
      <c r="M6574" s="1543"/>
      <c r="N6574" s="1543"/>
    </row>
    <row r="6575" spans="1:14">
      <c r="A6575" s="385"/>
      <c r="B6575" s="385"/>
      <c r="C6575" s="385"/>
      <c r="D6575" s="367"/>
      <c r="E6575" s="1366"/>
      <c r="F6575" s="385"/>
      <c r="G6575" s="385"/>
      <c r="H6575" s="269"/>
      <c r="I6575" s="940"/>
      <c r="J6575" s="940"/>
      <c r="K6575" s="940"/>
      <c r="L6575" s="940"/>
      <c r="M6575" s="940"/>
      <c r="N6575" s="940"/>
    </row>
    <row r="6576" spans="1:14">
      <c r="A6576" s="1124" t="s">
        <v>3422</v>
      </c>
      <c r="B6576" s="1539" t="s">
        <v>1346</v>
      </c>
      <c r="C6576" s="1539"/>
      <c r="D6576" s="1539"/>
      <c r="E6576" s="1539"/>
      <c r="F6576" s="1539"/>
      <c r="G6576" s="1539"/>
      <c r="H6576" s="1539"/>
      <c r="I6576" s="1539"/>
      <c r="J6576" s="1539"/>
      <c r="K6576" s="864" t="s">
        <v>3154</v>
      </c>
      <c r="L6576" s="1540">
        <f>'27ª MEDIÇÃO '!F483</f>
        <v>66</v>
      </c>
      <c r="M6576" s="1540"/>
      <c r="N6576" s="865">
        <f>L6576-H6587</f>
        <v>0</v>
      </c>
    </row>
    <row r="6577" spans="1:14">
      <c r="A6577" s="1541"/>
      <c r="B6577" s="1541"/>
      <c r="C6577" s="366"/>
      <c r="D6577" s="367" t="s">
        <v>2183</v>
      </c>
      <c r="E6577" s="1320" t="s">
        <v>2184</v>
      </c>
      <c r="F6577" s="367" t="s">
        <v>2185</v>
      </c>
      <c r="G6577" s="367" t="s">
        <v>2186</v>
      </c>
      <c r="H6577" s="1542" t="s">
        <v>476</v>
      </c>
      <c r="I6577" s="1543"/>
      <c r="J6577" s="1543"/>
      <c r="K6577" s="1543"/>
      <c r="L6577" s="1543"/>
      <c r="M6577" s="1543"/>
      <c r="N6577" s="1543"/>
    </row>
    <row r="6578" spans="1:14" ht="24">
      <c r="A6578" s="1541"/>
      <c r="B6578" s="1541"/>
      <c r="C6578" s="368" t="s">
        <v>2627</v>
      </c>
      <c r="D6578" s="369" t="s">
        <v>2187</v>
      </c>
      <c r="E6578" s="529" t="s">
        <v>3152</v>
      </c>
      <c r="F6578" s="369" t="s">
        <v>2649</v>
      </c>
      <c r="G6578" s="370" t="s">
        <v>2709</v>
      </c>
      <c r="H6578" s="1542"/>
      <c r="I6578" s="1543"/>
      <c r="J6578" s="1543"/>
      <c r="K6578" s="1543"/>
      <c r="L6578" s="1543"/>
      <c r="M6578" s="1543"/>
      <c r="N6578" s="1543"/>
    </row>
    <row r="6579" spans="1:14">
      <c r="A6579" s="1544" t="s">
        <v>3364</v>
      </c>
      <c r="B6579" s="876" t="s">
        <v>3199</v>
      </c>
      <c r="C6579" s="743">
        <v>40</v>
      </c>
      <c r="D6579" s="743"/>
      <c r="E6579" s="1367"/>
      <c r="F6579" s="743"/>
      <c r="G6579" s="743"/>
      <c r="H6579" s="1029"/>
      <c r="I6579" s="1543"/>
      <c r="J6579" s="1543"/>
      <c r="K6579" s="1543"/>
      <c r="L6579" s="1543"/>
      <c r="M6579" s="1543"/>
      <c r="N6579" s="1543"/>
    </row>
    <row r="6580" spans="1:14" ht="28.15" customHeight="1">
      <c r="A6580" s="1544"/>
      <c r="B6580" s="1031" t="s">
        <v>3198</v>
      </c>
      <c r="C6580" s="1021">
        <v>26</v>
      </c>
      <c r="D6580" s="1021"/>
      <c r="E6580" s="1368">
        <v>0.45</v>
      </c>
      <c r="F6580" s="1021"/>
      <c r="G6580" s="1021"/>
      <c r="H6580" s="1032">
        <f>E6580*C6580</f>
        <v>11.700000000000001</v>
      </c>
      <c r="I6580" s="1543"/>
      <c r="J6580" s="1543"/>
      <c r="K6580" s="1543"/>
      <c r="L6580" s="1543"/>
      <c r="M6580" s="1543"/>
      <c r="N6580" s="1543"/>
    </row>
    <row r="6581" spans="1:14">
      <c r="A6581" s="1544" t="s">
        <v>3428</v>
      </c>
      <c r="B6581" s="801" t="s">
        <v>3199</v>
      </c>
      <c r="C6581" s="317">
        <v>40</v>
      </c>
      <c r="D6581" s="317"/>
      <c r="E6581" s="1315"/>
      <c r="F6581" s="317"/>
      <c r="G6581" s="317"/>
      <c r="H6581" s="1030"/>
      <c r="I6581" s="1543"/>
      <c r="J6581" s="1543"/>
      <c r="K6581" s="1543"/>
      <c r="L6581" s="1543"/>
      <c r="M6581" s="1543"/>
      <c r="N6581" s="1543"/>
    </row>
    <row r="6582" spans="1:14">
      <c r="A6582" s="1544"/>
      <c r="B6582" s="1031" t="s">
        <v>3198</v>
      </c>
      <c r="C6582" s="1021">
        <v>26</v>
      </c>
      <c r="D6582" s="1021"/>
      <c r="E6582" s="1368">
        <v>0.55000000000000004</v>
      </c>
      <c r="F6582" s="1021"/>
      <c r="G6582" s="1021"/>
      <c r="H6582" s="1032">
        <f>E6582*C6582</f>
        <v>14.3</v>
      </c>
      <c r="I6582" s="1543"/>
      <c r="J6582" s="1543"/>
      <c r="K6582" s="1543"/>
      <c r="L6582" s="1543"/>
      <c r="M6582" s="1543"/>
      <c r="N6582" s="1543"/>
    </row>
    <row r="6583" spans="1:14">
      <c r="A6583" s="1544" t="s">
        <v>3521</v>
      </c>
      <c r="B6583" s="801" t="s">
        <v>3199</v>
      </c>
      <c r="C6583" s="317">
        <v>40</v>
      </c>
      <c r="D6583" s="317"/>
      <c r="E6583" s="1315">
        <v>0.6</v>
      </c>
      <c r="F6583" s="317"/>
      <c r="G6583" s="317"/>
      <c r="H6583" s="1030">
        <f>E6583*C6583</f>
        <v>24</v>
      </c>
      <c r="I6583" s="1543"/>
      <c r="J6583" s="1543"/>
      <c r="K6583" s="1543"/>
      <c r="L6583" s="1543"/>
      <c r="M6583" s="1543"/>
      <c r="N6583" s="1543"/>
    </row>
    <row r="6584" spans="1:14">
      <c r="A6584" s="1544"/>
      <c r="B6584" s="1031" t="s">
        <v>3198</v>
      </c>
      <c r="C6584" s="1021">
        <v>26</v>
      </c>
      <c r="D6584" s="1021"/>
      <c r="E6584" s="1368"/>
      <c r="F6584" s="1021"/>
      <c r="G6584" s="1021"/>
      <c r="H6584" s="1032"/>
      <c r="I6584" s="1543"/>
      <c r="J6584" s="1543"/>
      <c r="K6584" s="1543"/>
      <c r="L6584" s="1543"/>
      <c r="M6584" s="1543"/>
      <c r="N6584" s="1543"/>
    </row>
    <row r="6585" spans="1:14">
      <c r="A6585" s="1544" t="s">
        <v>3569</v>
      </c>
      <c r="B6585" s="801" t="s">
        <v>3199</v>
      </c>
      <c r="C6585" s="317">
        <v>40</v>
      </c>
      <c r="D6585" s="317"/>
      <c r="E6585" s="1315">
        <v>0.4</v>
      </c>
      <c r="F6585" s="317"/>
      <c r="G6585" s="317"/>
      <c r="H6585" s="1030">
        <f>E6585*C6585</f>
        <v>16</v>
      </c>
      <c r="I6585" s="1543"/>
      <c r="J6585" s="1543"/>
      <c r="K6585" s="1543"/>
      <c r="L6585" s="1543"/>
      <c r="M6585" s="1543"/>
      <c r="N6585" s="1543"/>
    </row>
    <row r="6586" spans="1:14">
      <c r="A6586" s="1544"/>
      <c r="B6586" s="876" t="s">
        <v>3198</v>
      </c>
      <c r="C6586" s="743">
        <v>26</v>
      </c>
      <c r="D6586" s="743"/>
      <c r="E6586" s="1367"/>
      <c r="F6586" s="743"/>
      <c r="G6586" s="743"/>
      <c r="H6586" s="1029"/>
      <c r="I6586" s="1543"/>
      <c r="J6586" s="1543"/>
      <c r="K6586" s="1543"/>
      <c r="L6586" s="1543"/>
      <c r="M6586" s="1543"/>
      <c r="N6586" s="1543"/>
    </row>
    <row r="6587" spans="1:14">
      <c r="A6587" s="1538" t="s">
        <v>2218</v>
      </c>
      <c r="B6587" s="1538"/>
      <c r="C6587" s="1538"/>
      <c r="D6587" s="1538"/>
      <c r="E6587" s="1538"/>
      <c r="F6587" s="1538"/>
      <c r="G6587" s="1538"/>
      <c r="H6587" s="271">
        <f>SUM(H6579:H6586)</f>
        <v>66</v>
      </c>
      <c r="I6587" s="1543"/>
      <c r="J6587" s="1543"/>
      <c r="K6587" s="1543"/>
      <c r="L6587" s="1543"/>
      <c r="M6587" s="1543"/>
      <c r="N6587" s="1543"/>
    </row>
    <row r="6588" spans="1:14">
      <c r="A6588" s="1538" t="s">
        <v>2219</v>
      </c>
      <c r="B6588" s="1538"/>
      <c r="C6588" s="1538"/>
      <c r="D6588" s="1538"/>
      <c r="E6588" s="1538"/>
      <c r="F6588" s="1538"/>
      <c r="G6588" s="1538"/>
      <c r="H6588" s="271">
        <f>SUM(H6579:H6584)</f>
        <v>50</v>
      </c>
      <c r="I6588" s="1543"/>
      <c r="J6588" s="1543"/>
      <c r="K6588" s="1543"/>
      <c r="L6588" s="1543"/>
      <c r="M6588" s="1543"/>
      <c r="N6588" s="1543"/>
    </row>
    <row r="6589" spans="1:14" ht="28.15" customHeight="1">
      <c r="A6589" s="1538" t="s">
        <v>2220</v>
      </c>
      <c r="B6589" s="1538"/>
      <c r="C6589" s="1538"/>
      <c r="D6589" s="1538"/>
      <c r="E6589" s="1538"/>
      <c r="F6589" s="1538"/>
      <c r="G6589" s="1538"/>
      <c r="H6589" s="269">
        <f>H6587-H6588</f>
        <v>16</v>
      </c>
      <c r="I6589" s="1543"/>
      <c r="J6589" s="1543"/>
      <c r="K6589" s="1543"/>
      <c r="L6589" s="1543"/>
      <c r="M6589" s="1543"/>
      <c r="N6589" s="1543"/>
    </row>
    <row r="6590" spans="1:14">
      <c r="A6590" s="385"/>
      <c r="B6590" s="385"/>
      <c r="C6590" s="385"/>
      <c r="D6590" s="367"/>
      <c r="E6590" s="1366"/>
      <c r="F6590" s="385"/>
      <c r="G6590" s="385"/>
      <c r="H6590" s="269"/>
      <c r="I6590" s="940"/>
      <c r="J6590" s="940"/>
      <c r="K6590" s="940"/>
      <c r="L6590" s="940"/>
      <c r="M6590" s="940"/>
      <c r="N6590" s="940"/>
    </row>
    <row r="6591" spans="1:14">
      <c r="A6591" s="1124" t="s">
        <v>3421</v>
      </c>
      <c r="B6591" s="1539" t="s">
        <v>1367</v>
      </c>
      <c r="C6591" s="1539"/>
      <c r="D6591" s="1539"/>
      <c r="E6591" s="1539"/>
      <c r="F6591" s="1539"/>
      <c r="G6591" s="1539"/>
      <c r="H6591" s="1539"/>
      <c r="I6591" s="1539"/>
      <c r="J6591" s="1539"/>
      <c r="K6591" s="864" t="s">
        <v>3154</v>
      </c>
      <c r="L6591" s="1540">
        <f>'27ª MEDIÇÃO '!F485</f>
        <v>35</v>
      </c>
      <c r="M6591" s="1540"/>
      <c r="N6591" s="865">
        <f>L6591-H6600</f>
        <v>0</v>
      </c>
    </row>
    <row r="6592" spans="1:14">
      <c r="A6592" s="1541"/>
      <c r="B6592" s="1541"/>
      <c r="C6592" s="366"/>
      <c r="D6592" s="367" t="s">
        <v>2183</v>
      </c>
      <c r="E6592" s="1320" t="s">
        <v>2184</v>
      </c>
      <c r="F6592" s="367" t="s">
        <v>2185</v>
      </c>
      <c r="G6592" s="367" t="s">
        <v>2186</v>
      </c>
      <c r="H6592" s="1542" t="s">
        <v>476</v>
      </c>
      <c r="I6592" s="1543"/>
      <c r="J6592" s="1543"/>
      <c r="K6592" s="1543"/>
      <c r="L6592" s="1543"/>
      <c r="M6592" s="1543"/>
      <c r="N6592" s="1543"/>
    </row>
    <row r="6593" spans="1:14" ht="24">
      <c r="A6593" s="1541"/>
      <c r="B6593" s="1541"/>
      <c r="C6593" s="368" t="s">
        <v>2627</v>
      </c>
      <c r="D6593" s="369" t="s">
        <v>2187</v>
      </c>
      <c r="E6593" s="529" t="s">
        <v>3152</v>
      </c>
      <c r="F6593" s="369" t="s">
        <v>2649</v>
      </c>
      <c r="G6593" s="370" t="s">
        <v>2709</v>
      </c>
      <c r="H6593" s="1542"/>
      <c r="I6593" s="1543"/>
      <c r="J6593" s="1543"/>
      <c r="K6593" s="1543"/>
      <c r="L6593" s="1543"/>
      <c r="M6593" s="1543"/>
      <c r="N6593" s="1543"/>
    </row>
    <row r="6594" spans="1:14">
      <c r="A6594" s="1544" t="s">
        <v>3364</v>
      </c>
      <c r="B6594" s="876" t="s">
        <v>3197</v>
      </c>
      <c r="C6594" s="743">
        <v>29</v>
      </c>
      <c r="D6594" s="743"/>
      <c r="E6594" s="379">
        <v>0.6</v>
      </c>
      <c r="F6594" s="379"/>
      <c r="G6594" s="379"/>
      <c r="H6594" s="380">
        <v>18</v>
      </c>
      <c r="I6594" s="1543"/>
      <c r="J6594" s="1543"/>
      <c r="K6594" s="1543"/>
      <c r="L6594" s="1543"/>
      <c r="M6594" s="1543"/>
      <c r="N6594" s="1543"/>
    </row>
    <row r="6595" spans="1:14">
      <c r="A6595" s="1544"/>
      <c r="B6595" s="876" t="s">
        <v>3198</v>
      </c>
      <c r="C6595" s="743">
        <v>6</v>
      </c>
      <c r="D6595" s="743"/>
      <c r="E6595" s="379">
        <v>0.6</v>
      </c>
      <c r="F6595" s="379"/>
      <c r="G6595" s="379"/>
      <c r="H6595" s="380">
        <v>4</v>
      </c>
      <c r="I6595" s="1543"/>
      <c r="J6595" s="1543"/>
      <c r="K6595" s="1543"/>
      <c r="L6595" s="1543"/>
      <c r="M6595" s="1543"/>
      <c r="N6595" s="1543"/>
    </row>
    <row r="6596" spans="1:14">
      <c r="A6596" s="1544" t="s">
        <v>3428</v>
      </c>
      <c r="B6596" s="876" t="s">
        <v>3197</v>
      </c>
      <c r="C6596" s="743">
        <v>29</v>
      </c>
      <c r="D6596" s="743"/>
      <c r="E6596" s="379">
        <v>0.2</v>
      </c>
      <c r="F6596" s="379"/>
      <c r="G6596" s="379"/>
      <c r="H6596" s="380">
        <v>6</v>
      </c>
      <c r="I6596" s="1543"/>
      <c r="J6596" s="1543"/>
      <c r="K6596" s="1543"/>
      <c r="L6596" s="1543"/>
      <c r="M6596" s="1543"/>
      <c r="N6596" s="1543"/>
    </row>
    <row r="6597" spans="1:14">
      <c r="A6597" s="1544"/>
      <c r="B6597" s="876" t="s">
        <v>3198</v>
      </c>
      <c r="C6597" s="743">
        <v>6</v>
      </c>
      <c r="D6597" s="743"/>
      <c r="E6597" s="379">
        <v>0.4</v>
      </c>
      <c r="F6597" s="379"/>
      <c r="G6597" s="379"/>
      <c r="H6597" s="380">
        <v>2</v>
      </c>
      <c r="I6597" s="1543"/>
      <c r="J6597" s="1543"/>
      <c r="K6597" s="1543"/>
      <c r="L6597" s="1543"/>
      <c r="M6597" s="1543"/>
      <c r="N6597" s="1543"/>
    </row>
    <row r="6598" spans="1:14" ht="28.15" customHeight="1">
      <c r="A6598" s="1544" t="s">
        <v>3465</v>
      </c>
      <c r="B6598" s="876" t="s">
        <v>3197</v>
      </c>
      <c r="C6598" s="743">
        <v>29</v>
      </c>
      <c r="D6598" s="743"/>
      <c r="E6598" s="379">
        <v>0.2</v>
      </c>
      <c r="F6598" s="379"/>
      <c r="G6598" s="379"/>
      <c r="H6598" s="380">
        <v>5</v>
      </c>
      <c r="I6598" s="1543"/>
      <c r="J6598" s="1543"/>
      <c r="K6598" s="1543"/>
      <c r="L6598" s="1543"/>
      <c r="M6598" s="1543"/>
      <c r="N6598" s="1543"/>
    </row>
    <row r="6599" spans="1:14">
      <c r="A6599" s="1544"/>
      <c r="B6599" s="876" t="s">
        <v>3198</v>
      </c>
      <c r="C6599" s="743">
        <v>6</v>
      </c>
      <c r="D6599" s="743"/>
      <c r="E6599" s="379"/>
      <c r="F6599" s="379"/>
      <c r="G6599" s="379"/>
      <c r="H6599" s="380"/>
      <c r="I6599" s="1543"/>
      <c r="J6599" s="1543"/>
      <c r="K6599" s="1543"/>
      <c r="L6599" s="1543"/>
      <c r="M6599" s="1543"/>
      <c r="N6599" s="1543"/>
    </row>
    <row r="6600" spans="1:14">
      <c r="A6600" s="1538" t="s">
        <v>2218</v>
      </c>
      <c r="B6600" s="1538"/>
      <c r="C6600" s="1538"/>
      <c r="D6600" s="1538"/>
      <c r="E6600" s="1538"/>
      <c r="F6600" s="1538"/>
      <c r="G6600" s="1538"/>
      <c r="H6600" s="271">
        <f>SUM(H6594:H6599)</f>
        <v>35</v>
      </c>
      <c r="I6600" s="1543"/>
      <c r="J6600" s="1543"/>
      <c r="K6600" s="1543"/>
      <c r="L6600" s="1543"/>
      <c r="M6600" s="1543"/>
      <c r="N6600" s="1543"/>
    </row>
    <row r="6601" spans="1:14">
      <c r="A6601" s="1538" t="s">
        <v>2219</v>
      </c>
      <c r="B6601" s="1538"/>
      <c r="C6601" s="1538"/>
      <c r="D6601" s="1538"/>
      <c r="E6601" s="1538"/>
      <c r="F6601" s="1538"/>
      <c r="G6601" s="1538"/>
      <c r="H6601" s="271">
        <f>SUM(H6594:H6597)</f>
        <v>30</v>
      </c>
      <c r="I6601" s="1543"/>
      <c r="J6601" s="1543"/>
      <c r="K6601" s="1543"/>
      <c r="L6601" s="1543"/>
      <c r="M6601" s="1543"/>
      <c r="N6601" s="1543"/>
    </row>
    <row r="6602" spans="1:14">
      <c r="A6602" s="1538" t="s">
        <v>2220</v>
      </c>
      <c r="B6602" s="1538"/>
      <c r="C6602" s="1538"/>
      <c r="D6602" s="1538"/>
      <c r="E6602" s="1538"/>
      <c r="F6602" s="1538"/>
      <c r="G6602" s="1538"/>
      <c r="H6602" s="269">
        <f>H6600-H6601</f>
        <v>5</v>
      </c>
      <c r="I6602" s="1543"/>
      <c r="J6602" s="1543"/>
      <c r="K6602" s="1543"/>
      <c r="L6602" s="1543"/>
      <c r="M6602" s="1543"/>
      <c r="N6602" s="1543"/>
    </row>
    <row r="6603" spans="1:14">
      <c r="A6603" s="385"/>
      <c r="B6603" s="385"/>
      <c r="C6603" s="385"/>
      <c r="D6603" s="367"/>
      <c r="E6603" s="1366"/>
      <c r="F6603" s="385"/>
      <c r="G6603" s="385"/>
      <c r="H6603" s="269"/>
      <c r="I6603" s="940"/>
      <c r="J6603" s="940"/>
      <c r="K6603" s="940"/>
      <c r="L6603" s="940"/>
      <c r="M6603" s="940"/>
      <c r="N6603" s="940"/>
    </row>
    <row r="6604" spans="1:14">
      <c r="A6604" s="1124" t="s">
        <v>3536</v>
      </c>
      <c r="B6604" s="1539" t="s">
        <v>1391</v>
      </c>
      <c r="C6604" s="1539"/>
      <c r="D6604" s="1539"/>
      <c r="E6604" s="1539"/>
      <c r="F6604" s="1539"/>
      <c r="G6604" s="1539"/>
      <c r="H6604" s="1539"/>
      <c r="I6604" s="1539"/>
      <c r="J6604" s="1539"/>
      <c r="K6604" s="864" t="s">
        <v>3154</v>
      </c>
      <c r="L6604" s="1540">
        <f>'27ª MEDIÇÃO '!F486</f>
        <v>10</v>
      </c>
      <c r="M6604" s="1540"/>
      <c r="N6604" s="865">
        <f>L6604-H6611</f>
        <v>0</v>
      </c>
    </row>
    <row r="6605" spans="1:14">
      <c r="A6605" s="1541"/>
      <c r="B6605" s="1541"/>
      <c r="C6605" s="366"/>
      <c r="D6605" s="367" t="s">
        <v>2183</v>
      </c>
      <c r="E6605" s="1320" t="s">
        <v>2184</v>
      </c>
      <c r="F6605" s="367" t="s">
        <v>2185</v>
      </c>
      <c r="G6605" s="367" t="s">
        <v>2186</v>
      </c>
      <c r="H6605" s="1542" t="s">
        <v>476</v>
      </c>
      <c r="I6605" s="1543"/>
      <c r="J6605" s="1543"/>
      <c r="K6605" s="1543"/>
      <c r="L6605" s="1543"/>
      <c r="M6605" s="1543"/>
      <c r="N6605" s="1543"/>
    </row>
    <row r="6606" spans="1:14" ht="24">
      <c r="A6606" s="1541"/>
      <c r="B6606" s="1541"/>
      <c r="C6606" s="368" t="s">
        <v>2627</v>
      </c>
      <c r="D6606" s="369" t="s">
        <v>2187</v>
      </c>
      <c r="E6606" s="529" t="s">
        <v>3152</v>
      </c>
      <c r="F6606" s="369" t="s">
        <v>2649</v>
      </c>
      <c r="G6606" s="370" t="s">
        <v>2709</v>
      </c>
      <c r="H6606" s="1542"/>
      <c r="I6606" s="1543"/>
      <c r="J6606" s="1543"/>
      <c r="K6606" s="1543"/>
      <c r="L6606" s="1543"/>
      <c r="M6606" s="1543"/>
      <c r="N6606" s="1543"/>
    </row>
    <row r="6607" spans="1:14">
      <c r="A6607" s="1544" t="s">
        <v>3521</v>
      </c>
      <c r="B6607" s="876"/>
      <c r="C6607" s="743"/>
      <c r="D6607" s="743"/>
      <c r="E6607" s="379"/>
      <c r="F6607" s="379"/>
      <c r="G6607" s="379"/>
      <c r="H6607" s="380"/>
      <c r="I6607" s="1543"/>
      <c r="J6607" s="1543"/>
      <c r="K6607" s="1543"/>
      <c r="L6607" s="1543"/>
      <c r="M6607" s="1543"/>
      <c r="N6607" s="1543"/>
    </row>
    <row r="6608" spans="1:14">
      <c r="A6608" s="1544"/>
      <c r="B6608" s="876" t="s">
        <v>3198</v>
      </c>
      <c r="C6608" s="743">
        <v>10</v>
      </c>
      <c r="D6608" s="743"/>
      <c r="E6608" s="379">
        <v>0.6</v>
      </c>
      <c r="F6608" s="379"/>
      <c r="G6608" s="379"/>
      <c r="H6608" s="380">
        <f>C6608*E6608</f>
        <v>6</v>
      </c>
      <c r="I6608" s="1543"/>
      <c r="J6608" s="1543"/>
      <c r="K6608" s="1543"/>
      <c r="L6608" s="1543"/>
      <c r="M6608" s="1543"/>
      <c r="N6608" s="1543"/>
    </row>
    <row r="6609" spans="1:14" ht="21.6" customHeight="1">
      <c r="A6609" s="1544" t="s">
        <v>3569</v>
      </c>
      <c r="B6609" s="876"/>
      <c r="C6609" s="743"/>
      <c r="D6609" s="743"/>
      <c r="E6609" s="379"/>
      <c r="F6609" s="379"/>
      <c r="G6609" s="379"/>
      <c r="H6609" s="380"/>
      <c r="I6609" s="1543"/>
      <c r="J6609" s="1543"/>
      <c r="K6609" s="1543"/>
      <c r="L6609" s="1543"/>
      <c r="M6609" s="1543"/>
      <c r="N6609" s="1543"/>
    </row>
    <row r="6610" spans="1:14" ht="28.15" customHeight="1">
      <c r="A6610" s="1544"/>
      <c r="B6610" s="876" t="s">
        <v>3198</v>
      </c>
      <c r="C6610" s="743">
        <v>10</v>
      </c>
      <c r="D6610" s="743"/>
      <c r="E6610" s="379">
        <v>0.4</v>
      </c>
      <c r="F6610" s="379"/>
      <c r="G6610" s="379"/>
      <c r="H6610" s="380">
        <f>C6610*E6610</f>
        <v>4</v>
      </c>
      <c r="I6610" s="1543"/>
      <c r="J6610" s="1543"/>
      <c r="K6610" s="1543"/>
      <c r="L6610" s="1543"/>
      <c r="M6610" s="1543"/>
      <c r="N6610" s="1543"/>
    </row>
    <row r="6611" spans="1:14">
      <c r="A6611" s="1538" t="s">
        <v>2218</v>
      </c>
      <c r="B6611" s="1538"/>
      <c r="C6611" s="1538"/>
      <c r="D6611" s="1538"/>
      <c r="E6611" s="1538"/>
      <c r="F6611" s="1538"/>
      <c r="G6611" s="1538"/>
      <c r="H6611" s="271">
        <f>SUM(H6607:H6610)</f>
        <v>10</v>
      </c>
      <c r="I6611" s="1543"/>
      <c r="J6611" s="1543"/>
      <c r="K6611" s="1543"/>
      <c r="L6611" s="1543"/>
      <c r="M6611" s="1543"/>
      <c r="N6611" s="1543"/>
    </row>
    <row r="6612" spans="1:14">
      <c r="A6612" s="1538" t="s">
        <v>2219</v>
      </c>
      <c r="B6612" s="1538"/>
      <c r="C6612" s="1538"/>
      <c r="D6612" s="1538"/>
      <c r="E6612" s="1538"/>
      <c r="F6612" s="1538"/>
      <c r="G6612" s="1538"/>
      <c r="H6612" s="271">
        <f>SUM(H6607:H6608)</f>
        <v>6</v>
      </c>
      <c r="I6612" s="1543"/>
      <c r="J6612" s="1543"/>
      <c r="K6612" s="1543"/>
      <c r="L6612" s="1543"/>
      <c r="M6612" s="1543"/>
      <c r="N6612" s="1543"/>
    </row>
    <row r="6613" spans="1:14">
      <c r="A6613" s="1538" t="s">
        <v>2220</v>
      </c>
      <c r="B6613" s="1538"/>
      <c r="C6613" s="1538"/>
      <c r="D6613" s="1538"/>
      <c r="E6613" s="1538"/>
      <c r="F6613" s="1538"/>
      <c r="G6613" s="1538"/>
      <c r="H6613" s="269">
        <f>H6611-H6612</f>
        <v>4</v>
      </c>
      <c r="I6613" s="1543"/>
      <c r="J6613" s="1543"/>
      <c r="K6613" s="1543"/>
      <c r="L6613" s="1543"/>
      <c r="M6613" s="1543"/>
      <c r="N6613" s="1543"/>
    </row>
    <row r="6614" spans="1:14">
      <c r="A6614" s="385"/>
      <c r="B6614" s="385"/>
      <c r="C6614" s="385"/>
      <c r="D6614" s="367"/>
      <c r="E6614" s="1366"/>
      <c r="F6614" s="385"/>
      <c r="G6614" s="385"/>
      <c r="H6614" s="269"/>
      <c r="I6614" s="940"/>
      <c r="J6614" s="940"/>
      <c r="K6614" s="940"/>
      <c r="L6614" s="940"/>
      <c r="M6614" s="940"/>
      <c r="N6614" s="940"/>
    </row>
    <row r="6615" spans="1:14">
      <c r="A6615" s="1124" t="s">
        <v>3200</v>
      </c>
      <c r="B6615" s="1539" t="s">
        <v>1686</v>
      </c>
      <c r="C6615" s="1539"/>
      <c r="D6615" s="1539"/>
      <c r="E6615" s="1539"/>
      <c r="F6615" s="1539"/>
      <c r="G6615" s="1539"/>
      <c r="H6615" s="1539"/>
      <c r="I6615" s="1539"/>
      <c r="J6615" s="1539"/>
      <c r="K6615" s="864" t="s">
        <v>3154</v>
      </c>
      <c r="L6615" s="1540">
        <v>114</v>
      </c>
      <c r="M6615" s="1540"/>
      <c r="N6615" s="865">
        <f>L6615-H6622</f>
        <v>0</v>
      </c>
    </row>
    <row r="6616" spans="1:14">
      <c r="A6616" s="1541"/>
      <c r="B6616" s="1541"/>
      <c r="C6616" s="366"/>
      <c r="D6616" s="367" t="s">
        <v>2183</v>
      </c>
      <c r="E6616" s="1320" t="s">
        <v>2184</v>
      </c>
      <c r="F6616" s="367" t="s">
        <v>2185</v>
      </c>
      <c r="G6616" s="367" t="s">
        <v>2186</v>
      </c>
      <c r="H6616" s="1542" t="s">
        <v>476</v>
      </c>
      <c r="I6616" s="1543"/>
      <c r="J6616" s="1543"/>
      <c r="K6616" s="1543"/>
      <c r="L6616" s="1543"/>
      <c r="M6616" s="1543"/>
      <c r="N6616" s="1543"/>
    </row>
    <row r="6617" spans="1:14" ht="24">
      <c r="A6617" s="1541"/>
      <c r="B6617" s="1541"/>
      <c r="C6617" s="368" t="s">
        <v>2627</v>
      </c>
      <c r="D6617" s="369" t="s">
        <v>2187</v>
      </c>
      <c r="E6617" s="529" t="s">
        <v>3152</v>
      </c>
      <c r="F6617" s="369" t="s">
        <v>2649</v>
      </c>
      <c r="G6617" s="370" t="s">
        <v>2709</v>
      </c>
      <c r="H6617" s="1542"/>
      <c r="I6617" s="1543"/>
      <c r="J6617" s="1543"/>
      <c r="K6617" s="1543"/>
      <c r="L6617" s="1543"/>
      <c r="M6617" s="1543"/>
      <c r="N6617" s="1543"/>
    </row>
    <row r="6618" spans="1:14">
      <c r="A6618" s="1544" t="s">
        <v>3158</v>
      </c>
      <c r="B6618" s="876" t="s">
        <v>3197</v>
      </c>
      <c r="C6618" s="743">
        <v>88</v>
      </c>
      <c r="D6618" s="743"/>
      <c r="E6618" s="379">
        <v>0.8</v>
      </c>
      <c r="F6618" s="379"/>
      <c r="G6618" s="379"/>
      <c r="H6618" s="380">
        <f>C6618*E6618</f>
        <v>70.400000000000006</v>
      </c>
      <c r="I6618" s="1543"/>
      <c r="J6618" s="1543"/>
      <c r="K6618" s="1543"/>
      <c r="L6618" s="1543"/>
      <c r="M6618" s="1543"/>
      <c r="N6618" s="1543"/>
    </row>
    <row r="6619" spans="1:14">
      <c r="A6619" s="1544"/>
      <c r="B6619" s="876" t="s">
        <v>3198</v>
      </c>
      <c r="C6619" s="743">
        <v>26</v>
      </c>
      <c r="D6619" s="743"/>
      <c r="E6619" s="379">
        <v>0.8</v>
      </c>
      <c r="F6619" s="379"/>
      <c r="G6619" s="379"/>
      <c r="H6619" s="380">
        <f>C6619*E6619</f>
        <v>20.8</v>
      </c>
      <c r="I6619" s="1543"/>
      <c r="J6619" s="1543"/>
      <c r="K6619" s="1543"/>
      <c r="L6619" s="1543"/>
      <c r="M6619" s="1543"/>
      <c r="N6619" s="1543"/>
    </row>
    <row r="6620" spans="1:14" ht="28.15" customHeight="1">
      <c r="A6620" s="1544" t="s">
        <v>3217</v>
      </c>
      <c r="B6620" s="876" t="s">
        <v>3197</v>
      </c>
      <c r="C6620" s="743">
        <v>88</v>
      </c>
      <c r="D6620" s="743"/>
      <c r="E6620" s="379">
        <v>0.2</v>
      </c>
      <c r="F6620" s="379"/>
      <c r="G6620" s="379"/>
      <c r="H6620" s="380">
        <f>C6620*E6620</f>
        <v>17.600000000000001</v>
      </c>
      <c r="I6620" s="1543"/>
      <c r="J6620" s="1543"/>
      <c r="K6620" s="1543"/>
      <c r="L6620" s="1543"/>
      <c r="M6620" s="1543"/>
      <c r="N6620" s="1543"/>
    </row>
    <row r="6621" spans="1:14">
      <c r="A6621" s="1544"/>
      <c r="B6621" s="876" t="s">
        <v>3198</v>
      </c>
      <c r="C6621" s="743">
        <v>26</v>
      </c>
      <c r="D6621" s="743"/>
      <c r="E6621" s="379">
        <v>0.2</v>
      </c>
      <c r="F6621" s="379"/>
      <c r="G6621" s="379"/>
      <c r="H6621" s="380">
        <f>C6621*E6621</f>
        <v>5.2</v>
      </c>
      <c r="I6621" s="1543"/>
      <c r="J6621" s="1543"/>
      <c r="K6621" s="1543"/>
      <c r="L6621" s="1543"/>
      <c r="M6621" s="1543"/>
      <c r="N6621" s="1543"/>
    </row>
    <row r="6622" spans="1:14">
      <c r="A6622" s="1538" t="s">
        <v>2218</v>
      </c>
      <c r="B6622" s="1538"/>
      <c r="C6622" s="1538"/>
      <c r="D6622" s="1538"/>
      <c r="E6622" s="1538"/>
      <c r="F6622" s="1538"/>
      <c r="G6622" s="1538"/>
      <c r="H6622" s="271">
        <f>SUM(H6618:H6621)</f>
        <v>114.00000000000001</v>
      </c>
      <c r="I6622" s="1543"/>
      <c r="J6622" s="1543"/>
      <c r="K6622" s="1543"/>
      <c r="L6622" s="1543"/>
      <c r="M6622" s="1543"/>
      <c r="N6622" s="1543"/>
    </row>
    <row r="6623" spans="1:14">
      <c r="A6623" s="1538" t="s">
        <v>2219</v>
      </c>
      <c r="B6623" s="1538"/>
      <c r="C6623" s="1538"/>
      <c r="D6623" s="1538"/>
      <c r="E6623" s="1538"/>
      <c r="F6623" s="1538"/>
      <c r="G6623" s="1538"/>
      <c r="H6623" s="271">
        <f>SUM(H6618:H6619)</f>
        <v>91.2</v>
      </c>
      <c r="I6623" s="1543"/>
      <c r="J6623" s="1543"/>
      <c r="K6623" s="1543"/>
      <c r="L6623" s="1543"/>
      <c r="M6623" s="1543"/>
      <c r="N6623" s="1543"/>
    </row>
    <row r="6624" spans="1:14">
      <c r="A6624" s="1538" t="s">
        <v>2220</v>
      </c>
      <c r="B6624" s="1538"/>
      <c r="C6624" s="1538"/>
      <c r="D6624" s="1538"/>
      <c r="E6624" s="1538"/>
      <c r="F6624" s="1538"/>
      <c r="G6624" s="1538"/>
      <c r="H6624" s="269">
        <f>H6622-H6623</f>
        <v>22.800000000000011</v>
      </c>
      <c r="I6624" s="1543"/>
      <c r="J6624" s="1543"/>
      <c r="K6624" s="1543"/>
      <c r="L6624" s="1543"/>
      <c r="M6624" s="1543"/>
      <c r="N6624" s="1543"/>
    </row>
    <row r="6625" spans="1:14">
      <c r="A6625" s="278"/>
      <c r="B6625" s="278"/>
      <c r="C6625" s="278"/>
      <c r="D6625" s="281"/>
      <c r="E6625" s="1319"/>
      <c r="F6625" s="278"/>
      <c r="G6625" s="278"/>
      <c r="H6625" s="217"/>
      <c r="I6625" s="279"/>
      <c r="J6625" s="279"/>
      <c r="K6625" s="279"/>
      <c r="L6625" s="279"/>
      <c r="M6625" s="279"/>
      <c r="N6625" s="279"/>
    </row>
    <row r="6626" spans="1:14">
      <c r="A6626" s="1124" t="s">
        <v>3201</v>
      </c>
      <c r="B6626" s="1539" t="s">
        <v>1689</v>
      </c>
      <c r="C6626" s="1539"/>
      <c r="D6626" s="1539"/>
      <c r="E6626" s="1539"/>
      <c r="F6626" s="1539"/>
      <c r="G6626" s="1539"/>
      <c r="H6626" s="1539"/>
      <c r="I6626" s="1539"/>
      <c r="J6626" s="1539"/>
      <c r="K6626" s="864" t="s">
        <v>3154</v>
      </c>
      <c r="L6626" s="1540">
        <v>1</v>
      </c>
      <c r="M6626" s="1540"/>
      <c r="N6626" s="865">
        <f>L6626-H6631</f>
        <v>0</v>
      </c>
    </row>
    <row r="6627" spans="1:14">
      <c r="A6627" s="1541"/>
      <c r="B6627" s="1541"/>
      <c r="C6627" s="366"/>
      <c r="D6627" s="367" t="s">
        <v>2183</v>
      </c>
      <c r="E6627" s="1320" t="s">
        <v>2184</v>
      </c>
      <c r="F6627" s="367" t="s">
        <v>2185</v>
      </c>
      <c r="G6627" s="367" t="s">
        <v>2186</v>
      </c>
      <c r="H6627" s="1542" t="s">
        <v>476</v>
      </c>
      <c r="I6627" s="1543"/>
      <c r="J6627" s="1543"/>
      <c r="K6627" s="1543"/>
      <c r="L6627" s="1543"/>
      <c r="M6627" s="1543"/>
      <c r="N6627" s="1543"/>
    </row>
    <row r="6628" spans="1:14" ht="24">
      <c r="A6628" s="1541"/>
      <c r="B6628" s="1541"/>
      <c r="C6628" s="368" t="s">
        <v>2627</v>
      </c>
      <c r="D6628" s="369" t="s">
        <v>2187</v>
      </c>
      <c r="E6628" s="529" t="s">
        <v>3152</v>
      </c>
      <c r="F6628" s="369" t="s">
        <v>2649</v>
      </c>
      <c r="G6628" s="370" t="s">
        <v>2709</v>
      </c>
      <c r="H6628" s="1542"/>
      <c r="I6628" s="1543"/>
      <c r="J6628" s="1543"/>
      <c r="K6628" s="1543"/>
      <c r="L6628" s="1543"/>
      <c r="M6628" s="1543"/>
      <c r="N6628" s="1543"/>
    </row>
    <row r="6629" spans="1:14">
      <c r="A6629" s="1544" t="s">
        <v>3158</v>
      </c>
      <c r="B6629" s="876"/>
      <c r="C6629" s="743"/>
      <c r="D6629" s="743"/>
      <c r="E6629" s="379"/>
      <c r="F6629" s="379"/>
      <c r="G6629" s="379"/>
      <c r="H6629" s="380"/>
      <c r="I6629" s="1543"/>
      <c r="J6629" s="1543"/>
      <c r="K6629" s="1543"/>
      <c r="L6629" s="1543"/>
      <c r="M6629" s="1543"/>
      <c r="N6629" s="1543"/>
    </row>
    <row r="6630" spans="1:14">
      <c r="A6630" s="1544"/>
      <c r="B6630" s="876" t="s">
        <v>3198</v>
      </c>
      <c r="C6630" s="743">
        <v>1</v>
      </c>
      <c r="D6630" s="743"/>
      <c r="E6630" s="379"/>
      <c r="F6630" s="379"/>
      <c r="G6630" s="379"/>
      <c r="H6630" s="380">
        <v>1</v>
      </c>
      <c r="I6630" s="1543"/>
      <c r="J6630" s="1543"/>
      <c r="K6630" s="1543"/>
      <c r="L6630" s="1543"/>
      <c r="M6630" s="1543"/>
      <c r="N6630" s="1543"/>
    </row>
    <row r="6631" spans="1:14">
      <c r="A6631" s="1538" t="s">
        <v>2218</v>
      </c>
      <c r="B6631" s="1538"/>
      <c r="C6631" s="1538"/>
      <c r="D6631" s="1538"/>
      <c r="E6631" s="1538"/>
      <c r="F6631" s="1538"/>
      <c r="G6631" s="1538"/>
      <c r="H6631" s="271">
        <f>SUM(H6629:H6630)</f>
        <v>1</v>
      </c>
      <c r="I6631" s="1543"/>
      <c r="J6631" s="1543"/>
      <c r="K6631" s="1543"/>
      <c r="L6631" s="1543"/>
      <c r="M6631" s="1543"/>
      <c r="N6631" s="1543"/>
    </row>
    <row r="6632" spans="1:14">
      <c r="A6632" s="1538" t="s">
        <v>2219</v>
      </c>
      <c r="B6632" s="1538"/>
      <c r="C6632" s="1538"/>
      <c r="D6632" s="1538"/>
      <c r="E6632" s="1538"/>
      <c r="F6632" s="1538"/>
      <c r="G6632" s="1538"/>
      <c r="H6632" s="271">
        <v>0</v>
      </c>
      <c r="I6632" s="1543"/>
      <c r="J6632" s="1543"/>
      <c r="K6632" s="1543"/>
      <c r="L6632" s="1543"/>
      <c r="M6632" s="1543"/>
      <c r="N6632" s="1543"/>
    </row>
    <row r="6633" spans="1:14" ht="25.15" customHeight="1">
      <c r="A6633" s="1538" t="s">
        <v>2220</v>
      </c>
      <c r="B6633" s="1538"/>
      <c r="C6633" s="1538"/>
      <c r="D6633" s="1538"/>
      <c r="E6633" s="1538"/>
      <c r="F6633" s="1538"/>
      <c r="G6633" s="1538"/>
      <c r="H6633" s="269">
        <f>H6631-H6632</f>
        <v>1</v>
      </c>
      <c r="I6633" s="1543"/>
      <c r="J6633" s="1543"/>
      <c r="K6633" s="1543"/>
      <c r="L6633" s="1543"/>
      <c r="M6633" s="1543"/>
      <c r="N6633" s="1543"/>
    </row>
    <row r="6634" spans="1:14" ht="21.6" customHeight="1">
      <c r="A6634" s="278"/>
      <c r="B6634" s="278"/>
      <c r="C6634" s="278"/>
      <c r="D6634" s="281"/>
      <c r="E6634" s="1319"/>
      <c r="F6634" s="278"/>
      <c r="G6634" s="278"/>
      <c r="H6634" s="217"/>
      <c r="I6634" s="279"/>
      <c r="J6634" s="279"/>
      <c r="K6634" s="279"/>
      <c r="L6634" s="279"/>
      <c r="M6634" s="279"/>
      <c r="N6634" s="279"/>
    </row>
    <row r="6635" spans="1:14" ht="28.15" customHeight="1">
      <c r="A6635" s="1124" t="s">
        <v>3202</v>
      </c>
      <c r="B6635" s="1539" t="s">
        <v>1692</v>
      </c>
      <c r="C6635" s="1539"/>
      <c r="D6635" s="1539"/>
      <c r="E6635" s="1539"/>
      <c r="F6635" s="1539"/>
      <c r="G6635" s="1539"/>
      <c r="H6635" s="1539"/>
      <c r="I6635" s="1539"/>
      <c r="J6635" s="1539"/>
      <c r="K6635" s="864" t="s">
        <v>3154</v>
      </c>
      <c r="L6635" s="1540">
        <v>13</v>
      </c>
      <c r="M6635" s="1540"/>
      <c r="N6635" s="865">
        <f>L6635-H6640</f>
        <v>0</v>
      </c>
    </row>
    <row r="6636" spans="1:14">
      <c r="A6636" s="1541"/>
      <c r="B6636" s="1541"/>
      <c r="C6636" s="366"/>
      <c r="D6636" s="367" t="s">
        <v>2183</v>
      </c>
      <c r="E6636" s="1320" t="s">
        <v>2184</v>
      </c>
      <c r="F6636" s="367" t="s">
        <v>2185</v>
      </c>
      <c r="G6636" s="367" t="s">
        <v>2186</v>
      </c>
      <c r="H6636" s="1542" t="s">
        <v>476</v>
      </c>
      <c r="I6636" s="1543"/>
      <c r="J6636" s="1543"/>
      <c r="K6636" s="1543"/>
      <c r="L6636" s="1543"/>
      <c r="M6636" s="1543"/>
      <c r="N6636" s="1543"/>
    </row>
    <row r="6637" spans="1:14" ht="24">
      <c r="A6637" s="1541"/>
      <c r="B6637" s="1541"/>
      <c r="C6637" s="368" t="s">
        <v>2627</v>
      </c>
      <c r="D6637" s="369" t="s">
        <v>2187</v>
      </c>
      <c r="E6637" s="529" t="s">
        <v>3152</v>
      </c>
      <c r="F6637" s="369" t="s">
        <v>2649</v>
      </c>
      <c r="G6637" s="370" t="s">
        <v>2709</v>
      </c>
      <c r="H6637" s="1542"/>
      <c r="I6637" s="1543"/>
      <c r="J6637" s="1543"/>
      <c r="K6637" s="1543"/>
      <c r="L6637" s="1543"/>
      <c r="M6637" s="1543"/>
      <c r="N6637" s="1543"/>
    </row>
    <row r="6638" spans="1:14">
      <c r="A6638" s="1544" t="s">
        <v>3158</v>
      </c>
      <c r="B6638" s="876" t="s">
        <v>3197</v>
      </c>
      <c r="C6638" s="743">
        <v>11</v>
      </c>
      <c r="D6638" s="743"/>
      <c r="E6638" s="379"/>
      <c r="F6638" s="379"/>
      <c r="G6638" s="379"/>
      <c r="H6638" s="380">
        <v>11</v>
      </c>
      <c r="I6638" s="1543"/>
      <c r="J6638" s="1543"/>
      <c r="K6638" s="1543"/>
      <c r="L6638" s="1543"/>
      <c r="M6638" s="1543"/>
      <c r="N6638" s="1543"/>
    </row>
    <row r="6639" spans="1:14">
      <c r="A6639" s="1544"/>
      <c r="B6639" s="876" t="s">
        <v>3198</v>
      </c>
      <c r="C6639" s="743">
        <v>2</v>
      </c>
      <c r="D6639" s="743"/>
      <c r="E6639" s="379"/>
      <c r="F6639" s="379"/>
      <c r="G6639" s="379"/>
      <c r="H6639" s="380">
        <v>2</v>
      </c>
      <c r="I6639" s="1543"/>
      <c r="J6639" s="1543"/>
      <c r="K6639" s="1543"/>
      <c r="L6639" s="1543"/>
      <c r="M6639" s="1543"/>
      <c r="N6639" s="1543"/>
    </row>
    <row r="6640" spans="1:14">
      <c r="A6640" s="1538" t="s">
        <v>2218</v>
      </c>
      <c r="B6640" s="1538"/>
      <c r="C6640" s="1538"/>
      <c r="D6640" s="1538"/>
      <c r="E6640" s="1538"/>
      <c r="F6640" s="1538"/>
      <c r="G6640" s="1538"/>
      <c r="H6640" s="271">
        <f>SUM(H6638:H6639)</f>
        <v>13</v>
      </c>
      <c r="I6640" s="1543"/>
      <c r="J6640" s="1543"/>
      <c r="K6640" s="1543"/>
      <c r="L6640" s="1543"/>
      <c r="M6640" s="1543"/>
      <c r="N6640" s="1543"/>
    </row>
    <row r="6641" spans="1:14">
      <c r="A6641" s="1538" t="s">
        <v>2219</v>
      </c>
      <c r="B6641" s="1538"/>
      <c r="C6641" s="1538"/>
      <c r="D6641" s="1538"/>
      <c r="E6641" s="1538"/>
      <c r="F6641" s="1538"/>
      <c r="G6641" s="1538"/>
      <c r="H6641" s="271">
        <v>0</v>
      </c>
      <c r="I6641" s="1543"/>
      <c r="J6641" s="1543"/>
      <c r="K6641" s="1543"/>
      <c r="L6641" s="1543"/>
      <c r="M6641" s="1543"/>
      <c r="N6641" s="1543"/>
    </row>
    <row r="6642" spans="1:14">
      <c r="A6642" s="1538" t="s">
        <v>2220</v>
      </c>
      <c r="B6642" s="1538"/>
      <c r="C6642" s="1538"/>
      <c r="D6642" s="1538"/>
      <c r="E6642" s="1538"/>
      <c r="F6642" s="1538"/>
      <c r="G6642" s="1538"/>
      <c r="H6642" s="269">
        <f>H6640-H6641</f>
        <v>13</v>
      </c>
      <c r="I6642" s="1543"/>
      <c r="J6642" s="1543"/>
      <c r="K6642" s="1543"/>
      <c r="L6642" s="1543"/>
      <c r="M6642" s="1543"/>
      <c r="N6642" s="1543"/>
    </row>
    <row r="6643" spans="1:14">
      <c r="A6643" s="278"/>
      <c r="B6643" s="278"/>
      <c r="C6643" s="278"/>
      <c r="D6643" s="281"/>
      <c r="E6643" s="1319"/>
      <c r="F6643" s="278"/>
      <c r="G6643" s="278"/>
      <c r="H6643" s="217"/>
      <c r="I6643" s="279"/>
      <c r="J6643" s="279"/>
      <c r="K6643" s="279"/>
      <c r="L6643" s="279"/>
      <c r="M6643" s="279"/>
      <c r="N6643" s="279"/>
    </row>
    <row r="6644" spans="1:14">
      <c r="A6644" s="1124" t="s">
        <v>3203</v>
      </c>
      <c r="B6644" s="1539" t="s">
        <v>1695</v>
      </c>
      <c r="C6644" s="1539"/>
      <c r="D6644" s="1539"/>
      <c r="E6644" s="1539"/>
      <c r="F6644" s="1539"/>
      <c r="G6644" s="1539"/>
      <c r="H6644" s="1539"/>
      <c r="I6644" s="1539"/>
      <c r="J6644" s="1539"/>
      <c r="K6644" s="864" t="s">
        <v>3154</v>
      </c>
      <c r="L6644" s="1540">
        <v>3</v>
      </c>
      <c r="M6644" s="1540"/>
      <c r="N6644" s="865">
        <f>L6644-H6649</f>
        <v>0</v>
      </c>
    </row>
    <row r="6645" spans="1:14">
      <c r="A6645" s="1541"/>
      <c r="B6645" s="1541"/>
      <c r="C6645" s="366"/>
      <c r="D6645" s="367" t="s">
        <v>2183</v>
      </c>
      <c r="E6645" s="1320" t="s">
        <v>2184</v>
      </c>
      <c r="F6645" s="367" t="s">
        <v>2185</v>
      </c>
      <c r="G6645" s="367" t="s">
        <v>2186</v>
      </c>
      <c r="H6645" s="1542" t="s">
        <v>476</v>
      </c>
      <c r="I6645" s="1543"/>
      <c r="J6645" s="1543"/>
      <c r="K6645" s="1543"/>
      <c r="L6645" s="1543"/>
      <c r="M6645" s="1543"/>
      <c r="N6645" s="1543"/>
    </row>
    <row r="6646" spans="1:14" ht="24">
      <c r="A6646" s="1541"/>
      <c r="B6646" s="1541"/>
      <c r="C6646" s="368" t="s">
        <v>2627</v>
      </c>
      <c r="D6646" s="369" t="s">
        <v>2187</v>
      </c>
      <c r="E6646" s="529" t="s">
        <v>3152</v>
      </c>
      <c r="F6646" s="369" t="s">
        <v>2649</v>
      </c>
      <c r="G6646" s="370" t="s">
        <v>2709</v>
      </c>
      <c r="H6646" s="1542"/>
      <c r="I6646" s="1543"/>
      <c r="J6646" s="1543"/>
      <c r="K6646" s="1543"/>
      <c r="L6646" s="1543"/>
      <c r="M6646" s="1543"/>
      <c r="N6646" s="1543"/>
    </row>
    <row r="6647" spans="1:14">
      <c r="A6647" s="1544" t="s">
        <v>3158</v>
      </c>
      <c r="B6647" s="876" t="s">
        <v>3197</v>
      </c>
      <c r="C6647" s="743">
        <v>2</v>
      </c>
      <c r="D6647" s="743"/>
      <c r="E6647" s="379"/>
      <c r="F6647" s="379"/>
      <c r="G6647" s="379"/>
      <c r="H6647" s="380">
        <v>2</v>
      </c>
      <c r="I6647" s="1543"/>
      <c r="J6647" s="1543"/>
      <c r="K6647" s="1543"/>
      <c r="L6647" s="1543"/>
      <c r="M6647" s="1543"/>
      <c r="N6647" s="1543"/>
    </row>
    <row r="6648" spans="1:14" ht="28.15" customHeight="1">
      <c r="A6648" s="1544"/>
      <c r="B6648" s="876" t="s">
        <v>3198</v>
      </c>
      <c r="C6648" s="743">
        <v>1</v>
      </c>
      <c r="D6648" s="743"/>
      <c r="E6648" s="379"/>
      <c r="F6648" s="379"/>
      <c r="G6648" s="379"/>
      <c r="H6648" s="380">
        <v>1</v>
      </c>
      <c r="I6648" s="1543"/>
      <c r="J6648" s="1543"/>
      <c r="K6648" s="1543"/>
      <c r="L6648" s="1543"/>
      <c r="M6648" s="1543"/>
      <c r="N6648" s="1543"/>
    </row>
    <row r="6649" spans="1:14">
      <c r="A6649" s="1538" t="s">
        <v>2218</v>
      </c>
      <c r="B6649" s="1538"/>
      <c r="C6649" s="1538"/>
      <c r="D6649" s="1538"/>
      <c r="E6649" s="1538"/>
      <c r="F6649" s="1538"/>
      <c r="G6649" s="1538"/>
      <c r="H6649" s="271">
        <f>SUM(H6647:H6648)</f>
        <v>3</v>
      </c>
      <c r="I6649" s="1543"/>
      <c r="J6649" s="1543"/>
      <c r="K6649" s="1543"/>
      <c r="L6649" s="1543"/>
      <c r="M6649" s="1543"/>
      <c r="N6649" s="1543"/>
    </row>
    <row r="6650" spans="1:14">
      <c r="A6650" s="1538" t="s">
        <v>2219</v>
      </c>
      <c r="B6650" s="1538"/>
      <c r="C6650" s="1538"/>
      <c r="D6650" s="1538"/>
      <c r="E6650" s="1538"/>
      <c r="F6650" s="1538"/>
      <c r="G6650" s="1538"/>
      <c r="H6650" s="271">
        <v>0</v>
      </c>
      <c r="I6650" s="1543"/>
      <c r="J6650" s="1543"/>
      <c r="K6650" s="1543"/>
      <c r="L6650" s="1543"/>
      <c r="M6650" s="1543"/>
      <c r="N6650" s="1543"/>
    </row>
    <row r="6651" spans="1:14">
      <c r="A6651" s="1538" t="s">
        <v>2220</v>
      </c>
      <c r="B6651" s="1538"/>
      <c r="C6651" s="1538"/>
      <c r="D6651" s="1538"/>
      <c r="E6651" s="1538"/>
      <c r="F6651" s="1538"/>
      <c r="G6651" s="1538"/>
      <c r="H6651" s="269">
        <f>H6649-H6650</f>
        <v>3</v>
      </c>
      <c r="I6651" s="1543"/>
      <c r="J6651" s="1543"/>
      <c r="K6651" s="1543"/>
      <c r="L6651" s="1543"/>
      <c r="M6651" s="1543"/>
      <c r="N6651" s="1543"/>
    </row>
    <row r="6652" spans="1:14">
      <c r="A6652" s="278"/>
      <c r="B6652" s="278"/>
      <c r="C6652" s="278"/>
      <c r="D6652" s="281"/>
      <c r="E6652" s="1319"/>
      <c r="F6652" s="278"/>
      <c r="G6652" s="278"/>
      <c r="H6652" s="217"/>
      <c r="I6652" s="279"/>
      <c r="J6652" s="279"/>
      <c r="K6652" s="279"/>
      <c r="L6652" s="279"/>
      <c r="M6652" s="279"/>
      <c r="N6652" s="279"/>
    </row>
    <row r="6653" spans="1:14">
      <c r="A6653" s="1124" t="s">
        <v>3204</v>
      </c>
      <c r="B6653" s="1550" t="s">
        <v>1698</v>
      </c>
      <c r="C6653" s="1550"/>
      <c r="D6653" s="1550"/>
      <c r="E6653" s="1550"/>
      <c r="F6653" s="1550"/>
      <c r="G6653" s="1550"/>
      <c r="H6653" s="1550"/>
      <c r="I6653" s="1550"/>
      <c r="J6653" s="1550"/>
      <c r="K6653" s="864" t="s">
        <v>3154</v>
      </c>
      <c r="L6653" s="1540">
        <v>76</v>
      </c>
      <c r="M6653" s="1540"/>
      <c r="N6653" s="865">
        <f>L6653-H6660</f>
        <v>0</v>
      </c>
    </row>
    <row r="6654" spans="1:14">
      <c r="A6654" s="1541"/>
      <c r="B6654" s="1541"/>
      <c r="C6654" s="366"/>
      <c r="D6654" s="367" t="s">
        <v>2183</v>
      </c>
      <c r="E6654" s="1320" t="s">
        <v>2184</v>
      </c>
      <c r="F6654" s="367" t="s">
        <v>2185</v>
      </c>
      <c r="G6654" s="367" t="s">
        <v>2186</v>
      </c>
      <c r="H6654" s="1542" t="s">
        <v>476</v>
      </c>
      <c r="I6654" s="1543"/>
      <c r="J6654" s="1543"/>
      <c r="K6654" s="1543"/>
      <c r="L6654" s="1543"/>
      <c r="M6654" s="1543"/>
      <c r="N6654" s="1543"/>
    </row>
    <row r="6655" spans="1:14" ht="24">
      <c r="A6655" s="1541"/>
      <c r="B6655" s="1541"/>
      <c r="C6655" s="368" t="s">
        <v>2627</v>
      </c>
      <c r="D6655" s="369" t="s">
        <v>2187</v>
      </c>
      <c r="E6655" s="529" t="s">
        <v>3152</v>
      </c>
      <c r="F6655" s="369" t="s">
        <v>2649</v>
      </c>
      <c r="G6655" s="370" t="s">
        <v>2709</v>
      </c>
      <c r="H6655" s="1542"/>
      <c r="I6655" s="1543"/>
      <c r="J6655" s="1543"/>
      <c r="K6655" s="1543"/>
      <c r="L6655" s="1543"/>
      <c r="M6655" s="1543"/>
      <c r="N6655" s="1543"/>
    </row>
    <row r="6656" spans="1:14">
      <c r="A6656" s="1544" t="s">
        <v>3158</v>
      </c>
      <c r="B6656" s="876" t="s">
        <v>3197</v>
      </c>
      <c r="C6656" s="743">
        <v>58</v>
      </c>
      <c r="D6656" s="743"/>
      <c r="E6656" s="379">
        <v>0.8</v>
      </c>
      <c r="F6656" s="379"/>
      <c r="G6656" s="379"/>
      <c r="H6656" s="380">
        <v>47</v>
      </c>
      <c r="I6656" s="1543"/>
      <c r="J6656" s="1543"/>
      <c r="K6656" s="1543"/>
      <c r="L6656" s="1543"/>
      <c r="M6656" s="1543"/>
      <c r="N6656" s="1543"/>
    </row>
    <row r="6657" spans="1:14">
      <c r="A6657" s="1544"/>
      <c r="B6657" s="876" t="s">
        <v>3198</v>
      </c>
      <c r="C6657" s="743">
        <v>18</v>
      </c>
      <c r="D6657" s="743"/>
      <c r="E6657" s="379">
        <v>0.8</v>
      </c>
      <c r="F6657" s="379"/>
      <c r="G6657" s="379"/>
      <c r="H6657" s="380">
        <v>14</v>
      </c>
      <c r="I6657" s="1543"/>
      <c r="J6657" s="1543"/>
      <c r="K6657" s="1543"/>
      <c r="L6657" s="1543"/>
      <c r="M6657" s="1543"/>
      <c r="N6657" s="1543"/>
    </row>
    <row r="6658" spans="1:14" ht="21.6" customHeight="1">
      <c r="A6658" s="1544" t="s">
        <v>3217</v>
      </c>
      <c r="B6658" s="876" t="s">
        <v>3197</v>
      </c>
      <c r="C6658" s="743">
        <v>58</v>
      </c>
      <c r="D6658" s="743"/>
      <c r="E6658" s="379">
        <v>0.2</v>
      </c>
      <c r="F6658" s="379"/>
      <c r="G6658" s="379"/>
      <c r="H6658" s="380">
        <f>C6658-H6656</f>
        <v>11</v>
      </c>
      <c r="I6658" s="1543"/>
      <c r="J6658" s="1543"/>
      <c r="K6658" s="1543"/>
      <c r="L6658" s="1543"/>
      <c r="M6658" s="1543"/>
      <c r="N6658" s="1543"/>
    </row>
    <row r="6659" spans="1:14" ht="28.15" customHeight="1">
      <c r="A6659" s="1544"/>
      <c r="B6659" s="876" t="s">
        <v>3198</v>
      </c>
      <c r="C6659" s="743">
        <v>18</v>
      </c>
      <c r="D6659" s="743"/>
      <c r="E6659" s="379">
        <v>0.2</v>
      </c>
      <c r="F6659" s="379"/>
      <c r="G6659" s="379"/>
      <c r="H6659" s="380">
        <f>C6659-H6657</f>
        <v>4</v>
      </c>
      <c r="I6659" s="1543"/>
      <c r="J6659" s="1543"/>
      <c r="K6659" s="1543"/>
      <c r="L6659" s="1543"/>
      <c r="M6659" s="1543"/>
      <c r="N6659" s="1543"/>
    </row>
    <row r="6660" spans="1:14">
      <c r="A6660" s="1538" t="s">
        <v>2218</v>
      </c>
      <c r="B6660" s="1538"/>
      <c r="C6660" s="1538"/>
      <c r="D6660" s="1538"/>
      <c r="E6660" s="1538"/>
      <c r="F6660" s="1538"/>
      <c r="G6660" s="1538"/>
      <c r="H6660" s="271">
        <f>SUM(H6656:H6659)</f>
        <v>76</v>
      </c>
      <c r="I6660" s="1543"/>
      <c r="J6660" s="1543"/>
      <c r="K6660" s="1543"/>
      <c r="L6660" s="1543"/>
      <c r="M6660" s="1543"/>
      <c r="N6660" s="1543"/>
    </row>
    <row r="6661" spans="1:14">
      <c r="A6661" s="1538" t="s">
        <v>2219</v>
      </c>
      <c r="B6661" s="1538"/>
      <c r="C6661" s="1538"/>
      <c r="D6661" s="1538"/>
      <c r="E6661" s="1538"/>
      <c r="F6661" s="1538"/>
      <c r="G6661" s="1538"/>
      <c r="H6661" s="271">
        <f>SUM(H6656:H6657)</f>
        <v>61</v>
      </c>
      <c r="I6661" s="1543"/>
      <c r="J6661" s="1543"/>
      <c r="K6661" s="1543"/>
      <c r="L6661" s="1543"/>
      <c r="M6661" s="1543"/>
      <c r="N6661" s="1543"/>
    </row>
    <row r="6662" spans="1:14">
      <c r="A6662" s="1538" t="s">
        <v>2220</v>
      </c>
      <c r="B6662" s="1538"/>
      <c r="C6662" s="1538"/>
      <c r="D6662" s="1538"/>
      <c r="E6662" s="1538"/>
      <c r="F6662" s="1538"/>
      <c r="G6662" s="1538"/>
      <c r="H6662" s="269">
        <f>H6660-H6661</f>
        <v>15</v>
      </c>
      <c r="I6662" s="1543"/>
      <c r="J6662" s="1543"/>
      <c r="K6662" s="1543"/>
      <c r="L6662" s="1543"/>
      <c r="M6662" s="1543"/>
      <c r="N6662" s="1543"/>
    </row>
    <row r="6663" spans="1:14">
      <c r="A6663" s="278"/>
      <c r="B6663" s="278"/>
      <c r="C6663" s="278"/>
      <c r="D6663" s="281"/>
      <c r="E6663" s="1319"/>
      <c r="F6663" s="278"/>
      <c r="G6663" s="278"/>
      <c r="H6663" s="217"/>
      <c r="I6663" s="279"/>
      <c r="J6663" s="279"/>
      <c r="K6663" s="279"/>
      <c r="L6663" s="279"/>
      <c r="M6663" s="279"/>
      <c r="N6663" s="279"/>
    </row>
    <row r="6664" spans="1:14">
      <c r="A6664" s="1124" t="s">
        <v>3205</v>
      </c>
      <c r="B6664" s="1550" t="s">
        <v>1385</v>
      </c>
      <c r="C6664" s="1550"/>
      <c r="D6664" s="1550"/>
      <c r="E6664" s="1550"/>
      <c r="F6664" s="1550"/>
      <c r="G6664" s="1550"/>
      <c r="H6664" s="1550"/>
      <c r="I6664" s="1550"/>
      <c r="J6664" s="1550"/>
      <c r="K6664" s="864" t="s">
        <v>3154</v>
      </c>
      <c r="L6664" s="1540">
        <v>8</v>
      </c>
      <c r="M6664" s="1540"/>
      <c r="N6664" s="865">
        <f>L6664-H6671</f>
        <v>0</v>
      </c>
    </row>
    <row r="6665" spans="1:14">
      <c r="A6665" s="1541"/>
      <c r="B6665" s="1541"/>
      <c r="C6665" s="366"/>
      <c r="D6665" s="367" t="s">
        <v>2183</v>
      </c>
      <c r="E6665" s="1320" t="s">
        <v>2184</v>
      </c>
      <c r="F6665" s="367" t="s">
        <v>2185</v>
      </c>
      <c r="G6665" s="367" t="s">
        <v>2186</v>
      </c>
      <c r="H6665" s="1542" t="s">
        <v>476</v>
      </c>
      <c r="I6665" s="1543"/>
      <c r="J6665" s="1543"/>
      <c r="K6665" s="1543"/>
      <c r="L6665" s="1543"/>
      <c r="M6665" s="1543"/>
      <c r="N6665" s="1543"/>
    </row>
    <row r="6666" spans="1:14" ht="24">
      <c r="A6666" s="1541"/>
      <c r="B6666" s="1541"/>
      <c r="C6666" s="368" t="s">
        <v>2627</v>
      </c>
      <c r="D6666" s="369" t="s">
        <v>2187</v>
      </c>
      <c r="E6666" s="529" t="s">
        <v>3152</v>
      </c>
      <c r="F6666" s="369" t="s">
        <v>2649</v>
      </c>
      <c r="G6666" s="370" t="s">
        <v>2709</v>
      </c>
      <c r="H6666" s="1542"/>
      <c r="I6666" s="1543"/>
      <c r="J6666" s="1543"/>
      <c r="K6666" s="1543"/>
      <c r="L6666" s="1543"/>
      <c r="M6666" s="1543"/>
      <c r="N6666" s="1543"/>
    </row>
    <row r="6667" spans="1:14">
      <c r="A6667" s="1544" t="s">
        <v>3158</v>
      </c>
      <c r="B6667" s="876" t="s">
        <v>3197</v>
      </c>
      <c r="C6667" s="743">
        <v>2</v>
      </c>
      <c r="D6667" s="743"/>
      <c r="E6667" s="379"/>
      <c r="F6667" s="379"/>
      <c r="G6667" s="379"/>
      <c r="H6667" s="380">
        <v>2</v>
      </c>
      <c r="I6667" s="1543"/>
      <c r="J6667" s="1543"/>
      <c r="K6667" s="1543"/>
      <c r="L6667" s="1543"/>
      <c r="M6667" s="1543"/>
      <c r="N6667" s="1543"/>
    </row>
    <row r="6668" spans="1:14">
      <c r="A6668" s="1544"/>
      <c r="B6668" s="876" t="s">
        <v>3198</v>
      </c>
      <c r="C6668" s="743">
        <v>6</v>
      </c>
      <c r="D6668" s="743"/>
      <c r="E6668" s="379"/>
      <c r="F6668" s="379"/>
      <c r="G6668" s="379"/>
      <c r="H6668" s="380">
        <v>4</v>
      </c>
      <c r="I6668" s="1543"/>
      <c r="J6668" s="1543"/>
      <c r="K6668" s="1543"/>
      <c r="L6668" s="1543"/>
      <c r="M6668" s="1543"/>
      <c r="N6668" s="1543"/>
    </row>
    <row r="6669" spans="1:14">
      <c r="A6669" s="1544" t="s">
        <v>3465</v>
      </c>
      <c r="B6669" s="876" t="s">
        <v>3197</v>
      </c>
      <c r="C6669" s="743">
        <v>2</v>
      </c>
      <c r="D6669" s="743"/>
      <c r="E6669" s="379"/>
      <c r="F6669" s="379"/>
      <c r="G6669" s="379"/>
      <c r="H6669" s="380"/>
      <c r="I6669" s="1543"/>
      <c r="J6669" s="1543"/>
      <c r="K6669" s="1543"/>
      <c r="L6669" s="1543"/>
      <c r="M6669" s="1543"/>
      <c r="N6669" s="1543"/>
    </row>
    <row r="6670" spans="1:14">
      <c r="A6670" s="1544"/>
      <c r="B6670" s="876" t="s">
        <v>3198</v>
      </c>
      <c r="C6670" s="743">
        <v>6</v>
      </c>
      <c r="D6670" s="743"/>
      <c r="E6670" s="379"/>
      <c r="F6670" s="379"/>
      <c r="G6670" s="379"/>
      <c r="H6670" s="380">
        <v>2</v>
      </c>
      <c r="I6670" s="1543"/>
      <c r="J6670" s="1543"/>
      <c r="K6670" s="1543"/>
      <c r="L6670" s="1543"/>
      <c r="M6670" s="1543"/>
      <c r="N6670" s="1543"/>
    </row>
    <row r="6671" spans="1:14">
      <c r="A6671" s="1538" t="s">
        <v>2218</v>
      </c>
      <c r="B6671" s="1538"/>
      <c r="C6671" s="1538"/>
      <c r="D6671" s="1538"/>
      <c r="E6671" s="1538"/>
      <c r="F6671" s="1538"/>
      <c r="G6671" s="1538"/>
      <c r="H6671" s="271">
        <f>SUM(H6667:H6670)</f>
        <v>8</v>
      </c>
      <c r="I6671" s="1543"/>
      <c r="J6671" s="1543"/>
      <c r="K6671" s="1543"/>
      <c r="L6671" s="1543"/>
      <c r="M6671" s="1543"/>
      <c r="N6671" s="1543"/>
    </row>
    <row r="6672" spans="1:14">
      <c r="A6672" s="1538" t="s">
        <v>2219</v>
      </c>
      <c r="B6672" s="1538"/>
      <c r="C6672" s="1538"/>
      <c r="D6672" s="1538"/>
      <c r="E6672" s="1538"/>
      <c r="F6672" s="1538"/>
      <c r="G6672" s="1538"/>
      <c r="H6672" s="271">
        <f>SUM(H6667:H6668)</f>
        <v>6</v>
      </c>
      <c r="I6672" s="1543"/>
      <c r="J6672" s="1543"/>
      <c r="K6672" s="1543"/>
      <c r="L6672" s="1543"/>
      <c r="M6672" s="1543"/>
      <c r="N6672" s="1543"/>
    </row>
    <row r="6673" spans="1:14">
      <c r="A6673" s="1538" t="s">
        <v>2220</v>
      </c>
      <c r="B6673" s="1538"/>
      <c r="C6673" s="1538"/>
      <c r="D6673" s="1538"/>
      <c r="E6673" s="1538"/>
      <c r="F6673" s="1538"/>
      <c r="G6673" s="1538"/>
      <c r="H6673" s="269">
        <f>H6671-H6672</f>
        <v>2</v>
      </c>
      <c r="I6673" s="1543"/>
      <c r="J6673" s="1543"/>
      <c r="K6673" s="1543"/>
      <c r="L6673" s="1543"/>
      <c r="M6673" s="1543"/>
      <c r="N6673" s="1543"/>
    </row>
    <row r="6674" spans="1:14" ht="28.15" customHeight="1">
      <c r="A6674" s="278"/>
      <c r="B6674" s="278"/>
      <c r="C6674" s="278"/>
      <c r="D6674" s="281"/>
      <c r="E6674" s="1319"/>
      <c r="F6674" s="278"/>
      <c r="G6674" s="278"/>
      <c r="H6674" s="217"/>
      <c r="I6674" s="279"/>
      <c r="J6674" s="279"/>
      <c r="K6674" s="279"/>
      <c r="L6674" s="279"/>
      <c r="M6674" s="279"/>
      <c r="N6674" s="279"/>
    </row>
    <row r="6675" spans="1:14">
      <c r="A6675" s="1124" t="s">
        <v>3206</v>
      </c>
      <c r="B6675" s="1550" t="s">
        <v>1406</v>
      </c>
      <c r="C6675" s="1550"/>
      <c r="D6675" s="1550"/>
      <c r="E6675" s="1550"/>
      <c r="F6675" s="1550"/>
      <c r="G6675" s="1550"/>
      <c r="H6675" s="1550"/>
      <c r="I6675" s="1550"/>
      <c r="J6675" s="1550"/>
      <c r="K6675" s="864" t="s">
        <v>3154</v>
      </c>
      <c r="L6675" s="1540">
        <v>17</v>
      </c>
      <c r="M6675" s="1540"/>
      <c r="N6675" s="865">
        <f>L6675-H6682</f>
        <v>0</v>
      </c>
    </row>
    <row r="6676" spans="1:14">
      <c r="A6676" s="1541"/>
      <c r="B6676" s="1541"/>
      <c r="C6676" s="366"/>
      <c r="D6676" s="367" t="s">
        <v>2183</v>
      </c>
      <c r="E6676" s="1320" t="s">
        <v>2184</v>
      </c>
      <c r="F6676" s="367" t="s">
        <v>2185</v>
      </c>
      <c r="G6676" s="367" t="s">
        <v>2186</v>
      </c>
      <c r="H6676" s="1542" t="s">
        <v>476</v>
      </c>
      <c r="I6676" s="1543"/>
      <c r="J6676" s="1543"/>
      <c r="K6676" s="1543"/>
      <c r="L6676" s="1543"/>
      <c r="M6676" s="1543"/>
      <c r="N6676" s="1543"/>
    </row>
    <row r="6677" spans="1:14" ht="24">
      <c r="A6677" s="1541"/>
      <c r="B6677" s="1541"/>
      <c r="C6677" s="368" t="s">
        <v>2627</v>
      </c>
      <c r="D6677" s="369" t="s">
        <v>2187</v>
      </c>
      <c r="E6677" s="529" t="s">
        <v>3152</v>
      </c>
      <c r="F6677" s="369" t="s">
        <v>2649</v>
      </c>
      <c r="G6677" s="370" t="s">
        <v>2709</v>
      </c>
      <c r="H6677" s="1542"/>
      <c r="I6677" s="1543"/>
      <c r="J6677" s="1543"/>
      <c r="K6677" s="1543"/>
      <c r="L6677" s="1543"/>
      <c r="M6677" s="1543"/>
      <c r="N6677" s="1543"/>
    </row>
    <row r="6678" spans="1:14">
      <c r="A6678" s="1544" t="s">
        <v>3158</v>
      </c>
      <c r="B6678" s="876" t="s">
        <v>3197</v>
      </c>
      <c r="C6678" s="743">
        <v>2</v>
      </c>
      <c r="D6678" s="743"/>
      <c r="E6678" s="379"/>
      <c r="F6678" s="379"/>
      <c r="G6678" s="379"/>
      <c r="H6678" s="380">
        <v>2</v>
      </c>
      <c r="I6678" s="1543"/>
      <c r="J6678" s="1543"/>
      <c r="K6678" s="1543"/>
      <c r="L6678" s="1543"/>
      <c r="M6678" s="1543"/>
      <c r="N6678" s="1543"/>
    </row>
    <row r="6679" spans="1:14">
      <c r="A6679" s="1544"/>
      <c r="B6679" s="876" t="s">
        <v>3198</v>
      </c>
      <c r="C6679" s="743">
        <v>15</v>
      </c>
      <c r="D6679" s="743"/>
      <c r="E6679" s="379"/>
      <c r="F6679" s="379"/>
      <c r="G6679" s="379"/>
      <c r="H6679" s="380">
        <v>12</v>
      </c>
      <c r="I6679" s="1543"/>
      <c r="J6679" s="1543"/>
      <c r="K6679" s="1543"/>
      <c r="L6679" s="1543"/>
      <c r="M6679" s="1543"/>
      <c r="N6679" s="1543"/>
    </row>
    <row r="6680" spans="1:14">
      <c r="A6680" s="1544" t="s">
        <v>3465</v>
      </c>
      <c r="B6680" s="876" t="s">
        <v>3197</v>
      </c>
      <c r="C6680" s="743">
        <v>2</v>
      </c>
      <c r="D6680" s="743"/>
      <c r="E6680" s="379"/>
      <c r="F6680" s="379"/>
      <c r="G6680" s="379"/>
      <c r="H6680" s="380"/>
      <c r="I6680" s="1543"/>
      <c r="J6680" s="1543"/>
      <c r="K6680" s="1543"/>
      <c r="L6680" s="1543"/>
      <c r="M6680" s="1543"/>
      <c r="N6680" s="1543"/>
    </row>
    <row r="6681" spans="1:14">
      <c r="A6681" s="1544"/>
      <c r="B6681" s="876" t="s">
        <v>3198</v>
      </c>
      <c r="C6681" s="743">
        <v>15</v>
      </c>
      <c r="D6681" s="743"/>
      <c r="E6681" s="379"/>
      <c r="F6681" s="379"/>
      <c r="G6681" s="379"/>
      <c r="H6681" s="380">
        <v>3</v>
      </c>
      <c r="I6681" s="1543"/>
      <c r="J6681" s="1543"/>
      <c r="K6681" s="1543"/>
      <c r="L6681" s="1543"/>
      <c r="M6681" s="1543"/>
      <c r="N6681" s="1543"/>
    </row>
    <row r="6682" spans="1:14">
      <c r="A6682" s="1538" t="s">
        <v>2218</v>
      </c>
      <c r="B6682" s="1538"/>
      <c r="C6682" s="1538"/>
      <c r="D6682" s="1538"/>
      <c r="E6682" s="1538"/>
      <c r="F6682" s="1538"/>
      <c r="G6682" s="1538"/>
      <c r="H6682" s="271">
        <f>SUM(H6678:H6681)</f>
        <v>17</v>
      </c>
      <c r="I6682" s="1543"/>
      <c r="J6682" s="1543"/>
      <c r="K6682" s="1543"/>
      <c r="L6682" s="1543"/>
      <c r="M6682" s="1543"/>
      <c r="N6682" s="1543"/>
    </row>
    <row r="6683" spans="1:14">
      <c r="A6683" s="1538" t="s">
        <v>2219</v>
      </c>
      <c r="B6683" s="1538"/>
      <c r="C6683" s="1538"/>
      <c r="D6683" s="1538"/>
      <c r="E6683" s="1538"/>
      <c r="F6683" s="1538"/>
      <c r="G6683" s="1538"/>
      <c r="H6683" s="271">
        <f>SUM(H6678:H6679)</f>
        <v>14</v>
      </c>
      <c r="I6683" s="1543"/>
      <c r="J6683" s="1543"/>
      <c r="K6683" s="1543"/>
      <c r="L6683" s="1543"/>
      <c r="M6683" s="1543"/>
      <c r="N6683" s="1543"/>
    </row>
    <row r="6684" spans="1:14" ht="28.15" customHeight="1">
      <c r="A6684" s="1538" t="s">
        <v>2220</v>
      </c>
      <c r="B6684" s="1538"/>
      <c r="C6684" s="1538"/>
      <c r="D6684" s="1538"/>
      <c r="E6684" s="1538"/>
      <c r="F6684" s="1538"/>
      <c r="G6684" s="1538"/>
      <c r="H6684" s="269">
        <f>H6682-H6683</f>
        <v>3</v>
      </c>
      <c r="I6684" s="1543"/>
      <c r="J6684" s="1543"/>
      <c r="K6684" s="1543"/>
      <c r="L6684" s="1543"/>
      <c r="M6684" s="1543"/>
      <c r="N6684" s="1543"/>
    </row>
    <row r="6685" spans="1:14">
      <c r="A6685" s="278"/>
      <c r="B6685" s="278"/>
      <c r="C6685" s="278"/>
      <c r="D6685" s="281"/>
      <c r="E6685" s="1319"/>
      <c r="F6685" s="278"/>
      <c r="G6685" s="278"/>
      <c r="H6685" s="217"/>
      <c r="I6685" s="279"/>
      <c r="J6685" s="279"/>
      <c r="K6685" s="279"/>
      <c r="L6685" s="279"/>
      <c r="M6685" s="279"/>
      <c r="N6685" s="279"/>
    </row>
    <row r="6686" spans="1:14">
      <c r="A6686" s="1124" t="s">
        <v>3207</v>
      </c>
      <c r="B6686" s="1550" t="s">
        <v>1388</v>
      </c>
      <c r="C6686" s="1550"/>
      <c r="D6686" s="1550"/>
      <c r="E6686" s="1550"/>
      <c r="F6686" s="1550"/>
      <c r="G6686" s="1550"/>
      <c r="H6686" s="1550"/>
      <c r="I6686" s="1550"/>
      <c r="J6686" s="1550"/>
      <c r="K6686" s="864" t="s">
        <v>3154</v>
      </c>
      <c r="L6686" s="1540">
        <v>24</v>
      </c>
      <c r="M6686" s="1540"/>
      <c r="N6686" s="865">
        <f>L6686-H6693</f>
        <v>0</v>
      </c>
    </row>
    <row r="6687" spans="1:14">
      <c r="A6687" s="1541"/>
      <c r="B6687" s="1541"/>
      <c r="C6687" s="366"/>
      <c r="D6687" s="367" t="s">
        <v>2183</v>
      </c>
      <c r="E6687" s="1320" t="s">
        <v>2184</v>
      </c>
      <c r="F6687" s="367" t="s">
        <v>2185</v>
      </c>
      <c r="G6687" s="367" t="s">
        <v>2186</v>
      </c>
      <c r="H6687" s="1542" t="s">
        <v>476</v>
      </c>
      <c r="I6687" s="1543"/>
      <c r="J6687" s="1543"/>
      <c r="K6687" s="1543"/>
      <c r="L6687" s="1543"/>
      <c r="M6687" s="1543"/>
      <c r="N6687" s="1543"/>
    </row>
    <row r="6688" spans="1:14" ht="24">
      <c r="A6688" s="1541"/>
      <c r="B6688" s="1541"/>
      <c r="C6688" s="368" t="s">
        <v>2627</v>
      </c>
      <c r="D6688" s="369" t="s">
        <v>2187</v>
      </c>
      <c r="E6688" s="529" t="s">
        <v>3152</v>
      </c>
      <c r="F6688" s="369" t="s">
        <v>2649</v>
      </c>
      <c r="G6688" s="370" t="s">
        <v>2709</v>
      </c>
      <c r="H6688" s="1542"/>
      <c r="I6688" s="1543"/>
      <c r="J6688" s="1543"/>
      <c r="K6688" s="1543"/>
      <c r="L6688" s="1543"/>
      <c r="M6688" s="1543"/>
      <c r="N6688" s="1543"/>
    </row>
    <row r="6689" spans="1:14">
      <c r="A6689" s="1544" t="s">
        <v>3158</v>
      </c>
      <c r="B6689" s="876" t="s">
        <v>3197</v>
      </c>
      <c r="C6689" s="743">
        <v>6</v>
      </c>
      <c r="D6689" s="743"/>
      <c r="E6689" s="379"/>
      <c r="F6689" s="379"/>
      <c r="G6689" s="379"/>
      <c r="H6689" s="380">
        <v>4</v>
      </c>
      <c r="I6689" s="1543"/>
      <c r="J6689" s="1543"/>
      <c r="K6689" s="1543"/>
      <c r="L6689" s="1543"/>
      <c r="M6689" s="1543"/>
      <c r="N6689" s="1543"/>
    </row>
    <row r="6690" spans="1:14">
      <c r="A6690" s="1544"/>
      <c r="B6690" s="876" t="s">
        <v>3198</v>
      </c>
      <c r="C6690" s="743">
        <v>18</v>
      </c>
      <c r="D6690" s="743"/>
      <c r="E6690" s="379"/>
      <c r="F6690" s="379"/>
      <c r="G6690" s="379"/>
      <c r="H6690" s="380">
        <v>16</v>
      </c>
      <c r="I6690" s="1543"/>
      <c r="J6690" s="1543"/>
      <c r="K6690" s="1543"/>
      <c r="L6690" s="1543"/>
      <c r="M6690" s="1543"/>
      <c r="N6690" s="1543"/>
    </row>
    <row r="6691" spans="1:14">
      <c r="A6691" s="1544" t="s">
        <v>3465</v>
      </c>
      <c r="B6691" s="876" t="s">
        <v>3197</v>
      </c>
      <c r="C6691" s="743">
        <v>6</v>
      </c>
      <c r="D6691" s="743"/>
      <c r="E6691" s="379"/>
      <c r="F6691" s="379"/>
      <c r="G6691" s="379"/>
      <c r="H6691" s="380">
        <v>2</v>
      </c>
      <c r="I6691" s="1543"/>
      <c r="J6691" s="1543"/>
      <c r="K6691" s="1543"/>
      <c r="L6691" s="1543"/>
      <c r="M6691" s="1543"/>
      <c r="N6691" s="1543"/>
    </row>
    <row r="6692" spans="1:14">
      <c r="A6692" s="1544"/>
      <c r="B6692" s="876" t="s">
        <v>3198</v>
      </c>
      <c r="C6692" s="743">
        <v>18</v>
      </c>
      <c r="D6692" s="743"/>
      <c r="E6692" s="379"/>
      <c r="F6692" s="379"/>
      <c r="G6692" s="379"/>
      <c r="H6692" s="380">
        <v>2</v>
      </c>
      <c r="I6692" s="1543"/>
      <c r="J6692" s="1543"/>
      <c r="K6692" s="1543"/>
      <c r="L6692" s="1543"/>
      <c r="M6692" s="1543"/>
      <c r="N6692" s="1543"/>
    </row>
    <row r="6693" spans="1:14">
      <c r="A6693" s="1538" t="s">
        <v>2218</v>
      </c>
      <c r="B6693" s="1538"/>
      <c r="C6693" s="1538"/>
      <c r="D6693" s="1538"/>
      <c r="E6693" s="1538"/>
      <c r="F6693" s="1538"/>
      <c r="G6693" s="1538"/>
      <c r="H6693" s="271">
        <f>SUM(H6689:H6692)</f>
        <v>24</v>
      </c>
      <c r="I6693" s="1543"/>
      <c r="J6693" s="1543"/>
      <c r="K6693" s="1543"/>
      <c r="L6693" s="1543"/>
      <c r="M6693" s="1543"/>
      <c r="N6693" s="1543"/>
    </row>
    <row r="6694" spans="1:14" ht="28.15" customHeight="1">
      <c r="A6694" s="1538" t="s">
        <v>2219</v>
      </c>
      <c r="B6694" s="1538"/>
      <c r="C6694" s="1538"/>
      <c r="D6694" s="1538"/>
      <c r="E6694" s="1538"/>
      <c r="F6694" s="1538"/>
      <c r="G6694" s="1538"/>
      <c r="H6694" s="271">
        <f>SUM(H6689:H6690)</f>
        <v>20</v>
      </c>
      <c r="I6694" s="1543"/>
      <c r="J6694" s="1543"/>
      <c r="K6694" s="1543"/>
      <c r="L6694" s="1543"/>
      <c r="M6694" s="1543"/>
      <c r="N6694" s="1543"/>
    </row>
    <row r="6695" spans="1:14">
      <c r="A6695" s="1538" t="s">
        <v>2220</v>
      </c>
      <c r="B6695" s="1538"/>
      <c r="C6695" s="1538"/>
      <c r="D6695" s="1538"/>
      <c r="E6695" s="1538"/>
      <c r="F6695" s="1538"/>
      <c r="G6695" s="1538"/>
      <c r="H6695" s="269">
        <f>H6693-H6694</f>
        <v>4</v>
      </c>
      <c r="I6695" s="1543"/>
      <c r="J6695" s="1543"/>
      <c r="K6695" s="1543"/>
      <c r="L6695" s="1543"/>
      <c r="M6695" s="1543"/>
      <c r="N6695" s="1543"/>
    </row>
    <row r="6696" spans="1:14">
      <c r="A6696" s="278"/>
      <c r="B6696" s="278"/>
      <c r="C6696" s="278"/>
      <c r="D6696" s="281"/>
      <c r="E6696" s="1319"/>
      <c r="F6696" s="278"/>
      <c r="G6696" s="278"/>
      <c r="H6696" s="217"/>
      <c r="I6696" s="279"/>
      <c r="J6696" s="279"/>
      <c r="K6696" s="279"/>
      <c r="L6696" s="279"/>
      <c r="M6696" s="279"/>
      <c r="N6696" s="279"/>
    </row>
    <row r="6697" spans="1:14">
      <c r="A6697" s="1124" t="s">
        <v>3503</v>
      </c>
      <c r="B6697" s="1550" t="s">
        <v>1355</v>
      </c>
      <c r="C6697" s="1550"/>
      <c r="D6697" s="1550"/>
      <c r="E6697" s="1550"/>
      <c r="F6697" s="1550"/>
      <c r="G6697" s="1550"/>
      <c r="H6697" s="1550"/>
      <c r="I6697" s="1550"/>
      <c r="J6697" s="1550"/>
      <c r="K6697" s="864" t="s">
        <v>3154</v>
      </c>
      <c r="L6697" s="1540">
        <f>'27ª MEDIÇÃO '!F495</f>
        <v>22</v>
      </c>
      <c r="M6697" s="1540"/>
      <c r="N6697" s="865">
        <f>L6697-H6702</f>
        <v>0</v>
      </c>
    </row>
    <row r="6698" spans="1:14">
      <c r="A6698" s="1541"/>
      <c r="B6698" s="1541"/>
      <c r="C6698" s="366"/>
      <c r="D6698" s="367" t="s">
        <v>2183</v>
      </c>
      <c r="E6698" s="1320" t="s">
        <v>2184</v>
      </c>
      <c r="F6698" s="367" t="s">
        <v>2185</v>
      </c>
      <c r="G6698" s="367" t="s">
        <v>2186</v>
      </c>
      <c r="H6698" s="1542" t="s">
        <v>476</v>
      </c>
      <c r="I6698" s="1543"/>
      <c r="J6698" s="1543"/>
      <c r="K6698" s="1543"/>
      <c r="L6698" s="1543"/>
      <c r="M6698" s="1543"/>
      <c r="N6698" s="1543"/>
    </row>
    <row r="6699" spans="1:14" ht="24">
      <c r="A6699" s="1541"/>
      <c r="B6699" s="1541"/>
      <c r="C6699" s="368" t="s">
        <v>2627</v>
      </c>
      <c r="D6699" s="369" t="s">
        <v>2187</v>
      </c>
      <c r="E6699" s="529" t="s">
        <v>3152</v>
      </c>
      <c r="F6699" s="369" t="s">
        <v>2649</v>
      </c>
      <c r="G6699" s="370" t="s">
        <v>2709</v>
      </c>
      <c r="H6699" s="1542"/>
      <c r="I6699" s="1543"/>
      <c r="J6699" s="1543"/>
      <c r="K6699" s="1543"/>
      <c r="L6699" s="1543"/>
      <c r="M6699" s="1543"/>
      <c r="N6699" s="1543"/>
    </row>
    <row r="6700" spans="1:14">
      <c r="A6700" s="1544" t="s">
        <v>3465</v>
      </c>
      <c r="B6700" s="876" t="s">
        <v>3197</v>
      </c>
      <c r="C6700" s="743">
        <v>18</v>
      </c>
      <c r="D6700" s="743"/>
      <c r="E6700" s="379">
        <v>1</v>
      </c>
      <c r="F6700" s="379"/>
      <c r="G6700" s="379"/>
      <c r="H6700" s="380">
        <f>E6700*C6700</f>
        <v>18</v>
      </c>
      <c r="I6700" s="1543"/>
      <c r="J6700" s="1543"/>
      <c r="K6700" s="1543"/>
      <c r="L6700" s="1543"/>
      <c r="M6700" s="1543"/>
      <c r="N6700" s="1543"/>
    </row>
    <row r="6701" spans="1:14">
      <c r="A6701" s="1544"/>
      <c r="B6701" s="876" t="s">
        <v>3198</v>
      </c>
      <c r="C6701" s="743">
        <v>4</v>
      </c>
      <c r="D6701" s="743"/>
      <c r="E6701" s="379">
        <v>1</v>
      </c>
      <c r="F6701" s="379"/>
      <c r="G6701" s="379"/>
      <c r="H6701" s="380">
        <f>E6701*C6701</f>
        <v>4</v>
      </c>
      <c r="I6701" s="1543"/>
      <c r="J6701" s="1543"/>
      <c r="K6701" s="1543"/>
      <c r="L6701" s="1543"/>
      <c r="M6701" s="1543"/>
      <c r="N6701" s="1543"/>
    </row>
    <row r="6702" spans="1:14">
      <c r="A6702" s="1538" t="s">
        <v>2218</v>
      </c>
      <c r="B6702" s="1538"/>
      <c r="C6702" s="1538"/>
      <c r="D6702" s="1538"/>
      <c r="E6702" s="1538"/>
      <c r="F6702" s="1538"/>
      <c r="G6702" s="1538"/>
      <c r="H6702" s="271">
        <f>SUM(H6700:H6701)</f>
        <v>22</v>
      </c>
      <c r="I6702" s="1543"/>
      <c r="J6702" s="1543"/>
      <c r="K6702" s="1543"/>
      <c r="L6702" s="1543"/>
      <c r="M6702" s="1543"/>
      <c r="N6702" s="1543"/>
    </row>
    <row r="6703" spans="1:14">
      <c r="A6703" s="1538" t="s">
        <v>2219</v>
      </c>
      <c r="B6703" s="1538"/>
      <c r="C6703" s="1538"/>
      <c r="D6703" s="1538"/>
      <c r="E6703" s="1538"/>
      <c r="F6703" s="1538"/>
      <c r="G6703" s="1538"/>
      <c r="H6703" s="271">
        <f>SUM(H6698)</f>
        <v>0</v>
      </c>
      <c r="I6703" s="1543"/>
      <c r="J6703" s="1543"/>
      <c r="K6703" s="1543"/>
      <c r="L6703" s="1543"/>
      <c r="M6703" s="1543"/>
      <c r="N6703" s="1543"/>
    </row>
    <row r="6704" spans="1:14">
      <c r="A6704" s="1538" t="s">
        <v>2220</v>
      </c>
      <c r="B6704" s="1538"/>
      <c r="C6704" s="1538"/>
      <c r="D6704" s="1538"/>
      <c r="E6704" s="1538"/>
      <c r="F6704" s="1538"/>
      <c r="G6704" s="1538"/>
      <c r="H6704" s="269">
        <f>H6702-H6703</f>
        <v>22</v>
      </c>
      <c r="I6704" s="1543"/>
      <c r="J6704" s="1543"/>
      <c r="K6704" s="1543"/>
      <c r="L6704" s="1543"/>
      <c r="M6704" s="1543"/>
      <c r="N6704" s="1543"/>
    </row>
    <row r="6705" spans="1:14">
      <c r="A6705" s="278"/>
      <c r="B6705" s="278"/>
      <c r="C6705" s="278"/>
      <c r="D6705" s="281"/>
      <c r="E6705" s="1319"/>
      <c r="F6705" s="278"/>
      <c r="G6705" s="278"/>
      <c r="H6705" s="217"/>
      <c r="I6705" s="279"/>
      <c r="J6705" s="279"/>
      <c r="K6705" s="279"/>
      <c r="L6705" s="279"/>
      <c r="M6705" s="279"/>
      <c r="N6705" s="279"/>
    </row>
    <row r="6706" spans="1:14">
      <c r="A6706" s="1124" t="s">
        <v>3504</v>
      </c>
      <c r="B6706" s="1550" t="s">
        <v>1358</v>
      </c>
      <c r="C6706" s="1550"/>
      <c r="D6706" s="1550"/>
      <c r="E6706" s="1550"/>
      <c r="F6706" s="1550"/>
      <c r="G6706" s="1550"/>
      <c r="H6706" s="1550"/>
      <c r="I6706" s="1550"/>
      <c r="J6706" s="1550"/>
      <c r="K6706" s="864" t="s">
        <v>3154</v>
      </c>
      <c r="L6706" s="1540">
        <f>'27ª MEDIÇÃO '!F496</f>
        <v>9</v>
      </c>
      <c r="M6706" s="1540"/>
      <c r="N6706" s="865">
        <f>L6706-H6711</f>
        <v>0</v>
      </c>
    </row>
    <row r="6707" spans="1:14" ht="28.15" customHeight="1">
      <c r="A6707" s="1541"/>
      <c r="B6707" s="1541"/>
      <c r="C6707" s="366"/>
      <c r="D6707" s="367" t="s">
        <v>2183</v>
      </c>
      <c r="E6707" s="1320" t="s">
        <v>2184</v>
      </c>
      <c r="F6707" s="367" t="s">
        <v>2185</v>
      </c>
      <c r="G6707" s="367" t="s">
        <v>2186</v>
      </c>
      <c r="H6707" s="1542" t="s">
        <v>476</v>
      </c>
      <c r="I6707" s="1543"/>
      <c r="J6707" s="1543"/>
      <c r="K6707" s="1543"/>
      <c r="L6707" s="1543"/>
      <c r="M6707" s="1543"/>
      <c r="N6707" s="1543"/>
    </row>
    <row r="6708" spans="1:14" ht="24">
      <c r="A6708" s="1541"/>
      <c r="B6708" s="1541"/>
      <c r="C6708" s="368" t="s">
        <v>2627</v>
      </c>
      <c r="D6708" s="369" t="s">
        <v>2187</v>
      </c>
      <c r="E6708" s="529" t="s">
        <v>3152</v>
      </c>
      <c r="F6708" s="369" t="s">
        <v>2649</v>
      </c>
      <c r="G6708" s="370" t="s">
        <v>2709</v>
      </c>
      <c r="H6708" s="1542"/>
      <c r="I6708" s="1543"/>
      <c r="J6708" s="1543"/>
      <c r="K6708" s="1543"/>
      <c r="L6708" s="1543"/>
      <c r="M6708" s="1543"/>
      <c r="N6708" s="1543"/>
    </row>
    <row r="6709" spans="1:14">
      <c r="A6709" s="1544" t="s">
        <v>3465</v>
      </c>
      <c r="B6709" s="876" t="s">
        <v>3197</v>
      </c>
      <c r="C6709" s="743">
        <v>3</v>
      </c>
      <c r="D6709" s="743"/>
      <c r="E6709" s="379">
        <v>1</v>
      </c>
      <c r="F6709" s="379"/>
      <c r="G6709" s="379"/>
      <c r="H6709" s="380">
        <f>E6709*C6709</f>
        <v>3</v>
      </c>
      <c r="I6709" s="1543"/>
      <c r="J6709" s="1543"/>
      <c r="K6709" s="1543"/>
      <c r="L6709" s="1543"/>
      <c r="M6709" s="1543"/>
      <c r="N6709" s="1543"/>
    </row>
    <row r="6710" spans="1:14">
      <c r="A6710" s="1544"/>
      <c r="B6710" s="876" t="s">
        <v>3198</v>
      </c>
      <c r="C6710" s="743">
        <v>6</v>
      </c>
      <c r="D6710" s="743"/>
      <c r="E6710" s="379">
        <v>1</v>
      </c>
      <c r="F6710" s="379"/>
      <c r="G6710" s="379"/>
      <c r="H6710" s="380">
        <f>E6710*C6710</f>
        <v>6</v>
      </c>
      <c r="I6710" s="1543"/>
      <c r="J6710" s="1543"/>
      <c r="K6710" s="1543"/>
      <c r="L6710" s="1543"/>
      <c r="M6710" s="1543"/>
      <c r="N6710" s="1543"/>
    </row>
    <row r="6711" spans="1:14">
      <c r="A6711" s="1538" t="s">
        <v>2218</v>
      </c>
      <c r="B6711" s="1538"/>
      <c r="C6711" s="1538"/>
      <c r="D6711" s="1538"/>
      <c r="E6711" s="1538"/>
      <c r="F6711" s="1538"/>
      <c r="G6711" s="1538"/>
      <c r="H6711" s="271">
        <f>SUM(H6709:H6710)</f>
        <v>9</v>
      </c>
      <c r="I6711" s="1543"/>
      <c r="J6711" s="1543"/>
      <c r="K6711" s="1543"/>
      <c r="L6711" s="1543"/>
      <c r="M6711" s="1543"/>
      <c r="N6711" s="1543"/>
    </row>
    <row r="6712" spans="1:14">
      <c r="A6712" s="1538" t="s">
        <v>2219</v>
      </c>
      <c r="B6712" s="1538"/>
      <c r="C6712" s="1538"/>
      <c r="D6712" s="1538"/>
      <c r="E6712" s="1538"/>
      <c r="F6712" s="1538"/>
      <c r="G6712" s="1538"/>
      <c r="H6712" s="271">
        <f>SUM(H6707)</f>
        <v>0</v>
      </c>
      <c r="I6712" s="1543"/>
      <c r="J6712" s="1543"/>
      <c r="K6712" s="1543"/>
      <c r="L6712" s="1543"/>
      <c r="M6712" s="1543"/>
      <c r="N6712" s="1543"/>
    </row>
    <row r="6713" spans="1:14">
      <c r="A6713" s="1538" t="s">
        <v>2220</v>
      </c>
      <c r="B6713" s="1538"/>
      <c r="C6713" s="1538"/>
      <c r="D6713" s="1538"/>
      <c r="E6713" s="1538"/>
      <c r="F6713" s="1538"/>
      <c r="G6713" s="1538"/>
      <c r="H6713" s="269">
        <f>H6711-H6712</f>
        <v>9</v>
      </c>
      <c r="I6713" s="1543"/>
      <c r="J6713" s="1543"/>
      <c r="K6713" s="1543"/>
      <c r="L6713" s="1543"/>
      <c r="M6713" s="1543"/>
      <c r="N6713" s="1543"/>
    </row>
    <row r="6714" spans="1:14">
      <c r="A6714" s="278"/>
      <c r="B6714" s="278"/>
      <c r="C6714" s="278"/>
      <c r="D6714" s="281"/>
      <c r="E6714" s="1319"/>
      <c r="F6714" s="278"/>
      <c r="G6714" s="278"/>
      <c r="H6714" s="217"/>
      <c r="I6714" s="279"/>
      <c r="J6714" s="279"/>
      <c r="K6714" s="279"/>
      <c r="L6714" s="279"/>
      <c r="M6714" s="279"/>
      <c r="N6714" s="279"/>
    </row>
    <row r="6715" spans="1:14">
      <c r="A6715" s="1124" t="s">
        <v>3505</v>
      </c>
      <c r="B6715" s="1550" t="s">
        <v>1412</v>
      </c>
      <c r="C6715" s="1550"/>
      <c r="D6715" s="1550"/>
      <c r="E6715" s="1550"/>
      <c r="F6715" s="1550"/>
      <c r="G6715" s="1550"/>
      <c r="H6715" s="1550"/>
      <c r="I6715" s="1550"/>
      <c r="J6715" s="1550"/>
      <c r="K6715" s="864" t="s">
        <v>3154</v>
      </c>
      <c r="L6715" s="1540">
        <f>'27ª MEDIÇÃO '!F497</f>
        <v>6</v>
      </c>
      <c r="M6715" s="1540"/>
      <c r="N6715" s="865">
        <f>L6715-H6720</f>
        <v>0</v>
      </c>
    </row>
    <row r="6716" spans="1:14">
      <c r="A6716" s="1541"/>
      <c r="B6716" s="1541"/>
      <c r="C6716" s="366"/>
      <c r="D6716" s="367" t="s">
        <v>2183</v>
      </c>
      <c r="E6716" s="1320" t="s">
        <v>2184</v>
      </c>
      <c r="F6716" s="367" t="s">
        <v>2185</v>
      </c>
      <c r="G6716" s="367" t="s">
        <v>2186</v>
      </c>
      <c r="H6716" s="1542" t="s">
        <v>476</v>
      </c>
      <c r="I6716" s="1543"/>
      <c r="J6716" s="1543"/>
      <c r="K6716" s="1543"/>
      <c r="L6716" s="1543"/>
      <c r="M6716" s="1543"/>
      <c r="N6716" s="1543"/>
    </row>
    <row r="6717" spans="1:14" ht="24">
      <c r="A6717" s="1541"/>
      <c r="B6717" s="1541"/>
      <c r="C6717" s="368" t="s">
        <v>2627</v>
      </c>
      <c r="D6717" s="369" t="s">
        <v>2187</v>
      </c>
      <c r="E6717" s="529" t="s">
        <v>3152</v>
      </c>
      <c r="F6717" s="369" t="s">
        <v>2649</v>
      </c>
      <c r="G6717" s="370" t="s">
        <v>2709</v>
      </c>
      <c r="H6717" s="1542"/>
      <c r="I6717" s="1543"/>
      <c r="J6717" s="1543"/>
      <c r="K6717" s="1543"/>
      <c r="L6717" s="1543"/>
      <c r="M6717" s="1543"/>
      <c r="N6717" s="1543"/>
    </row>
    <row r="6718" spans="1:14">
      <c r="A6718" s="1544" t="s">
        <v>3465</v>
      </c>
      <c r="B6718" s="876" t="s">
        <v>3197</v>
      </c>
      <c r="C6718" s="743">
        <v>3</v>
      </c>
      <c r="D6718" s="743"/>
      <c r="E6718" s="379">
        <v>1</v>
      </c>
      <c r="F6718" s="379"/>
      <c r="G6718" s="379"/>
      <c r="H6718" s="380">
        <f>E6718*C6718</f>
        <v>3</v>
      </c>
      <c r="I6718" s="1543"/>
      <c r="J6718" s="1543"/>
      <c r="K6718" s="1543"/>
      <c r="L6718" s="1543"/>
      <c r="M6718" s="1543"/>
      <c r="N6718" s="1543"/>
    </row>
    <row r="6719" spans="1:14">
      <c r="A6719" s="1544"/>
      <c r="B6719" s="876" t="s">
        <v>3198</v>
      </c>
      <c r="C6719" s="743">
        <v>3</v>
      </c>
      <c r="D6719" s="743"/>
      <c r="E6719" s="379">
        <v>1</v>
      </c>
      <c r="F6719" s="379"/>
      <c r="G6719" s="379"/>
      <c r="H6719" s="380">
        <f>E6719*C6719</f>
        <v>3</v>
      </c>
      <c r="I6719" s="1543"/>
      <c r="J6719" s="1543"/>
      <c r="K6719" s="1543"/>
      <c r="L6719" s="1543"/>
      <c r="M6719" s="1543"/>
      <c r="N6719" s="1543"/>
    </row>
    <row r="6720" spans="1:14">
      <c r="A6720" s="1538" t="s">
        <v>2218</v>
      </c>
      <c r="B6720" s="1538"/>
      <c r="C6720" s="1538"/>
      <c r="D6720" s="1538"/>
      <c r="E6720" s="1538"/>
      <c r="F6720" s="1538"/>
      <c r="G6720" s="1538"/>
      <c r="H6720" s="271">
        <f>SUM(H6718:H6719)</f>
        <v>6</v>
      </c>
      <c r="I6720" s="1543"/>
      <c r="J6720" s="1543"/>
      <c r="K6720" s="1543"/>
      <c r="L6720" s="1543"/>
      <c r="M6720" s="1543"/>
      <c r="N6720" s="1543"/>
    </row>
    <row r="6721" spans="1:14">
      <c r="A6721" s="1538" t="s">
        <v>2219</v>
      </c>
      <c r="B6721" s="1538"/>
      <c r="C6721" s="1538"/>
      <c r="D6721" s="1538"/>
      <c r="E6721" s="1538"/>
      <c r="F6721" s="1538"/>
      <c r="G6721" s="1538"/>
      <c r="H6721" s="271">
        <f>SUM(H6716)</f>
        <v>0</v>
      </c>
      <c r="I6721" s="1543"/>
      <c r="J6721" s="1543"/>
      <c r="K6721" s="1543"/>
      <c r="L6721" s="1543"/>
      <c r="M6721" s="1543"/>
      <c r="N6721" s="1543"/>
    </row>
    <row r="6722" spans="1:14" ht="28.15" customHeight="1">
      <c r="A6722" s="1538" t="s">
        <v>2220</v>
      </c>
      <c r="B6722" s="1538"/>
      <c r="C6722" s="1538"/>
      <c r="D6722" s="1538"/>
      <c r="E6722" s="1538"/>
      <c r="F6722" s="1538"/>
      <c r="G6722" s="1538"/>
      <c r="H6722" s="269">
        <f>H6720-H6721</f>
        <v>6</v>
      </c>
      <c r="I6722" s="1543"/>
      <c r="J6722" s="1543"/>
      <c r="K6722" s="1543"/>
      <c r="L6722" s="1543"/>
      <c r="M6722" s="1543"/>
      <c r="N6722" s="1543"/>
    </row>
    <row r="6723" spans="1:14">
      <c r="A6723" s="278"/>
      <c r="B6723" s="278"/>
      <c r="C6723" s="278"/>
      <c r="D6723" s="281"/>
      <c r="E6723" s="1319"/>
      <c r="F6723" s="278"/>
      <c r="G6723" s="278"/>
      <c r="H6723" s="217"/>
      <c r="I6723" s="279"/>
      <c r="J6723" s="279"/>
      <c r="K6723" s="279"/>
      <c r="L6723" s="279"/>
      <c r="M6723" s="279"/>
      <c r="N6723" s="279"/>
    </row>
    <row r="6724" spans="1:14">
      <c r="A6724" s="1124" t="s">
        <v>3506</v>
      </c>
      <c r="B6724" s="1550" t="s">
        <v>1433</v>
      </c>
      <c r="C6724" s="1550"/>
      <c r="D6724" s="1550"/>
      <c r="E6724" s="1550"/>
      <c r="F6724" s="1550"/>
      <c r="G6724" s="1550"/>
      <c r="H6724" s="1550"/>
      <c r="I6724" s="1550"/>
      <c r="J6724" s="1550"/>
      <c r="K6724" s="864" t="s">
        <v>3154</v>
      </c>
      <c r="L6724" s="1540">
        <f>'27ª MEDIÇÃO '!F498</f>
        <v>76</v>
      </c>
      <c r="M6724" s="1540"/>
      <c r="N6724" s="865">
        <f>L6724-H6731</f>
        <v>0</v>
      </c>
    </row>
    <row r="6725" spans="1:14">
      <c r="A6725" s="1541"/>
      <c r="B6725" s="1541"/>
      <c r="C6725" s="366"/>
      <c r="D6725" s="367" t="s">
        <v>2183</v>
      </c>
      <c r="E6725" s="1320" t="s">
        <v>2184</v>
      </c>
      <c r="F6725" s="367" t="s">
        <v>2185</v>
      </c>
      <c r="G6725" s="367" t="s">
        <v>2186</v>
      </c>
      <c r="H6725" s="1542" t="s">
        <v>476</v>
      </c>
      <c r="I6725" s="1543"/>
      <c r="J6725" s="1543"/>
      <c r="K6725" s="1543"/>
      <c r="L6725" s="1543"/>
      <c r="M6725" s="1543"/>
      <c r="N6725" s="1543"/>
    </row>
    <row r="6726" spans="1:14" ht="24">
      <c r="A6726" s="1541"/>
      <c r="B6726" s="1541"/>
      <c r="C6726" s="368" t="s">
        <v>2627</v>
      </c>
      <c r="D6726" s="369" t="s">
        <v>2187</v>
      </c>
      <c r="E6726" s="529" t="s">
        <v>3152</v>
      </c>
      <c r="F6726" s="369" t="s">
        <v>2649</v>
      </c>
      <c r="G6726" s="370" t="s">
        <v>2709</v>
      </c>
      <c r="H6726" s="1542"/>
      <c r="I6726" s="1543"/>
      <c r="J6726" s="1543"/>
      <c r="K6726" s="1543"/>
      <c r="L6726" s="1543"/>
      <c r="M6726" s="1543"/>
      <c r="N6726" s="1543"/>
    </row>
    <row r="6727" spans="1:14">
      <c r="A6727" s="1544" t="s">
        <v>3465</v>
      </c>
      <c r="B6727" s="876" t="s">
        <v>3197</v>
      </c>
      <c r="C6727" s="743">
        <v>43</v>
      </c>
      <c r="D6727" s="743"/>
      <c r="E6727" s="379">
        <v>0.8</v>
      </c>
      <c r="F6727" s="379"/>
      <c r="G6727" s="379"/>
      <c r="H6727" s="380">
        <v>32</v>
      </c>
      <c r="I6727" s="1543"/>
      <c r="J6727" s="1543"/>
      <c r="K6727" s="1543"/>
      <c r="L6727" s="1543"/>
      <c r="M6727" s="1543"/>
      <c r="N6727" s="1543"/>
    </row>
    <row r="6728" spans="1:14">
      <c r="A6728" s="1544"/>
      <c r="B6728" s="876" t="s">
        <v>3198</v>
      </c>
      <c r="C6728" s="743">
        <v>33</v>
      </c>
      <c r="D6728" s="743"/>
      <c r="E6728" s="379">
        <v>0.8</v>
      </c>
      <c r="F6728" s="379"/>
      <c r="G6728" s="379"/>
      <c r="H6728" s="380">
        <v>26.4</v>
      </c>
      <c r="I6728" s="1543"/>
      <c r="J6728" s="1543"/>
      <c r="K6728" s="1543"/>
      <c r="L6728" s="1543"/>
      <c r="M6728" s="1543"/>
      <c r="N6728" s="1543"/>
    </row>
    <row r="6729" spans="1:14">
      <c r="A6729" s="1544" t="s">
        <v>3521</v>
      </c>
      <c r="B6729" s="876" t="s">
        <v>3197</v>
      </c>
      <c r="C6729" s="743">
        <v>43</v>
      </c>
      <c r="D6729" s="743"/>
      <c r="E6729" s="379">
        <v>0.2</v>
      </c>
      <c r="F6729" s="379"/>
      <c r="G6729" s="379"/>
      <c r="H6729" s="380">
        <v>11</v>
      </c>
      <c r="I6729" s="1543"/>
      <c r="J6729" s="1543"/>
      <c r="K6729" s="1543"/>
      <c r="L6729" s="1543"/>
      <c r="M6729" s="1543"/>
      <c r="N6729" s="1543"/>
    </row>
    <row r="6730" spans="1:14">
      <c r="A6730" s="1544"/>
      <c r="B6730" s="876" t="s">
        <v>3198</v>
      </c>
      <c r="C6730" s="743">
        <v>33</v>
      </c>
      <c r="D6730" s="743"/>
      <c r="E6730" s="379">
        <v>0.2</v>
      </c>
      <c r="F6730" s="379"/>
      <c r="G6730" s="379"/>
      <c r="H6730" s="380">
        <f>E6730*C6730</f>
        <v>6.6000000000000005</v>
      </c>
      <c r="I6730" s="1543"/>
      <c r="J6730" s="1543"/>
      <c r="K6730" s="1543"/>
      <c r="L6730" s="1543"/>
      <c r="M6730" s="1543"/>
      <c r="N6730" s="1543"/>
    </row>
    <row r="6731" spans="1:14">
      <c r="A6731" s="1538" t="s">
        <v>2218</v>
      </c>
      <c r="B6731" s="1538"/>
      <c r="C6731" s="1538"/>
      <c r="D6731" s="1538"/>
      <c r="E6731" s="1538"/>
      <c r="F6731" s="1538"/>
      <c r="G6731" s="1538"/>
      <c r="H6731" s="271">
        <f>SUM(H6727:H6730)</f>
        <v>76</v>
      </c>
      <c r="I6731" s="1543"/>
      <c r="J6731" s="1543"/>
      <c r="K6731" s="1543"/>
      <c r="L6731" s="1543"/>
      <c r="M6731" s="1543"/>
      <c r="N6731" s="1543"/>
    </row>
    <row r="6732" spans="1:14">
      <c r="A6732" s="1538" t="s">
        <v>2219</v>
      </c>
      <c r="B6732" s="1538"/>
      <c r="C6732" s="1538"/>
      <c r="D6732" s="1538"/>
      <c r="E6732" s="1538"/>
      <c r="F6732" s="1538"/>
      <c r="G6732" s="1538"/>
      <c r="H6732" s="271">
        <f>SUM(H6725:H6728)</f>
        <v>58.4</v>
      </c>
      <c r="I6732" s="1543"/>
      <c r="J6732" s="1543"/>
      <c r="K6732" s="1543"/>
      <c r="L6732" s="1543"/>
      <c r="M6732" s="1543"/>
      <c r="N6732" s="1543"/>
    </row>
    <row r="6733" spans="1:14">
      <c r="A6733" s="1538" t="s">
        <v>2220</v>
      </c>
      <c r="B6733" s="1538"/>
      <c r="C6733" s="1538"/>
      <c r="D6733" s="1538"/>
      <c r="E6733" s="1538"/>
      <c r="F6733" s="1538"/>
      <c r="G6733" s="1538"/>
      <c r="H6733" s="269">
        <f>H6731-H6732</f>
        <v>17.600000000000001</v>
      </c>
      <c r="I6733" s="1543"/>
      <c r="J6733" s="1543"/>
      <c r="K6733" s="1543"/>
      <c r="L6733" s="1543"/>
      <c r="M6733" s="1543"/>
      <c r="N6733" s="1543"/>
    </row>
    <row r="6734" spans="1:14">
      <c r="A6734" s="385"/>
      <c r="B6734" s="385"/>
      <c r="C6734" s="385"/>
      <c r="D6734" s="385"/>
      <c r="E6734" s="1366"/>
      <c r="F6734" s="385"/>
      <c r="G6734" s="385"/>
      <c r="H6734" s="269"/>
      <c r="I6734" s="940"/>
      <c r="J6734" s="940"/>
      <c r="K6734" s="940"/>
      <c r="L6734" s="940"/>
      <c r="M6734" s="940"/>
      <c r="N6734" s="940"/>
    </row>
    <row r="6735" spans="1:14">
      <c r="A6735" s="1114" t="s">
        <v>3605</v>
      </c>
      <c r="B6735" s="1549" t="s">
        <v>3606</v>
      </c>
      <c r="C6735" s="1549"/>
      <c r="D6735" s="1549"/>
      <c r="E6735" s="1549"/>
      <c r="F6735" s="1549"/>
      <c r="G6735" s="1549"/>
      <c r="H6735" s="1549"/>
      <c r="I6735" s="1549"/>
      <c r="J6735" s="1549"/>
      <c r="K6735" s="1549"/>
      <c r="L6735" s="1549"/>
      <c r="M6735" s="1549"/>
      <c r="N6735" s="1549"/>
    </row>
    <row r="6736" spans="1:14">
      <c r="A6736" s="1124" t="s">
        <v>3607</v>
      </c>
      <c r="B6736" s="1539" t="s">
        <v>1710</v>
      </c>
      <c r="C6736" s="1539"/>
      <c r="D6736" s="1539"/>
      <c r="E6736" s="1539"/>
      <c r="F6736" s="1539"/>
      <c r="G6736" s="1539"/>
      <c r="H6736" s="1539"/>
      <c r="I6736" s="1539"/>
      <c r="J6736" s="1539"/>
      <c r="K6736" s="864" t="s">
        <v>3154</v>
      </c>
      <c r="L6736" s="1540">
        <f>'27ª MEDIÇÃO '!F500</f>
        <v>111</v>
      </c>
      <c r="M6736" s="1540"/>
      <c r="N6736" s="865">
        <f>L6736-H6742</f>
        <v>0</v>
      </c>
    </row>
    <row r="6737" spans="1:14" ht="28.15" customHeight="1">
      <c r="A6737" s="1541"/>
      <c r="B6737" s="1541"/>
      <c r="C6737" s="366"/>
      <c r="D6737" s="367" t="s">
        <v>2183</v>
      </c>
      <c r="E6737" s="1320" t="s">
        <v>2184</v>
      </c>
      <c r="F6737" s="367" t="s">
        <v>2185</v>
      </c>
      <c r="G6737" s="367" t="s">
        <v>2186</v>
      </c>
      <c r="H6737" s="1542" t="s">
        <v>476</v>
      </c>
      <c r="I6737" s="1543"/>
      <c r="J6737" s="1543"/>
      <c r="K6737" s="1543"/>
      <c r="L6737" s="1543"/>
      <c r="M6737" s="1543"/>
      <c r="N6737" s="1543"/>
    </row>
    <row r="6738" spans="1:14" ht="24">
      <c r="A6738" s="1541"/>
      <c r="B6738" s="1541"/>
      <c r="C6738" s="368" t="s">
        <v>2627</v>
      </c>
      <c r="D6738" s="369" t="s">
        <v>2187</v>
      </c>
      <c r="E6738" s="529" t="s">
        <v>3152</v>
      </c>
      <c r="F6738" s="369" t="s">
        <v>2649</v>
      </c>
      <c r="G6738" s="370" t="s">
        <v>2709</v>
      </c>
      <c r="H6738" s="1542"/>
      <c r="I6738" s="1543"/>
      <c r="J6738" s="1543"/>
      <c r="K6738" s="1543"/>
      <c r="L6738" s="1543"/>
      <c r="M6738" s="1543"/>
      <c r="N6738" s="1543"/>
    </row>
    <row r="6739" spans="1:14">
      <c r="A6739" s="1544" t="s">
        <v>4143</v>
      </c>
      <c r="B6739" s="876"/>
      <c r="C6739" s="743"/>
      <c r="D6739" s="743"/>
      <c r="E6739" s="379"/>
      <c r="F6739" s="379"/>
      <c r="G6739" s="379"/>
      <c r="H6739" s="380"/>
      <c r="I6739" s="1543"/>
      <c r="J6739" s="1543"/>
      <c r="K6739" s="1543"/>
      <c r="L6739" s="1543"/>
      <c r="M6739" s="1543"/>
      <c r="N6739" s="1543"/>
    </row>
    <row r="6740" spans="1:14">
      <c r="A6740" s="1544"/>
      <c r="B6740" s="876" t="s">
        <v>3199</v>
      </c>
      <c r="C6740" s="743">
        <v>45</v>
      </c>
      <c r="D6740" s="743"/>
      <c r="E6740" s="379"/>
      <c r="F6740" s="379"/>
      <c r="G6740" s="379"/>
      <c r="H6740" s="380">
        <f>C6740</f>
        <v>45</v>
      </c>
      <c r="I6740" s="1543"/>
      <c r="J6740" s="1543"/>
      <c r="K6740" s="1543"/>
      <c r="L6740" s="1543"/>
      <c r="M6740" s="1543"/>
      <c r="N6740" s="1543"/>
    </row>
    <row r="6741" spans="1:14">
      <c r="A6741" s="1544"/>
      <c r="B6741" s="876" t="s">
        <v>3198</v>
      </c>
      <c r="C6741" s="743">
        <v>66</v>
      </c>
      <c r="D6741" s="743"/>
      <c r="E6741" s="379"/>
      <c r="F6741" s="379"/>
      <c r="G6741" s="379"/>
      <c r="H6741" s="380">
        <f>C6741</f>
        <v>66</v>
      </c>
      <c r="I6741" s="1543"/>
      <c r="J6741" s="1543"/>
      <c r="K6741" s="1543"/>
      <c r="L6741" s="1543"/>
      <c r="M6741" s="1543"/>
      <c r="N6741" s="1543"/>
    </row>
    <row r="6742" spans="1:14">
      <c r="A6742" s="1538" t="s">
        <v>2218</v>
      </c>
      <c r="B6742" s="1538"/>
      <c r="C6742" s="1538"/>
      <c r="D6742" s="1538"/>
      <c r="E6742" s="1538"/>
      <c r="F6742" s="1538"/>
      <c r="G6742" s="1538"/>
      <c r="H6742" s="271">
        <f>SUM(H6740:H6741)</f>
        <v>111</v>
      </c>
      <c r="I6742" s="1543"/>
      <c r="J6742" s="1543"/>
      <c r="K6742" s="1543"/>
      <c r="L6742" s="1543"/>
      <c r="M6742" s="1543"/>
      <c r="N6742" s="1543"/>
    </row>
    <row r="6743" spans="1:14">
      <c r="A6743" s="1538" t="s">
        <v>2219</v>
      </c>
      <c r="B6743" s="1538"/>
      <c r="C6743" s="1538"/>
      <c r="D6743" s="1538"/>
      <c r="E6743" s="1538"/>
      <c r="F6743" s="1538"/>
      <c r="G6743" s="1538"/>
      <c r="H6743" s="271">
        <f>SUM(H6739)</f>
        <v>0</v>
      </c>
      <c r="I6743" s="1543"/>
      <c r="J6743" s="1543"/>
      <c r="K6743" s="1543"/>
      <c r="L6743" s="1543"/>
      <c r="M6743" s="1543"/>
      <c r="N6743" s="1543"/>
    </row>
    <row r="6744" spans="1:14">
      <c r="A6744" s="1538" t="s">
        <v>2220</v>
      </c>
      <c r="B6744" s="1538"/>
      <c r="C6744" s="1538"/>
      <c r="D6744" s="1538"/>
      <c r="E6744" s="1538"/>
      <c r="F6744" s="1538"/>
      <c r="G6744" s="1538"/>
      <c r="H6744" s="269">
        <f>H6742-H6743</f>
        <v>111</v>
      </c>
      <c r="I6744" s="1543"/>
      <c r="J6744" s="1543"/>
      <c r="K6744" s="1543"/>
      <c r="L6744" s="1543"/>
      <c r="M6744" s="1543"/>
      <c r="N6744" s="1543"/>
    </row>
    <row r="6745" spans="1:14">
      <c r="A6745" s="385"/>
      <c r="B6745" s="385"/>
      <c r="C6745" s="385"/>
      <c r="D6745" s="367"/>
      <c r="E6745" s="1366"/>
      <c r="F6745" s="385"/>
      <c r="G6745" s="385"/>
      <c r="H6745" s="269"/>
      <c r="I6745" s="940"/>
      <c r="J6745" s="940"/>
      <c r="K6745" s="940"/>
      <c r="L6745" s="940"/>
      <c r="M6745" s="940"/>
      <c r="N6745" s="940"/>
    </row>
    <row r="6746" spans="1:14">
      <c r="A6746" s="1124" t="s">
        <v>3608</v>
      </c>
      <c r="B6746" s="1539" t="s">
        <v>1713</v>
      </c>
      <c r="C6746" s="1539"/>
      <c r="D6746" s="1539"/>
      <c r="E6746" s="1539"/>
      <c r="F6746" s="1539"/>
      <c r="G6746" s="1539"/>
      <c r="H6746" s="1539"/>
      <c r="I6746" s="1539"/>
      <c r="J6746" s="1539"/>
      <c r="K6746" s="864" t="s">
        <v>3154</v>
      </c>
      <c r="L6746" s="1540">
        <f>'27ª MEDIÇÃO '!F501</f>
        <v>4737</v>
      </c>
      <c r="M6746" s="1540"/>
      <c r="N6746" s="865">
        <f>L6746-H6757</f>
        <v>0</v>
      </c>
    </row>
    <row r="6747" spans="1:14">
      <c r="A6747" s="1541"/>
      <c r="B6747" s="1541"/>
      <c r="C6747" s="366"/>
      <c r="D6747" s="367" t="s">
        <v>2183</v>
      </c>
      <c r="E6747" s="1320" t="s">
        <v>2184</v>
      </c>
      <c r="F6747" s="367" t="s">
        <v>2185</v>
      </c>
      <c r="G6747" s="367" t="s">
        <v>2186</v>
      </c>
      <c r="H6747" s="1542" t="s">
        <v>476</v>
      </c>
      <c r="I6747" s="1543"/>
      <c r="J6747" s="1543"/>
      <c r="K6747" s="1543"/>
      <c r="L6747" s="1543"/>
      <c r="M6747" s="1543"/>
      <c r="N6747" s="1543"/>
    </row>
    <row r="6748" spans="1:14" ht="24">
      <c r="A6748" s="1541"/>
      <c r="B6748" s="1541"/>
      <c r="C6748" s="368" t="s">
        <v>2627</v>
      </c>
      <c r="D6748" s="369" t="s">
        <v>2187</v>
      </c>
      <c r="E6748" s="529" t="s">
        <v>3152</v>
      </c>
      <c r="F6748" s="369" t="s">
        <v>2649</v>
      </c>
      <c r="G6748" s="370" t="s">
        <v>2709</v>
      </c>
      <c r="H6748" s="1542"/>
      <c r="I6748" s="1543"/>
      <c r="J6748" s="1543"/>
      <c r="K6748" s="1543"/>
      <c r="L6748" s="1543"/>
      <c r="M6748" s="1543"/>
      <c r="N6748" s="1543"/>
    </row>
    <row r="6749" spans="1:14">
      <c r="A6749" s="1544" t="s">
        <v>3569</v>
      </c>
      <c r="B6749" s="876"/>
      <c r="C6749" s="743"/>
      <c r="D6749" s="743"/>
      <c r="E6749" s="1367"/>
      <c r="F6749" s="743"/>
      <c r="G6749" s="743"/>
      <c r="H6749" s="1029"/>
      <c r="I6749" s="1543"/>
      <c r="J6749" s="1543"/>
      <c r="K6749" s="1543"/>
      <c r="L6749" s="1543"/>
      <c r="M6749" s="1543"/>
      <c r="N6749" s="1543"/>
    </row>
    <row r="6750" spans="1:14">
      <c r="A6750" s="1544"/>
      <c r="B6750" s="876" t="s">
        <v>3197</v>
      </c>
      <c r="C6750" s="743">
        <v>2732</v>
      </c>
      <c r="D6750" s="743"/>
      <c r="E6750" s="1367">
        <v>0.1</v>
      </c>
      <c r="F6750" s="743"/>
      <c r="G6750" s="743"/>
      <c r="H6750" s="1029">
        <f>C6750*E6750</f>
        <v>273.2</v>
      </c>
      <c r="I6750" s="1543"/>
      <c r="J6750" s="1543"/>
      <c r="K6750" s="1543"/>
      <c r="L6750" s="1543"/>
      <c r="M6750" s="1543"/>
      <c r="N6750" s="1543"/>
    </row>
    <row r="6751" spans="1:14">
      <c r="A6751" s="1544"/>
      <c r="B6751" s="1031" t="s">
        <v>3198</v>
      </c>
      <c r="C6751" s="1021">
        <v>2005</v>
      </c>
      <c r="D6751" s="1021"/>
      <c r="E6751" s="1368">
        <v>0.4</v>
      </c>
      <c r="F6751" s="1021"/>
      <c r="G6751" s="1021"/>
      <c r="H6751" s="1032">
        <f>C6751*E6751</f>
        <v>802</v>
      </c>
      <c r="I6751" s="1543"/>
      <c r="J6751" s="1543"/>
      <c r="K6751" s="1543"/>
      <c r="L6751" s="1543"/>
      <c r="M6751" s="1543"/>
      <c r="N6751" s="1543"/>
    </row>
    <row r="6752" spans="1:14" ht="21.6" customHeight="1">
      <c r="A6752" s="1544" t="s">
        <v>3620</v>
      </c>
      <c r="B6752" s="801"/>
      <c r="C6752" s="317"/>
      <c r="D6752" s="317"/>
      <c r="E6752" s="1315"/>
      <c r="F6752" s="317"/>
      <c r="G6752" s="317"/>
      <c r="H6752" s="1030"/>
      <c r="I6752" s="1543"/>
      <c r="J6752" s="1543"/>
      <c r="K6752" s="1543"/>
      <c r="L6752" s="1543"/>
      <c r="M6752" s="1543"/>
      <c r="N6752" s="1543"/>
    </row>
    <row r="6753" spans="1:14" ht="28.15" customHeight="1">
      <c r="A6753" s="1544"/>
      <c r="B6753" s="876" t="s">
        <v>3197</v>
      </c>
      <c r="C6753" s="743">
        <v>2732</v>
      </c>
      <c r="D6753" s="743"/>
      <c r="E6753" s="1367">
        <v>0.1</v>
      </c>
      <c r="F6753" s="743"/>
      <c r="G6753" s="743"/>
      <c r="H6753" s="1029">
        <f>C6753*E6753</f>
        <v>273.2</v>
      </c>
      <c r="I6753" s="1543"/>
      <c r="J6753" s="1543"/>
      <c r="K6753" s="1543"/>
      <c r="L6753" s="1543"/>
      <c r="M6753" s="1543"/>
      <c r="N6753" s="1543"/>
    </row>
    <row r="6754" spans="1:14">
      <c r="A6754" s="1544"/>
      <c r="B6754" s="876" t="s">
        <v>3198</v>
      </c>
      <c r="C6754" s="743">
        <v>2005</v>
      </c>
      <c r="D6754" s="743"/>
      <c r="E6754" s="1367">
        <v>0.4</v>
      </c>
      <c r="F6754" s="743"/>
      <c r="G6754" s="743"/>
      <c r="H6754" s="1029">
        <f>C6754*E6754</f>
        <v>802</v>
      </c>
      <c r="I6754" s="1543"/>
      <c r="J6754" s="1543"/>
      <c r="K6754" s="1543"/>
      <c r="L6754" s="1543"/>
      <c r="M6754" s="1543"/>
      <c r="N6754" s="1543"/>
    </row>
    <row r="6755" spans="1:14">
      <c r="A6755" s="1514" t="s">
        <v>3981</v>
      </c>
      <c r="B6755" s="876" t="s">
        <v>3197</v>
      </c>
      <c r="C6755" s="743">
        <v>2732</v>
      </c>
      <c r="D6755" s="237"/>
      <c r="E6755" s="1369">
        <v>0.8</v>
      </c>
      <c r="F6755" s="237"/>
      <c r="G6755" s="237"/>
      <c r="H6755" s="1248">
        <f>C6755*E6755</f>
        <v>2185.6</v>
      </c>
      <c r="I6755" s="1543"/>
      <c r="J6755" s="1543"/>
      <c r="K6755" s="1543"/>
      <c r="L6755" s="1543"/>
      <c r="M6755" s="1543"/>
      <c r="N6755" s="1543"/>
    </row>
    <row r="6756" spans="1:14">
      <c r="A6756" s="1515"/>
      <c r="B6756" s="876" t="s">
        <v>3198</v>
      </c>
      <c r="C6756" s="743">
        <v>2005</v>
      </c>
      <c r="D6756" s="237"/>
      <c r="E6756" s="1369">
        <v>0.2</v>
      </c>
      <c r="F6756" s="237"/>
      <c r="G6756" s="237"/>
      <c r="H6756" s="1248">
        <f>C6756*E6756</f>
        <v>401</v>
      </c>
      <c r="I6756" s="1543"/>
      <c r="J6756" s="1543"/>
      <c r="K6756" s="1543"/>
      <c r="L6756" s="1543"/>
      <c r="M6756" s="1543"/>
      <c r="N6756" s="1543"/>
    </row>
    <row r="6757" spans="1:14">
      <c r="A6757" s="1538" t="s">
        <v>2218</v>
      </c>
      <c r="B6757" s="1538"/>
      <c r="C6757" s="1538"/>
      <c r="D6757" s="1538"/>
      <c r="E6757" s="1538"/>
      <c r="F6757" s="1538"/>
      <c r="G6757" s="1538"/>
      <c r="H6757" s="271">
        <f>SUM(H6749:H6756)</f>
        <v>4737</v>
      </c>
      <c r="I6757" s="1543"/>
      <c r="J6757" s="1543"/>
      <c r="K6757" s="1543"/>
      <c r="L6757" s="1543"/>
      <c r="M6757" s="1543"/>
      <c r="N6757" s="1543"/>
    </row>
    <row r="6758" spans="1:14">
      <c r="A6758" s="1538" t="s">
        <v>2219</v>
      </c>
      <c r="B6758" s="1538"/>
      <c r="C6758" s="1538"/>
      <c r="D6758" s="1538"/>
      <c r="E6758" s="1538"/>
      <c r="F6758" s="1538"/>
      <c r="G6758" s="1538"/>
      <c r="H6758" s="271">
        <f>SUM(H6749:H6754)</f>
        <v>2150.4</v>
      </c>
      <c r="I6758" s="1543"/>
      <c r="J6758" s="1543"/>
      <c r="K6758" s="1543"/>
      <c r="L6758" s="1543"/>
      <c r="M6758" s="1543"/>
      <c r="N6758" s="1543"/>
    </row>
    <row r="6759" spans="1:14">
      <c r="A6759" s="1538" t="s">
        <v>2220</v>
      </c>
      <c r="B6759" s="1538"/>
      <c r="C6759" s="1538"/>
      <c r="D6759" s="1538"/>
      <c r="E6759" s="1538"/>
      <c r="F6759" s="1538"/>
      <c r="G6759" s="1538"/>
      <c r="H6759" s="269">
        <f>H6757-H6758</f>
        <v>2586.6</v>
      </c>
      <c r="I6759" s="1543"/>
      <c r="J6759" s="1543"/>
      <c r="K6759" s="1543"/>
      <c r="L6759" s="1543"/>
      <c r="M6759" s="1543"/>
      <c r="N6759" s="1543"/>
    </row>
    <row r="6760" spans="1:14">
      <c r="A6760" s="1124" t="s">
        <v>4150</v>
      </c>
      <c r="B6760" s="1539" t="str">
        <f>'27ª MEDIÇÃO '!C502</f>
        <v>Cabo telefônico CI, diâmetro do condutor 50mm, 50 pares</v>
      </c>
      <c r="C6760" s="1539"/>
      <c r="D6760" s="1539"/>
      <c r="E6760" s="1539"/>
      <c r="F6760" s="1539"/>
      <c r="G6760" s="1539"/>
      <c r="H6760" s="1539"/>
      <c r="I6760" s="1539"/>
      <c r="J6760" s="1539"/>
      <c r="K6760" s="864" t="s">
        <v>3154</v>
      </c>
      <c r="L6760" s="1540">
        <f>'27ª MEDIÇÃO '!F502</f>
        <v>12</v>
      </c>
      <c r="M6760" s="1540"/>
      <c r="N6760" s="865">
        <f>L6760-H6766</f>
        <v>0</v>
      </c>
    </row>
    <row r="6761" spans="1:14" ht="28.15" customHeight="1">
      <c r="A6761" s="1541"/>
      <c r="B6761" s="1541"/>
      <c r="C6761" s="366"/>
      <c r="D6761" s="367" t="s">
        <v>2183</v>
      </c>
      <c r="E6761" s="1320" t="s">
        <v>2184</v>
      </c>
      <c r="F6761" s="367" t="s">
        <v>2185</v>
      </c>
      <c r="G6761" s="367" t="s">
        <v>2186</v>
      </c>
      <c r="H6761" s="1542" t="s">
        <v>476</v>
      </c>
      <c r="I6761" s="1543"/>
      <c r="J6761" s="1543"/>
      <c r="K6761" s="1543"/>
      <c r="L6761" s="1543"/>
      <c r="M6761" s="1543"/>
      <c r="N6761" s="1543"/>
    </row>
    <row r="6762" spans="1:14" ht="24">
      <c r="A6762" s="1541"/>
      <c r="B6762" s="1541"/>
      <c r="C6762" s="368" t="s">
        <v>2627</v>
      </c>
      <c r="D6762" s="369" t="s">
        <v>2187</v>
      </c>
      <c r="E6762" s="529" t="s">
        <v>3152</v>
      </c>
      <c r="F6762" s="369" t="s">
        <v>2649</v>
      </c>
      <c r="G6762" s="370" t="s">
        <v>2709</v>
      </c>
      <c r="H6762" s="1542"/>
      <c r="I6762" s="1543"/>
      <c r="J6762" s="1543"/>
      <c r="K6762" s="1543"/>
      <c r="L6762" s="1543"/>
      <c r="M6762" s="1543"/>
      <c r="N6762" s="1543"/>
    </row>
    <row r="6763" spans="1:14">
      <c r="A6763" s="1544" t="s">
        <v>4143</v>
      </c>
      <c r="B6763" s="876"/>
      <c r="C6763" s="743"/>
      <c r="D6763" s="743"/>
      <c r="E6763" s="379"/>
      <c r="F6763" s="379"/>
      <c r="G6763" s="379"/>
      <c r="H6763" s="380"/>
      <c r="I6763" s="1543"/>
      <c r="J6763" s="1543"/>
      <c r="K6763" s="1543"/>
      <c r="L6763" s="1543"/>
      <c r="M6763" s="1543"/>
      <c r="N6763" s="1543"/>
    </row>
    <row r="6764" spans="1:14">
      <c r="A6764" s="1544"/>
      <c r="B6764" s="876" t="s">
        <v>3198</v>
      </c>
      <c r="C6764" s="743">
        <v>12</v>
      </c>
      <c r="D6764" s="743"/>
      <c r="E6764" s="379"/>
      <c r="F6764" s="379"/>
      <c r="G6764" s="379"/>
      <c r="H6764" s="380">
        <f>C6764</f>
        <v>12</v>
      </c>
      <c r="I6764" s="1543"/>
      <c r="J6764" s="1543"/>
      <c r="K6764" s="1543"/>
      <c r="L6764" s="1543"/>
      <c r="M6764" s="1543"/>
      <c r="N6764" s="1543"/>
    </row>
    <row r="6765" spans="1:14">
      <c r="A6765" s="1544"/>
      <c r="B6765" s="876"/>
      <c r="C6765" s="743"/>
      <c r="D6765" s="743"/>
      <c r="E6765" s="379"/>
      <c r="F6765" s="379"/>
      <c r="G6765" s="379"/>
      <c r="H6765" s="380">
        <f>C6765*E6765</f>
        <v>0</v>
      </c>
      <c r="I6765" s="1543"/>
      <c r="J6765" s="1543"/>
      <c r="K6765" s="1543"/>
      <c r="L6765" s="1543"/>
      <c r="M6765" s="1543"/>
      <c r="N6765" s="1543"/>
    </row>
    <row r="6766" spans="1:14">
      <c r="A6766" s="1538" t="s">
        <v>2218</v>
      </c>
      <c r="B6766" s="1538"/>
      <c r="C6766" s="1538"/>
      <c r="D6766" s="1538"/>
      <c r="E6766" s="1538"/>
      <c r="F6766" s="1538"/>
      <c r="G6766" s="1538"/>
      <c r="H6766" s="271">
        <f>SUM(H6763:H6765)</f>
        <v>12</v>
      </c>
      <c r="I6766" s="1543"/>
      <c r="J6766" s="1543"/>
      <c r="K6766" s="1543"/>
      <c r="L6766" s="1543"/>
      <c r="M6766" s="1543"/>
      <c r="N6766" s="1543"/>
    </row>
    <row r="6767" spans="1:14">
      <c r="A6767" s="1538" t="s">
        <v>2219</v>
      </c>
      <c r="B6767" s="1538"/>
      <c r="C6767" s="1538"/>
      <c r="D6767" s="1538"/>
      <c r="E6767" s="1538"/>
      <c r="F6767" s="1538"/>
      <c r="G6767" s="1538"/>
      <c r="H6767" s="271">
        <f>SUM(H6763)</f>
        <v>0</v>
      </c>
      <c r="I6767" s="1543"/>
      <c r="J6767" s="1543"/>
      <c r="K6767" s="1543"/>
      <c r="L6767" s="1543"/>
      <c r="M6767" s="1543"/>
      <c r="N6767" s="1543"/>
    </row>
    <row r="6768" spans="1:14">
      <c r="A6768" s="1538" t="s">
        <v>2220</v>
      </c>
      <c r="B6768" s="1538"/>
      <c r="C6768" s="1538"/>
      <c r="D6768" s="1538"/>
      <c r="E6768" s="1538"/>
      <c r="F6768" s="1538"/>
      <c r="G6768" s="1538"/>
      <c r="H6768" s="269">
        <f>H6766-H6767</f>
        <v>12</v>
      </c>
      <c r="I6768" s="1543"/>
      <c r="J6768" s="1543"/>
      <c r="K6768" s="1543"/>
      <c r="L6768" s="1543"/>
      <c r="M6768" s="1543"/>
      <c r="N6768" s="1543"/>
    </row>
    <row r="6769" spans="1:14">
      <c r="A6769" s="385"/>
      <c r="B6769" s="385"/>
      <c r="C6769" s="385"/>
      <c r="D6769" s="367"/>
      <c r="E6769" s="1366"/>
      <c r="F6769" s="385"/>
      <c r="G6769" s="385"/>
      <c r="H6769" s="269"/>
      <c r="I6769" s="940"/>
      <c r="J6769" s="940"/>
      <c r="K6769" s="940"/>
      <c r="L6769" s="940"/>
      <c r="M6769" s="940"/>
      <c r="N6769" s="940"/>
    </row>
    <row r="6770" spans="1:14">
      <c r="A6770" s="385"/>
      <c r="B6770" s="385"/>
      <c r="C6770" s="385"/>
      <c r="D6770" s="367"/>
      <c r="E6770" s="1366"/>
      <c r="F6770" s="385"/>
      <c r="G6770" s="385"/>
      <c r="H6770" s="269"/>
      <c r="I6770" s="940"/>
      <c r="J6770" s="940"/>
      <c r="K6770" s="940"/>
      <c r="L6770" s="940"/>
      <c r="M6770" s="940"/>
      <c r="N6770" s="940"/>
    </row>
    <row r="6771" spans="1:14">
      <c r="A6771" s="1124" t="s">
        <v>4075</v>
      </c>
      <c r="B6771" s="1539" t="s">
        <v>1721</v>
      </c>
      <c r="C6771" s="1539"/>
      <c r="D6771" s="1539"/>
      <c r="E6771" s="1539"/>
      <c r="F6771" s="1539"/>
      <c r="G6771" s="1539"/>
      <c r="H6771" s="1539"/>
      <c r="I6771" s="1539"/>
      <c r="J6771" s="1539"/>
      <c r="K6771" s="864" t="s">
        <v>3154</v>
      </c>
      <c r="L6771" s="1540">
        <v>14</v>
      </c>
      <c r="M6771" s="1540"/>
      <c r="N6771" s="865">
        <f>L6771-H6777</f>
        <v>0</v>
      </c>
    </row>
    <row r="6772" spans="1:14">
      <c r="A6772" s="1541"/>
      <c r="B6772" s="1541"/>
      <c r="C6772" s="366"/>
      <c r="D6772" s="367" t="s">
        <v>2183</v>
      </c>
      <c r="E6772" s="1320" t="s">
        <v>2184</v>
      </c>
      <c r="F6772" s="367" t="s">
        <v>2185</v>
      </c>
      <c r="G6772" s="367" t="s">
        <v>2186</v>
      </c>
      <c r="H6772" s="1542" t="s">
        <v>476</v>
      </c>
      <c r="I6772" s="1543"/>
      <c r="J6772" s="1543"/>
      <c r="K6772" s="1543"/>
      <c r="L6772" s="1543"/>
      <c r="M6772" s="1543"/>
      <c r="N6772" s="1543"/>
    </row>
    <row r="6773" spans="1:14" ht="24">
      <c r="A6773" s="1541"/>
      <c r="B6773" s="1541"/>
      <c r="C6773" s="368" t="s">
        <v>2627</v>
      </c>
      <c r="D6773" s="369" t="s">
        <v>2187</v>
      </c>
      <c r="E6773" s="529" t="s">
        <v>3152</v>
      </c>
      <c r="F6773" s="369" t="s">
        <v>2649</v>
      </c>
      <c r="G6773" s="370" t="s">
        <v>2709</v>
      </c>
      <c r="H6773" s="1542"/>
      <c r="I6773" s="1543"/>
      <c r="J6773" s="1543"/>
      <c r="K6773" s="1543"/>
      <c r="L6773" s="1543"/>
      <c r="M6773" s="1543"/>
      <c r="N6773" s="1543"/>
    </row>
    <row r="6774" spans="1:14">
      <c r="A6774" s="1544" t="s">
        <v>4003</v>
      </c>
      <c r="B6774" s="876"/>
      <c r="C6774" s="743"/>
      <c r="D6774" s="743"/>
      <c r="E6774" s="1367"/>
      <c r="F6774" s="743"/>
      <c r="G6774" s="743"/>
      <c r="H6774" s="1029"/>
      <c r="I6774" s="1543"/>
      <c r="J6774" s="1543"/>
      <c r="K6774" s="1543"/>
      <c r="L6774" s="1543"/>
      <c r="M6774" s="1543"/>
      <c r="N6774" s="1543"/>
    </row>
    <row r="6775" spans="1:14">
      <c r="A6775" s="1544"/>
      <c r="B6775" s="876" t="s">
        <v>3964</v>
      </c>
      <c r="C6775" s="743">
        <v>14</v>
      </c>
      <c r="D6775" s="743"/>
      <c r="E6775" s="1367"/>
      <c r="F6775" s="743"/>
      <c r="G6775" s="743"/>
      <c r="H6775" s="1029">
        <v>14</v>
      </c>
      <c r="I6775" s="1543"/>
      <c r="J6775" s="1543"/>
      <c r="K6775" s="1543"/>
      <c r="L6775" s="1543"/>
      <c r="M6775" s="1543"/>
      <c r="N6775" s="1543"/>
    </row>
    <row r="6776" spans="1:14">
      <c r="A6776" s="1544"/>
      <c r="B6776" s="1031"/>
      <c r="C6776" s="1021"/>
      <c r="D6776" s="1021"/>
      <c r="E6776" s="1368"/>
      <c r="F6776" s="1021"/>
      <c r="G6776" s="1021"/>
      <c r="H6776" s="1032">
        <f>C6776*E6776</f>
        <v>0</v>
      </c>
      <c r="I6776" s="1543"/>
      <c r="J6776" s="1543"/>
      <c r="K6776" s="1543"/>
      <c r="L6776" s="1543"/>
      <c r="M6776" s="1543"/>
      <c r="N6776" s="1543"/>
    </row>
    <row r="6777" spans="1:14">
      <c r="A6777" s="1538"/>
      <c r="B6777" s="1538"/>
      <c r="C6777" s="1538"/>
      <c r="D6777" s="1538"/>
      <c r="E6777" s="1538"/>
      <c r="F6777" s="1538"/>
      <c r="G6777" s="1538"/>
      <c r="H6777" s="271">
        <f>SUM(H6774:H6776)</f>
        <v>14</v>
      </c>
      <c r="I6777" s="1543"/>
      <c r="J6777" s="1543"/>
      <c r="K6777" s="1543"/>
      <c r="L6777" s="1543"/>
      <c r="M6777" s="1543"/>
      <c r="N6777" s="1543"/>
    </row>
    <row r="6778" spans="1:14">
      <c r="A6778" s="1538" t="s">
        <v>2219</v>
      </c>
      <c r="B6778" s="1538"/>
      <c r="C6778" s="1538"/>
      <c r="D6778" s="1538"/>
      <c r="E6778" s="1538"/>
      <c r="F6778" s="1538"/>
      <c r="G6778" s="1538"/>
      <c r="H6778" s="271">
        <v>0</v>
      </c>
      <c r="I6778" s="1543"/>
      <c r="J6778" s="1543"/>
      <c r="K6778" s="1543"/>
      <c r="L6778" s="1543"/>
      <c r="M6778" s="1543"/>
      <c r="N6778" s="1543"/>
    </row>
    <row r="6779" spans="1:14">
      <c r="A6779" s="1538" t="s">
        <v>2220</v>
      </c>
      <c r="B6779" s="1538"/>
      <c r="C6779" s="1538"/>
      <c r="D6779" s="1538"/>
      <c r="E6779" s="1538"/>
      <c r="F6779" s="1538"/>
      <c r="G6779" s="1538"/>
      <c r="H6779" s="269">
        <f>H6777-H6778</f>
        <v>14</v>
      </c>
      <c r="I6779" s="1543"/>
      <c r="J6779" s="1543"/>
      <c r="K6779" s="1543"/>
      <c r="L6779" s="1543"/>
      <c r="M6779" s="1543"/>
      <c r="N6779" s="1543"/>
    </row>
    <row r="6780" spans="1:14">
      <c r="A6780" s="385"/>
      <c r="B6780" s="385"/>
      <c r="C6780" s="385"/>
      <c r="D6780" s="367"/>
      <c r="E6780" s="1366"/>
      <c r="F6780" s="385"/>
      <c r="G6780" s="385"/>
      <c r="H6780" s="269"/>
      <c r="I6780" s="940"/>
      <c r="J6780" s="940"/>
      <c r="K6780" s="940"/>
      <c r="L6780" s="940"/>
      <c r="M6780" s="940"/>
      <c r="N6780" s="940"/>
    </row>
    <row r="6781" spans="1:14">
      <c r="A6781" s="1124" t="s">
        <v>4076</v>
      </c>
      <c r="B6781" s="1539" t="s">
        <v>1724</v>
      </c>
      <c r="C6781" s="1539"/>
      <c r="D6781" s="1539"/>
      <c r="E6781" s="1539"/>
      <c r="F6781" s="1539"/>
      <c r="G6781" s="1539"/>
      <c r="H6781" s="1539"/>
      <c r="I6781" s="1539"/>
      <c r="J6781" s="1539"/>
      <c r="K6781" s="864" t="s">
        <v>3154</v>
      </c>
      <c r="L6781" s="1540">
        <v>34</v>
      </c>
      <c r="M6781" s="1540"/>
      <c r="N6781" s="865">
        <f>L6781-H6787</f>
        <v>0</v>
      </c>
    </row>
    <row r="6782" spans="1:14">
      <c r="A6782" s="1541"/>
      <c r="B6782" s="1541"/>
      <c r="C6782" s="366"/>
      <c r="D6782" s="367" t="s">
        <v>2183</v>
      </c>
      <c r="E6782" s="1320" t="s">
        <v>2184</v>
      </c>
      <c r="F6782" s="367" t="s">
        <v>2185</v>
      </c>
      <c r="G6782" s="367" t="s">
        <v>2186</v>
      </c>
      <c r="H6782" s="1542" t="s">
        <v>476</v>
      </c>
      <c r="I6782" s="1543"/>
      <c r="J6782" s="1543"/>
      <c r="K6782" s="1543"/>
      <c r="L6782" s="1543"/>
      <c r="M6782" s="1543"/>
      <c r="N6782" s="1543"/>
    </row>
    <row r="6783" spans="1:14" ht="24">
      <c r="A6783" s="1541"/>
      <c r="B6783" s="1541"/>
      <c r="C6783" s="368" t="s">
        <v>2627</v>
      </c>
      <c r="D6783" s="369" t="s">
        <v>2187</v>
      </c>
      <c r="E6783" s="529" t="s">
        <v>3152</v>
      </c>
      <c r="F6783" s="369" t="s">
        <v>2649</v>
      </c>
      <c r="G6783" s="370" t="s">
        <v>2709</v>
      </c>
      <c r="H6783" s="1542"/>
      <c r="I6783" s="1543"/>
      <c r="J6783" s="1543"/>
      <c r="K6783" s="1543"/>
      <c r="L6783" s="1543"/>
      <c r="M6783" s="1543"/>
      <c r="N6783" s="1543"/>
    </row>
    <row r="6784" spans="1:14">
      <c r="A6784" s="1544" t="s">
        <v>4003</v>
      </c>
      <c r="B6784" s="876" t="s">
        <v>3965</v>
      </c>
      <c r="C6784" s="743">
        <v>27</v>
      </c>
      <c r="D6784" s="743"/>
      <c r="E6784" s="1367"/>
      <c r="F6784" s="743"/>
      <c r="G6784" s="743"/>
      <c r="H6784" s="1029">
        <v>27</v>
      </c>
      <c r="I6784" s="1543"/>
      <c r="J6784" s="1543"/>
      <c r="K6784" s="1543"/>
      <c r="L6784" s="1543"/>
      <c r="M6784" s="1543"/>
      <c r="N6784" s="1543"/>
    </row>
    <row r="6785" spans="1:14">
      <c r="A6785" s="1544"/>
      <c r="B6785" s="876" t="s">
        <v>3964</v>
      </c>
      <c r="C6785" s="743">
        <v>7</v>
      </c>
      <c r="D6785" s="743"/>
      <c r="E6785" s="1367"/>
      <c r="F6785" s="743"/>
      <c r="G6785" s="743"/>
      <c r="H6785" s="1029">
        <v>7</v>
      </c>
      <c r="I6785" s="1543"/>
      <c r="J6785" s="1543"/>
      <c r="K6785" s="1543"/>
      <c r="L6785" s="1543"/>
      <c r="M6785" s="1543"/>
      <c r="N6785" s="1543"/>
    </row>
    <row r="6786" spans="1:14">
      <c r="A6786" s="1544"/>
      <c r="B6786" s="1031"/>
      <c r="C6786" s="1021"/>
      <c r="D6786" s="1021"/>
      <c r="E6786" s="1368"/>
      <c r="F6786" s="1021"/>
      <c r="G6786" s="1021"/>
      <c r="H6786" s="1032">
        <f>C6786*E6786</f>
        <v>0</v>
      </c>
      <c r="I6786" s="1543"/>
      <c r="J6786" s="1543"/>
      <c r="K6786" s="1543"/>
      <c r="L6786" s="1543"/>
      <c r="M6786" s="1543"/>
      <c r="N6786" s="1543"/>
    </row>
    <row r="6787" spans="1:14">
      <c r="A6787" s="1538"/>
      <c r="B6787" s="1538"/>
      <c r="C6787" s="1538"/>
      <c r="D6787" s="1538"/>
      <c r="E6787" s="1538"/>
      <c r="F6787" s="1538"/>
      <c r="G6787" s="1538"/>
      <c r="H6787" s="271">
        <f>SUM(H6784:H6786)</f>
        <v>34</v>
      </c>
      <c r="I6787" s="1543"/>
      <c r="J6787" s="1543"/>
      <c r="K6787" s="1543"/>
      <c r="L6787" s="1543"/>
      <c r="M6787" s="1543"/>
      <c r="N6787" s="1543"/>
    </row>
    <row r="6788" spans="1:14">
      <c r="A6788" s="1538" t="s">
        <v>2219</v>
      </c>
      <c r="B6788" s="1538"/>
      <c r="C6788" s="1538"/>
      <c r="D6788" s="1538"/>
      <c r="E6788" s="1538"/>
      <c r="F6788" s="1538"/>
      <c r="G6788" s="1538"/>
      <c r="H6788" s="271">
        <v>0</v>
      </c>
      <c r="I6788" s="1543"/>
      <c r="J6788" s="1543"/>
      <c r="K6788" s="1543"/>
      <c r="L6788" s="1543"/>
      <c r="M6788" s="1543"/>
      <c r="N6788" s="1543"/>
    </row>
    <row r="6789" spans="1:14">
      <c r="A6789" s="1538" t="s">
        <v>2220</v>
      </c>
      <c r="B6789" s="1538"/>
      <c r="C6789" s="1538"/>
      <c r="D6789" s="1538"/>
      <c r="E6789" s="1538"/>
      <c r="F6789" s="1538"/>
      <c r="G6789" s="1538"/>
      <c r="H6789" s="269">
        <f>H6787-H6788</f>
        <v>34</v>
      </c>
      <c r="I6789" s="1543"/>
      <c r="J6789" s="1543"/>
      <c r="K6789" s="1543"/>
      <c r="L6789" s="1543"/>
      <c r="M6789" s="1543"/>
      <c r="N6789" s="1543"/>
    </row>
    <row r="6790" spans="1:14">
      <c r="A6790" s="385"/>
      <c r="B6790" s="385"/>
      <c r="C6790" s="385"/>
      <c r="D6790" s="367"/>
      <c r="E6790" s="1366"/>
      <c r="F6790" s="385"/>
      <c r="G6790" s="385"/>
      <c r="H6790" s="269"/>
      <c r="I6790" s="940"/>
      <c r="J6790" s="940"/>
      <c r="K6790" s="940"/>
      <c r="L6790" s="940"/>
      <c r="M6790" s="940"/>
      <c r="N6790" s="940"/>
    </row>
    <row r="6791" spans="1:14">
      <c r="A6791" s="1124" t="s">
        <v>3962</v>
      </c>
      <c r="B6791" s="1539" t="s">
        <v>1727</v>
      </c>
      <c r="C6791" s="1539"/>
      <c r="D6791" s="1539"/>
      <c r="E6791" s="1539"/>
      <c r="F6791" s="1539"/>
      <c r="G6791" s="1539"/>
      <c r="H6791" s="1539"/>
      <c r="I6791" s="1539"/>
      <c r="J6791" s="1539"/>
      <c r="K6791" s="864" t="s">
        <v>3154</v>
      </c>
      <c r="L6791" s="1540">
        <f>'27ª MEDIÇÃO '!F514</f>
        <v>1</v>
      </c>
      <c r="M6791" s="1540"/>
      <c r="N6791" s="865">
        <f>L6791-H6797</f>
        <v>0</v>
      </c>
    </row>
    <row r="6792" spans="1:14">
      <c r="A6792" s="1541"/>
      <c r="B6792" s="1541"/>
      <c r="C6792" s="366"/>
      <c r="D6792" s="367" t="s">
        <v>2183</v>
      </c>
      <c r="E6792" s="1320" t="s">
        <v>2184</v>
      </c>
      <c r="F6792" s="367" t="s">
        <v>2185</v>
      </c>
      <c r="G6792" s="367" t="s">
        <v>2186</v>
      </c>
      <c r="H6792" s="1542" t="s">
        <v>476</v>
      </c>
      <c r="I6792" s="1543"/>
      <c r="J6792" s="1543"/>
      <c r="K6792" s="1543"/>
      <c r="L6792" s="1543"/>
      <c r="M6792" s="1543"/>
      <c r="N6792" s="1543"/>
    </row>
    <row r="6793" spans="1:14" ht="24">
      <c r="A6793" s="1541"/>
      <c r="B6793" s="1541"/>
      <c r="C6793" s="368" t="s">
        <v>2627</v>
      </c>
      <c r="D6793" s="369" t="s">
        <v>2187</v>
      </c>
      <c r="E6793" s="529" t="s">
        <v>3152</v>
      </c>
      <c r="F6793" s="369" t="s">
        <v>2649</v>
      </c>
      <c r="G6793" s="370" t="s">
        <v>2709</v>
      </c>
      <c r="H6793" s="1542"/>
      <c r="I6793" s="1543"/>
      <c r="J6793" s="1543"/>
      <c r="K6793" s="1543"/>
      <c r="L6793" s="1543"/>
      <c r="M6793" s="1543"/>
      <c r="N6793" s="1543"/>
    </row>
    <row r="6794" spans="1:14">
      <c r="A6794" s="1544" t="s">
        <v>3937</v>
      </c>
      <c r="B6794" s="876"/>
      <c r="C6794" s="743"/>
      <c r="D6794" s="743"/>
      <c r="E6794" s="1367"/>
      <c r="F6794" s="743"/>
      <c r="G6794" s="743"/>
      <c r="H6794" s="1029"/>
      <c r="I6794" s="1543"/>
      <c r="J6794" s="1543"/>
      <c r="K6794" s="1543"/>
      <c r="L6794" s="1543"/>
      <c r="M6794" s="1543"/>
      <c r="N6794" s="1543"/>
    </row>
    <row r="6795" spans="1:14">
      <c r="A6795" s="1544"/>
      <c r="B6795" s="876" t="s">
        <v>3964</v>
      </c>
      <c r="C6795" s="743"/>
      <c r="D6795" s="743"/>
      <c r="E6795" s="1367"/>
      <c r="F6795" s="743"/>
      <c r="G6795" s="743"/>
      <c r="H6795" s="1029">
        <v>1</v>
      </c>
      <c r="I6795" s="1543"/>
      <c r="J6795" s="1543"/>
      <c r="K6795" s="1543"/>
      <c r="L6795" s="1543"/>
      <c r="M6795" s="1543"/>
      <c r="N6795" s="1543"/>
    </row>
    <row r="6796" spans="1:14">
      <c r="A6796" s="1544"/>
      <c r="B6796" s="1031"/>
      <c r="C6796" s="1021"/>
      <c r="D6796" s="1021"/>
      <c r="E6796" s="1368"/>
      <c r="F6796" s="1021"/>
      <c r="G6796" s="1021"/>
      <c r="H6796" s="1032">
        <f>C6796*E6796</f>
        <v>0</v>
      </c>
      <c r="I6796" s="1543"/>
      <c r="J6796" s="1543"/>
      <c r="K6796" s="1543"/>
      <c r="L6796" s="1543"/>
      <c r="M6796" s="1543"/>
      <c r="N6796" s="1543"/>
    </row>
    <row r="6797" spans="1:14">
      <c r="A6797" s="1538"/>
      <c r="B6797" s="1538"/>
      <c r="C6797" s="1538"/>
      <c r="D6797" s="1538"/>
      <c r="E6797" s="1538"/>
      <c r="F6797" s="1538"/>
      <c r="G6797" s="1538"/>
      <c r="H6797" s="271">
        <f>SUM(H6794:H6796)</f>
        <v>1</v>
      </c>
      <c r="I6797" s="1543"/>
      <c r="J6797" s="1543"/>
      <c r="K6797" s="1543"/>
      <c r="L6797" s="1543"/>
      <c r="M6797" s="1543"/>
      <c r="N6797" s="1543"/>
    </row>
    <row r="6798" spans="1:14">
      <c r="A6798" s="1538" t="s">
        <v>2219</v>
      </c>
      <c r="B6798" s="1538"/>
      <c r="C6798" s="1538"/>
      <c r="D6798" s="1538"/>
      <c r="E6798" s="1538"/>
      <c r="F6798" s="1538"/>
      <c r="G6798" s="1538"/>
      <c r="H6798" s="271">
        <v>0</v>
      </c>
      <c r="I6798" s="1543"/>
      <c r="J6798" s="1543"/>
      <c r="K6798" s="1543"/>
      <c r="L6798" s="1543"/>
      <c r="M6798" s="1543"/>
      <c r="N6798" s="1543"/>
    </row>
    <row r="6799" spans="1:14">
      <c r="A6799" s="1538" t="s">
        <v>2220</v>
      </c>
      <c r="B6799" s="1538"/>
      <c r="C6799" s="1538"/>
      <c r="D6799" s="1538"/>
      <c r="E6799" s="1538"/>
      <c r="F6799" s="1538"/>
      <c r="G6799" s="1538"/>
      <c r="H6799" s="269">
        <f>H6797-H6798</f>
        <v>1</v>
      </c>
      <c r="I6799" s="1543"/>
      <c r="J6799" s="1543"/>
      <c r="K6799" s="1543"/>
      <c r="L6799" s="1543"/>
      <c r="M6799" s="1543"/>
      <c r="N6799" s="1543"/>
    </row>
    <row r="6800" spans="1:14">
      <c r="A6800" s="385"/>
      <c r="B6800" s="385"/>
      <c r="C6800" s="385"/>
      <c r="D6800" s="367"/>
      <c r="E6800" s="1366"/>
      <c r="F6800" s="385"/>
      <c r="G6800" s="385"/>
      <c r="H6800" s="269"/>
      <c r="I6800" s="940"/>
      <c r="J6800" s="940"/>
      <c r="K6800" s="940"/>
      <c r="L6800" s="940"/>
      <c r="M6800" s="940"/>
      <c r="N6800" s="940"/>
    </row>
    <row r="6801" spans="1:14">
      <c r="A6801" s="1124" t="s">
        <v>3963</v>
      </c>
      <c r="B6801" s="1539" t="s">
        <v>1730</v>
      </c>
      <c r="C6801" s="1539"/>
      <c r="D6801" s="1539"/>
      <c r="E6801" s="1539"/>
      <c r="F6801" s="1539"/>
      <c r="G6801" s="1539"/>
      <c r="H6801" s="1539"/>
      <c r="I6801" s="1539"/>
      <c r="J6801" s="1539"/>
      <c r="K6801" s="864" t="s">
        <v>3154</v>
      </c>
      <c r="L6801" s="1540">
        <v>52</v>
      </c>
      <c r="M6801" s="1540"/>
      <c r="N6801" s="865">
        <f>L6801-H6807</f>
        <v>0</v>
      </c>
    </row>
    <row r="6802" spans="1:14">
      <c r="A6802" s="1541"/>
      <c r="B6802" s="1541"/>
      <c r="C6802" s="366"/>
      <c r="D6802" s="367" t="s">
        <v>2183</v>
      </c>
      <c r="E6802" s="1320" t="s">
        <v>2184</v>
      </c>
      <c r="F6802" s="367" t="s">
        <v>2185</v>
      </c>
      <c r="G6802" s="367" t="s">
        <v>2186</v>
      </c>
      <c r="H6802" s="1542" t="s">
        <v>476</v>
      </c>
      <c r="I6802" s="1543"/>
      <c r="J6802" s="1543"/>
      <c r="K6802" s="1543"/>
      <c r="L6802" s="1543"/>
      <c r="M6802" s="1543"/>
      <c r="N6802" s="1543"/>
    </row>
    <row r="6803" spans="1:14" ht="24">
      <c r="A6803" s="1541"/>
      <c r="B6803" s="1541"/>
      <c r="C6803" s="368" t="s">
        <v>2627</v>
      </c>
      <c r="D6803" s="369" t="s">
        <v>2187</v>
      </c>
      <c r="E6803" s="529" t="s">
        <v>3152</v>
      </c>
      <c r="F6803" s="369" t="s">
        <v>2649</v>
      </c>
      <c r="G6803" s="370" t="s">
        <v>2709</v>
      </c>
      <c r="H6803" s="1542"/>
      <c r="I6803" s="1543"/>
      <c r="J6803" s="1543"/>
      <c r="K6803" s="1543"/>
      <c r="L6803" s="1543"/>
      <c r="M6803" s="1543"/>
      <c r="N6803" s="1543"/>
    </row>
    <row r="6804" spans="1:14">
      <c r="A6804" s="1544" t="s">
        <v>3937</v>
      </c>
      <c r="B6804" s="876" t="s">
        <v>3965</v>
      </c>
      <c r="C6804" s="743"/>
      <c r="D6804" s="743"/>
      <c r="E6804" s="1367"/>
      <c r="F6804" s="743"/>
      <c r="G6804" s="743"/>
      <c r="H6804" s="1029">
        <v>19</v>
      </c>
      <c r="I6804" s="1543"/>
      <c r="J6804" s="1543"/>
      <c r="K6804" s="1543"/>
      <c r="L6804" s="1543"/>
      <c r="M6804" s="1543"/>
      <c r="N6804" s="1543"/>
    </row>
    <row r="6805" spans="1:14">
      <c r="A6805" s="1544"/>
      <c r="B6805" s="876" t="s">
        <v>3964</v>
      </c>
      <c r="C6805" s="743"/>
      <c r="D6805" s="743"/>
      <c r="E6805" s="1367"/>
      <c r="F6805" s="743"/>
      <c r="G6805" s="743"/>
      <c r="H6805" s="1029">
        <v>33</v>
      </c>
      <c r="I6805" s="1543"/>
      <c r="J6805" s="1543"/>
      <c r="K6805" s="1543"/>
      <c r="L6805" s="1543"/>
      <c r="M6805" s="1543"/>
      <c r="N6805" s="1543"/>
    </row>
    <row r="6806" spans="1:14">
      <c r="A6806" s="1544"/>
      <c r="B6806" s="1031"/>
      <c r="C6806" s="1021"/>
      <c r="D6806" s="1021"/>
      <c r="E6806" s="1368"/>
      <c r="F6806" s="1021"/>
      <c r="G6806" s="1021"/>
      <c r="H6806" s="1032"/>
      <c r="I6806" s="1543"/>
      <c r="J6806" s="1543"/>
      <c r="K6806" s="1543"/>
      <c r="L6806" s="1543"/>
      <c r="M6806" s="1543"/>
      <c r="N6806" s="1543"/>
    </row>
    <row r="6807" spans="1:14">
      <c r="A6807" s="1538" t="s">
        <v>2218</v>
      </c>
      <c r="B6807" s="1538"/>
      <c r="C6807" s="1538"/>
      <c r="D6807" s="1538"/>
      <c r="E6807" s="1538"/>
      <c r="F6807" s="1538"/>
      <c r="G6807" s="1538"/>
      <c r="H6807" s="271">
        <f>SUM(H6804:H6806)</f>
        <v>52</v>
      </c>
      <c r="I6807" s="1543"/>
      <c r="J6807" s="1543"/>
      <c r="K6807" s="1543"/>
      <c r="L6807" s="1543"/>
      <c r="M6807" s="1543"/>
      <c r="N6807" s="1543"/>
    </row>
    <row r="6808" spans="1:14">
      <c r="A6808" s="1538" t="s">
        <v>2219</v>
      </c>
      <c r="B6808" s="1538"/>
      <c r="C6808" s="1538"/>
      <c r="D6808" s="1538"/>
      <c r="E6808" s="1538"/>
      <c r="F6808" s="1538"/>
      <c r="G6808" s="1538"/>
      <c r="H6808" s="271">
        <v>0</v>
      </c>
      <c r="I6808" s="1543"/>
      <c r="J6808" s="1543"/>
      <c r="K6808" s="1543"/>
      <c r="L6808" s="1543"/>
      <c r="M6808" s="1543"/>
      <c r="N6808" s="1543"/>
    </row>
    <row r="6809" spans="1:14">
      <c r="A6809" s="1538" t="s">
        <v>2220</v>
      </c>
      <c r="B6809" s="1538"/>
      <c r="C6809" s="1538"/>
      <c r="D6809" s="1538"/>
      <c r="E6809" s="1538"/>
      <c r="F6809" s="1538"/>
      <c r="G6809" s="1538"/>
      <c r="H6809" s="269">
        <f>H6807-H6808</f>
        <v>52</v>
      </c>
      <c r="I6809" s="1543"/>
      <c r="J6809" s="1543"/>
      <c r="K6809" s="1543"/>
      <c r="L6809" s="1543"/>
      <c r="M6809" s="1543"/>
      <c r="N6809" s="1543"/>
    </row>
    <row r="6810" spans="1:14">
      <c r="A6810" s="1114">
        <v>160205</v>
      </c>
      <c r="B6810" s="1549" t="s">
        <v>4105</v>
      </c>
      <c r="C6810" s="1549"/>
      <c r="D6810" s="1549"/>
      <c r="E6810" s="1549"/>
      <c r="F6810" s="1549"/>
      <c r="G6810" s="1549"/>
      <c r="H6810" s="1549"/>
      <c r="I6810" s="1549"/>
      <c r="J6810" s="1549"/>
      <c r="K6810" s="1549"/>
      <c r="L6810" s="1549"/>
      <c r="M6810" s="1549"/>
      <c r="N6810" s="1549"/>
    </row>
    <row r="6811" spans="1:14">
      <c r="A6811" s="1124" t="s">
        <v>4104</v>
      </c>
      <c r="B6811" s="1539" t="str">
        <f>'27ª MEDIÇÃO '!C509</f>
        <v>Fornecimento e instalação de Rack de Piso Fechado Padrão 19" - 44 U´s x 670mm</v>
      </c>
      <c r="C6811" s="1539"/>
      <c r="D6811" s="1539"/>
      <c r="E6811" s="1539"/>
      <c r="F6811" s="1539"/>
      <c r="G6811" s="1539"/>
      <c r="H6811" s="1539"/>
      <c r="I6811" s="1539"/>
      <c r="J6811" s="1539"/>
      <c r="K6811" s="864" t="s">
        <v>3154</v>
      </c>
      <c r="L6811" s="1540">
        <f>'27ª MEDIÇÃO '!F509</f>
        <v>1</v>
      </c>
      <c r="M6811" s="1540"/>
      <c r="N6811" s="865">
        <f>L6811-H6817</f>
        <v>0</v>
      </c>
    </row>
    <row r="6812" spans="1:14">
      <c r="A6812" s="1541"/>
      <c r="B6812" s="1541"/>
      <c r="C6812" s="366"/>
      <c r="D6812" s="367" t="s">
        <v>2183</v>
      </c>
      <c r="E6812" s="1320" t="s">
        <v>2184</v>
      </c>
      <c r="F6812" s="367" t="s">
        <v>2185</v>
      </c>
      <c r="G6812" s="367" t="s">
        <v>2186</v>
      </c>
      <c r="H6812" s="1542" t="s">
        <v>476</v>
      </c>
      <c r="I6812" s="1543"/>
      <c r="J6812" s="1543"/>
      <c r="K6812" s="1543"/>
      <c r="L6812" s="1543"/>
      <c r="M6812" s="1543"/>
      <c r="N6812" s="1543"/>
    </row>
    <row r="6813" spans="1:14" ht="24">
      <c r="A6813" s="1541"/>
      <c r="B6813" s="1541"/>
      <c r="C6813" s="368" t="s">
        <v>2627</v>
      </c>
      <c r="D6813" s="369" t="s">
        <v>2187</v>
      </c>
      <c r="E6813" s="529" t="s">
        <v>3152</v>
      </c>
      <c r="F6813" s="369" t="s">
        <v>2649</v>
      </c>
      <c r="G6813" s="370" t="s">
        <v>2709</v>
      </c>
      <c r="H6813" s="1542"/>
      <c r="I6813" s="1543"/>
      <c r="J6813" s="1543"/>
      <c r="K6813" s="1543"/>
      <c r="L6813" s="1543"/>
      <c r="M6813" s="1543"/>
      <c r="N6813" s="1543"/>
    </row>
    <row r="6814" spans="1:14">
      <c r="A6814" s="1544" t="s">
        <v>4080</v>
      </c>
      <c r="B6814" s="876"/>
      <c r="C6814" s="743"/>
      <c r="D6814" s="743"/>
      <c r="E6814" s="379"/>
      <c r="F6814" s="379"/>
      <c r="G6814" s="379"/>
      <c r="H6814" s="380"/>
      <c r="I6814" s="1543"/>
      <c r="J6814" s="1543"/>
      <c r="K6814" s="1543"/>
      <c r="L6814" s="1543"/>
      <c r="M6814" s="1543"/>
      <c r="N6814" s="1543"/>
    </row>
    <row r="6815" spans="1:14">
      <c r="A6815" s="1544"/>
      <c r="B6815" s="876" t="s">
        <v>3198</v>
      </c>
      <c r="C6815" s="743"/>
      <c r="D6815" s="743"/>
      <c r="E6815" s="379"/>
      <c r="F6815" s="379"/>
      <c r="G6815" s="379"/>
      <c r="H6815" s="380"/>
      <c r="I6815" s="1543"/>
      <c r="J6815" s="1543"/>
      <c r="K6815" s="1543"/>
      <c r="L6815" s="1543"/>
      <c r="M6815" s="1543"/>
      <c r="N6815" s="1543"/>
    </row>
    <row r="6816" spans="1:14">
      <c r="A6816" s="1544"/>
      <c r="B6816" s="876" t="s">
        <v>4024</v>
      </c>
      <c r="C6816" s="743">
        <v>1</v>
      </c>
      <c r="D6816" s="743"/>
      <c r="E6816" s="379">
        <v>1</v>
      </c>
      <c r="F6816" s="379"/>
      <c r="G6816" s="379"/>
      <c r="H6816" s="380">
        <f>C6816*E6816</f>
        <v>1</v>
      </c>
      <c r="I6816" s="1543"/>
      <c r="J6816" s="1543"/>
      <c r="K6816" s="1543"/>
      <c r="L6816" s="1543"/>
      <c r="M6816" s="1543"/>
      <c r="N6816" s="1543"/>
    </row>
    <row r="6817" spans="1:14" ht="34.15" customHeight="1">
      <c r="A6817" s="1538" t="s">
        <v>2218</v>
      </c>
      <c r="B6817" s="1538"/>
      <c r="C6817" s="1538"/>
      <c r="D6817" s="1538"/>
      <c r="E6817" s="1538"/>
      <c r="F6817" s="1538"/>
      <c r="G6817" s="1538"/>
      <c r="H6817" s="271">
        <f>SUM(H6814:H6816)</f>
        <v>1</v>
      </c>
      <c r="I6817" s="1543"/>
      <c r="J6817" s="1543"/>
      <c r="K6817" s="1543"/>
      <c r="L6817" s="1543"/>
      <c r="M6817" s="1543"/>
      <c r="N6817" s="1543"/>
    </row>
    <row r="6818" spans="1:14">
      <c r="A6818" s="1538" t="s">
        <v>2219</v>
      </c>
      <c r="B6818" s="1538"/>
      <c r="C6818" s="1538"/>
      <c r="D6818" s="1538"/>
      <c r="E6818" s="1538"/>
      <c r="F6818" s="1538"/>
      <c r="G6818" s="1538"/>
      <c r="H6818" s="271">
        <f>SUM(H6814:H6815)</f>
        <v>0</v>
      </c>
      <c r="I6818" s="1543"/>
      <c r="J6818" s="1543"/>
      <c r="K6818" s="1543"/>
      <c r="L6818" s="1543"/>
      <c r="M6818" s="1543"/>
      <c r="N6818" s="1543"/>
    </row>
    <row r="6819" spans="1:14">
      <c r="A6819" s="1538" t="s">
        <v>2220</v>
      </c>
      <c r="B6819" s="1538"/>
      <c r="C6819" s="1538"/>
      <c r="D6819" s="1538"/>
      <c r="E6819" s="1538"/>
      <c r="F6819" s="1538"/>
      <c r="G6819" s="1538"/>
      <c r="H6819" s="269">
        <f>H6817-H6818</f>
        <v>1</v>
      </c>
      <c r="I6819" s="1543"/>
      <c r="J6819" s="1543"/>
      <c r="K6819" s="1543"/>
      <c r="L6819" s="1543"/>
      <c r="M6819" s="1543"/>
      <c r="N6819" s="1543"/>
    </row>
    <row r="6820" spans="1:14">
      <c r="A6820" s="385"/>
      <c r="B6820" s="385"/>
      <c r="C6820" s="385"/>
      <c r="D6820" s="367"/>
      <c r="E6820" s="1366"/>
      <c r="F6820" s="385"/>
      <c r="G6820" s="385"/>
      <c r="H6820" s="269"/>
      <c r="I6820" s="940"/>
      <c r="J6820" s="940"/>
      <c r="K6820" s="940"/>
      <c r="L6820" s="940"/>
      <c r="M6820" s="940"/>
      <c r="N6820" s="940"/>
    </row>
    <row r="6821" spans="1:14">
      <c r="A6821" s="1124" t="s">
        <v>4106</v>
      </c>
      <c r="B6821" s="1539" t="str">
        <f>'27ª MEDIÇÃO '!C510</f>
        <v>Bandeja fixa para rack, 1Ux19"x500mm</v>
      </c>
      <c r="C6821" s="1539"/>
      <c r="D6821" s="1539"/>
      <c r="E6821" s="1539"/>
      <c r="F6821" s="1539"/>
      <c r="G6821" s="1539"/>
      <c r="H6821" s="1539"/>
      <c r="I6821" s="1539"/>
      <c r="J6821" s="1539"/>
      <c r="K6821" s="864" t="s">
        <v>3154</v>
      </c>
      <c r="L6821" s="1540">
        <f>'27ª MEDIÇÃO '!F510</f>
        <v>2</v>
      </c>
      <c r="M6821" s="1540"/>
      <c r="N6821" s="865">
        <f>L6821-H6827</f>
        <v>0</v>
      </c>
    </row>
    <row r="6822" spans="1:14">
      <c r="A6822" s="1541"/>
      <c r="B6822" s="1541"/>
      <c r="C6822" s="366"/>
      <c r="D6822" s="367" t="s">
        <v>2183</v>
      </c>
      <c r="E6822" s="1320" t="s">
        <v>2184</v>
      </c>
      <c r="F6822" s="367" t="s">
        <v>2185</v>
      </c>
      <c r="G6822" s="367" t="s">
        <v>2186</v>
      </c>
      <c r="H6822" s="1542" t="s">
        <v>476</v>
      </c>
      <c r="I6822" s="1543"/>
      <c r="J6822" s="1543"/>
      <c r="K6822" s="1543"/>
      <c r="L6822" s="1543"/>
      <c r="M6822" s="1543"/>
      <c r="N6822" s="1543"/>
    </row>
    <row r="6823" spans="1:14" ht="24">
      <c r="A6823" s="1541"/>
      <c r="B6823" s="1541"/>
      <c r="C6823" s="368" t="s">
        <v>2627</v>
      </c>
      <c r="D6823" s="369" t="s">
        <v>2187</v>
      </c>
      <c r="E6823" s="529" t="s">
        <v>3152</v>
      </c>
      <c r="F6823" s="369" t="s">
        <v>2649</v>
      </c>
      <c r="G6823" s="370" t="s">
        <v>2709</v>
      </c>
      <c r="H6823" s="1542"/>
      <c r="I6823" s="1543"/>
      <c r="J6823" s="1543"/>
      <c r="K6823" s="1543"/>
      <c r="L6823" s="1543"/>
      <c r="M6823" s="1543"/>
      <c r="N6823" s="1543"/>
    </row>
    <row r="6824" spans="1:14">
      <c r="A6824" s="1544" t="s">
        <v>4080</v>
      </c>
      <c r="B6824" s="876"/>
      <c r="C6824" s="743"/>
      <c r="D6824" s="743"/>
      <c r="E6824" s="379"/>
      <c r="F6824" s="379"/>
      <c r="G6824" s="379"/>
      <c r="H6824" s="380"/>
      <c r="I6824" s="1543"/>
      <c r="J6824" s="1543"/>
      <c r="K6824" s="1543"/>
      <c r="L6824" s="1543"/>
      <c r="M6824" s="1543"/>
      <c r="N6824" s="1543"/>
    </row>
    <row r="6825" spans="1:14">
      <c r="A6825" s="1544"/>
      <c r="B6825" s="876" t="s">
        <v>3198</v>
      </c>
      <c r="C6825" s="743"/>
      <c r="D6825" s="743"/>
      <c r="E6825" s="379"/>
      <c r="F6825" s="379"/>
      <c r="G6825" s="379"/>
      <c r="H6825" s="380"/>
      <c r="I6825" s="1543"/>
      <c r="J6825" s="1543"/>
      <c r="K6825" s="1543"/>
      <c r="L6825" s="1543"/>
      <c r="M6825" s="1543"/>
      <c r="N6825" s="1543"/>
    </row>
    <row r="6826" spans="1:14">
      <c r="A6826" s="1544"/>
      <c r="B6826" s="876" t="s">
        <v>4024</v>
      </c>
      <c r="C6826" s="743">
        <v>2</v>
      </c>
      <c r="D6826" s="743"/>
      <c r="E6826" s="379">
        <v>1</v>
      </c>
      <c r="F6826" s="379"/>
      <c r="G6826" s="379"/>
      <c r="H6826" s="380">
        <f>C6826*E6826</f>
        <v>2</v>
      </c>
      <c r="I6826" s="1543"/>
      <c r="J6826" s="1543"/>
      <c r="K6826" s="1543"/>
      <c r="L6826" s="1543"/>
      <c r="M6826" s="1543"/>
      <c r="N6826" s="1543"/>
    </row>
    <row r="6827" spans="1:14" ht="34.15" customHeight="1">
      <c r="A6827" s="1538" t="s">
        <v>2218</v>
      </c>
      <c r="B6827" s="1538"/>
      <c r="C6827" s="1538"/>
      <c r="D6827" s="1538"/>
      <c r="E6827" s="1538"/>
      <c r="F6827" s="1538"/>
      <c r="G6827" s="1538"/>
      <c r="H6827" s="271">
        <f>SUM(H6824:H6826)</f>
        <v>2</v>
      </c>
      <c r="I6827" s="1543"/>
      <c r="J6827" s="1543"/>
      <c r="K6827" s="1543"/>
      <c r="L6827" s="1543"/>
      <c r="M6827" s="1543"/>
      <c r="N6827" s="1543"/>
    </row>
    <row r="6828" spans="1:14">
      <c r="A6828" s="1538" t="s">
        <v>2219</v>
      </c>
      <c r="B6828" s="1538"/>
      <c r="C6828" s="1538"/>
      <c r="D6828" s="1538"/>
      <c r="E6828" s="1538"/>
      <c r="F6828" s="1538"/>
      <c r="G6828" s="1538"/>
      <c r="H6828" s="271">
        <f>SUM(H6824:H6825)</f>
        <v>0</v>
      </c>
      <c r="I6828" s="1543"/>
      <c r="J6828" s="1543"/>
      <c r="K6828" s="1543"/>
      <c r="L6828" s="1543"/>
      <c r="M6828" s="1543"/>
      <c r="N6828" s="1543"/>
    </row>
    <row r="6829" spans="1:14">
      <c r="A6829" s="1538" t="s">
        <v>2220</v>
      </c>
      <c r="B6829" s="1538"/>
      <c r="C6829" s="1538"/>
      <c r="D6829" s="1538"/>
      <c r="E6829" s="1538"/>
      <c r="F6829" s="1538"/>
      <c r="G6829" s="1538"/>
      <c r="H6829" s="269">
        <f>H6827-H6828</f>
        <v>2</v>
      </c>
      <c r="I6829" s="1543"/>
      <c r="J6829" s="1543"/>
      <c r="K6829" s="1543"/>
      <c r="L6829" s="1543"/>
      <c r="M6829" s="1543"/>
      <c r="N6829" s="1543"/>
    </row>
    <row r="6830" spans="1:14">
      <c r="A6830" s="385"/>
      <c r="B6830" s="385"/>
      <c r="C6830" s="385"/>
      <c r="D6830" s="367"/>
      <c r="E6830" s="1366"/>
      <c r="F6830" s="385"/>
      <c r="G6830" s="385"/>
      <c r="H6830" s="269"/>
      <c r="I6830" s="940"/>
      <c r="J6830" s="940"/>
      <c r="K6830" s="940"/>
      <c r="L6830" s="940"/>
      <c r="M6830" s="940"/>
      <c r="N6830" s="940"/>
    </row>
    <row r="6831" spans="1:14">
      <c r="A6831" s="1124" t="s">
        <v>4107</v>
      </c>
      <c r="B6831" s="1539" t="str">
        <f>'27ª MEDIÇÃO '!C511</f>
        <v>Patch Panel 24 Portas RJ45/IDC Cat.6, inclusive fixação em Rack 19"</v>
      </c>
      <c r="C6831" s="1539"/>
      <c r="D6831" s="1539"/>
      <c r="E6831" s="1539"/>
      <c r="F6831" s="1539"/>
      <c r="G6831" s="1539"/>
      <c r="H6831" s="1539"/>
      <c r="I6831" s="1539"/>
      <c r="J6831" s="1539"/>
      <c r="K6831" s="864" t="s">
        <v>3154</v>
      </c>
      <c r="L6831" s="1540">
        <f>'27ª MEDIÇÃO '!F511</f>
        <v>5</v>
      </c>
      <c r="M6831" s="1540"/>
      <c r="N6831" s="865">
        <f>L6831-H6837</f>
        <v>0</v>
      </c>
    </row>
    <row r="6832" spans="1:14">
      <c r="A6832" s="1541"/>
      <c r="B6832" s="1541"/>
      <c r="C6832" s="366"/>
      <c r="D6832" s="367" t="s">
        <v>2183</v>
      </c>
      <c r="E6832" s="1320" t="s">
        <v>2184</v>
      </c>
      <c r="F6832" s="367" t="s">
        <v>2185</v>
      </c>
      <c r="G6832" s="367" t="s">
        <v>2186</v>
      </c>
      <c r="H6832" s="1542" t="s">
        <v>476</v>
      </c>
      <c r="I6832" s="1543"/>
      <c r="J6832" s="1543"/>
      <c r="K6832" s="1543"/>
      <c r="L6832" s="1543"/>
      <c r="M6832" s="1543"/>
      <c r="N6832" s="1543"/>
    </row>
    <row r="6833" spans="1:14" ht="24">
      <c r="A6833" s="1541"/>
      <c r="B6833" s="1541"/>
      <c r="C6833" s="368" t="s">
        <v>2627</v>
      </c>
      <c r="D6833" s="369" t="s">
        <v>2187</v>
      </c>
      <c r="E6833" s="529" t="s">
        <v>3152</v>
      </c>
      <c r="F6833" s="369" t="s">
        <v>2649</v>
      </c>
      <c r="G6833" s="370" t="s">
        <v>2709</v>
      </c>
      <c r="H6833" s="1542"/>
      <c r="I6833" s="1543"/>
      <c r="J6833" s="1543"/>
      <c r="K6833" s="1543"/>
      <c r="L6833" s="1543"/>
      <c r="M6833" s="1543"/>
      <c r="N6833" s="1543"/>
    </row>
    <row r="6834" spans="1:14">
      <c r="A6834" s="1544" t="s">
        <v>4080</v>
      </c>
      <c r="B6834" s="876"/>
      <c r="C6834" s="743"/>
      <c r="D6834" s="743"/>
      <c r="E6834" s="379"/>
      <c r="F6834" s="379"/>
      <c r="G6834" s="379"/>
      <c r="H6834" s="380"/>
      <c r="I6834" s="1543"/>
      <c r="J6834" s="1543"/>
      <c r="K6834" s="1543"/>
      <c r="L6834" s="1543"/>
      <c r="M6834" s="1543"/>
      <c r="N6834" s="1543"/>
    </row>
    <row r="6835" spans="1:14">
      <c r="A6835" s="1544"/>
      <c r="B6835" s="876" t="s">
        <v>3198</v>
      </c>
      <c r="C6835" s="743"/>
      <c r="D6835" s="743"/>
      <c r="E6835" s="379"/>
      <c r="F6835" s="379"/>
      <c r="G6835" s="379"/>
      <c r="H6835" s="380"/>
      <c r="I6835" s="1543"/>
      <c r="J6835" s="1543"/>
      <c r="K6835" s="1543"/>
      <c r="L6835" s="1543"/>
      <c r="M6835" s="1543"/>
      <c r="N6835" s="1543"/>
    </row>
    <row r="6836" spans="1:14">
      <c r="A6836" s="1544"/>
      <c r="B6836" s="876" t="s">
        <v>4024</v>
      </c>
      <c r="C6836" s="743">
        <v>5</v>
      </c>
      <c r="D6836" s="743"/>
      <c r="E6836" s="379">
        <v>5</v>
      </c>
      <c r="F6836" s="379"/>
      <c r="G6836" s="379"/>
      <c r="H6836" s="380">
        <f>C6836</f>
        <v>5</v>
      </c>
      <c r="I6836" s="1543"/>
      <c r="J6836" s="1543"/>
      <c r="K6836" s="1543"/>
      <c r="L6836" s="1543"/>
      <c r="M6836" s="1543"/>
      <c r="N6836" s="1543"/>
    </row>
    <row r="6837" spans="1:14" ht="34.15" customHeight="1">
      <c r="A6837" s="1538" t="s">
        <v>2218</v>
      </c>
      <c r="B6837" s="1538"/>
      <c r="C6837" s="1538"/>
      <c r="D6837" s="1538"/>
      <c r="E6837" s="1538"/>
      <c r="F6837" s="1538"/>
      <c r="G6837" s="1538"/>
      <c r="H6837" s="271">
        <f>SUM(H6834:H6836)</f>
        <v>5</v>
      </c>
      <c r="I6837" s="1543"/>
      <c r="J6837" s="1543"/>
      <c r="K6837" s="1543"/>
      <c r="L6837" s="1543"/>
      <c r="M6837" s="1543"/>
      <c r="N6837" s="1543"/>
    </row>
    <row r="6838" spans="1:14">
      <c r="A6838" s="1538" t="s">
        <v>2219</v>
      </c>
      <c r="B6838" s="1538"/>
      <c r="C6838" s="1538"/>
      <c r="D6838" s="1538"/>
      <c r="E6838" s="1538"/>
      <c r="F6838" s="1538"/>
      <c r="G6838" s="1538"/>
      <c r="H6838" s="271">
        <f>SUM(H6834:H6835)</f>
        <v>0</v>
      </c>
      <c r="I6838" s="1543"/>
      <c r="J6838" s="1543"/>
      <c r="K6838" s="1543"/>
      <c r="L6838" s="1543"/>
      <c r="M6838" s="1543"/>
      <c r="N6838" s="1543"/>
    </row>
    <row r="6839" spans="1:14">
      <c r="A6839" s="1538" t="s">
        <v>2220</v>
      </c>
      <c r="B6839" s="1538"/>
      <c r="C6839" s="1538"/>
      <c r="D6839" s="1538"/>
      <c r="E6839" s="1538"/>
      <c r="F6839" s="1538"/>
      <c r="G6839" s="1538"/>
      <c r="H6839" s="269">
        <f>H6837-H6838</f>
        <v>5</v>
      </c>
      <c r="I6839" s="1543"/>
      <c r="J6839" s="1543"/>
      <c r="K6839" s="1543"/>
      <c r="L6839" s="1543"/>
      <c r="M6839" s="1543"/>
      <c r="N6839" s="1543"/>
    </row>
    <row r="6840" spans="1:14">
      <c r="A6840" s="385"/>
      <c r="B6840" s="385"/>
      <c r="C6840" s="385"/>
      <c r="D6840" s="367"/>
      <c r="E6840" s="1366"/>
      <c r="F6840" s="385"/>
      <c r="G6840" s="385"/>
      <c r="H6840" s="269"/>
      <c r="I6840" s="940"/>
      <c r="J6840" s="940"/>
      <c r="K6840" s="940"/>
      <c r="L6840" s="940"/>
      <c r="M6840" s="940"/>
      <c r="N6840" s="940"/>
    </row>
    <row r="6841" spans="1:14">
      <c r="A6841" s="1124" t="s">
        <v>4108</v>
      </c>
      <c r="B6841" s="1539" t="str">
        <f>'27ª MEDIÇÃO '!C512</f>
        <v>Guia de Cabos Fechado Horizontal Padrão 19" - 1 U´s, inclusive fixação em Rack 19"</v>
      </c>
      <c r="C6841" s="1539"/>
      <c r="D6841" s="1539"/>
      <c r="E6841" s="1539"/>
      <c r="F6841" s="1539"/>
      <c r="G6841" s="1539"/>
      <c r="H6841" s="1539"/>
      <c r="I6841" s="1539"/>
      <c r="J6841" s="1539"/>
      <c r="K6841" s="864" t="s">
        <v>3154</v>
      </c>
      <c r="L6841" s="1540">
        <f>'27ª MEDIÇÃO '!F512</f>
        <v>17</v>
      </c>
      <c r="M6841" s="1540"/>
      <c r="N6841" s="865">
        <f>L6841-H6847</f>
        <v>0</v>
      </c>
    </row>
    <row r="6842" spans="1:14">
      <c r="A6842" s="1541"/>
      <c r="B6842" s="1541"/>
      <c r="C6842" s="366"/>
      <c r="D6842" s="367" t="s">
        <v>2183</v>
      </c>
      <c r="E6842" s="1320" t="s">
        <v>2184</v>
      </c>
      <c r="F6842" s="367" t="s">
        <v>2185</v>
      </c>
      <c r="G6842" s="367" t="s">
        <v>2186</v>
      </c>
      <c r="H6842" s="1542" t="s">
        <v>476</v>
      </c>
      <c r="I6842" s="1543"/>
      <c r="J6842" s="1543"/>
      <c r="K6842" s="1543"/>
      <c r="L6842" s="1543"/>
      <c r="M6842" s="1543"/>
      <c r="N6842" s="1543"/>
    </row>
    <row r="6843" spans="1:14" ht="24">
      <c r="A6843" s="1541"/>
      <c r="B6843" s="1541"/>
      <c r="C6843" s="368" t="s">
        <v>2627</v>
      </c>
      <c r="D6843" s="369" t="s">
        <v>2187</v>
      </c>
      <c r="E6843" s="529" t="s">
        <v>3152</v>
      </c>
      <c r="F6843" s="369" t="s">
        <v>2649</v>
      </c>
      <c r="G6843" s="370" t="s">
        <v>2709</v>
      </c>
      <c r="H6843" s="1542"/>
      <c r="I6843" s="1543"/>
      <c r="J6843" s="1543"/>
      <c r="K6843" s="1543"/>
      <c r="L6843" s="1543"/>
      <c r="M6843" s="1543"/>
      <c r="N6843" s="1543"/>
    </row>
    <row r="6844" spans="1:14">
      <c r="A6844" s="1544" t="s">
        <v>4080</v>
      </c>
      <c r="B6844" s="876"/>
      <c r="C6844" s="743"/>
      <c r="D6844" s="743"/>
      <c r="E6844" s="379"/>
      <c r="F6844" s="379"/>
      <c r="G6844" s="379"/>
      <c r="H6844" s="380"/>
      <c r="I6844" s="1543"/>
      <c r="J6844" s="1543"/>
      <c r="K6844" s="1543"/>
      <c r="L6844" s="1543"/>
      <c r="M6844" s="1543"/>
      <c r="N6844" s="1543"/>
    </row>
    <row r="6845" spans="1:14">
      <c r="A6845" s="1544"/>
      <c r="B6845" s="876" t="s">
        <v>3198</v>
      </c>
      <c r="C6845" s="743"/>
      <c r="D6845" s="743"/>
      <c r="E6845" s="379"/>
      <c r="F6845" s="379"/>
      <c r="G6845" s="379"/>
      <c r="H6845" s="380"/>
      <c r="I6845" s="1543"/>
      <c r="J6845" s="1543"/>
      <c r="K6845" s="1543"/>
      <c r="L6845" s="1543"/>
      <c r="M6845" s="1543"/>
      <c r="N6845" s="1543"/>
    </row>
    <row r="6846" spans="1:14">
      <c r="A6846" s="1544"/>
      <c r="B6846" s="876" t="s">
        <v>4024</v>
      </c>
      <c r="C6846" s="743">
        <v>17</v>
      </c>
      <c r="D6846" s="743"/>
      <c r="E6846" s="379"/>
      <c r="F6846" s="379"/>
      <c r="G6846" s="379"/>
      <c r="H6846" s="380">
        <f>C6846</f>
        <v>17</v>
      </c>
      <c r="I6846" s="1543"/>
      <c r="J6846" s="1543"/>
      <c r="K6846" s="1543"/>
      <c r="L6846" s="1543"/>
      <c r="M6846" s="1543"/>
      <c r="N6846" s="1543"/>
    </row>
    <row r="6847" spans="1:14" ht="34.15" customHeight="1">
      <c r="A6847" s="1538" t="s">
        <v>2218</v>
      </c>
      <c r="B6847" s="1538"/>
      <c r="C6847" s="1538"/>
      <c r="D6847" s="1538"/>
      <c r="E6847" s="1538"/>
      <c r="F6847" s="1538"/>
      <c r="G6847" s="1538"/>
      <c r="H6847" s="271">
        <f>SUM(H6844:H6846)</f>
        <v>17</v>
      </c>
      <c r="I6847" s="1543"/>
      <c r="J6847" s="1543"/>
      <c r="K6847" s="1543"/>
      <c r="L6847" s="1543"/>
      <c r="M6847" s="1543"/>
      <c r="N6847" s="1543"/>
    </row>
    <row r="6848" spans="1:14">
      <c r="A6848" s="1538" t="s">
        <v>2219</v>
      </c>
      <c r="B6848" s="1538"/>
      <c r="C6848" s="1538"/>
      <c r="D6848" s="1538"/>
      <c r="E6848" s="1538"/>
      <c r="F6848" s="1538"/>
      <c r="G6848" s="1538"/>
      <c r="H6848" s="271">
        <f>SUM(H6844:H6845)</f>
        <v>0</v>
      </c>
      <c r="I6848" s="1543"/>
      <c r="J6848" s="1543"/>
      <c r="K6848" s="1543"/>
      <c r="L6848" s="1543"/>
      <c r="M6848" s="1543"/>
      <c r="N6848" s="1543"/>
    </row>
    <row r="6849" spans="1:14">
      <c r="A6849" s="1538" t="s">
        <v>2220</v>
      </c>
      <c r="B6849" s="1538"/>
      <c r="C6849" s="1538"/>
      <c r="D6849" s="1538"/>
      <c r="E6849" s="1538"/>
      <c r="F6849" s="1538"/>
      <c r="G6849" s="1538"/>
      <c r="H6849" s="269">
        <f>H6847-H6848</f>
        <v>17</v>
      </c>
      <c r="I6849" s="1543"/>
      <c r="J6849" s="1543"/>
      <c r="K6849" s="1543"/>
      <c r="L6849" s="1543"/>
      <c r="M6849" s="1543"/>
      <c r="N6849" s="1543"/>
    </row>
    <row r="6850" spans="1:14">
      <c r="A6850" s="385"/>
      <c r="B6850" s="385"/>
      <c r="C6850" s="385"/>
      <c r="D6850" s="367"/>
      <c r="E6850" s="1366"/>
      <c r="F6850" s="385"/>
      <c r="G6850" s="385"/>
      <c r="H6850" s="269"/>
      <c r="I6850" s="940"/>
      <c r="J6850" s="940"/>
      <c r="K6850" s="940"/>
      <c r="L6850" s="940"/>
      <c r="M6850" s="940"/>
      <c r="N6850" s="940"/>
    </row>
    <row r="6851" spans="1:14">
      <c r="A6851" s="1124" t="s">
        <v>4109</v>
      </c>
      <c r="B6851" s="1539" t="str">
        <f>'27ª MEDIÇÃO '!C513</f>
        <v>Patch Cord Gigalan Extra Flexível CAT 6 U/UTP RJ-45 - 1,50 m</v>
      </c>
      <c r="C6851" s="1539"/>
      <c r="D6851" s="1539"/>
      <c r="E6851" s="1539"/>
      <c r="F6851" s="1539"/>
      <c r="G6851" s="1539"/>
      <c r="H6851" s="1539"/>
      <c r="I6851" s="1539"/>
      <c r="J6851" s="1539"/>
      <c r="K6851" s="864" t="s">
        <v>3154</v>
      </c>
      <c r="L6851" s="1540">
        <f>'27ª MEDIÇÃO '!F513</f>
        <v>190</v>
      </c>
      <c r="M6851" s="1540"/>
      <c r="N6851" s="865">
        <f>L6851-H6858</f>
        <v>0</v>
      </c>
    </row>
    <row r="6852" spans="1:14">
      <c r="A6852" s="1541"/>
      <c r="B6852" s="1541"/>
      <c r="C6852" s="366"/>
      <c r="D6852" s="367" t="s">
        <v>2183</v>
      </c>
      <c r="E6852" s="1320" t="s">
        <v>2184</v>
      </c>
      <c r="F6852" s="367" t="s">
        <v>2185</v>
      </c>
      <c r="G6852" s="367" t="s">
        <v>2186</v>
      </c>
      <c r="H6852" s="1542" t="s">
        <v>476</v>
      </c>
      <c r="I6852" s="1543"/>
      <c r="J6852" s="1543"/>
      <c r="K6852" s="1543"/>
      <c r="L6852" s="1543"/>
      <c r="M6852" s="1543"/>
      <c r="N6852" s="1543"/>
    </row>
    <row r="6853" spans="1:14" ht="24">
      <c r="A6853" s="1541"/>
      <c r="B6853" s="1541"/>
      <c r="C6853" s="368" t="s">
        <v>2627</v>
      </c>
      <c r="D6853" s="369" t="s">
        <v>2187</v>
      </c>
      <c r="E6853" s="529" t="s">
        <v>3152</v>
      </c>
      <c r="F6853" s="369" t="s">
        <v>2649</v>
      </c>
      <c r="G6853" s="370" t="s">
        <v>2709</v>
      </c>
      <c r="H6853" s="1542"/>
      <c r="I6853" s="1543"/>
      <c r="J6853" s="1543"/>
      <c r="K6853" s="1543"/>
      <c r="L6853" s="1543"/>
      <c r="M6853" s="1543"/>
      <c r="N6853" s="1543"/>
    </row>
    <row r="6854" spans="1:14">
      <c r="A6854" s="1544" t="s">
        <v>4080</v>
      </c>
      <c r="B6854" s="876" t="s">
        <v>3199</v>
      </c>
      <c r="C6854" s="743">
        <v>17</v>
      </c>
      <c r="D6854" s="743"/>
      <c r="E6854" s="379"/>
      <c r="F6854" s="379"/>
      <c r="G6854" s="379"/>
      <c r="H6854" s="380">
        <f>C6854</f>
        <v>17</v>
      </c>
      <c r="I6854" s="1543"/>
      <c r="J6854" s="1543"/>
      <c r="K6854" s="1543"/>
      <c r="L6854" s="1543"/>
      <c r="M6854" s="1543"/>
      <c r="N6854" s="1543"/>
    </row>
    <row r="6855" spans="1:14">
      <c r="A6855" s="1544"/>
      <c r="B6855" s="876" t="s">
        <v>3197</v>
      </c>
      <c r="C6855" s="743">
        <v>91</v>
      </c>
      <c r="D6855" s="743"/>
      <c r="E6855" s="379"/>
      <c r="F6855" s="379"/>
      <c r="G6855" s="379"/>
      <c r="H6855" s="380">
        <f t="shared" ref="H6855:H6856" si="120">C6855</f>
        <v>91</v>
      </c>
      <c r="I6855" s="1543"/>
      <c r="J6855" s="1543"/>
      <c r="K6855" s="1543"/>
      <c r="L6855" s="1543"/>
      <c r="M6855" s="1543"/>
      <c r="N6855" s="1543"/>
    </row>
    <row r="6856" spans="1:14">
      <c r="A6856" s="1544"/>
      <c r="B6856" s="876" t="s">
        <v>3198</v>
      </c>
      <c r="C6856" s="743">
        <v>82</v>
      </c>
      <c r="D6856" s="743"/>
      <c r="E6856" s="379"/>
      <c r="F6856" s="379"/>
      <c r="G6856" s="379"/>
      <c r="H6856" s="380">
        <f t="shared" si="120"/>
        <v>82</v>
      </c>
      <c r="I6856" s="1543"/>
      <c r="J6856" s="1543"/>
      <c r="K6856" s="1543"/>
      <c r="L6856" s="1543"/>
      <c r="M6856" s="1543"/>
      <c r="N6856" s="1543"/>
    </row>
    <row r="6857" spans="1:14">
      <c r="A6857" s="1544"/>
      <c r="B6857" s="876"/>
      <c r="C6857" s="743"/>
      <c r="D6857" s="743"/>
      <c r="E6857" s="379"/>
      <c r="F6857" s="379"/>
      <c r="G6857" s="379"/>
      <c r="H6857" s="380">
        <f>C6857</f>
        <v>0</v>
      </c>
      <c r="I6857" s="1543"/>
      <c r="J6857" s="1543"/>
      <c r="K6857" s="1543"/>
      <c r="L6857" s="1543"/>
      <c r="M6857" s="1543"/>
      <c r="N6857" s="1543"/>
    </row>
    <row r="6858" spans="1:14" ht="34.15" customHeight="1">
      <c r="A6858" s="1538" t="s">
        <v>2218</v>
      </c>
      <c r="B6858" s="1538"/>
      <c r="C6858" s="1538"/>
      <c r="D6858" s="1538"/>
      <c r="E6858" s="1538"/>
      <c r="F6858" s="1538"/>
      <c r="G6858" s="1538"/>
      <c r="H6858" s="271">
        <f>SUM(H6854:H6857)</f>
        <v>190</v>
      </c>
      <c r="I6858" s="1543"/>
      <c r="J6858" s="1543"/>
      <c r="K6858" s="1543"/>
      <c r="L6858" s="1543"/>
      <c r="M6858" s="1543"/>
      <c r="N6858" s="1543"/>
    </row>
    <row r="6859" spans="1:14">
      <c r="A6859" s="1538" t="s">
        <v>2219</v>
      </c>
      <c r="B6859" s="1538"/>
      <c r="C6859" s="1538"/>
      <c r="D6859" s="1538"/>
      <c r="E6859" s="1538"/>
      <c r="F6859" s="1538"/>
      <c r="G6859" s="1538"/>
      <c r="H6859" s="271">
        <v>0</v>
      </c>
      <c r="I6859" s="1543"/>
      <c r="J6859" s="1543"/>
      <c r="K6859" s="1543"/>
      <c r="L6859" s="1543"/>
      <c r="M6859" s="1543"/>
      <c r="N6859" s="1543"/>
    </row>
    <row r="6860" spans="1:14">
      <c r="A6860" s="1538" t="s">
        <v>2220</v>
      </c>
      <c r="B6860" s="1538"/>
      <c r="C6860" s="1538"/>
      <c r="D6860" s="1538"/>
      <c r="E6860" s="1538"/>
      <c r="F6860" s="1538"/>
      <c r="G6860" s="1538"/>
      <c r="H6860" s="269">
        <f>H6858-H6859</f>
        <v>190</v>
      </c>
      <c r="I6860" s="1543"/>
      <c r="J6860" s="1543"/>
      <c r="K6860" s="1543"/>
      <c r="L6860" s="1543"/>
      <c r="M6860" s="1543"/>
      <c r="N6860" s="1543"/>
    </row>
    <row r="6861" spans="1:14">
      <c r="A6861" s="385"/>
      <c r="B6861" s="385"/>
      <c r="C6861" s="385"/>
      <c r="D6861" s="367"/>
      <c r="E6861" s="1366"/>
      <c r="F6861" s="385"/>
      <c r="G6861" s="385"/>
      <c r="H6861" s="269"/>
      <c r="I6861" s="940"/>
      <c r="J6861" s="940"/>
      <c r="K6861" s="940"/>
      <c r="L6861" s="940"/>
      <c r="M6861" s="940"/>
      <c r="N6861" s="940"/>
    </row>
    <row r="6862" spans="1:14">
      <c r="A6862" s="1124" t="s">
        <v>4110</v>
      </c>
      <c r="B6862" s="1539" t="str">
        <f>'27ª MEDIÇÃO '!C514</f>
        <v>Régua com 8 tomadas 2P+T, 10 A</v>
      </c>
      <c r="C6862" s="1539"/>
      <c r="D6862" s="1539"/>
      <c r="E6862" s="1539"/>
      <c r="F6862" s="1539"/>
      <c r="G6862" s="1539"/>
      <c r="H6862" s="1539"/>
      <c r="I6862" s="1539"/>
      <c r="J6862" s="1539"/>
      <c r="K6862" s="864" t="s">
        <v>3154</v>
      </c>
      <c r="L6862" s="1540">
        <f>'27ª MEDIÇÃO '!F514</f>
        <v>1</v>
      </c>
      <c r="M6862" s="1540"/>
      <c r="N6862" s="865">
        <f>L6862-H6869</f>
        <v>0</v>
      </c>
    </row>
    <row r="6863" spans="1:14">
      <c r="A6863" s="1541"/>
      <c r="B6863" s="1541"/>
      <c r="C6863" s="366"/>
      <c r="D6863" s="367" t="s">
        <v>2183</v>
      </c>
      <c r="E6863" s="1320" t="s">
        <v>2184</v>
      </c>
      <c r="F6863" s="367" t="s">
        <v>2185</v>
      </c>
      <c r="G6863" s="367" t="s">
        <v>2186</v>
      </c>
      <c r="H6863" s="1542" t="s">
        <v>476</v>
      </c>
      <c r="I6863" s="1543"/>
      <c r="J6863" s="1543"/>
      <c r="K6863" s="1543"/>
      <c r="L6863" s="1543"/>
      <c r="M6863" s="1543"/>
      <c r="N6863" s="1543"/>
    </row>
    <row r="6864" spans="1:14" ht="24">
      <c r="A6864" s="1541"/>
      <c r="B6864" s="1541"/>
      <c r="C6864" s="368" t="s">
        <v>2627</v>
      </c>
      <c r="D6864" s="369" t="s">
        <v>2187</v>
      </c>
      <c r="E6864" s="529" t="s">
        <v>3152</v>
      </c>
      <c r="F6864" s="369" t="s">
        <v>2649</v>
      </c>
      <c r="G6864" s="370" t="s">
        <v>2709</v>
      </c>
      <c r="H6864" s="1542"/>
      <c r="I6864" s="1543"/>
      <c r="J6864" s="1543"/>
      <c r="K6864" s="1543"/>
      <c r="L6864" s="1543"/>
      <c r="M6864" s="1543"/>
      <c r="N6864" s="1543"/>
    </row>
    <row r="6865" spans="1:14">
      <c r="A6865" s="1544" t="s">
        <v>4080</v>
      </c>
      <c r="B6865" s="876"/>
      <c r="C6865" s="743"/>
      <c r="D6865" s="743"/>
      <c r="E6865" s="379"/>
      <c r="F6865" s="379"/>
      <c r="G6865" s="379"/>
      <c r="H6865" s="380"/>
      <c r="I6865" s="1543"/>
      <c r="J6865" s="1543"/>
      <c r="K6865" s="1543"/>
      <c r="L6865" s="1543"/>
      <c r="M6865" s="1543"/>
      <c r="N6865" s="1543"/>
    </row>
    <row r="6866" spans="1:14">
      <c r="A6866" s="1544"/>
      <c r="B6866" s="876"/>
      <c r="C6866" s="743"/>
      <c r="D6866" s="743"/>
      <c r="E6866" s="379"/>
      <c r="F6866" s="379"/>
      <c r="G6866" s="379"/>
      <c r="H6866" s="380"/>
      <c r="I6866" s="1543"/>
      <c r="J6866" s="1543"/>
      <c r="K6866" s="1543"/>
      <c r="L6866" s="1543"/>
      <c r="M6866" s="1543"/>
      <c r="N6866" s="1543"/>
    </row>
    <row r="6867" spans="1:14">
      <c r="A6867" s="1544"/>
      <c r="B6867" s="876" t="s">
        <v>3198</v>
      </c>
      <c r="C6867" s="743">
        <v>1</v>
      </c>
      <c r="D6867" s="743"/>
      <c r="E6867" s="379"/>
      <c r="F6867" s="379"/>
      <c r="G6867" s="379"/>
      <c r="H6867" s="380">
        <f t="shared" ref="H6867" si="121">C6867</f>
        <v>1</v>
      </c>
      <c r="I6867" s="1543"/>
      <c r="J6867" s="1543"/>
      <c r="K6867" s="1543"/>
      <c r="L6867" s="1543"/>
      <c r="M6867" s="1543"/>
      <c r="N6867" s="1543"/>
    </row>
    <row r="6868" spans="1:14">
      <c r="A6868" s="1544"/>
      <c r="B6868" s="876"/>
      <c r="C6868" s="743"/>
      <c r="D6868" s="743"/>
      <c r="E6868" s="379"/>
      <c r="F6868" s="379"/>
      <c r="G6868" s="379"/>
      <c r="H6868" s="380"/>
      <c r="I6868" s="1543"/>
      <c r="J6868" s="1543"/>
      <c r="K6868" s="1543"/>
      <c r="L6868" s="1543"/>
      <c r="M6868" s="1543"/>
      <c r="N6868" s="1543"/>
    </row>
    <row r="6869" spans="1:14" ht="34.15" customHeight="1">
      <c r="A6869" s="1538" t="s">
        <v>2218</v>
      </c>
      <c r="B6869" s="1538"/>
      <c r="C6869" s="1538"/>
      <c r="D6869" s="1538"/>
      <c r="E6869" s="1538"/>
      <c r="F6869" s="1538"/>
      <c r="G6869" s="1538"/>
      <c r="H6869" s="271">
        <f>SUM(H6865:H6868)</f>
        <v>1</v>
      </c>
      <c r="I6869" s="1543"/>
      <c r="J6869" s="1543"/>
      <c r="K6869" s="1543"/>
      <c r="L6869" s="1543"/>
      <c r="M6869" s="1543"/>
      <c r="N6869" s="1543"/>
    </row>
    <row r="6870" spans="1:14">
      <c r="A6870" s="1538" t="s">
        <v>2219</v>
      </c>
      <c r="B6870" s="1538"/>
      <c r="C6870" s="1538"/>
      <c r="D6870" s="1538"/>
      <c r="E6870" s="1538"/>
      <c r="F6870" s="1538"/>
      <c r="G6870" s="1538"/>
      <c r="H6870" s="271">
        <v>0</v>
      </c>
      <c r="I6870" s="1543"/>
      <c r="J6870" s="1543"/>
      <c r="K6870" s="1543"/>
      <c r="L6870" s="1543"/>
      <c r="M6870" s="1543"/>
      <c r="N6870" s="1543"/>
    </row>
    <row r="6871" spans="1:14">
      <c r="A6871" s="1538" t="s">
        <v>2220</v>
      </c>
      <c r="B6871" s="1538"/>
      <c r="C6871" s="1538"/>
      <c r="D6871" s="1538"/>
      <c r="E6871" s="1538"/>
      <c r="F6871" s="1538"/>
      <c r="G6871" s="1538"/>
      <c r="H6871" s="269">
        <f>H6869-H6870</f>
        <v>1</v>
      </c>
      <c r="I6871" s="1543"/>
      <c r="J6871" s="1543"/>
      <c r="K6871" s="1543"/>
      <c r="L6871" s="1543"/>
      <c r="M6871" s="1543"/>
      <c r="N6871" s="1543"/>
    </row>
    <row r="6872" spans="1:14">
      <c r="A6872" s="385"/>
      <c r="B6872" s="385"/>
      <c r="C6872" s="385"/>
      <c r="D6872" s="367"/>
      <c r="E6872" s="1366"/>
      <c r="F6872" s="385"/>
      <c r="G6872" s="385"/>
      <c r="H6872" s="269"/>
      <c r="I6872" s="940"/>
      <c r="J6872" s="940"/>
      <c r="K6872" s="940"/>
      <c r="L6872" s="940"/>
      <c r="M6872" s="940"/>
      <c r="N6872" s="940"/>
    </row>
    <row r="6873" spans="1:14">
      <c r="A6873" s="1124" t="s">
        <v>4111</v>
      </c>
      <c r="B6873" s="1539" t="str">
        <f>'27ª MEDIÇÃO '!C515</f>
        <v>Bandeja fixa para rack, 2Ux19"x500mm</v>
      </c>
      <c r="C6873" s="1539"/>
      <c r="D6873" s="1539"/>
      <c r="E6873" s="1539"/>
      <c r="F6873" s="1539"/>
      <c r="G6873" s="1539"/>
      <c r="H6873" s="1539"/>
      <c r="I6873" s="1539"/>
      <c r="J6873" s="1539"/>
      <c r="K6873" s="864" t="s">
        <v>3154</v>
      </c>
      <c r="L6873" s="1540">
        <f>'27ª MEDIÇÃO '!F515</f>
        <v>2</v>
      </c>
      <c r="M6873" s="1540"/>
      <c r="N6873" s="865">
        <f>L6873-H6880</f>
        <v>0</v>
      </c>
    </row>
    <row r="6874" spans="1:14">
      <c r="A6874" s="1541"/>
      <c r="B6874" s="1541"/>
      <c r="C6874" s="366"/>
      <c r="D6874" s="367" t="s">
        <v>2183</v>
      </c>
      <c r="E6874" s="1320" t="s">
        <v>2184</v>
      </c>
      <c r="F6874" s="367" t="s">
        <v>2185</v>
      </c>
      <c r="G6874" s="367" t="s">
        <v>2186</v>
      </c>
      <c r="H6874" s="1542" t="s">
        <v>476</v>
      </c>
      <c r="I6874" s="1543"/>
      <c r="J6874" s="1543"/>
      <c r="K6874" s="1543"/>
      <c r="L6874" s="1543"/>
      <c r="M6874" s="1543"/>
      <c r="N6874" s="1543"/>
    </row>
    <row r="6875" spans="1:14" ht="24">
      <c r="A6875" s="1541"/>
      <c r="B6875" s="1541"/>
      <c r="C6875" s="368" t="s">
        <v>2627</v>
      </c>
      <c r="D6875" s="369" t="s">
        <v>2187</v>
      </c>
      <c r="E6875" s="529" t="s">
        <v>3152</v>
      </c>
      <c r="F6875" s="369" t="s">
        <v>2649</v>
      </c>
      <c r="G6875" s="370" t="s">
        <v>2709</v>
      </c>
      <c r="H6875" s="1542"/>
      <c r="I6875" s="1543"/>
      <c r="J6875" s="1543"/>
      <c r="K6875" s="1543"/>
      <c r="L6875" s="1543"/>
      <c r="M6875" s="1543"/>
      <c r="N6875" s="1543"/>
    </row>
    <row r="6876" spans="1:14">
      <c r="A6876" s="1544" t="s">
        <v>4080</v>
      </c>
      <c r="B6876" s="876"/>
      <c r="C6876" s="743"/>
      <c r="D6876" s="743"/>
      <c r="E6876" s="379"/>
      <c r="F6876" s="379"/>
      <c r="G6876" s="379"/>
      <c r="H6876" s="380"/>
      <c r="I6876" s="1543"/>
      <c r="J6876" s="1543"/>
      <c r="K6876" s="1543"/>
      <c r="L6876" s="1543"/>
      <c r="M6876" s="1543"/>
      <c r="N6876" s="1543"/>
    </row>
    <row r="6877" spans="1:14">
      <c r="A6877" s="1544"/>
      <c r="B6877" s="876"/>
      <c r="C6877" s="743"/>
      <c r="D6877" s="743"/>
      <c r="E6877" s="379"/>
      <c r="F6877" s="379"/>
      <c r="G6877" s="379"/>
      <c r="H6877" s="380"/>
      <c r="I6877" s="1543"/>
      <c r="J6877" s="1543"/>
      <c r="K6877" s="1543"/>
      <c r="L6877" s="1543"/>
      <c r="M6877" s="1543"/>
      <c r="N6877" s="1543"/>
    </row>
    <row r="6878" spans="1:14">
      <c r="A6878" s="1544"/>
      <c r="B6878" s="876" t="s">
        <v>3198</v>
      </c>
      <c r="C6878" s="743">
        <v>2</v>
      </c>
      <c r="D6878" s="743"/>
      <c r="E6878" s="379"/>
      <c r="F6878" s="379"/>
      <c r="G6878" s="379"/>
      <c r="H6878" s="380">
        <f t="shared" ref="H6878" si="122">C6878</f>
        <v>2</v>
      </c>
      <c r="I6878" s="1543"/>
      <c r="J6878" s="1543"/>
      <c r="K6878" s="1543"/>
      <c r="L6878" s="1543"/>
      <c r="M6878" s="1543"/>
      <c r="N6878" s="1543"/>
    </row>
    <row r="6879" spans="1:14">
      <c r="A6879" s="1544"/>
      <c r="B6879" s="876"/>
      <c r="C6879" s="743"/>
      <c r="D6879" s="743"/>
      <c r="E6879" s="379"/>
      <c r="F6879" s="379"/>
      <c r="G6879" s="379"/>
      <c r="H6879" s="380"/>
      <c r="I6879" s="1543"/>
      <c r="J6879" s="1543"/>
      <c r="K6879" s="1543"/>
      <c r="L6879" s="1543"/>
      <c r="M6879" s="1543"/>
      <c r="N6879" s="1543"/>
    </row>
    <row r="6880" spans="1:14" ht="34.15" customHeight="1">
      <c r="A6880" s="1538" t="s">
        <v>2218</v>
      </c>
      <c r="B6880" s="1538"/>
      <c r="C6880" s="1538"/>
      <c r="D6880" s="1538"/>
      <c r="E6880" s="1538"/>
      <c r="F6880" s="1538"/>
      <c r="G6880" s="1538"/>
      <c r="H6880" s="271">
        <f>SUM(H6876:H6879)</f>
        <v>2</v>
      </c>
      <c r="I6880" s="1543"/>
      <c r="J6880" s="1543"/>
      <c r="K6880" s="1543"/>
      <c r="L6880" s="1543"/>
      <c r="M6880" s="1543"/>
      <c r="N6880" s="1543"/>
    </row>
    <row r="6881" spans="1:14">
      <c r="A6881" s="1538" t="s">
        <v>2219</v>
      </c>
      <c r="B6881" s="1538"/>
      <c r="C6881" s="1538"/>
      <c r="D6881" s="1538"/>
      <c r="E6881" s="1538"/>
      <c r="F6881" s="1538"/>
      <c r="G6881" s="1538"/>
      <c r="H6881" s="271">
        <v>0</v>
      </c>
      <c r="I6881" s="1543"/>
      <c r="J6881" s="1543"/>
      <c r="K6881" s="1543"/>
      <c r="L6881" s="1543"/>
      <c r="M6881" s="1543"/>
      <c r="N6881" s="1543"/>
    </row>
    <row r="6882" spans="1:14">
      <c r="A6882" s="1538" t="s">
        <v>2220</v>
      </c>
      <c r="B6882" s="1538"/>
      <c r="C6882" s="1538"/>
      <c r="D6882" s="1538"/>
      <c r="E6882" s="1538"/>
      <c r="F6882" s="1538"/>
      <c r="G6882" s="1538"/>
      <c r="H6882" s="269">
        <f>H6880-H6881</f>
        <v>2</v>
      </c>
      <c r="I6882" s="1543"/>
      <c r="J6882" s="1543"/>
      <c r="K6882" s="1543"/>
      <c r="L6882" s="1543"/>
      <c r="M6882" s="1543"/>
      <c r="N6882" s="1543"/>
    </row>
    <row r="6883" spans="1:14">
      <c r="A6883" s="385"/>
      <c r="B6883" s="385"/>
      <c r="C6883" s="385"/>
      <c r="D6883" s="367"/>
      <c r="E6883" s="1366"/>
      <c r="F6883" s="385"/>
      <c r="G6883" s="385"/>
      <c r="H6883" s="269"/>
      <c r="I6883" s="940"/>
      <c r="J6883" s="940"/>
      <c r="K6883" s="940"/>
      <c r="L6883" s="940"/>
      <c r="M6883" s="940"/>
      <c r="N6883" s="940"/>
    </row>
    <row r="6884" spans="1:14">
      <c r="A6884" s="1124" t="s">
        <v>4112</v>
      </c>
      <c r="B6884" s="1539" t="str">
        <f>'27ª MEDIÇÃO '!C516</f>
        <v>Switch 24 portas RJ-45 10/100 + 2 10/100/1000, inclusive fixação em Rack 19"</v>
      </c>
      <c r="C6884" s="1539"/>
      <c r="D6884" s="1539"/>
      <c r="E6884" s="1539"/>
      <c r="F6884" s="1539"/>
      <c r="G6884" s="1539"/>
      <c r="H6884" s="1539"/>
      <c r="I6884" s="1539"/>
      <c r="J6884" s="1539"/>
      <c r="K6884" s="864" t="s">
        <v>3154</v>
      </c>
      <c r="L6884" s="1540">
        <f>'27ª MEDIÇÃO '!F516</f>
        <v>6</v>
      </c>
      <c r="M6884" s="1540"/>
      <c r="N6884" s="865">
        <f>L6884-H6891</f>
        <v>0</v>
      </c>
    </row>
    <row r="6885" spans="1:14">
      <c r="A6885" s="1541"/>
      <c r="B6885" s="1541"/>
      <c r="C6885" s="366"/>
      <c r="D6885" s="367" t="s">
        <v>2183</v>
      </c>
      <c r="E6885" s="1320" t="s">
        <v>2184</v>
      </c>
      <c r="F6885" s="367" t="s">
        <v>2185</v>
      </c>
      <c r="G6885" s="367" t="s">
        <v>2186</v>
      </c>
      <c r="H6885" s="1542" t="s">
        <v>476</v>
      </c>
      <c r="I6885" s="1543"/>
      <c r="J6885" s="1543"/>
      <c r="K6885" s="1543"/>
      <c r="L6885" s="1543"/>
      <c r="M6885" s="1543"/>
      <c r="N6885" s="1543"/>
    </row>
    <row r="6886" spans="1:14" ht="24">
      <c r="A6886" s="1541"/>
      <c r="B6886" s="1541"/>
      <c r="C6886" s="368" t="s">
        <v>2627</v>
      </c>
      <c r="D6886" s="369" t="s">
        <v>2187</v>
      </c>
      <c r="E6886" s="529" t="s">
        <v>3152</v>
      </c>
      <c r="F6886" s="369" t="s">
        <v>2649</v>
      </c>
      <c r="G6886" s="370" t="s">
        <v>2709</v>
      </c>
      <c r="H6886" s="1542"/>
      <c r="I6886" s="1543"/>
      <c r="J6886" s="1543"/>
      <c r="K6886" s="1543"/>
      <c r="L6886" s="1543"/>
      <c r="M6886" s="1543"/>
      <c r="N6886" s="1543"/>
    </row>
    <row r="6887" spans="1:14">
      <c r="A6887" s="1544" t="s">
        <v>4080</v>
      </c>
      <c r="B6887" s="876"/>
      <c r="C6887" s="743"/>
      <c r="D6887" s="743"/>
      <c r="E6887" s="379"/>
      <c r="F6887" s="379"/>
      <c r="G6887" s="379"/>
      <c r="H6887" s="380"/>
      <c r="I6887" s="1543"/>
      <c r="J6887" s="1543"/>
      <c r="K6887" s="1543"/>
      <c r="L6887" s="1543"/>
      <c r="M6887" s="1543"/>
      <c r="N6887" s="1543"/>
    </row>
    <row r="6888" spans="1:14">
      <c r="A6888" s="1544"/>
      <c r="B6888" s="876"/>
      <c r="C6888" s="743"/>
      <c r="D6888" s="743"/>
      <c r="E6888" s="379"/>
      <c r="F6888" s="379"/>
      <c r="G6888" s="379"/>
      <c r="H6888" s="380"/>
      <c r="I6888" s="1543"/>
      <c r="J6888" s="1543"/>
      <c r="K6888" s="1543"/>
      <c r="L6888" s="1543"/>
      <c r="M6888" s="1543"/>
      <c r="N6888" s="1543"/>
    </row>
    <row r="6889" spans="1:14">
      <c r="A6889" s="1544"/>
      <c r="B6889" s="876" t="s">
        <v>3198</v>
      </c>
      <c r="C6889" s="743">
        <v>6</v>
      </c>
      <c r="D6889" s="743"/>
      <c r="E6889" s="379"/>
      <c r="F6889" s="379"/>
      <c r="G6889" s="379"/>
      <c r="H6889" s="380">
        <f t="shared" ref="H6889" si="123">C6889</f>
        <v>6</v>
      </c>
      <c r="I6889" s="1543"/>
      <c r="J6889" s="1543"/>
      <c r="K6889" s="1543"/>
      <c r="L6889" s="1543"/>
      <c r="M6889" s="1543"/>
      <c r="N6889" s="1543"/>
    </row>
    <row r="6890" spans="1:14">
      <c r="A6890" s="1544"/>
      <c r="B6890" s="876"/>
      <c r="C6890" s="743"/>
      <c r="D6890" s="743"/>
      <c r="E6890" s="379"/>
      <c r="F6890" s="379"/>
      <c r="G6890" s="379"/>
      <c r="H6890" s="380"/>
      <c r="I6890" s="1543"/>
      <c r="J6890" s="1543"/>
      <c r="K6890" s="1543"/>
      <c r="L6890" s="1543"/>
      <c r="M6890" s="1543"/>
      <c r="N6890" s="1543"/>
    </row>
    <row r="6891" spans="1:14" ht="34.15" customHeight="1">
      <c r="A6891" s="1538" t="s">
        <v>2218</v>
      </c>
      <c r="B6891" s="1538"/>
      <c r="C6891" s="1538"/>
      <c r="D6891" s="1538"/>
      <c r="E6891" s="1538"/>
      <c r="F6891" s="1538"/>
      <c r="G6891" s="1538"/>
      <c r="H6891" s="271">
        <f>SUM(H6887:H6890)</f>
        <v>6</v>
      </c>
      <c r="I6891" s="1543"/>
      <c r="J6891" s="1543"/>
      <c r="K6891" s="1543"/>
      <c r="L6891" s="1543"/>
      <c r="M6891" s="1543"/>
      <c r="N6891" s="1543"/>
    </row>
    <row r="6892" spans="1:14">
      <c r="A6892" s="1538" t="s">
        <v>2219</v>
      </c>
      <c r="B6892" s="1538"/>
      <c r="C6892" s="1538"/>
      <c r="D6892" s="1538"/>
      <c r="E6892" s="1538"/>
      <c r="F6892" s="1538"/>
      <c r="G6892" s="1538"/>
      <c r="H6892" s="271">
        <v>0</v>
      </c>
      <c r="I6892" s="1543"/>
      <c r="J6892" s="1543"/>
      <c r="K6892" s="1543"/>
      <c r="L6892" s="1543"/>
      <c r="M6892" s="1543"/>
      <c r="N6892" s="1543"/>
    </row>
    <row r="6893" spans="1:14">
      <c r="A6893" s="1538" t="s">
        <v>2220</v>
      </c>
      <c r="B6893" s="1538"/>
      <c r="C6893" s="1538"/>
      <c r="D6893" s="1538"/>
      <c r="E6893" s="1538"/>
      <c r="F6893" s="1538"/>
      <c r="G6893" s="1538"/>
      <c r="H6893" s="269">
        <f>H6891-H6892</f>
        <v>6</v>
      </c>
      <c r="I6893" s="1543"/>
      <c r="J6893" s="1543"/>
      <c r="K6893" s="1543"/>
      <c r="L6893" s="1543"/>
      <c r="M6893" s="1543"/>
      <c r="N6893" s="1543"/>
    </row>
    <row r="6894" spans="1:14">
      <c r="A6894" s="385"/>
      <c r="B6894" s="385"/>
      <c r="C6894" s="385"/>
      <c r="D6894" s="367"/>
      <c r="E6894" s="1366"/>
      <c r="F6894" s="385"/>
      <c r="G6894" s="385"/>
      <c r="H6894" s="269"/>
      <c r="I6894" s="940"/>
      <c r="J6894" s="940"/>
      <c r="K6894" s="940"/>
      <c r="L6894" s="940"/>
      <c r="M6894" s="940"/>
      <c r="N6894" s="940"/>
    </row>
    <row r="6895" spans="1:14">
      <c r="A6895" s="1124" t="s">
        <v>4113</v>
      </c>
      <c r="B6895" s="1539" t="str">
        <f>'27ª MEDIÇÃO '!C517</f>
        <v>Patch cord Cat 6 - 2,5 m</v>
      </c>
      <c r="C6895" s="1539"/>
      <c r="D6895" s="1539"/>
      <c r="E6895" s="1539"/>
      <c r="F6895" s="1539"/>
      <c r="G6895" s="1539"/>
      <c r="H6895" s="1539"/>
      <c r="I6895" s="1539"/>
      <c r="J6895" s="1539"/>
      <c r="K6895" s="864" t="s">
        <v>3154</v>
      </c>
      <c r="L6895" s="1540">
        <f>'27ª MEDIÇÃO '!F517</f>
        <v>82</v>
      </c>
      <c r="M6895" s="1540"/>
      <c r="N6895" s="865">
        <f>L6895-H6902</f>
        <v>0</v>
      </c>
    </row>
    <row r="6896" spans="1:14">
      <c r="A6896" s="1541"/>
      <c r="B6896" s="1541"/>
      <c r="C6896" s="366"/>
      <c r="D6896" s="367" t="s">
        <v>2183</v>
      </c>
      <c r="E6896" s="1320" t="s">
        <v>2184</v>
      </c>
      <c r="F6896" s="367" t="s">
        <v>2185</v>
      </c>
      <c r="G6896" s="367" t="s">
        <v>2186</v>
      </c>
      <c r="H6896" s="1542" t="s">
        <v>476</v>
      </c>
      <c r="I6896" s="1543"/>
      <c r="J6896" s="1543"/>
      <c r="K6896" s="1543"/>
      <c r="L6896" s="1543"/>
      <c r="M6896" s="1543"/>
      <c r="N6896" s="1543"/>
    </row>
    <row r="6897" spans="1:14" ht="24">
      <c r="A6897" s="1541"/>
      <c r="B6897" s="1541"/>
      <c r="C6897" s="368" t="s">
        <v>2627</v>
      </c>
      <c r="D6897" s="369" t="s">
        <v>2187</v>
      </c>
      <c r="E6897" s="529" t="s">
        <v>3152</v>
      </c>
      <c r="F6897" s="369" t="s">
        <v>2649</v>
      </c>
      <c r="G6897" s="370" t="s">
        <v>2709</v>
      </c>
      <c r="H6897" s="1542"/>
      <c r="I6897" s="1543"/>
      <c r="J6897" s="1543"/>
      <c r="K6897" s="1543"/>
      <c r="L6897" s="1543"/>
      <c r="M6897" s="1543"/>
      <c r="N6897" s="1543"/>
    </row>
    <row r="6898" spans="1:14">
      <c r="A6898" s="1544" t="s">
        <v>4080</v>
      </c>
      <c r="B6898" s="876"/>
      <c r="C6898" s="743"/>
      <c r="D6898" s="743"/>
      <c r="E6898" s="379"/>
      <c r="F6898" s="379"/>
      <c r="G6898" s="379"/>
      <c r="H6898" s="380"/>
      <c r="I6898" s="1543"/>
      <c r="J6898" s="1543"/>
      <c r="K6898" s="1543"/>
      <c r="L6898" s="1543"/>
      <c r="M6898" s="1543"/>
      <c r="N6898" s="1543"/>
    </row>
    <row r="6899" spans="1:14">
      <c r="A6899" s="1544"/>
      <c r="B6899" s="876" t="s">
        <v>3197</v>
      </c>
      <c r="C6899" s="743">
        <v>45</v>
      </c>
      <c r="D6899" s="743"/>
      <c r="E6899" s="379"/>
      <c r="F6899" s="379"/>
      <c r="G6899" s="379"/>
      <c r="H6899" s="380">
        <f t="shared" ref="H6899:H6900" si="124">C6899</f>
        <v>45</v>
      </c>
      <c r="I6899" s="1543"/>
      <c r="J6899" s="1543"/>
      <c r="K6899" s="1543"/>
      <c r="L6899" s="1543"/>
      <c r="M6899" s="1543"/>
      <c r="N6899" s="1543"/>
    </row>
    <row r="6900" spans="1:14">
      <c r="A6900" s="1544"/>
      <c r="B6900" s="876" t="s">
        <v>3198</v>
      </c>
      <c r="C6900" s="743">
        <v>37</v>
      </c>
      <c r="D6900" s="743"/>
      <c r="E6900" s="379"/>
      <c r="F6900" s="379"/>
      <c r="G6900" s="379"/>
      <c r="H6900" s="380">
        <f t="shared" si="124"/>
        <v>37</v>
      </c>
      <c r="I6900" s="1543"/>
      <c r="J6900" s="1543"/>
      <c r="K6900" s="1543"/>
      <c r="L6900" s="1543"/>
      <c r="M6900" s="1543"/>
      <c r="N6900" s="1543"/>
    </row>
    <row r="6901" spans="1:14">
      <c r="A6901" s="1544"/>
      <c r="B6901" s="876"/>
      <c r="C6901" s="743"/>
      <c r="D6901" s="743"/>
      <c r="E6901" s="379"/>
      <c r="F6901" s="379"/>
      <c r="G6901" s="379"/>
      <c r="H6901" s="380"/>
      <c r="I6901" s="1543"/>
      <c r="J6901" s="1543"/>
      <c r="K6901" s="1543"/>
      <c r="L6901" s="1543"/>
      <c r="M6901" s="1543"/>
      <c r="N6901" s="1543"/>
    </row>
    <row r="6902" spans="1:14" ht="34.15" customHeight="1">
      <c r="A6902" s="1538" t="s">
        <v>2218</v>
      </c>
      <c r="B6902" s="1538"/>
      <c r="C6902" s="1538"/>
      <c r="D6902" s="1538"/>
      <c r="E6902" s="1538"/>
      <c r="F6902" s="1538"/>
      <c r="G6902" s="1538"/>
      <c r="H6902" s="271">
        <f>SUM(H6898:H6901)</f>
        <v>82</v>
      </c>
      <c r="I6902" s="1543"/>
      <c r="J6902" s="1543"/>
      <c r="K6902" s="1543"/>
      <c r="L6902" s="1543"/>
      <c r="M6902" s="1543"/>
      <c r="N6902" s="1543"/>
    </row>
    <row r="6903" spans="1:14">
      <c r="A6903" s="1538" t="s">
        <v>2219</v>
      </c>
      <c r="B6903" s="1538"/>
      <c r="C6903" s="1538"/>
      <c r="D6903" s="1538"/>
      <c r="E6903" s="1538"/>
      <c r="F6903" s="1538"/>
      <c r="G6903" s="1538"/>
      <c r="H6903" s="271">
        <v>0</v>
      </c>
      <c r="I6903" s="1543"/>
      <c r="J6903" s="1543"/>
      <c r="K6903" s="1543"/>
      <c r="L6903" s="1543"/>
      <c r="M6903" s="1543"/>
      <c r="N6903" s="1543"/>
    </row>
    <row r="6904" spans="1:14">
      <c r="A6904" s="1538" t="s">
        <v>2220</v>
      </c>
      <c r="B6904" s="1538"/>
      <c r="C6904" s="1538"/>
      <c r="D6904" s="1538"/>
      <c r="E6904" s="1538"/>
      <c r="F6904" s="1538"/>
      <c r="G6904" s="1538"/>
      <c r="H6904" s="269">
        <f>H6902-H6903</f>
        <v>82</v>
      </c>
      <c r="I6904" s="1543"/>
      <c r="J6904" s="1543"/>
      <c r="K6904" s="1543"/>
      <c r="L6904" s="1543"/>
      <c r="M6904" s="1543"/>
      <c r="N6904" s="1543"/>
    </row>
    <row r="6905" spans="1:14">
      <c r="A6905" s="385"/>
      <c r="B6905" s="385"/>
      <c r="C6905" s="385"/>
      <c r="D6905" s="367"/>
      <c r="E6905" s="1366"/>
      <c r="F6905" s="385"/>
      <c r="G6905" s="385"/>
      <c r="H6905" s="269"/>
      <c r="I6905" s="940"/>
      <c r="J6905" s="940"/>
      <c r="K6905" s="940"/>
      <c r="L6905" s="940"/>
      <c r="M6905" s="940"/>
      <c r="N6905" s="940"/>
    </row>
    <row r="6906" spans="1:14">
      <c r="A6906" s="1124" t="s">
        <v>4114</v>
      </c>
      <c r="B6906" s="1539" t="str">
        <f>'27ª MEDIÇÃO '!C518</f>
        <v>Voice panel 50 portas</v>
      </c>
      <c r="C6906" s="1539"/>
      <c r="D6906" s="1539"/>
      <c r="E6906" s="1539"/>
      <c r="F6906" s="1539"/>
      <c r="G6906" s="1539"/>
      <c r="H6906" s="1539"/>
      <c r="I6906" s="1539"/>
      <c r="J6906" s="1539"/>
      <c r="K6906" s="864" t="s">
        <v>3154</v>
      </c>
      <c r="L6906" s="1540">
        <f>'27ª MEDIÇÃO '!F518</f>
        <v>2</v>
      </c>
      <c r="M6906" s="1540"/>
      <c r="N6906" s="865">
        <f>L6906-H6913</f>
        <v>0</v>
      </c>
    </row>
    <row r="6907" spans="1:14">
      <c r="A6907" s="1541"/>
      <c r="B6907" s="1541"/>
      <c r="C6907" s="366"/>
      <c r="D6907" s="367" t="s">
        <v>2183</v>
      </c>
      <c r="E6907" s="1320" t="s">
        <v>2184</v>
      </c>
      <c r="F6907" s="367" t="s">
        <v>2185</v>
      </c>
      <c r="G6907" s="367" t="s">
        <v>2186</v>
      </c>
      <c r="H6907" s="1542" t="s">
        <v>476</v>
      </c>
      <c r="I6907" s="1543"/>
      <c r="J6907" s="1543"/>
      <c r="K6907" s="1543"/>
      <c r="L6907" s="1543"/>
      <c r="M6907" s="1543"/>
      <c r="N6907" s="1543"/>
    </row>
    <row r="6908" spans="1:14" ht="24">
      <c r="A6908" s="1541"/>
      <c r="B6908" s="1541"/>
      <c r="C6908" s="368" t="s">
        <v>2627</v>
      </c>
      <c r="D6908" s="369" t="s">
        <v>2187</v>
      </c>
      <c r="E6908" s="529" t="s">
        <v>3152</v>
      </c>
      <c r="F6908" s="369" t="s">
        <v>2649</v>
      </c>
      <c r="G6908" s="370" t="s">
        <v>2709</v>
      </c>
      <c r="H6908" s="1542"/>
      <c r="I6908" s="1543"/>
      <c r="J6908" s="1543"/>
      <c r="K6908" s="1543"/>
      <c r="L6908" s="1543"/>
      <c r="M6908" s="1543"/>
      <c r="N6908" s="1543"/>
    </row>
    <row r="6909" spans="1:14">
      <c r="A6909" s="1544" t="s">
        <v>4080</v>
      </c>
      <c r="B6909" s="876"/>
      <c r="C6909" s="743"/>
      <c r="D6909" s="743"/>
      <c r="E6909" s="379"/>
      <c r="F6909" s="379"/>
      <c r="G6909" s="379"/>
      <c r="H6909" s="380"/>
      <c r="I6909" s="1543"/>
      <c r="J6909" s="1543"/>
      <c r="K6909" s="1543"/>
      <c r="L6909" s="1543"/>
      <c r="M6909" s="1543"/>
      <c r="N6909" s="1543"/>
    </row>
    <row r="6910" spans="1:14">
      <c r="A6910" s="1544"/>
      <c r="B6910" s="876"/>
      <c r="C6910" s="743"/>
      <c r="D6910" s="743"/>
      <c r="E6910" s="379"/>
      <c r="F6910" s="379"/>
      <c r="G6910" s="379"/>
      <c r="H6910" s="380">
        <f t="shared" ref="H6910:H6911" si="125">C6910</f>
        <v>0</v>
      </c>
      <c r="I6910" s="1543"/>
      <c r="J6910" s="1543"/>
      <c r="K6910" s="1543"/>
      <c r="L6910" s="1543"/>
      <c r="M6910" s="1543"/>
      <c r="N6910" s="1543"/>
    </row>
    <row r="6911" spans="1:14">
      <c r="A6911" s="1544"/>
      <c r="B6911" s="876" t="s">
        <v>3198</v>
      </c>
      <c r="C6911" s="743">
        <v>2</v>
      </c>
      <c r="D6911" s="743"/>
      <c r="E6911" s="379"/>
      <c r="F6911" s="379"/>
      <c r="G6911" s="379"/>
      <c r="H6911" s="380">
        <f t="shared" si="125"/>
        <v>2</v>
      </c>
      <c r="I6911" s="1543"/>
      <c r="J6911" s="1543"/>
      <c r="K6911" s="1543"/>
      <c r="L6911" s="1543"/>
      <c r="M6911" s="1543"/>
      <c r="N6911" s="1543"/>
    </row>
    <row r="6912" spans="1:14">
      <c r="A6912" s="1544"/>
      <c r="B6912" s="876"/>
      <c r="C6912" s="743"/>
      <c r="D6912" s="743"/>
      <c r="E6912" s="379"/>
      <c r="F6912" s="379"/>
      <c r="G6912" s="379"/>
      <c r="H6912" s="380"/>
      <c r="I6912" s="1543"/>
      <c r="J6912" s="1543"/>
      <c r="K6912" s="1543"/>
      <c r="L6912" s="1543"/>
      <c r="M6912" s="1543"/>
      <c r="N6912" s="1543"/>
    </row>
    <row r="6913" spans="1:14" ht="34.15" customHeight="1">
      <c r="A6913" s="1538" t="s">
        <v>2218</v>
      </c>
      <c r="B6913" s="1538"/>
      <c r="C6913" s="1538"/>
      <c r="D6913" s="1538"/>
      <c r="E6913" s="1538"/>
      <c r="F6913" s="1538"/>
      <c r="G6913" s="1538"/>
      <c r="H6913" s="271">
        <f>SUM(H6909:H6912)</f>
        <v>2</v>
      </c>
      <c r="I6913" s="1543"/>
      <c r="J6913" s="1543"/>
      <c r="K6913" s="1543"/>
      <c r="L6913" s="1543"/>
      <c r="M6913" s="1543"/>
      <c r="N6913" s="1543"/>
    </row>
    <row r="6914" spans="1:14">
      <c r="A6914" s="1538" t="s">
        <v>2219</v>
      </c>
      <c r="B6914" s="1538"/>
      <c r="C6914" s="1538"/>
      <c r="D6914" s="1538"/>
      <c r="E6914" s="1538"/>
      <c r="F6914" s="1538"/>
      <c r="G6914" s="1538"/>
      <c r="H6914" s="271">
        <v>0</v>
      </c>
      <c r="I6914" s="1543"/>
      <c r="J6914" s="1543"/>
      <c r="K6914" s="1543"/>
      <c r="L6914" s="1543"/>
      <c r="M6914" s="1543"/>
      <c r="N6914" s="1543"/>
    </row>
    <row r="6915" spans="1:14">
      <c r="A6915" s="1538" t="s">
        <v>2220</v>
      </c>
      <c r="B6915" s="1538"/>
      <c r="C6915" s="1538"/>
      <c r="D6915" s="1538"/>
      <c r="E6915" s="1538"/>
      <c r="F6915" s="1538"/>
      <c r="G6915" s="1538"/>
      <c r="H6915" s="269">
        <f>H6913-H6914</f>
        <v>2</v>
      </c>
      <c r="I6915" s="1543"/>
      <c r="J6915" s="1543"/>
      <c r="K6915" s="1543"/>
      <c r="L6915" s="1543"/>
      <c r="M6915" s="1543"/>
      <c r="N6915" s="1543"/>
    </row>
    <row r="6916" spans="1:14">
      <c r="A6916" s="385"/>
      <c r="B6916" s="385"/>
      <c r="C6916" s="385"/>
      <c r="D6916" s="367"/>
      <c r="E6916" s="1366"/>
      <c r="F6916" s="385"/>
      <c r="G6916" s="385"/>
      <c r="H6916" s="269"/>
      <c r="I6916" s="940"/>
      <c r="J6916" s="940"/>
      <c r="K6916" s="940"/>
      <c r="L6916" s="940"/>
      <c r="M6916" s="940"/>
      <c r="N6916" s="940"/>
    </row>
    <row r="6917" spans="1:14">
      <c r="A6917" s="1124" t="s">
        <v>4115</v>
      </c>
      <c r="B6917" s="1539" t="str">
        <f>'27ª MEDIÇÃO '!C519</f>
        <v>Bloco de engate rápido BER-10 pares com proteção Minipei e bastidor em aço inox</v>
      </c>
      <c r="C6917" s="1539"/>
      <c r="D6917" s="1539"/>
      <c r="E6917" s="1539"/>
      <c r="F6917" s="1539"/>
      <c r="G6917" s="1539"/>
      <c r="H6917" s="1539"/>
      <c r="I6917" s="1539"/>
      <c r="J6917" s="1539"/>
      <c r="K6917" s="864" t="s">
        <v>3154</v>
      </c>
      <c r="L6917" s="1540">
        <f>'27ª MEDIÇÃO '!F519</f>
        <v>8</v>
      </c>
      <c r="M6917" s="1540"/>
      <c r="N6917" s="865">
        <f>L6917-H6924</f>
        <v>0</v>
      </c>
    </row>
    <row r="6918" spans="1:14">
      <c r="A6918" s="1541"/>
      <c r="B6918" s="1541"/>
      <c r="C6918" s="366"/>
      <c r="D6918" s="367" t="s">
        <v>2183</v>
      </c>
      <c r="E6918" s="1320" t="s">
        <v>2184</v>
      </c>
      <c r="F6918" s="367" t="s">
        <v>2185</v>
      </c>
      <c r="G6918" s="367" t="s">
        <v>2186</v>
      </c>
      <c r="H6918" s="1542" t="s">
        <v>476</v>
      </c>
      <c r="I6918" s="1543"/>
      <c r="J6918" s="1543"/>
      <c r="K6918" s="1543"/>
      <c r="L6918" s="1543"/>
      <c r="M6918" s="1543"/>
      <c r="N6918" s="1543"/>
    </row>
    <row r="6919" spans="1:14" ht="24">
      <c r="A6919" s="1541"/>
      <c r="B6919" s="1541"/>
      <c r="C6919" s="368" t="s">
        <v>2627</v>
      </c>
      <c r="D6919" s="369" t="s">
        <v>2187</v>
      </c>
      <c r="E6919" s="529" t="s">
        <v>3152</v>
      </c>
      <c r="F6919" s="369" t="s">
        <v>2649</v>
      </c>
      <c r="G6919" s="370" t="s">
        <v>2709</v>
      </c>
      <c r="H6919" s="1542"/>
      <c r="I6919" s="1543"/>
      <c r="J6919" s="1543"/>
      <c r="K6919" s="1543"/>
      <c r="L6919" s="1543"/>
      <c r="M6919" s="1543"/>
      <c r="N6919" s="1543"/>
    </row>
    <row r="6920" spans="1:14">
      <c r="A6920" s="1544" t="s">
        <v>4080</v>
      </c>
      <c r="B6920" s="876"/>
      <c r="C6920" s="743"/>
      <c r="D6920" s="743"/>
      <c r="E6920" s="379"/>
      <c r="F6920" s="379"/>
      <c r="G6920" s="379"/>
      <c r="H6920" s="380"/>
      <c r="I6920" s="1543"/>
      <c r="J6920" s="1543"/>
      <c r="K6920" s="1543"/>
      <c r="L6920" s="1543"/>
      <c r="M6920" s="1543"/>
      <c r="N6920" s="1543"/>
    </row>
    <row r="6921" spans="1:14">
      <c r="A6921" s="1544"/>
      <c r="B6921" s="876"/>
      <c r="C6921" s="743"/>
      <c r="D6921" s="743"/>
      <c r="E6921" s="379"/>
      <c r="F6921" s="379"/>
      <c r="G6921" s="379"/>
      <c r="H6921" s="380">
        <f t="shared" ref="H6921:H6922" si="126">C6921</f>
        <v>0</v>
      </c>
      <c r="I6921" s="1543"/>
      <c r="J6921" s="1543"/>
      <c r="K6921" s="1543"/>
      <c r="L6921" s="1543"/>
      <c r="M6921" s="1543"/>
      <c r="N6921" s="1543"/>
    </row>
    <row r="6922" spans="1:14">
      <c r="A6922" s="1544"/>
      <c r="B6922" s="876" t="s">
        <v>3197</v>
      </c>
      <c r="C6922" s="743">
        <v>8</v>
      </c>
      <c r="D6922" s="743"/>
      <c r="E6922" s="379"/>
      <c r="F6922" s="379"/>
      <c r="G6922" s="379"/>
      <c r="H6922" s="380">
        <f t="shared" si="126"/>
        <v>8</v>
      </c>
      <c r="I6922" s="1543"/>
      <c r="J6922" s="1543"/>
      <c r="K6922" s="1543"/>
      <c r="L6922" s="1543"/>
      <c r="M6922" s="1543"/>
      <c r="N6922" s="1543"/>
    </row>
    <row r="6923" spans="1:14">
      <c r="A6923" s="1544"/>
      <c r="B6923" s="876"/>
      <c r="C6923" s="743"/>
      <c r="D6923" s="743"/>
      <c r="E6923" s="379"/>
      <c r="F6923" s="379"/>
      <c r="G6923" s="379"/>
      <c r="H6923" s="380"/>
      <c r="I6923" s="1543"/>
      <c r="J6923" s="1543"/>
      <c r="K6923" s="1543"/>
      <c r="L6923" s="1543"/>
      <c r="M6923" s="1543"/>
      <c r="N6923" s="1543"/>
    </row>
    <row r="6924" spans="1:14" ht="34.15" customHeight="1">
      <c r="A6924" s="1538" t="s">
        <v>2218</v>
      </c>
      <c r="B6924" s="1538"/>
      <c r="C6924" s="1538"/>
      <c r="D6924" s="1538"/>
      <c r="E6924" s="1538"/>
      <c r="F6924" s="1538"/>
      <c r="G6924" s="1538"/>
      <c r="H6924" s="271">
        <f>SUM(H6920:H6923)</f>
        <v>8</v>
      </c>
      <c r="I6924" s="1543"/>
      <c r="J6924" s="1543"/>
      <c r="K6924" s="1543"/>
      <c r="L6924" s="1543"/>
      <c r="M6924" s="1543"/>
      <c r="N6924" s="1543"/>
    </row>
    <row r="6925" spans="1:14">
      <c r="A6925" s="1538" t="s">
        <v>2219</v>
      </c>
      <c r="B6925" s="1538"/>
      <c r="C6925" s="1538"/>
      <c r="D6925" s="1538"/>
      <c r="E6925" s="1538"/>
      <c r="F6925" s="1538"/>
      <c r="G6925" s="1538"/>
      <c r="H6925" s="271">
        <v>0</v>
      </c>
      <c r="I6925" s="1543"/>
      <c r="J6925" s="1543"/>
      <c r="K6925" s="1543"/>
      <c r="L6925" s="1543"/>
      <c r="M6925" s="1543"/>
      <c r="N6925" s="1543"/>
    </row>
    <row r="6926" spans="1:14">
      <c r="A6926" s="1538" t="s">
        <v>2220</v>
      </c>
      <c r="B6926" s="1538"/>
      <c r="C6926" s="1538"/>
      <c r="D6926" s="1538"/>
      <c r="E6926" s="1538"/>
      <c r="F6926" s="1538"/>
      <c r="G6926" s="1538"/>
      <c r="H6926" s="269">
        <f>H6924-H6925</f>
        <v>8</v>
      </c>
      <c r="I6926" s="1543"/>
      <c r="J6926" s="1543"/>
      <c r="K6926" s="1543"/>
      <c r="L6926" s="1543"/>
      <c r="M6926" s="1543"/>
      <c r="N6926" s="1543"/>
    </row>
    <row r="6927" spans="1:14">
      <c r="A6927" s="385"/>
      <c r="B6927" s="385"/>
      <c r="C6927" s="385"/>
      <c r="D6927" s="367"/>
      <c r="E6927" s="1366"/>
      <c r="F6927" s="385"/>
      <c r="G6927" s="385"/>
      <c r="H6927" s="269"/>
      <c r="I6927" s="940"/>
      <c r="J6927" s="940"/>
      <c r="K6927" s="940"/>
      <c r="L6927" s="940"/>
      <c r="M6927" s="940"/>
      <c r="N6927" s="940"/>
    </row>
    <row r="6928" spans="1:14">
      <c r="A6928" s="1124" t="s">
        <v>4116</v>
      </c>
      <c r="B6928" s="1539" t="str">
        <f>'27ª MEDIÇÃO '!C520</f>
        <v>Anel guia base 02-40mm</v>
      </c>
      <c r="C6928" s="1539"/>
      <c r="D6928" s="1539"/>
      <c r="E6928" s="1539"/>
      <c r="F6928" s="1539"/>
      <c r="G6928" s="1539"/>
      <c r="H6928" s="1539"/>
      <c r="I6928" s="1539"/>
      <c r="J6928" s="1539"/>
      <c r="K6928" s="864" t="s">
        <v>3154</v>
      </c>
      <c r="L6928" s="1540">
        <f>'27ª MEDIÇÃO '!F520</f>
        <v>8</v>
      </c>
      <c r="M6928" s="1540"/>
      <c r="N6928" s="865">
        <f>L6928-H6935</f>
        <v>0</v>
      </c>
    </row>
    <row r="6929" spans="1:14">
      <c r="A6929" s="1541"/>
      <c r="B6929" s="1541"/>
      <c r="C6929" s="366"/>
      <c r="D6929" s="367" t="s">
        <v>2183</v>
      </c>
      <c r="E6929" s="1320" t="s">
        <v>2184</v>
      </c>
      <c r="F6929" s="367" t="s">
        <v>2185</v>
      </c>
      <c r="G6929" s="367" t="s">
        <v>2186</v>
      </c>
      <c r="H6929" s="1542" t="s">
        <v>476</v>
      </c>
      <c r="I6929" s="1543"/>
      <c r="J6929" s="1543"/>
      <c r="K6929" s="1543"/>
      <c r="L6929" s="1543"/>
      <c r="M6929" s="1543"/>
      <c r="N6929" s="1543"/>
    </row>
    <row r="6930" spans="1:14" ht="24">
      <c r="A6930" s="1541"/>
      <c r="B6930" s="1541"/>
      <c r="C6930" s="368" t="s">
        <v>2627</v>
      </c>
      <c r="D6930" s="369" t="s">
        <v>2187</v>
      </c>
      <c r="E6930" s="529" t="s">
        <v>3152</v>
      </c>
      <c r="F6930" s="369" t="s">
        <v>2649</v>
      </c>
      <c r="G6930" s="370" t="s">
        <v>2709</v>
      </c>
      <c r="H6930" s="1542"/>
      <c r="I6930" s="1543"/>
      <c r="J6930" s="1543"/>
      <c r="K6930" s="1543"/>
      <c r="L6930" s="1543"/>
      <c r="M6930" s="1543"/>
      <c r="N6930" s="1543"/>
    </row>
    <row r="6931" spans="1:14">
      <c r="A6931" s="1544" t="s">
        <v>4080</v>
      </c>
      <c r="B6931" s="876"/>
      <c r="C6931" s="743"/>
      <c r="D6931" s="743"/>
      <c r="E6931" s="379"/>
      <c r="F6931" s="379"/>
      <c r="G6931" s="379"/>
      <c r="H6931" s="380"/>
      <c r="I6931" s="1543"/>
      <c r="J6931" s="1543"/>
      <c r="K6931" s="1543"/>
      <c r="L6931" s="1543"/>
      <c r="M6931" s="1543"/>
      <c r="N6931" s="1543"/>
    </row>
    <row r="6932" spans="1:14">
      <c r="A6932" s="1544"/>
      <c r="B6932" s="876"/>
      <c r="C6932" s="743"/>
      <c r="D6932" s="743"/>
      <c r="E6932" s="379"/>
      <c r="F6932" s="379"/>
      <c r="G6932" s="379"/>
      <c r="H6932" s="380">
        <f t="shared" ref="H6932:H6933" si="127">C6932</f>
        <v>0</v>
      </c>
      <c r="I6932" s="1543"/>
      <c r="J6932" s="1543"/>
      <c r="K6932" s="1543"/>
      <c r="L6932" s="1543"/>
      <c r="M6932" s="1543"/>
      <c r="N6932" s="1543"/>
    </row>
    <row r="6933" spans="1:14">
      <c r="A6933" s="1544"/>
      <c r="B6933" s="876" t="s">
        <v>3197</v>
      </c>
      <c r="C6933" s="743">
        <v>8</v>
      </c>
      <c r="D6933" s="743"/>
      <c r="E6933" s="379"/>
      <c r="F6933" s="379"/>
      <c r="G6933" s="379"/>
      <c r="H6933" s="380">
        <f t="shared" si="127"/>
        <v>8</v>
      </c>
      <c r="I6933" s="1543"/>
      <c r="J6933" s="1543"/>
      <c r="K6933" s="1543"/>
      <c r="L6933" s="1543"/>
      <c r="M6933" s="1543"/>
      <c r="N6933" s="1543"/>
    </row>
    <row r="6934" spans="1:14">
      <c r="A6934" s="1544"/>
      <c r="B6934" s="876"/>
      <c r="C6934" s="743"/>
      <c r="D6934" s="743"/>
      <c r="E6934" s="379"/>
      <c r="F6934" s="379"/>
      <c r="G6934" s="379"/>
      <c r="H6934" s="380"/>
      <c r="I6934" s="1543"/>
      <c r="J6934" s="1543"/>
      <c r="K6934" s="1543"/>
      <c r="L6934" s="1543"/>
      <c r="M6934" s="1543"/>
      <c r="N6934" s="1543"/>
    </row>
    <row r="6935" spans="1:14" ht="34.15" customHeight="1">
      <c r="A6935" s="1538" t="s">
        <v>2218</v>
      </c>
      <c r="B6935" s="1538"/>
      <c r="C6935" s="1538"/>
      <c r="D6935" s="1538"/>
      <c r="E6935" s="1538"/>
      <c r="F6935" s="1538"/>
      <c r="G6935" s="1538"/>
      <c r="H6935" s="271">
        <f>SUM(H6931:H6934)</f>
        <v>8</v>
      </c>
      <c r="I6935" s="1543"/>
      <c r="J6935" s="1543"/>
      <c r="K6935" s="1543"/>
      <c r="L6935" s="1543"/>
      <c r="M6935" s="1543"/>
      <c r="N6935" s="1543"/>
    </row>
    <row r="6936" spans="1:14">
      <c r="A6936" s="1538" t="s">
        <v>2219</v>
      </c>
      <c r="B6936" s="1538"/>
      <c r="C6936" s="1538"/>
      <c r="D6936" s="1538"/>
      <c r="E6936" s="1538"/>
      <c r="F6936" s="1538"/>
      <c r="G6936" s="1538"/>
      <c r="H6936" s="271">
        <v>0</v>
      </c>
      <c r="I6936" s="1543"/>
      <c r="J6936" s="1543"/>
      <c r="K6936" s="1543"/>
      <c r="L6936" s="1543"/>
      <c r="M6936" s="1543"/>
      <c r="N6936" s="1543"/>
    </row>
    <row r="6937" spans="1:14">
      <c r="A6937" s="1538" t="s">
        <v>2220</v>
      </c>
      <c r="B6937" s="1538"/>
      <c r="C6937" s="1538"/>
      <c r="D6937" s="1538"/>
      <c r="E6937" s="1538"/>
      <c r="F6937" s="1538"/>
      <c r="G6937" s="1538"/>
      <c r="H6937" s="269">
        <f>H6935-H6936</f>
        <v>8</v>
      </c>
      <c r="I6937" s="1543"/>
      <c r="J6937" s="1543"/>
      <c r="K6937" s="1543"/>
      <c r="L6937" s="1543"/>
      <c r="M6937" s="1543"/>
      <c r="N6937" s="1543"/>
    </row>
    <row r="6938" spans="1:14">
      <c r="A6938" s="385"/>
      <c r="B6938" s="385"/>
      <c r="C6938" s="385"/>
      <c r="D6938" s="367"/>
      <c r="E6938" s="1366"/>
      <c r="F6938" s="385"/>
      <c r="G6938" s="385"/>
      <c r="H6938" s="269"/>
      <c r="I6938" s="940"/>
      <c r="J6938" s="940"/>
      <c r="K6938" s="940"/>
      <c r="L6938" s="940"/>
      <c r="M6938" s="940"/>
      <c r="N6938" s="940"/>
    </row>
    <row r="6939" spans="1:14">
      <c r="A6939" s="1124" t="s">
        <v>4149</v>
      </c>
      <c r="B6939" s="1539" t="s">
        <v>1771</v>
      </c>
      <c r="C6939" s="1539"/>
      <c r="D6939" s="1539"/>
      <c r="E6939" s="1539"/>
      <c r="F6939" s="1539"/>
      <c r="G6939" s="1539"/>
      <c r="H6939" s="1539"/>
      <c r="I6939" s="1539"/>
      <c r="J6939" s="1539"/>
      <c r="K6939" s="864" t="s">
        <v>3154</v>
      </c>
      <c r="L6939" s="1540">
        <v>152</v>
      </c>
      <c r="M6939" s="1540"/>
      <c r="N6939" s="865">
        <f>L6939-H6946</f>
        <v>0</v>
      </c>
    </row>
    <row r="6940" spans="1:14">
      <c r="A6940" s="1541"/>
      <c r="B6940" s="1541"/>
      <c r="C6940" s="366"/>
      <c r="D6940" s="367" t="s">
        <v>2183</v>
      </c>
      <c r="E6940" s="1320" t="s">
        <v>2184</v>
      </c>
      <c r="F6940" s="367" t="s">
        <v>2185</v>
      </c>
      <c r="G6940" s="367" t="s">
        <v>2186</v>
      </c>
      <c r="H6940" s="1542" t="s">
        <v>476</v>
      </c>
      <c r="I6940" s="1543"/>
      <c r="J6940" s="1543"/>
      <c r="K6940" s="1543"/>
      <c r="L6940" s="1543"/>
      <c r="M6940" s="1543"/>
      <c r="N6940" s="1543"/>
    </row>
    <row r="6941" spans="1:14" ht="24">
      <c r="A6941" s="1541"/>
      <c r="B6941" s="1541"/>
      <c r="C6941" s="368" t="s">
        <v>2627</v>
      </c>
      <c r="D6941" s="369" t="s">
        <v>2187</v>
      </c>
      <c r="E6941" s="529" t="s">
        <v>3152</v>
      </c>
      <c r="F6941" s="369" t="s">
        <v>2649</v>
      </c>
      <c r="G6941" s="370" t="s">
        <v>2709</v>
      </c>
      <c r="H6941" s="1542"/>
      <c r="I6941" s="1543"/>
      <c r="J6941" s="1543"/>
      <c r="K6941" s="1543"/>
      <c r="L6941" s="1543"/>
      <c r="M6941" s="1543"/>
      <c r="N6941" s="1543"/>
    </row>
    <row r="6942" spans="1:14">
      <c r="A6942" s="1544" t="s">
        <v>4143</v>
      </c>
      <c r="B6942" s="876"/>
      <c r="C6942" s="743"/>
      <c r="D6942" s="743"/>
      <c r="E6942" s="379"/>
      <c r="F6942" s="379"/>
      <c r="G6942" s="379"/>
      <c r="H6942" s="380"/>
      <c r="I6942" s="1543"/>
      <c r="J6942" s="1543"/>
      <c r="K6942" s="1543"/>
      <c r="L6942" s="1543"/>
      <c r="M6942" s="1543"/>
      <c r="N6942" s="1543"/>
    </row>
    <row r="6943" spans="1:14">
      <c r="A6943" s="1544"/>
      <c r="B6943" s="876" t="s">
        <v>3197</v>
      </c>
      <c r="C6943" s="743">
        <v>70</v>
      </c>
      <c r="D6943" s="743"/>
      <c r="E6943" s="379"/>
      <c r="F6943" s="379"/>
      <c r="G6943" s="379"/>
      <c r="H6943" s="380">
        <f t="shared" ref="H6943:H6944" si="128">C6943</f>
        <v>70</v>
      </c>
      <c r="I6943" s="1543"/>
      <c r="J6943" s="1543"/>
      <c r="K6943" s="1543"/>
      <c r="L6943" s="1543"/>
      <c r="M6943" s="1543"/>
      <c r="N6943" s="1543"/>
    </row>
    <row r="6944" spans="1:14">
      <c r="A6944" s="1544"/>
      <c r="B6944" s="876" t="s">
        <v>3198</v>
      </c>
      <c r="C6944" s="743">
        <v>82</v>
      </c>
      <c r="D6944" s="743"/>
      <c r="E6944" s="379"/>
      <c r="F6944" s="379"/>
      <c r="G6944" s="379"/>
      <c r="H6944" s="380">
        <f t="shared" si="128"/>
        <v>82</v>
      </c>
      <c r="I6944" s="1543"/>
      <c r="J6944" s="1543"/>
      <c r="K6944" s="1543"/>
      <c r="L6944" s="1543"/>
      <c r="M6944" s="1543"/>
      <c r="N6944" s="1543"/>
    </row>
    <row r="6945" spans="1:14">
      <c r="A6945" s="1544"/>
      <c r="B6945" s="876"/>
      <c r="C6945" s="743"/>
      <c r="D6945" s="743"/>
      <c r="E6945" s="379"/>
      <c r="F6945" s="379"/>
      <c r="G6945" s="379"/>
      <c r="H6945" s="380"/>
      <c r="I6945" s="1543"/>
      <c r="J6945" s="1543"/>
      <c r="K6945" s="1543"/>
      <c r="L6945" s="1543"/>
      <c r="M6945" s="1543"/>
      <c r="N6945" s="1543"/>
    </row>
    <row r="6946" spans="1:14" ht="34.15" customHeight="1">
      <c r="A6946" s="1538" t="s">
        <v>2218</v>
      </c>
      <c r="B6946" s="1538"/>
      <c r="C6946" s="1538"/>
      <c r="D6946" s="1538"/>
      <c r="E6946" s="1538"/>
      <c r="F6946" s="1538"/>
      <c r="G6946" s="1538"/>
      <c r="H6946" s="271">
        <f>SUM(H6942:H6945)</f>
        <v>152</v>
      </c>
      <c r="I6946" s="1543"/>
      <c r="J6946" s="1543"/>
      <c r="K6946" s="1543"/>
      <c r="L6946" s="1543"/>
      <c r="M6946" s="1543"/>
      <c r="N6946" s="1543"/>
    </row>
    <row r="6947" spans="1:14">
      <c r="A6947" s="1538" t="s">
        <v>2219</v>
      </c>
      <c r="B6947" s="1538"/>
      <c r="C6947" s="1538"/>
      <c r="D6947" s="1538"/>
      <c r="E6947" s="1538"/>
      <c r="F6947" s="1538"/>
      <c r="G6947" s="1538"/>
      <c r="H6947" s="271">
        <v>0</v>
      </c>
      <c r="I6947" s="1543"/>
      <c r="J6947" s="1543"/>
      <c r="K6947" s="1543"/>
      <c r="L6947" s="1543"/>
      <c r="M6947" s="1543"/>
      <c r="N6947" s="1543"/>
    </row>
    <row r="6948" spans="1:14">
      <c r="A6948" s="1538" t="s">
        <v>2220</v>
      </c>
      <c r="B6948" s="1538"/>
      <c r="C6948" s="1538"/>
      <c r="D6948" s="1538"/>
      <c r="E6948" s="1538"/>
      <c r="F6948" s="1538"/>
      <c r="G6948" s="1538"/>
      <c r="H6948" s="269">
        <f>H6946-H6947</f>
        <v>152</v>
      </c>
      <c r="I6948" s="1543"/>
      <c r="J6948" s="1543"/>
      <c r="K6948" s="1543"/>
      <c r="L6948" s="1543"/>
      <c r="M6948" s="1543"/>
      <c r="N6948" s="1543"/>
    </row>
    <row r="6949" spans="1:14">
      <c r="A6949" s="385"/>
      <c r="B6949" s="385"/>
      <c r="C6949" s="385"/>
      <c r="D6949" s="367"/>
      <c r="E6949" s="1366"/>
      <c r="F6949" s="385"/>
      <c r="G6949" s="385"/>
      <c r="H6949" s="269"/>
      <c r="I6949" s="940"/>
      <c r="J6949" s="940"/>
      <c r="K6949" s="940"/>
      <c r="L6949" s="940"/>
      <c r="M6949" s="940"/>
      <c r="N6949" s="940"/>
    </row>
    <row r="6950" spans="1:14">
      <c r="A6950" s="1114" t="s">
        <v>3537</v>
      </c>
      <c r="B6950" s="1548" t="s">
        <v>3538</v>
      </c>
      <c r="C6950" s="1548"/>
      <c r="D6950" s="1548"/>
      <c r="E6950" s="1548"/>
      <c r="F6950" s="1548"/>
      <c r="G6950" s="1548"/>
      <c r="H6950" s="1548"/>
      <c r="I6950" s="1548"/>
      <c r="J6950" s="1548"/>
      <c r="K6950" s="1548"/>
      <c r="L6950" s="1548"/>
      <c r="M6950" s="1548"/>
      <c r="N6950" s="1548"/>
    </row>
    <row r="6951" spans="1:14">
      <c r="A6951" s="1114" t="s">
        <v>3539</v>
      </c>
      <c r="B6951" s="1549" t="s">
        <v>3540</v>
      </c>
      <c r="C6951" s="1549"/>
      <c r="D6951" s="1549"/>
      <c r="E6951" s="1549"/>
      <c r="F6951" s="1549"/>
      <c r="G6951" s="1549"/>
      <c r="H6951" s="1549"/>
      <c r="I6951" s="1549"/>
      <c r="J6951" s="1549"/>
      <c r="K6951" s="1549"/>
      <c r="L6951" s="1549"/>
      <c r="M6951" s="1549"/>
      <c r="N6951" s="1549"/>
    </row>
    <row r="6952" spans="1:14">
      <c r="A6952" s="1124" t="s">
        <v>3541</v>
      </c>
      <c r="B6952" s="1539" t="s">
        <v>1438</v>
      </c>
      <c r="C6952" s="1539"/>
      <c r="D6952" s="1539"/>
      <c r="E6952" s="1539"/>
      <c r="F6952" s="1539"/>
      <c r="G6952" s="1539"/>
      <c r="H6952" s="1539"/>
      <c r="I6952" s="1539"/>
      <c r="J6952" s="1539"/>
      <c r="K6952" s="864" t="s">
        <v>3154</v>
      </c>
      <c r="L6952" s="1540">
        <f>'27ª MEDIÇÃO '!F524</f>
        <v>27</v>
      </c>
      <c r="M6952" s="1540"/>
      <c r="N6952" s="865">
        <f>L6952-H6961</f>
        <v>0</v>
      </c>
    </row>
    <row r="6953" spans="1:14">
      <c r="A6953" s="1541"/>
      <c r="B6953" s="1541"/>
      <c r="C6953" s="366"/>
      <c r="D6953" s="367" t="s">
        <v>2183</v>
      </c>
      <c r="E6953" s="1320" t="s">
        <v>2184</v>
      </c>
      <c r="F6953" s="367" t="s">
        <v>2185</v>
      </c>
      <c r="G6953" s="367" t="s">
        <v>2186</v>
      </c>
      <c r="H6953" s="1542" t="s">
        <v>476</v>
      </c>
      <c r="I6953" s="1543"/>
      <c r="J6953" s="1543"/>
      <c r="K6953" s="1543"/>
      <c r="L6953" s="1543"/>
      <c r="M6953" s="1543"/>
      <c r="N6953" s="1543"/>
    </row>
    <row r="6954" spans="1:14" ht="24">
      <c r="A6954" s="1541"/>
      <c r="B6954" s="1541"/>
      <c r="C6954" s="368" t="s">
        <v>2627</v>
      </c>
      <c r="D6954" s="369" t="s">
        <v>2187</v>
      </c>
      <c r="E6954" s="529" t="s">
        <v>3152</v>
      </c>
      <c r="F6954" s="369" t="s">
        <v>2649</v>
      </c>
      <c r="G6954" s="370" t="s">
        <v>2709</v>
      </c>
      <c r="H6954" s="1542"/>
      <c r="I6954" s="1543"/>
      <c r="J6954" s="1543"/>
      <c r="K6954" s="1543"/>
      <c r="L6954" s="1543"/>
      <c r="M6954" s="1543"/>
      <c r="N6954" s="1543"/>
    </row>
    <row r="6955" spans="1:14">
      <c r="A6955" s="1544" t="s">
        <v>3521</v>
      </c>
      <c r="B6955" s="876"/>
      <c r="C6955" s="743"/>
      <c r="D6955" s="743"/>
      <c r="E6955" s="379"/>
      <c r="F6955" s="379"/>
      <c r="G6955" s="379"/>
      <c r="H6955" s="380"/>
      <c r="I6955" s="1543"/>
      <c r="J6955" s="1543"/>
      <c r="K6955" s="1543"/>
      <c r="L6955" s="1543"/>
      <c r="M6955" s="1543"/>
      <c r="N6955" s="1543"/>
    </row>
    <row r="6956" spans="1:14">
      <c r="A6956" s="1544"/>
      <c r="B6956" s="876" t="s">
        <v>3197</v>
      </c>
      <c r="C6956" s="743">
        <v>17</v>
      </c>
      <c r="D6956" s="743"/>
      <c r="E6956" s="379">
        <v>0.6</v>
      </c>
      <c r="F6956" s="379"/>
      <c r="G6956" s="379"/>
      <c r="H6956" s="380">
        <v>10</v>
      </c>
      <c r="I6956" s="1543"/>
      <c r="J6956" s="1543"/>
      <c r="K6956" s="1543"/>
      <c r="L6956" s="1543"/>
      <c r="M6956" s="1543"/>
      <c r="N6956" s="1543"/>
    </row>
    <row r="6957" spans="1:14">
      <c r="A6957" s="1544"/>
      <c r="B6957" s="876" t="s">
        <v>3198</v>
      </c>
      <c r="C6957" s="743">
        <v>10</v>
      </c>
      <c r="D6957" s="743"/>
      <c r="E6957" s="379">
        <v>0.6</v>
      </c>
      <c r="F6957" s="379"/>
      <c r="G6957" s="379"/>
      <c r="H6957" s="380">
        <f>C6957*E6957</f>
        <v>6</v>
      </c>
      <c r="I6957" s="1543"/>
      <c r="J6957" s="1543"/>
      <c r="K6957" s="1543"/>
      <c r="L6957" s="1543"/>
      <c r="M6957" s="1543"/>
      <c r="N6957" s="1543"/>
    </row>
    <row r="6958" spans="1:14">
      <c r="A6958" s="1544" t="s">
        <v>3569</v>
      </c>
      <c r="B6958" s="876"/>
      <c r="C6958" s="743"/>
      <c r="D6958" s="743"/>
      <c r="E6958" s="379"/>
      <c r="F6958" s="379"/>
      <c r="G6958" s="379"/>
      <c r="H6958" s="380"/>
      <c r="I6958" s="1543"/>
      <c r="J6958" s="1543"/>
      <c r="K6958" s="1543"/>
      <c r="L6958" s="1543"/>
      <c r="M6958" s="1543"/>
      <c r="N6958" s="1543"/>
    </row>
    <row r="6959" spans="1:14" ht="18" customHeight="1">
      <c r="A6959" s="1544"/>
      <c r="B6959" s="876" t="s">
        <v>3197</v>
      </c>
      <c r="C6959" s="743">
        <v>17</v>
      </c>
      <c r="D6959" s="743"/>
      <c r="E6959" s="379">
        <v>0.4</v>
      </c>
      <c r="F6959" s="379"/>
      <c r="G6959" s="379"/>
      <c r="H6959" s="380">
        <v>7</v>
      </c>
      <c r="I6959" s="1543"/>
      <c r="J6959" s="1543"/>
      <c r="K6959" s="1543"/>
      <c r="L6959" s="1543"/>
      <c r="M6959" s="1543"/>
      <c r="N6959" s="1543"/>
    </row>
    <row r="6960" spans="1:14" ht="19.149999999999999" customHeight="1">
      <c r="A6960" s="1544"/>
      <c r="B6960" s="876" t="s">
        <v>3198</v>
      </c>
      <c r="C6960" s="743">
        <v>10</v>
      </c>
      <c r="D6960" s="743"/>
      <c r="E6960" s="379">
        <v>0.4</v>
      </c>
      <c r="F6960" s="379"/>
      <c r="G6960" s="379"/>
      <c r="H6960" s="380">
        <v>4</v>
      </c>
      <c r="I6960" s="1543"/>
      <c r="J6960" s="1543"/>
      <c r="K6960" s="1543"/>
      <c r="L6960" s="1543"/>
      <c r="M6960" s="1543"/>
      <c r="N6960" s="1543"/>
    </row>
    <row r="6961" spans="1:14" ht="34.15" customHeight="1">
      <c r="A6961" s="1538" t="s">
        <v>2218</v>
      </c>
      <c r="B6961" s="1538"/>
      <c r="C6961" s="1538"/>
      <c r="D6961" s="1538"/>
      <c r="E6961" s="1538"/>
      <c r="F6961" s="1538"/>
      <c r="G6961" s="1538"/>
      <c r="H6961" s="271">
        <f>SUM(H6955:H6960)</f>
        <v>27</v>
      </c>
      <c r="I6961" s="1543"/>
      <c r="J6961" s="1543"/>
      <c r="K6961" s="1543"/>
      <c r="L6961" s="1543"/>
      <c r="M6961" s="1543"/>
      <c r="N6961" s="1543"/>
    </row>
    <row r="6962" spans="1:14">
      <c r="A6962" s="1538" t="s">
        <v>2219</v>
      </c>
      <c r="B6962" s="1538"/>
      <c r="C6962" s="1538"/>
      <c r="D6962" s="1538"/>
      <c r="E6962" s="1538"/>
      <c r="F6962" s="1538"/>
      <c r="G6962" s="1538"/>
      <c r="H6962" s="271">
        <f>SUM(H6955:H6958)</f>
        <v>16</v>
      </c>
      <c r="I6962" s="1543"/>
      <c r="J6962" s="1543"/>
      <c r="K6962" s="1543"/>
      <c r="L6962" s="1543"/>
      <c r="M6962" s="1543"/>
      <c r="N6962" s="1543"/>
    </row>
    <row r="6963" spans="1:14">
      <c r="A6963" s="1538" t="s">
        <v>2220</v>
      </c>
      <c r="B6963" s="1538"/>
      <c r="C6963" s="1538"/>
      <c r="D6963" s="1538"/>
      <c r="E6963" s="1538"/>
      <c r="F6963" s="1538"/>
      <c r="G6963" s="1538"/>
      <c r="H6963" s="269">
        <f>H6961-H6962</f>
        <v>11</v>
      </c>
      <c r="I6963" s="1543"/>
      <c r="J6963" s="1543"/>
      <c r="K6963" s="1543"/>
      <c r="L6963" s="1543"/>
      <c r="M6963" s="1543"/>
      <c r="N6963" s="1543"/>
    </row>
    <row r="6964" spans="1:14">
      <c r="A6964" s="385"/>
      <c r="B6964" s="385"/>
      <c r="C6964" s="385"/>
      <c r="D6964" s="367"/>
      <c r="E6964" s="1366"/>
      <c r="F6964" s="385"/>
      <c r="G6964" s="385"/>
      <c r="H6964" s="269"/>
      <c r="I6964" s="940"/>
      <c r="J6964" s="940"/>
      <c r="K6964" s="940"/>
      <c r="L6964" s="940"/>
      <c r="M6964" s="940"/>
      <c r="N6964" s="940"/>
    </row>
    <row r="6965" spans="1:14">
      <c r="A6965" s="1124" t="s">
        <v>3542</v>
      </c>
      <c r="B6965" s="1539" t="s">
        <v>1441</v>
      </c>
      <c r="C6965" s="1539"/>
      <c r="D6965" s="1539"/>
      <c r="E6965" s="1539"/>
      <c r="F6965" s="1539"/>
      <c r="G6965" s="1539"/>
      <c r="H6965" s="1539"/>
      <c r="I6965" s="1539"/>
      <c r="J6965" s="1539"/>
      <c r="K6965" s="864" t="s">
        <v>3154</v>
      </c>
      <c r="L6965" s="1540">
        <f>'27ª MEDIÇÃO '!F525</f>
        <v>4</v>
      </c>
      <c r="M6965" s="1540"/>
      <c r="N6965" s="865">
        <f>L6965-H6971</f>
        <v>0</v>
      </c>
    </row>
    <row r="6966" spans="1:14">
      <c r="A6966" s="1541"/>
      <c r="B6966" s="1541"/>
      <c r="C6966" s="366"/>
      <c r="D6966" s="367" t="s">
        <v>2183</v>
      </c>
      <c r="E6966" s="1320" t="s">
        <v>2184</v>
      </c>
      <c r="F6966" s="367" t="s">
        <v>2185</v>
      </c>
      <c r="G6966" s="367" t="s">
        <v>2186</v>
      </c>
      <c r="H6966" s="1542" t="s">
        <v>476</v>
      </c>
      <c r="I6966" s="1543"/>
      <c r="J6966" s="1543"/>
      <c r="K6966" s="1543"/>
      <c r="L6966" s="1543"/>
      <c r="M6966" s="1543"/>
      <c r="N6966" s="1543"/>
    </row>
    <row r="6967" spans="1:14" ht="24">
      <c r="A6967" s="1541"/>
      <c r="B6967" s="1541"/>
      <c r="C6967" s="368" t="s">
        <v>2627</v>
      </c>
      <c r="D6967" s="369" t="s">
        <v>2187</v>
      </c>
      <c r="E6967" s="529" t="s">
        <v>3152</v>
      </c>
      <c r="F6967" s="369" t="s">
        <v>2649</v>
      </c>
      <c r="G6967" s="370" t="s">
        <v>2709</v>
      </c>
      <c r="H6967" s="1542"/>
      <c r="I6967" s="1543"/>
      <c r="J6967" s="1543"/>
      <c r="K6967" s="1543"/>
      <c r="L6967" s="1543"/>
      <c r="M6967" s="1543"/>
      <c r="N6967" s="1543"/>
    </row>
    <row r="6968" spans="1:14">
      <c r="A6968" s="1544" t="s">
        <v>3521</v>
      </c>
      <c r="B6968" s="876"/>
      <c r="C6968" s="743"/>
      <c r="D6968" s="743"/>
      <c r="E6968" s="379"/>
      <c r="F6968" s="379"/>
      <c r="G6968" s="379"/>
      <c r="H6968" s="380"/>
      <c r="I6968" s="1543"/>
      <c r="J6968" s="1543"/>
      <c r="K6968" s="1543"/>
      <c r="L6968" s="1543"/>
      <c r="M6968" s="1543"/>
      <c r="N6968" s="1543"/>
    </row>
    <row r="6969" spans="1:14">
      <c r="A6969" s="1544"/>
      <c r="B6969" s="876" t="s">
        <v>3197</v>
      </c>
      <c r="C6969" s="743">
        <v>3</v>
      </c>
      <c r="D6969" s="743"/>
      <c r="E6969" s="379">
        <v>1</v>
      </c>
      <c r="F6969" s="379"/>
      <c r="G6969" s="379"/>
      <c r="H6969" s="380">
        <f>C6969*E6969</f>
        <v>3</v>
      </c>
      <c r="I6969" s="1543"/>
      <c r="J6969" s="1543"/>
      <c r="K6969" s="1543"/>
      <c r="L6969" s="1543"/>
      <c r="M6969" s="1543"/>
      <c r="N6969" s="1543"/>
    </row>
    <row r="6970" spans="1:14">
      <c r="A6970" s="1544"/>
      <c r="B6970" s="876" t="s">
        <v>3198</v>
      </c>
      <c r="C6970" s="743">
        <v>1</v>
      </c>
      <c r="D6970" s="743"/>
      <c r="E6970" s="379">
        <v>1</v>
      </c>
      <c r="F6970" s="379"/>
      <c r="G6970" s="379"/>
      <c r="H6970" s="380">
        <f>C6970*E6970</f>
        <v>1</v>
      </c>
      <c r="I6970" s="1543"/>
      <c r="J6970" s="1543"/>
      <c r="K6970" s="1543"/>
      <c r="L6970" s="1543"/>
      <c r="M6970" s="1543"/>
      <c r="N6970" s="1543"/>
    </row>
    <row r="6971" spans="1:14">
      <c r="A6971" s="1538" t="s">
        <v>2218</v>
      </c>
      <c r="B6971" s="1538"/>
      <c r="C6971" s="1538"/>
      <c r="D6971" s="1538"/>
      <c r="E6971" s="1538"/>
      <c r="F6971" s="1538"/>
      <c r="G6971" s="1538"/>
      <c r="H6971" s="271">
        <f>SUM(H6968:H6970)</f>
        <v>4</v>
      </c>
      <c r="I6971" s="1543"/>
      <c r="J6971" s="1543"/>
      <c r="K6971" s="1543"/>
      <c r="L6971" s="1543"/>
      <c r="M6971" s="1543"/>
      <c r="N6971" s="1543"/>
    </row>
    <row r="6972" spans="1:14">
      <c r="A6972" s="1538" t="s">
        <v>2219</v>
      </c>
      <c r="B6972" s="1538"/>
      <c r="C6972" s="1538"/>
      <c r="D6972" s="1538"/>
      <c r="E6972" s="1538"/>
      <c r="F6972" s="1538"/>
      <c r="G6972" s="1538"/>
      <c r="H6972" s="271">
        <f>SUM(H6968)</f>
        <v>0</v>
      </c>
      <c r="I6972" s="1543"/>
      <c r="J6972" s="1543"/>
      <c r="K6972" s="1543"/>
      <c r="L6972" s="1543"/>
      <c r="M6972" s="1543"/>
      <c r="N6972" s="1543"/>
    </row>
    <row r="6973" spans="1:14" ht="38.450000000000003" customHeight="1">
      <c r="A6973" s="1538" t="s">
        <v>2220</v>
      </c>
      <c r="B6973" s="1538"/>
      <c r="C6973" s="1538"/>
      <c r="D6973" s="1538"/>
      <c r="E6973" s="1538"/>
      <c r="F6973" s="1538"/>
      <c r="G6973" s="1538"/>
      <c r="H6973" s="269">
        <f>H6971-H6972</f>
        <v>4</v>
      </c>
      <c r="I6973" s="1543"/>
      <c r="J6973" s="1543"/>
      <c r="K6973" s="1543"/>
      <c r="L6973" s="1543"/>
      <c r="M6973" s="1543"/>
      <c r="N6973" s="1543"/>
    </row>
    <row r="6974" spans="1:14">
      <c r="A6974" s="1124" t="s">
        <v>3915</v>
      </c>
      <c r="B6974" s="1539" t="s">
        <v>1456</v>
      </c>
      <c r="C6974" s="1539"/>
      <c r="D6974" s="1539"/>
      <c r="E6974" s="1539"/>
      <c r="F6974" s="1539"/>
      <c r="G6974" s="1539"/>
      <c r="H6974" s="1539"/>
      <c r="I6974" s="1539"/>
      <c r="J6974" s="1539"/>
      <c r="K6974" s="864" t="s">
        <v>3154</v>
      </c>
      <c r="L6974" s="1540">
        <v>1</v>
      </c>
      <c r="M6974" s="1540"/>
      <c r="N6974" s="865">
        <f>L6974-H6980</f>
        <v>0</v>
      </c>
    </row>
    <row r="6975" spans="1:14">
      <c r="A6975" s="1541"/>
      <c r="B6975" s="1541"/>
      <c r="C6975" s="366"/>
      <c r="D6975" s="367" t="s">
        <v>2183</v>
      </c>
      <c r="E6975" s="1320" t="s">
        <v>2184</v>
      </c>
      <c r="F6975" s="367" t="s">
        <v>2185</v>
      </c>
      <c r="G6975" s="367" t="s">
        <v>2186</v>
      </c>
      <c r="H6975" s="1542" t="s">
        <v>476</v>
      </c>
      <c r="I6975" s="1543"/>
      <c r="J6975" s="1543"/>
      <c r="K6975" s="1543"/>
      <c r="L6975" s="1543"/>
      <c r="M6975" s="1543"/>
      <c r="N6975" s="1543"/>
    </row>
    <row r="6976" spans="1:14" ht="24">
      <c r="A6976" s="1541"/>
      <c r="B6976" s="1541"/>
      <c r="C6976" s="368" t="s">
        <v>2627</v>
      </c>
      <c r="D6976" s="369" t="s">
        <v>2187</v>
      </c>
      <c r="E6976" s="529" t="s">
        <v>3152</v>
      </c>
      <c r="F6976" s="369" t="s">
        <v>2649</v>
      </c>
      <c r="G6976" s="370" t="s">
        <v>2709</v>
      </c>
      <c r="H6976" s="1542"/>
      <c r="I6976" s="1543"/>
      <c r="J6976" s="1543"/>
      <c r="K6976" s="1543"/>
      <c r="L6976" s="1543"/>
      <c r="M6976" s="1543"/>
      <c r="N6976" s="1543"/>
    </row>
    <row r="6977" spans="1:14">
      <c r="A6977" s="1544" t="s">
        <v>3892</v>
      </c>
      <c r="B6977" s="876"/>
      <c r="C6977" s="743"/>
      <c r="D6977" s="743"/>
      <c r="E6977" s="379"/>
      <c r="F6977" s="379"/>
      <c r="G6977" s="379"/>
      <c r="H6977" s="380"/>
      <c r="I6977" s="1543"/>
      <c r="J6977" s="1543"/>
      <c r="K6977" s="1543"/>
      <c r="L6977" s="1543"/>
      <c r="M6977" s="1543"/>
      <c r="N6977" s="1543"/>
    </row>
    <row r="6978" spans="1:14">
      <c r="A6978" s="1544"/>
      <c r="B6978" s="876" t="s">
        <v>3918</v>
      </c>
      <c r="C6978" s="743">
        <v>1</v>
      </c>
      <c r="D6978" s="743"/>
      <c r="E6978" s="379">
        <v>1</v>
      </c>
      <c r="F6978" s="379"/>
      <c r="G6978" s="379"/>
      <c r="H6978" s="380">
        <f>C6978*E6978</f>
        <v>1</v>
      </c>
      <c r="I6978" s="1543"/>
      <c r="J6978" s="1543"/>
      <c r="K6978" s="1543"/>
      <c r="L6978" s="1543"/>
      <c r="M6978" s="1543"/>
      <c r="N6978" s="1543"/>
    </row>
    <row r="6979" spans="1:14">
      <c r="A6979" s="1544"/>
      <c r="B6979" s="876"/>
      <c r="C6979" s="743"/>
      <c r="D6979" s="743"/>
      <c r="E6979" s="379"/>
      <c r="F6979" s="379"/>
      <c r="G6979" s="379"/>
      <c r="H6979" s="380"/>
      <c r="I6979" s="1543"/>
      <c r="J6979" s="1543"/>
      <c r="K6979" s="1543"/>
      <c r="L6979" s="1543"/>
      <c r="M6979" s="1543"/>
      <c r="N6979" s="1543"/>
    </row>
    <row r="6980" spans="1:14">
      <c r="A6980" s="1538" t="s">
        <v>2218</v>
      </c>
      <c r="B6980" s="1538"/>
      <c r="C6980" s="1538"/>
      <c r="D6980" s="1538"/>
      <c r="E6980" s="1538"/>
      <c r="F6980" s="1538"/>
      <c r="G6980" s="1538"/>
      <c r="H6980" s="271">
        <f>SUM(H6977:H6979)</f>
        <v>1</v>
      </c>
      <c r="I6980" s="1543"/>
      <c r="J6980" s="1543"/>
      <c r="K6980" s="1543"/>
      <c r="L6980" s="1543"/>
      <c r="M6980" s="1543"/>
      <c r="N6980" s="1543"/>
    </row>
    <row r="6981" spans="1:14">
      <c r="A6981" s="1538" t="s">
        <v>2219</v>
      </c>
      <c r="B6981" s="1538"/>
      <c r="C6981" s="1538"/>
      <c r="D6981" s="1538"/>
      <c r="E6981" s="1538"/>
      <c r="F6981" s="1538"/>
      <c r="G6981" s="1538"/>
      <c r="H6981" s="271">
        <f>SUM(H6977)</f>
        <v>0</v>
      </c>
      <c r="I6981" s="1543"/>
      <c r="J6981" s="1543"/>
      <c r="K6981" s="1543"/>
      <c r="L6981" s="1543"/>
      <c r="M6981" s="1543"/>
      <c r="N6981" s="1543"/>
    </row>
    <row r="6982" spans="1:14" ht="38.450000000000003" customHeight="1">
      <c r="A6982" s="1538" t="s">
        <v>2220</v>
      </c>
      <c r="B6982" s="1538"/>
      <c r="C6982" s="1538"/>
      <c r="D6982" s="1538"/>
      <c r="E6982" s="1538"/>
      <c r="F6982" s="1538"/>
      <c r="G6982" s="1538"/>
      <c r="H6982" s="269">
        <f>H6980-H6981</f>
        <v>1</v>
      </c>
      <c r="I6982" s="1543"/>
      <c r="J6982" s="1543"/>
      <c r="K6982" s="1543"/>
      <c r="L6982" s="1543"/>
      <c r="M6982" s="1543"/>
      <c r="N6982" s="1543"/>
    </row>
    <row r="6983" spans="1:14">
      <c r="A6983" s="1124" t="s">
        <v>3916</v>
      </c>
      <c r="B6983" s="1539" t="s">
        <v>1462</v>
      </c>
      <c r="C6983" s="1539"/>
      <c r="D6983" s="1539"/>
      <c r="E6983" s="1539"/>
      <c r="F6983" s="1539"/>
      <c r="G6983" s="1539"/>
      <c r="H6983" s="1539"/>
      <c r="I6983" s="1539"/>
      <c r="J6983" s="1539"/>
      <c r="K6983" s="864" t="s">
        <v>3154</v>
      </c>
      <c r="L6983" s="1540">
        <v>8</v>
      </c>
      <c r="M6983" s="1540"/>
      <c r="N6983" s="865">
        <f>L6983-H6989</f>
        <v>0</v>
      </c>
    </row>
    <row r="6984" spans="1:14">
      <c r="A6984" s="1541"/>
      <c r="B6984" s="1541"/>
      <c r="C6984" s="366"/>
      <c r="D6984" s="367" t="s">
        <v>2183</v>
      </c>
      <c r="E6984" s="1320" t="s">
        <v>2184</v>
      </c>
      <c r="F6984" s="367" t="s">
        <v>2185</v>
      </c>
      <c r="G6984" s="367" t="s">
        <v>2186</v>
      </c>
      <c r="H6984" s="1542" t="s">
        <v>476</v>
      </c>
      <c r="I6984" s="1543"/>
      <c r="J6984" s="1543"/>
      <c r="K6984" s="1543"/>
      <c r="L6984" s="1543"/>
      <c r="M6984" s="1543"/>
      <c r="N6984" s="1543"/>
    </row>
    <row r="6985" spans="1:14" ht="24">
      <c r="A6985" s="1541"/>
      <c r="B6985" s="1541"/>
      <c r="C6985" s="368" t="s">
        <v>2627</v>
      </c>
      <c r="D6985" s="369" t="s">
        <v>2187</v>
      </c>
      <c r="E6985" s="529" t="s">
        <v>3152</v>
      </c>
      <c r="F6985" s="369" t="s">
        <v>2649</v>
      </c>
      <c r="G6985" s="370" t="s">
        <v>2709</v>
      </c>
      <c r="H6985" s="1542"/>
      <c r="I6985" s="1543"/>
      <c r="J6985" s="1543"/>
      <c r="K6985" s="1543"/>
      <c r="L6985" s="1543"/>
      <c r="M6985" s="1543"/>
      <c r="N6985" s="1543"/>
    </row>
    <row r="6986" spans="1:14">
      <c r="A6986" s="1544" t="s">
        <v>3892</v>
      </c>
      <c r="B6986" s="876"/>
      <c r="C6986" s="743"/>
      <c r="D6986" s="743"/>
      <c r="E6986" s="379"/>
      <c r="F6986" s="379"/>
      <c r="G6986" s="379"/>
      <c r="H6986" s="380"/>
      <c r="I6986" s="1543"/>
      <c r="J6986" s="1543"/>
      <c r="K6986" s="1543"/>
      <c r="L6986" s="1543"/>
      <c r="M6986" s="1543"/>
      <c r="N6986" s="1543"/>
    </row>
    <row r="6987" spans="1:14">
      <c r="A6987" s="1544"/>
      <c r="B6987" s="876" t="s">
        <v>3918</v>
      </c>
      <c r="C6987" s="743">
        <v>8</v>
      </c>
      <c r="D6987" s="743"/>
      <c r="E6987" s="379">
        <v>1</v>
      </c>
      <c r="F6987" s="379"/>
      <c r="G6987" s="379"/>
      <c r="H6987" s="380">
        <f>C6987*E6987</f>
        <v>8</v>
      </c>
      <c r="I6987" s="1543"/>
      <c r="J6987" s="1543"/>
      <c r="K6987" s="1543"/>
      <c r="L6987" s="1543"/>
      <c r="M6987" s="1543"/>
      <c r="N6987" s="1543"/>
    </row>
    <row r="6988" spans="1:14">
      <c r="A6988" s="1544"/>
      <c r="B6988" s="876"/>
      <c r="C6988" s="743"/>
      <c r="D6988" s="743"/>
      <c r="E6988" s="379"/>
      <c r="F6988" s="379"/>
      <c r="G6988" s="379"/>
      <c r="H6988" s="380"/>
      <c r="I6988" s="1543"/>
      <c r="J6988" s="1543"/>
      <c r="K6988" s="1543"/>
      <c r="L6988" s="1543"/>
      <c r="M6988" s="1543"/>
      <c r="N6988" s="1543"/>
    </row>
    <row r="6989" spans="1:14">
      <c r="A6989" s="1538" t="s">
        <v>2218</v>
      </c>
      <c r="B6989" s="1538"/>
      <c r="C6989" s="1538"/>
      <c r="D6989" s="1538"/>
      <c r="E6989" s="1538"/>
      <c r="F6989" s="1538"/>
      <c r="G6989" s="1538"/>
      <c r="H6989" s="271">
        <f>SUM(H6986:H6988)</f>
        <v>8</v>
      </c>
      <c r="I6989" s="1543"/>
      <c r="J6989" s="1543"/>
      <c r="K6989" s="1543"/>
      <c r="L6989" s="1543"/>
      <c r="M6989" s="1543"/>
      <c r="N6989" s="1543"/>
    </row>
    <row r="6990" spans="1:14">
      <c r="A6990" s="1538" t="s">
        <v>2219</v>
      </c>
      <c r="B6990" s="1538"/>
      <c r="C6990" s="1538"/>
      <c r="D6990" s="1538"/>
      <c r="E6990" s="1538"/>
      <c r="F6990" s="1538"/>
      <c r="G6990" s="1538"/>
      <c r="H6990" s="271">
        <f>SUM(H6986)</f>
        <v>0</v>
      </c>
      <c r="I6990" s="1543"/>
      <c r="J6990" s="1543"/>
      <c r="K6990" s="1543"/>
      <c r="L6990" s="1543"/>
      <c r="M6990" s="1543"/>
      <c r="N6990" s="1543"/>
    </row>
    <row r="6991" spans="1:14" ht="38.450000000000003" customHeight="1">
      <c r="A6991" s="1538" t="s">
        <v>2220</v>
      </c>
      <c r="B6991" s="1538"/>
      <c r="C6991" s="1538"/>
      <c r="D6991" s="1538"/>
      <c r="E6991" s="1538"/>
      <c r="F6991" s="1538"/>
      <c r="G6991" s="1538"/>
      <c r="H6991" s="269">
        <f>H6989-H6990</f>
        <v>8</v>
      </c>
      <c r="I6991" s="1543"/>
      <c r="J6991" s="1543"/>
      <c r="K6991" s="1543"/>
      <c r="L6991" s="1543"/>
      <c r="M6991" s="1543"/>
      <c r="N6991" s="1543"/>
    </row>
    <row r="6992" spans="1:14">
      <c r="A6992" s="1124" t="s">
        <v>3917</v>
      </c>
      <c r="B6992" s="1539" t="s">
        <v>1465</v>
      </c>
      <c r="C6992" s="1539"/>
      <c r="D6992" s="1539"/>
      <c r="E6992" s="1539"/>
      <c r="F6992" s="1539"/>
      <c r="G6992" s="1539"/>
      <c r="H6992" s="1539"/>
      <c r="I6992" s="1539"/>
      <c r="J6992" s="1539"/>
      <c r="K6992" s="864" t="s">
        <v>3154</v>
      </c>
      <c r="L6992" s="1540">
        <v>12</v>
      </c>
      <c r="M6992" s="1540"/>
      <c r="N6992" s="865">
        <f>L6992-H6998</f>
        <v>0</v>
      </c>
    </row>
    <row r="6993" spans="1:14">
      <c r="A6993" s="1541"/>
      <c r="B6993" s="1541"/>
      <c r="C6993" s="366"/>
      <c r="D6993" s="367" t="s">
        <v>2183</v>
      </c>
      <c r="E6993" s="1320" t="s">
        <v>2184</v>
      </c>
      <c r="F6993" s="367" t="s">
        <v>2185</v>
      </c>
      <c r="G6993" s="367" t="s">
        <v>2186</v>
      </c>
      <c r="H6993" s="1542" t="s">
        <v>476</v>
      </c>
      <c r="I6993" s="1543"/>
      <c r="J6993" s="1543"/>
      <c r="K6993" s="1543"/>
      <c r="L6993" s="1543"/>
      <c r="M6993" s="1543"/>
      <c r="N6993" s="1543"/>
    </row>
    <row r="6994" spans="1:14" ht="24">
      <c r="A6994" s="1541"/>
      <c r="B6994" s="1541"/>
      <c r="C6994" s="368" t="s">
        <v>2627</v>
      </c>
      <c r="D6994" s="369" t="s">
        <v>2187</v>
      </c>
      <c r="E6994" s="529" t="s">
        <v>3152</v>
      </c>
      <c r="F6994" s="369" t="s">
        <v>2649</v>
      </c>
      <c r="G6994" s="370" t="s">
        <v>2709</v>
      </c>
      <c r="H6994" s="1542"/>
      <c r="I6994" s="1543"/>
      <c r="J6994" s="1543"/>
      <c r="K6994" s="1543"/>
      <c r="L6994" s="1543"/>
      <c r="M6994" s="1543"/>
      <c r="N6994" s="1543"/>
    </row>
    <row r="6995" spans="1:14">
      <c r="A6995" s="1544" t="s">
        <v>3892</v>
      </c>
      <c r="B6995" s="876"/>
      <c r="C6995" s="743"/>
      <c r="D6995" s="743"/>
      <c r="E6995" s="379"/>
      <c r="F6995" s="379"/>
      <c r="G6995" s="379"/>
      <c r="H6995" s="380"/>
      <c r="I6995" s="1543"/>
      <c r="J6995" s="1543"/>
      <c r="K6995" s="1543"/>
      <c r="L6995" s="1543"/>
      <c r="M6995" s="1543"/>
      <c r="N6995" s="1543"/>
    </row>
    <row r="6996" spans="1:14">
      <c r="A6996" s="1544"/>
      <c r="B6996" s="876" t="s">
        <v>3918</v>
      </c>
      <c r="C6996" s="743">
        <v>12</v>
      </c>
      <c r="D6996" s="743"/>
      <c r="E6996" s="379">
        <v>1</v>
      </c>
      <c r="F6996" s="379"/>
      <c r="G6996" s="379"/>
      <c r="H6996" s="380">
        <f>C6996*E6996</f>
        <v>12</v>
      </c>
      <c r="I6996" s="1543"/>
      <c r="J6996" s="1543"/>
      <c r="K6996" s="1543"/>
      <c r="L6996" s="1543"/>
      <c r="M6996" s="1543"/>
      <c r="N6996" s="1543"/>
    </row>
    <row r="6997" spans="1:14">
      <c r="A6997" s="1544"/>
      <c r="B6997" s="876"/>
      <c r="C6997" s="743"/>
      <c r="D6997" s="743"/>
      <c r="E6997" s="379"/>
      <c r="F6997" s="379"/>
      <c r="G6997" s="379"/>
      <c r="H6997" s="380"/>
      <c r="I6997" s="1543"/>
      <c r="J6997" s="1543"/>
      <c r="K6997" s="1543"/>
      <c r="L6997" s="1543"/>
      <c r="M6997" s="1543"/>
      <c r="N6997" s="1543"/>
    </row>
    <row r="6998" spans="1:14">
      <c r="A6998" s="1538" t="s">
        <v>2218</v>
      </c>
      <c r="B6998" s="1538"/>
      <c r="C6998" s="1538"/>
      <c r="D6998" s="1538"/>
      <c r="E6998" s="1538"/>
      <c r="F6998" s="1538"/>
      <c r="G6998" s="1538"/>
      <c r="H6998" s="271">
        <f>SUM(H6995:H6997)</f>
        <v>12</v>
      </c>
      <c r="I6998" s="1543"/>
      <c r="J6998" s="1543"/>
      <c r="K6998" s="1543"/>
      <c r="L6998" s="1543"/>
      <c r="M6998" s="1543"/>
      <c r="N6998" s="1543"/>
    </row>
    <row r="6999" spans="1:14">
      <c r="A6999" s="1538" t="s">
        <v>2219</v>
      </c>
      <c r="B6999" s="1538"/>
      <c r="C6999" s="1538"/>
      <c r="D6999" s="1538"/>
      <c r="E6999" s="1538"/>
      <c r="F6999" s="1538"/>
      <c r="G6999" s="1538"/>
      <c r="H6999" s="271">
        <f>SUM(H6995)</f>
        <v>0</v>
      </c>
      <c r="I6999" s="1543"/>
      <c r="J6999" s="1543"/>
      <c r="K6999" s="1543"/>
      <c r="L6999" s="1543"/>
      <c r="M6999" s="1543"/>
      <c r="N6999" s="1543"/>
    </row>
    <row r="7000" spans="1:14" ht="38.450000000000003" customHeight="1">
      <c r="A7000" s="1538" t="s">
        <v>2220</v>
      </c>
      <c r="B7000" s="1538"/>
      <c r="C7000" s="1538"/>
      <c r="D7000" s="1538"/>
      <c r="E7000" s="1538"/>
      <c r="F7000" s="1538"/>
      <c r="G7000" s="1538"/>
      <c r="H7000" s="269">
        <f>H6998-H6999</f>
        <v>12</v>
      </c>
      <c r="I7000" s="1543"/>
      <c r="J7000" s="1543"/>
      <c r="K7000" s="1543"/>
      <c r="L7000" s="1543"/>
      <c r="M7000" s="1543"/>
      <c r="N7000" s="1543"/>
    </row>
    <row r="7001" spans="1:14">
      <c r="A7001" s="278"/>
      <c r="B7001" s="278"/>
      <c r="C7001" s="278"/>
      <c r="D7001" s="281"/>
      <c r="E7001" s="1319"/>
      <c r="F7001" s="278"/>
      <c r="G7001" s="278"/>
      <c r="H7001" s="217"/>
      <c r="I7001" s="279"/>
      <c r="J7001" s="279"/>
      <c r="K7001" s="279"/>
      <c r="L7001" s="279"/>
      <c r="M7001" s="279"/>
      <c r="N7001" s="279"/>
    </row>
    <row r="7002" spans="1:14">
      <c r="A7002" s="1114" t="s">
        <v>3543</v>
      </c>
      <c r="B7002" s="1549" t="s">
        <v>3545</v>
      </c>
      <c r="C7002" s="1549"/>
      <c r="D7002" s="1549"/>
      <c r="E7002" s="1549"/>
      <c r="F7002" s="1549"/>
      <c r="G7002" s="1549"/>
      <c r="H7002" s="1549"/>
      <c r="I7002" s="1549"/>
      <c r="J7002" s="1549"/>
      <c r="K7002" s="1549"/>
      <c r="L7002" s="1549"/>
      <c r="M7002" s="1549"/>
      <c r="N7002" s="1549"/>
    </row>
    <row r="7003" spans="1:14">
      <c r="A7003" s="1124" t="s">
        <v>3544</v>
      </c>
      <c r="B7003" s="1539" t="s">
        <v>1367</v>
      </c>
      <c r="C7003" s="1539"/>
      <c r="D7003" s="1539"/>
      <c r="E7003" s="1539"/>
      <c r="F7003" s="1539"/>
      <c r="G7003" s="1539"/>
      <c r="H7003" s="1539"/>
      <c r="I7003" s="1539"/>
      <c r="J7003" s="1539"/>
      <c r="K7003" s="864" t="s">
        <v>3154</v>
      </c>
      <c r="L7003" s="1540">
        <f>'27ª MEDIÇÃO '!F530</f>
        <v>52</v>
      </c>
      <c r="M7003" s="1540"/>
      <c r="N7003" s="865">
        <f>L7003-H7014</f>
        <v>0</v>
      </c>
    </row>
    <row r="7004" spans="1:14">
      <c r="A7004" s="1541"/>
      <c r="B7004" s="1541"/>
      <c r="C7004" s="366"/>
      <c r="D7004" s="367" t="s">
        <v>2183</v>
      </c>
      <c r="E7004" s="1320" t="s">
        <v>2184</v>
      </c>
      <c r="F7004" s="367" t="s">
        <v>2185</v>
      </c>
      <c r="G7004" s="367" t="s">
        <v>2186</v>
      </c>
      <c r="H7004" s="1542" t="s">
        <v>476</v>
      </c>
      <c r="I7004" s="1543"/>
      <c r="J7004" s="1543"/>
      <c r="K7004" s="1543"/>
      <c r="L7004" s="1543"/>
      <c r="M7004" s="1543"/>
      <c r="N7004" s="1543"/>
    </row>
    <row r="7005" spans="1:14" ht="24">
      <c r="A7005" s="1541"/>
      <c r="B7005" s="1541"/>
      <c r="C7005" s="368" t="s">
        <v>2627</v>
      </c>
      <c r="D7005" s="369" t="s">
        <v>2187</v>
      </c>
      <c r="E7005" s="529" t="s">
        <v>3152</v>
      </c>
      <c r="F7005" s="369" t="s">
        <v>2649</v>
      </c>
      <c r="G7005" s="370" t="s">
        <v>2709</v>
      </c>
      <c r="H7005" s="1542"/>
      <c r="I7005" s="1543"/>
      <c r="J7005" s="1543"/>
      <c r="K7005" s="1543"/>
      <c r="L7005" s="1543"/>
      <c r="M7005" s="1543"/>
      <c r="N7005" s="1543"/>
    </row>
    <row r="7006" spans="1:14">
      <c r="A7006" s="1544" t="s">
        <v>3521</v>
      </c>
      <c r="B7006" s="876"/>
      <c r="C7006" s="743"/>
      <c r="D7006" s="743"/>
      <c r="E7006" s="379"/>
      <c r="F7006" s="379"/>
      <c r="G7006" s="379"/>
      <c r="H7006" s="380"/>
      <c r="I7006" s="1543"/>
      <c r="J7006" s="1543"/>
      <c r="K7006" s="1543"/>
      <c r="L7006" s="1543"/>
      <c r="M7006" s="1543"/>
      <c r="N7006" s="1543"/>
    </row>
    <row r="7007" spans="1:14">
      <c r="A7007" s="1544"/>
      <c r="B7007" s="876" t="s">
        <v>3199</v>
      </c>
      <c r="C7007" s="743">
        <v>6</v>
      </c>
      <c r="D7007" s="743"/>
      <c r="E7007" s="379">
        <v>0.8</v>
      </c>
      <c r="F7007" s="379"/>
      <c r="G7007" s="379"/>
      <c r="H7007" s="380">
        <f>C7007*E7007</f>
        <v>4.8000000000000007</v>
      </c>
      <c r="I7007" s="1543"/>
      <c r="J7007" s="1543"/>
      <c r="K7007" s="1543"/>
      <c r="L7007" s="1543"/>
      <c r="M7007" s="1543"/>
      <c r="N7007" s="1543"/>
    </row>
    <row r="7008" spans="1:14">
      <c r="A7008" s="1544"/>
      <c r="B7008" s="876" t="s">
        <v>3197</v>
      </c>
      <c r="C7008" s="743">
        <v>44</v>
      </c>
      <c r="D7008" s="743"/>
      <c r="E7008" s="379">
        <v>0.8</v>
      </c>
      <c r="F7008" s="379"/>
      <c r="G7008" s="379"/>
      <c r="H7008" s="380">
        <f>C7008*E7008</f>
        <v>35.200000000000003</v>
      </c>
      <c r="I7008" s="1543"/>
      <c r="J7008" s="1543"/>
      <c r="K7008" s="1543"/>
      <c r="L7008" s="1543"/>
      <c r="M7008" s="1543"/>
      <c r="N7008" s="1543"/>
    </row>
    <row r="7009" spans="1:14">
      <c r="A7009" s="1544"/>
      <c r="B7009" s="876" t="s">
        <v>3198</v>
      </c>
      <c r="C7009" s="743">
        <v>2</v>
      </c>
      <c r="D7009" s="743"/>
      <c r="E7009" s="379">
        <v>1</v>
      </c>
      <c r="F7009" s="379"/>
      <c r="G7009" s="379"/>
      <c r="H7009" s="380">
        <f>C7009*E7009</f>
        <v>2</v>
      </c>
      <c r="I7009" s="1543"/>
      <c r="J7009" s="1543"/>
      <c r="K7009" s="1543"/>
      <c r="L7009" s="1543"/>
      <c r="M7009" s="1543"/>
      <c r="N7009" s="1543"/>
    </row>
    <row r="7010" spans="1:14">
      <c r="A7010" s="1544" t="s">
        <v>3569</v>
      </c>
      <c r="B7010" s="876"/>
      <c r="C7010" s="743"/>
      <c r="D7010" s="743"/>
      <c r="E7010" s="379"/>
      <c r="F7010" s="379"/>
      <c r="G7010" s="379"/>
      <c r="H7010" s="380"/>
      <c r="I7010" s="1543"/>
      <c r="J7010" s="1543"/>
      <c r="K7010" s="1543"/>
      <c r="L7010" s="1543"/>
      <c r="M7010" s="1543"/>
      <c r="N7010" s="1543"/>
    </row>
    <row r="7011" spans="1:14" ht="19.149999999999999" hidden="1" customHeight="1">
      <c r="A7011" s="1544"/>
      <c r="B7011" s="876" t="s">
        <v>3199</v>
      </c>
      <c r="C7011" s="743">
        <v>6</v>
      </c>
      <c r="D7011" s="743"/>
      <c r="E7011" s="379">
        <v>0.2</v>
      </c>
      <c r="F7011" s="379"/>
      <c r="G7011" s="379"/>
      <c r="H7011" s="380">
        <f>C7011*E7011</f>
        <v>1.2000000000000002</v>
      </c>
      <c r="I7011" s="1543"/>
      <c r="J7011" s="1543"/>
      <c r="K7011" s="1543"/>
      <c r="L7011" s="1543"/>
      <c r="M7011" s="1543"/>
      <c r="N7011" s="1543"/>
    </row>
    <row r="7012" spans="1:14" hidden="1">
      <c r="A7012" s="1544"/>
      <c r="B7012" s="876" t="s">
        <v>3197</v>
      </c>
      <c r="C7012" s="743">
        <v>44</v>
      </c>
      <c r="D7012" s="743"/>
      <c r="E7012" s="379">
        <v>0.2</v>
      </c>
      <c r="F7012" s="379"/>
      <c r="G7012" s="379"/>
      <c r="H7012" s="380">
        <f>C7012*E7012</f>
        <v>8.8000000000000007</v>
      </c>
      <c r="I7012" s="1543"/>
      <c r="J7012" s="1543"/>
      <c r="K7012" s="1543"/>
      <c r="L7012" s="1543"/>
      <c r="M7012" s="1543"/>
      <c r="N7012" s="1543"/>
    </row>
    <row r="7013" spans="1:14" hidden="1">
      <c r="A7013" s="1544"/>
      <c r="B7013" s="876" t="s">
        <v>3198</v>
      </c>
      <c r="C7013" s="743">
        <v>2</v>
      </c>
      <c r="D7013" s="743"/>
      <c r="E7013" s="379"/>
      <c r="F7013" s="379"/>
      <c r="G7013" s="379"/>
      <c r="H7013" s="380">
        <f>C7013*E7013</f>
        <v>0</v>
      </c>
      <c r="I7013" s="1543"/>
      <c r="J7013" s="1543"/>
      <c r="K7013" s="1543"/>
      <c r="L7013" s="1543"/>
      <c r="M7013" s="1543"/>
      <c r="N7013" s="1543"/>
    </row>
    <row r="7014" spans="1:14" hidden="1">
      <c r="A7014" s="1538" t="s">
        <v>2218</v>
      </c>
      <c r="B7014" s="1538"/>
      <c r="C7014" s="1538"/>
      <c r="D7014" s="1538"/>
      <c r="E7014" s="1538"/>
      <c r="F7014" s="1538"/>
      <c r="G7014" s="1538"/>
      <c r="H7014" s="271">
        <f>SUM(H7006:H7013)</f>
        <v>52</v>
      </c>
      <c r="I7014" s="1543"/>
      <c r="J7014" s="1543"/>
      <c r="K7014" s="1543"/>
      <c r="L7014" s="1543"/>
      <c r="M7014" s="1543"/>
      <c r="N7014" s="1543"/>
    </row>
    <row r="7015" spans="1:14" hidden="1">
      <c r="A7015" s="1538" t="s">
        <v>2219</v>
      </c>
      <c r="B7015" s="1538"/>
      <c r="C7015" s="1538"/>
      <c r="D7015" s="1538"/>
      <c r="E7015" s="1538"/>
      <c r="F7015" s="1538"/>
      <c r="G7015" s="1538"/>
      <c r="H7015" s="271">
        <f>SUM(H7006:H7009)</f>
        <v>42</v>
      </c>
      <c r="I7015" s="1543"/>
      <c r="J7015" s="1543"/>
      <c r="K7015" s="1543"/>
      <c r="L7015" s="1543"/>
      <c r="M7015" s="1543"/>
      <c r="N7015" s="1543"/>
    </row>
    <row r="7016" spans="1:14" hidden="1">
      <c r="A7016" s="1538" t="s">
        <v>2220</v>
      </c>
      <c r="B7016" s="1538"/>
      <c r="C7016" s="1538"/>
      <c r="D7016" s="1538"/>
      <c r="E7016" s="1538"/>
      <c r="F7016" s="1538"/>
      <c r="G7016" s="1538"/>
      <c r="H7016" s="269">
        <f>H7014-H7015</f>
        <v>10</v>
      </c>
      <c r="I7016" s="1543"/>
      <c r="J7016" s="1543"/>
      <c r="K7016" s="1543"/>
      <c r="L7016" s="1543"/>
      <c r="M7016" s="1543"/>
      <c r="N7016" s="1543"/>
    </row>
    <row r="7017" spans="1:14" hidden="1">
      <c r="A7017" s="278"/>
      <c r="B7017" s="278"/>
      <c r="C7017" s="278"/>
      <c r="D7017" s="281"/>
      <c r="E7017" s="1319"/>
      <c r="F7017" s="278"/>
      <c r="G7017" s="278"/>
      <c r="H7017" s="217"/>
      <c r="I7017" s="279"/>
      <c r="J7017" s="279"/>
      <c r="K7017" s="279"/>
      <c r="L7017" s="279"/>
      <c r="M7017" s="279"/>
      <c r="N7017" s="279"/>
    </row>
    <row r="7018" spans="1:14" hidden="1">
      <c r="A7018" s="1124" t="s">
        <v>3546</v>
      </c>
      <c r="B7018" s="1539" t="s">
        <v>313</v>
      </c>
      <c r="C7018" s="1539"/>
      <c r="D7018" s="1539"/>
      <c r="E7018" s="1539"/>
      <c r="F7018" s="1539"/>
      <c r="G7018" s="1539"/>
      <c r="H7018" s="1539"/>
      <c r="I7018" s="1539"/>
      <c r="J7018" s="1539"/>
      <c r="K7018" s="864" t="s">
        <v>3154</v>
      </c>
      <c r="L7018" s="1540">
        <f>'27ª MEDIÇÃO '!F531</f>
        <v>16</v>
      </c>
      <c r="M7018" s="1540"/>
      <c r="N7018" s="865">
        <f>L7018-H7024</f>
        <v>0</v>
      </c>
    </row>
    <row r="7019" spans="1:14" hidden="1">
      <c r="A7019" s="1541"/>
      <c r="B7019" s="1541"/>
      <c r="C7019" s="366"/>
      <c r="D7019" s="367" t="s">
        <v>2183</v>
      </c>
      <c r="E7019" s="1320" t="s">
        <v>2184</v>
      </c>
      <c r="F7019" s="367" t="s">
        <v>2185</v>
      </c>
      <c r="G7019" s="367" t="s">
        <v>2186</v>
      </c>
      <c r="H7019" s="1542" t="s">
        <v>476</v>
      </c>
      <c r="I7019" s="1543"/>
      <c r="J7019" s="1543"/>
      <c r="K7019" s="1543"/>
      <c r="L7019" s="1543"/>
      <c r="M7019" s="1543"/>
      <c r="N7019" s="1543"/>
    </row>
    <row r="7020" spans="1:14" ht="24" hidden="1">
      <c r="A7020" s="1541"/>
      <c r="B7020" s="1541"/>
      <c r="C7020" s="368" t="s">
        <v>2627</v>
      </c>
      <c r="D7020" s="369" t="s">
        <v>2187</v>
      </c>
      <c r="E7020" s="529" t="s">
        <v>3152</v>
      </c>
      <c r="F7020" s="369" t="s">
        <v>2649</v>
      </c>
      <c r="G7020" s="370" t="s">
        <v>2709</v>
      </c>
      <c r="H7020" s="1542"/>
      <c r="I7020" s="1543"/>
      <c r="J7020" s="1543"/>
      <c r="K7020" s="1543"/>
      <c r="L7020" s="1543"/>
      <c r="M7020" s="1543"/>
      <c r="N7020" s="1543"/>
    </row>
    <row r="7021" spans="1:14" hidden="1">
      <c r="A7021" s="1544" t="s">
        <v>3521</v>
      </c>
      <c r="B7021" s="876"/>
      <c r="C7021" s="743"/>
      <c r="D7021" s="743"/>
      <c r="E7021" s="379"/>
      <c r="F7021" s="379"/>
      <c r="G7021" s="379"/>
      <c r="H7021" s="380"/>
      <c r="I7021" s="1543"/>
      <c r="J7021" s="1543"/>
      <c r="K7021" s="1543"/>
      <c r="L7021" s="1543"/>
      <c r="M7021" s="1543"/>
      <c r="N7021" s="1543"/>
    </row>
    <row r="7022" spans="1:14" ht="19.149999999999999" hidden="1" customHeight="1">
      <c r="A7022" s="1544"/>
      <c r="B7022" s="876" t="s">
        <v>3197</v>
      </c>
      <c r="C7022" s="743">
        <v>4</v>
      </c>
      <c r="D7022" s="743"/>
      <c r="E7022" s="379">
        <v>1</v>
      </c>
      <c r="F7022" s="379"/>
      <c r="G7022" s="379"/>
      <c r="H7022" s="380">
        <f>C7022*E7022</f>
        <v>4</v>
      </c>
      <c r="I7022" s="1543"/>
      <c r="J7022" s="1543"/>
      <c r="K7022" s="1543"/>
      <c r="L7022" s="1543"/>
      <c r="M7022" s="1543"/>
      <c r="N7022" s="1543"/>
    </row>
    <row r="7023" spans="1:14" ht="19.149999999999999" hidden="1" customHeight="1">
      <c r="A7023" s="1544"/>
      <c r="B7023" s="876" t="s">
        <v>3198</v>
      </c>
      <c r="C7023" s="743">
        <v>12</v>
      </c>
      <c r="D7023" s="743"/>
      <c r="E7023" s="379">
        <v>1</v>
      </c>
      <c r="F7023" s="379"/>
      <c r="G7023" s="379"/>
      <c r="H7023" s="380">
        <f>C7023*E7023</f>
        <v>12</v>
      </c>
      <c r="I7023" s="1543"/>
      <c r="J7023" s="1543"/>
      <c r="K7023" s="1543"/>
      <c r="L7023" s="1543"/>
      <c r="M7023" s="1543"/>
      <c r="N7023" s="1543"/>
    </row>
    <row r="7024" spans="1:14" hidden="1">
      <c r="A7024" s="1538" t="s">
        <v>2218</v>
      </c>
      <c r="B7024" s="1538"/>
      <c r="C7024" s="1538"/>
      <c r="D7024" s="1538"/>
      <c r="E7024" s="1538"/>
      <c r="F7024" s="1538"/>
      <c r="G7024" s="1538"/>
      <c r="H7024" s="271">
        <f>SUM(H7021:H7023)</f>
        <v>16</v>
      </c>
      <c r="I7024" s="1543"/>
      <c r="J7024" s="1543"/>
      <c r="K7024" s="1543"/>
      <c r="L7024" s="1543"/>
      <c r="M7024" s="1543"/>
      <c r="N7024" s="1543"/>
    </row>
    <row r="7025" spans="1:14" hidden="1">
      <c r="A7025" s="1538" t="s">
        <v>2219</v>
      </c>
      <c r="B7025" s="1538"/>
      <c r="C7025" s="1538"/>
      <c r="D7025" s="1538"/>
      <c r="E7025" s="1538"/>
      <c r="F7025" s="1538"/>
      <c r="G7025" s="1538"/>
      <c r="H7025" s="271">
        <f>SUM(H7021)</f>
        <v>0</v>
      </c>
      <c r="I7025" s="1543"/>
      <c r="J7025" s="1543"/>
      <c r="K7025" s="1543"/>
      <c r="L7025" s="1543"/>
      <c r="M7025" s="1543"/>
      <c r="N7025" s="1543"/>
    </row>
    <row r="7026" spans="1:14" hidden="1">
      <c r="A7026" s="1538" t="s">
        <v>2220</v>
      </c>
      <c r="B7026" s="1538"/>
      <c r="C7026" s="1538"/>
      <c r="D7026" s="1538"/>
      <c r="E7026" s="1538"/>
      <c r="F7026" s="1538"/>
      <c r="G7026" s="1538"/>
      <c r="H7026" s="269">
        <f>H7024-H7025</f>
        <v>16</v>
      </c>
      <c r="I7026" s="1543"/>
      <c r="J7026" s="1543"/>
      <c r="K7026" s="1543"/>
      <c r="L7026" s="1543"/>
      <c r="M7026" s="1543"/>
      <c r="N7026" s="1543"/>
    </row>
    <row r="7027" spans="1:14" hidden="1">
      <c r="A7027" s="278"/>
      <c r="B7027" s="278"/>
      <c r="C7027" s="278"/>
      <c r="D7027" s="281"/>
      <c r="E7027" s="1319"/>
      <c r="F7027" s="278"/>
      <c r="G7027" s="278"/>
      <c r="H7027" s="217"/>
      <c r="I7027" s="279"/>
      <c r="J7027" s="279"/>
      <c r="K7027" s="279"/>
      <c r="L7027" s="279"/>
      <c r="M7027" s="279"/>
      <c r="N7027" s="279"/>
    </row>
    <row r="7028" spans="1:14" hidden="1">
      <c r="A7028" s="1124" t="s">
        <v>3547</v>
      </c>
      <c r="B7028" s="1539" t="s">
        <v>316</v>
      </c>
      <c r="C7028" s="1539"/>
      <c r="D7028" s="1539"/>
      <c r="E7028" s="1539"/>
      <c r="F7028" s="1539"/>
      <c r="G7028" s="1539"/>
      <c r="H7028" s="1539"/>
      <c r="I7028" s="1539"/>
      <c r="J7028" s="1539"/>
      <c r="K7028" s="864" t="s">
        <v>3154</v>
      </c>
      <c r="L7028" s="1540">
        <f>'27ª MEDIÇÃO '!F532</f>
        <v>2</v>
      </c>
      <c r="M7028" s="1540"/>
      <c r="N7028" s="865">
        <f>L7028-H7034</f>
        <v>0</v>
      </c>
    </row>
    <row r="7029" spans="1:14" hidden="1">
      <c r="A7029" s="1541"/>
      <c r="B7029" s="1541"/>
      <c r="C7029" s="366"/>
      <c r="D7029" s="367" t="s">
        <v>2183</v>
      </c>
      <c r="E7029" s="1320" t="s">
        <v>2184</v>
      </c>
      <c r="F7029" s="367" t="s">
        <v>2185</v>
      </c>
      <c r="G7029" s="367" t="s">
        <v>2186</v>
      </c>
      <c r="H7029" s="1542" t="s">
        <v>476</v>
      </c>
      <c r="I7029" s="1543"/>
      <c r="J7029" s="1543"/>
      <c r="K7029" s="1543"/>
      <c r="L7029" s="1543"/>
      <c r="M7029" s="1543"/>
      <c r="N7029" s="1543"/>
    </row>
    <row r="7030" spans="1:14" ht="24" hidden="1">
      <c r="A7030" s="1541"/>
      <c r="B7030" s="1541"/>
      <c r="C7030" s="368" t="s">
        <v>2627</v>
      </c>
      <c r="D7030" s="369" t="s">
        <v>2187</v>
      </c>
      <c r="E7030" s="529" t="s">
        <v>3152</v>
      </c>
      <c r="F7030" s="369" t="s">
        <v>2649</v>
      </c>
      <c r="G7030" s="370" t="s">
        <v>2709</v>
      </c>
      <c r="H7030" s="1542"/>
      <c r="I7030" s="1543"/>
      <c r="J7030" s="1543"/>
      <c r="K7030" s="1543"/>
      <c r="L7030" s="1543"/>
      <c r="M7030" s="1543"/>
      <c r="N7030" s="1543"/>
    </row>
    <row r="7031" spans="1:14" hidden="1">
      <c r="A7031" s="1544" t="s">
        <v>3521</v>
      </c>
      <c r="B7031" s="876"/>
      <c r="C7031" s="743"/>
      <c r="D7031" s="743"/>
      <c r="E7031" s="379"/>
      <c r="F7031" s="379"/>
      <c r="G7031" s="379"/>
      <c r="H7031" s="380"/>
      <c r="I7031" s="1543"/>
      <c r="J7031" s="1543"/>
      <c r="K7031" s="1543"/>
      <c r="L7031" s="1543"/>
      <c r="M7031" s="1543"/>
      <c r="N7031" s="1543"/>
    </row>
    <row r="7032" spans="1:14" hidden="1">
      <c r="A7032" s="1544"/>
      <c r="B7032" s="876" t="s">
        <v>3198</v>
      </c>
      <c r="C7032" s="743">
        <v>2</v>
      </c>
      <c r="D7032" s="743"/>
      <c r="E7032" s="379">
        <v>1</v>
      </c>
      <c r="F7032" s="379"/>
      <c r="G7032" s="379"/>
      <c r="H7032" s="380">
        <f>C7032*E7032</f>
        <v>2</v>
      </c>
      <c r="I7032" s="1543"/>
      <c r="J7032" s="1543"/>
      <c r="K7032" s="1543"/>
      <c r="L7032" s="1543"/>
      <c r="M7032" s="1543"/>
      <c r="N7032" s="1543"/>
    </row>
    <row r="7033" spans="1:14" hidden="1">
      <c r="A7033" s="1544"/>
      <c r="B7033" s="876"/>
      <c r="C7033" s="743"/>
      <c r="D7033" s="743"/>
      <c r="E7033" s="379"/>
      <c r="F7033" s="379"/>
      <c r="G7033" s="379"/>
      <c r="H7033" s="380"/>
      <c r="I7033" s="1543"/>
      <c r="J7033" s="1543"/>
      <c r="K7033" s="1543"/>
      <c r="L7033" s="1543"/>
      <c r="M7033" s="1543"/>
      <c r="N7033" s="1543"/>
    </row>
    <row r="7034" spans="1:14" hidden="1">
      <c r="A7034" s="1538" t="s">
        <v>2218</v>
      </c>
      <c r="B7034" s="1538"/>
      <c r="C7034" s="1538"/>
      <c r="D7034" s="1538"/>
      <c r="E7034" s="1538"/>
      <c r="F7034" s="1538"/>
      <c r="G7034" s="1538"/>
      <c r="H7034" s="271">
        <f>SUM(H7031:H7033)</f>
        <v>2</v>
      </c>
      <c r="I7034" s="1543"/>
      <c r="J7034" s="1543"/>
      <c r="K7034" s="1543"/>
      <c r="L7034" s="1543"/>
      <c r="M7034" s="1543"/>
      <c r="N7034" s="1543"/>
    </row>
    <row r="7035" spans="1:14" hidden="1">
      <c r="A7035" s="1538" t="s">
        <v>2219</v>
      </c>
      <c r="B7035" s="1538"/>
      <c r="C7035" s="1538"/>
      <c r="D7035" s="1538"/>
      <c r="E7035" s="1538"/>
      <c r="F7035" s="1538"/>
      <c r="G7035" s="1538"/>
      <c r="H7035" s="271">
        <f>SUM(H7031)</f>
        <v>0</v>
      </c>
      <c r="I7035" s="1543"/>
      <c r="J7035" s="1543"/>
      <c r="K7035" s="1543"/>
      <c r="L7035" s="1543"/>
      <c r="M7035" s="1543"/>
      <c r="N7035" s="1543"/>
    </row>
    <row r="7036" spans="1:14" hidden="1">
      <c r="A7036" s="1538" t="s">
        <v>2220</v>
      </c>
      <c r="B7036" s="1538"/>
      <c r="C7036" s="1538"/>
      <c r="D7036" s="1538"/>
      <c r="E7036" s="1538"/>
      <c r="F7036" s="1538"/>
      <c r="G7036" s="1538"/>
      <c r="H7036" s="269">
        <f>H7034-H7035</f>
        <v>2</v>
      </c>
      <c r="I7036" s="1543"/>
      <c r="J7036" s="1543"/>
      <c r="K7036" s="1543"/>
      <c r="L7036" s="1543"/>
      <c r="M7036" s="1543"/>
      <c r="N7036" s="1543"/>
    </row>
    <row r="7037" spans="1:14" hidden="1">
      <c r="A7037" s="278"/>
      <c r="B7037" s="278"/>
      <c r="C7037" s="278"/>
      <c r="D7037" s="281"/>
      <c r="E7037" s="1319"/>
      <c r="F7037" s="278"/>
      <c r="G7037" s="278"/>
      <c r="H7037" s="217"/>
      <c r="I7037" s="279"/>
      <c r="J7037" s="279"/>
      <c r="K7037" s="279"/>
      <c r="L7037" s="279"/>
      <c r="M7037" s="279"/>
      <c r="N7037" s="279"/>
    </row>
    <row r="7038" spans="1:14" hidden="1">
      <c r="A7038" s="1124" t="s">
        <v>3548</v>
      </c>
      <c r="B7038" s="1539" t="s">
        <v>319</v>
      </c>
      <c r="C7038" s="1539"/>
      <c r="D7038" s="1539"/>
      <c r="E7038" s="1539"/>
      <c r="F7038" s="1539"/>
      <c r="G7038" s="1539"/>
      <c r="H7038" s="1539"/>
      <c r="I7038" s="1539"/>
      <c r="J7038" s="1539"/>
      <c r="K7038" s="864" t="s">
        <v>3154</v>
      </c>
      <c r="L7038" s="1540">
        <f>'27ª MEDIÇÃO '!F533</f>
        <v>40</v>
      </c>
      <c r="M7038" s="1540"/>
      <c r="N7038" s="865">
        <f>L7038-H7047</f>
        <v>0</v>
      </c>
    </row>
    <row r="7039" spans="1:14" hidden="1">
      <c r="A7039" s="1541"/>
      <c r="B7039" s="1541"/>
      <c r="C7039" s="366"/>
      <c r="D7039" s="367" t="s">
        <v>2183</v>
      </c>
      <c r="E7039" s="1320" t="s">
        <v>2184</v>
      </c>
      <c r="F7039" s="367" t="s">
        <v>2185</v>
      </c>
      <c r="G7039" s="367" t="s">
        <v>2186</v>
      </c>
      <c r="H7039" s="1542" t="s">
        <v>476</v>
      </c>
      <c r="I7039" s="1543"/>
      <c r="J7039" s="1543"/>
      <c r="K7039" s="1543"/>
      <c r="L7039" s="1543"/>
      <c r="M7039" s="1543"/>
      <c r="N7039" s="1543"/>
    </row>
    <row r="7040" spans="1:14" ht="35.450000000000003" hidden="1" customHeight="1">
      <c r="A7040" s="1541"/>
      <c r="B7040" s="1541"/>
      <c r="C7040" s="368" t="s">
        <v>2627</v>
      </c>
      <c r="D7040" s="369" t="s">
        <v>2187</v>
      </c>
      <c r="E7040" s="529" t="s">
        <v>3152</v>
      </c>
      <c r="F7040" s="369" t="s">
        <v>2649</v>
      </c>
      <c r="G7040" s="370" t="s">
        <v>2709</v>
      </c>
      <c r="H7040" s="1542"/>
      <c r="I7040" s="1543"/>
      <c r="J7040" s="1543"/>
      <c r="K7040" s="1543"/>
      <c r="L7040" s="1543"/>
      <c r="M7040" s="1543"/>
      <c r="N7040" s="1543"/>
    </row>
    <row r="7041" spans="1:14" hidden="1">
      <c r="A7041" s="1544" t="s">
        <v>3521</v>
      </c>
      <c r="B7041" s="876"/>
      <c r="C7041" s="743"/>
      <c r="D7041" s="743"/>
      <c r="E7041" s="379"/>
      <c r="F7041" s="379"/>
      <c r="G7041" s="379"/>
      <c r="H7041" s="380"/>
      <c r="I7041" s="1543"/>
      <c r="J7041" s="1543"/>
      <c r="K7041" s="1543"/>
      <c r="L7041" s="1543"/>
      <c r="M7041" s="1543"/>
      <c r="N7041" s="1543"/>
    </row>
    <row r="7042" spans="1:14" hidden="1">
      <c r="A7042" s="1544"/>
      <c r="B7042" s="876" t="s">
        <v>3199</v>
      </c>
      <c r="C7042" s="743">
        <v>40</v>
      </c>
      <c r="D7042" s="743"/>
      <c r="E7042" s="379">
        <v>0.5</v>
      </c>
      <c r="F7042" s="379"/>
      <c r="G7042" s="379"/>
      <c r="H7042" s="380">
        <f>C7042*E7042</f>
        <v>20</v>
      </c>
      <c r="I7042" s="1543"/>
      <c r="J7042" s="1543"/>
      <c r="K7042" s="1543"/>
      <c r="L7042" s="1543"/>
      <c r="M7042" s="1543"/>
      <c r="N7042" s="1543"/>
    </row>
    <row r="7043" spans="1:14" hidden="1">
      <c r="A7043" s="1544"/>
      <c r="B7043" s="876"/>
      <c r="C7043" s="743"/>
      <c r="D7043" s="743"/>
      <c r="E7043" s="379"/>
      <c r="F7043" s="379"/>
      <c r="G7043" s="379"/>
      <c r="H7043" s="380"/>
      <c r="I7043" s="1543"/>
      <c r="J7043" s="1543"/>
      <c r="K7043" s="1543"/>
      <c r="L7043" s="1543"/>
      <c r="M7043" s="1543"/>
      <c r="N7043" s="1543"/>
    </row>
    <row r="7044" spans="1:14" hidden="1">
      <c r="A7044" s="1544" t="s">
        <v>3569</v>
      </c>
      <c r="B7044" s="876"/>
      <c r="C7044" s="743"/>
      <c r="D7044" s="743"/>
      <c r="E7044" s="379"/>
      <c r="F7044" s="379"/>
      <c r="G7044" s="379"/>
      <c r="H7044" s="380"/>
      <c r="I7044" s="1543"/>
      <c r="J7044" s="1543"/>
      <c r="K7044" s="1543"/>
      <c r="L7044" s="1543"/>
      <c r="M7044" s="1543"/>
      <c r="N7044" s="1543"/>
    </row>
    <row r="7045" spans="1:14" hidden="1">
      <c r="A7045" s="1544"/>
      <c r="B7045" s="876" t="s">
        <v>3199</v>
      </c>
      <c r="C7045" s="743">
        <v>40</v>
      </c>
      <c r="D7045" s="743"/>
      <c r="E7045" s="379">
        <v>0.5</v>
      </c>
      <c r="F7045" s="379"/>
      <c r="G7045" s="379"/>
      <c r="H7045" s="380">
        <f>C7045*E7045</f>
        <v>20</v>
      </c>
      <c r="I7045" s="1543"/>
      <c r="J7045" s="1543"/>
      <c r="K7045" s="1543"/>
      <c r="L7045" s="1543"/>
      <c r="M7045" s="1543"/>
      <c r="N7045" s="1543"/>
    </row>
    <row r="7046" spans="1:14" hidden="1">
      <c r="A7046" s="1544"/>
      <c r="B7046" s="876"/>
      <c r="C7046" s="743"/>
      <c r="D7046" s="743"/>
      <c r="E7046" s="379"/>
      <c r="F7046" s="379"/>
      <c r="G7046" s="379"/>
      <c r="H7046" s="380"/>
      <c r="I7046" s="1543"/>
      <c r="J7046" s="1543"/>
      <c r="K7046" s="1543"/>
      <c r="L7046" s="1543"/>
      <c r="M7046" s="1543"/>
      <c r="N7046" s="1543"/>
    </row>
    <row r="7047" spans="1:14" hidden="1">
      <c r="A7047" s="1538" t="s">
        <v>2218</v>
      </c>
      <c r="B7047" s="1538"/>
      <c r="C7047" s="1538"/>
      <c r="D7047" s="1538"/>
      <c r="E7047" s="1538"/>
      <c r="F7047" s="1538"/>
      <c r="G7047" s="1538"/>
      <c r="H7047" s="271">
        <f>SUM(H7041:H7046)</f>
        <v>40</v>
      </c>
      <c r="I7047" s="1543"/>
      <c r="J7047" s="1543"/>
      <c r="K7047" s="1543"/>
      <c r="L7047" s="1543"/>
      <c r="M7047" s="1543"/>
      <c r="N7047" s="1543"/>
    </row>
    <row r="7048" spans="1:14" hidden="1">
      <c r="A7048" s="1538" t="s">
        <v>2219</v>
      </c>
      <c r="B7048" s="1538"/>
      <c r="C7048" s="1538"/>
      <c r="D7048" s="1538"/>
      <c r="E7048" s="1538"/>
      <c r="F7048" s="1538"/>
      <c r="G7048" s="1538"/>
      <c r="H7048" s="271">
        <f>SUM(H7041:H7043)</f>
        <v>20</v>
      </c>
      <c r="I7048" s="1543"/>
      <c r="J7048" s="1543"/>
      <c r="K7048" s="1543"/>
      <c r="L7048" s="1543"/>
      <c r="M7048" s="1543"/>
      <c r="N7048" s="1543"/>
    </row>
    <row r="7049" spans="1:14" hidden="1">
      <c r="A7049" s="1538" t="s">
        <v>2220</v>
      </c>
      <c r="B7049" s="1538"/>
      <c r="C7049" s="1538"/>
      <c r="D7049" s="1538"/>
      <c r="E7049" s="1538"/>
      <c r="F7049" s="1538"/>
      <c r="G7049" s="1538"/>
      <c r="H7049" s="269">
        <f>H7047-H7048</f>
        <v>20</v>
      </c>
      <c r="I7049" s="1543"/>
      <c r="J7049" s="1543"/>
      <c r="K7049" s="1543"/>
      <c r="L7049" s="1543"/>
      <c r="M7049" s="1543"/>
      <c r="N7049" s="1543"/>
    </row>
    <row r="7050" spans="1:14" hidden="1">
      <c r="A7050" s="278"/>
      <c r="B7050" s="278"/>
      <c r="C7050" s="278"/>
      <c r="D7050" s="281"/>
      <c r="E7050" s="1319"/>
      <c r="F7050" s="278"/>
      <c r="G7050" s="278"/>
      <c r="H7050" s="217"/>
      <c r="I7050" s="279"/>
      <c r="J7050" s="279"/>
      <c r="K7050" s="279"/>
      <c r="L7050" s="279"/>
      <c r="M7050" s="279"/>
      <c r="N7050" s="279"/>
    </row>
    <row r="7051" spans="1:14" hidden="1">
      <c r="A7051" s="1124" t="s">
        <v>3549</v>
      </c>
      <c r="B7051" s="1539" t="s">
        <v>1373</v>
      </c>
      <c r="C7051" s="1539"/>
      <c r="D7051" s="1539"/>
      <c r="E7051" s="1539"/>
      <c r="F7051" s="1539"/>
      <c r="G7051" s="1539"/>
      <c r="H7051" s="1539"/>
      <c r="I7051" s="1539"/>
      <c r="J7051" s="1539"/>
      <c r="K7051" s="864" t="s">
        <v>3154</v>
      </c>
      <c r="L7051" s="1540">
        <f>'27ª MEDIÇÃO '!F534</f>
        <v>62</v>
      </c>
      <c r="M7051" s="1540"/>
      <c r="N7051" s="865">
        <f>L7051-H7062</f>
        <v>0</v>
      </c>
    </row>
    <row r="7052" spans="1:14" hidden="1">
      <c r="A7052" s="1541"/>
      <c r="B7052" s="1541"/>
      <c r="C7052" s="366"/>
      <c r="D7052" s="367" t="s">
        <v>2183</v>
      </c>
      <c r="E7052" s="1320" t="s">
        <v>2184</v>
      </c>
      <c r="F7052" s="367" t="s">
        <v>2185</v>
      </c>
      <c r="G7052" s="367" t="s">
        <v>2186</v>
      </c>
      <c r="H7052" s="1542" t="s">
        <v>476</v>
      </c>
      <c r="I7052" s="1543"/>
      <c r="J7052" s="1543"/>
      <c r="K7052" s="1543"/>
      <c r="L7052" s="1543"/>
      <c r="M7052" s="1543"/>
      <c r="N7052" s="1543"/>
    </row>
    <row r="7053" spans="1:14" ht="24" hidden="1">
      <c r="A7053" s="1541"/>
      <c r="B7053" s="1541"/>
      <c r="C7053" s="368" t="s">
        <v>2627</v>
      </c>
      <c r="D7053" s="369" t="s">
        <v>2187</v>
      </c>
      <c r="E7053" s="529" t="s">
        <v>3152</v>
      </c>
      <c r="F7053" s="369" t="s">
        <v>2649</v>
      </c>
      <c r="G7053" s="370" t="s">
        <v>2709</v>
      </c>
      <c r="H7053" s="1542"/>
      <c r="I7053" s="1543"/>
      <c r="J7053" s="1543"/>
      <c r="K7053" s="1543"/>
      <c r="L7053" s="1543"/>
      <c r="M7053" s="1543"/>
      <c r="N7053" s="1543"/>
    </row>
    <row r="7054" spans="1:14" hidden="1">
      <c r="A7054" s="1544" t="s">
        <v>3521</v>
      </c>
      <c r="B7054" s="876"/>
      <c r="C7054" s="743"/>
      <c r="D7054" s="743"/>
      <c r="E7054" s="379"/>
      <c r="F7054" s="379"/>
      <c r="G7054" s="379"/>
      <c r="H7054" s="380"/>
      <c r="I7054" s="1543"/>
      <c r="J7054" s="1543"/>
      <c r="K7054" s="1543"/>
      <c r="L7054" s="1543"/>
      <c r="M7054" s="1543"/>
      <c r="N7054" s="1543"/>
    </row>
    <row r="7055" spans="1:14" hidden="1">
      <c r="A7055" s="1544"/>
      <c r="B7055" s="876" t="s">
        <v>3199</v>
      </c>
      <c r="C7055" s="743">
        <v>48</v>
      </c>
      <c r="D7055" s="743"/>
      <c r="E7055" s="379">
        <v>0.5</v>
      </c>
      <c r="F7055" s="379"/>
      <c r="G7055" s="379"/>
      <c r="H7055" s="380">
        <f>C7055*E7055</f>
        <v>24</v>
      </c>
      <c r="I7055" s="1543"/>
      <c r="J7055" s="1543"/>
      <c r="K7055" s="1543"/>
      <c r="L7055" s="1543"/>
      <c r="M7055" s="1543"/>
      <c r="N7055" s="1543"/>
    </row>
    <row r="7056" spans="1:14" hidden="1">
      <c r="A7056" s="1544"/>
      <c r="B7056" s="876" t="s">
        <v>3198</v>
      </c>
      <c r="C7056" s="743">
        <v>14</v>
      </c>
      <c r="D7056" s="743"/>
      <c r="E7056" s="379">
        <v>0.5</v>
      </c>
      <c r="F7056" s="379"/>
      <c r="G7056" s="379"/>
      <c r="H7056" s="380">
        <f>C7056*E7056</f>
        <v>7</v>
      </c>
      <c r="I7056" s="1543"/>
      <c r="J7056" s="1543"/>
      <c r="K7056" s="1543"/>
      <c r="L7056" s="1543"/>
      <c r="M7056" s="1543"/>
      <c r="N7056" s="1543"/>
    </row>
    <row r="7057" spans="1:14" ht="35.450000000000003" hidden="1" customHeight="1">
      <c r="A7057" s="1544"/>
      <c r="B7057" s="876"/>
      <c r="C7057" s="743"/>
      <c r="D7057" s="743"/>
      <c r="E7057" s="379"/>
      <c r="F7057" s="379"/>
      <c r="G7057" s="379"/>
      <c r="H7057" s="380"/>
      <c r="I7057" s="1543"/>
      <c r="J7057" s="1543"/>
      <c r="K7057" s="1543"/>
      <c r="L7057" s="1543"/>
      <c r="M7057" s="1543"/>
      <c r="N7057" s="1543"/>
    </row>
    <row r="7058" spans="1:14" hidden="1">
      <c r="A7058" s="1544" t="s">
        <v>3569</v>
      </c>
      <c r="B7058" s="876"/>
      <c r="C7058" s="743"/>
      <c r="D7058" s="743"/>
      <c r="E7058" s="379"/>
      <c r="F7058" s="379"/>
      <c r="G7058" s="379"/>
      <c r="H7058" s="380"/>
      <c r="I7058" s="1543"/>
      <c r="J7058" s="1543"/>
      <c r="K7058" s="1543"/>
      <c r="L7058" s="1543"/>
      <c r="M7058" s="1543"/>
      <c r="N7058" s="1543"/>
    </row>
    <row r="7059" spans="1:14" hidden="1">
      <c r="A7059" s="1544"/>
      <c r="B7059" s="876" t="s">
        <v>3199</v>
      </c>
      <c r="C7059" s="743">
        <v>48</v>
      </c>
      <c r="D7059" s="743"/>
      <c r="E7059" s="379">
        <v>0.5</v>
      </c>
      <c r="F7059" s="379"/>
      <c r="G7059" s="379"/>
      <c r="H7059" s="380">
        <f>C7059*E7059</f>
        <v>24</v>
      </c>
      <c r="I7059" s="1543"/>
      <c r="J7059" s="1543"/>
      <c r="K7059" s="1543"/>
      <c r="L7059" s="1543"/>
      <c r="M7059" s="1543"/>
      <c r="N7059" s="1543"/>
    </row>
    <row r="7060" spans="1:14" hidden="1">
      <c r="A7060" s="1544"/>
      <c r="B7060" s="876" t="s">
        <v>3198</v>
      </c>
      <c r="C7060" s="743">
        <v>14</v>
      </c>
      <c r="D7060" s="743"/>
      <c r="E7060" s="379">
        <v>0.5</v>
      </c>
      <c r="F7060" s="379"/>
      <c r="G7060" s="379"/>
      <c r="H7060" s="380">
        <f>C7060*E7060</f>
        <v>7</v>
      </c>
      <c r="I7060" s="1543"/>
      <c r="J7060" s="1543"/>
      <c r="K7060" s="1543"/>
      <c r="L7060" s="1543"/>
      <c r="M7060" s="1543"/>
      <c r="N7060" s="1543"/>
    </row>
    <row r="7061" spans="1:14" hidden="1">
      <c r="A7061" s="1544"/>
      <c r="B7061" s="876"/>
      <c r="C7061" s="743"/>
      <c r="D7061" s="743"/>
      <c r="E7061" s="379"/>
      <c r="F7061" s="379"/>
      <c r="G7061" s="379"/>
      <c r="H7061" s="380"/>
      <c r="I7061" s="1543"/>
      <c r="J7061" s="1543"/>
      <c r="K7061" s="1543"/>
      <c r="L7061" s="1543"/>
      <c r="M7061" s="1543"/>
      <c r="N7061" s="1543"/>
    </row>
    <row r="7062" spans="1:14" hidden="1">
      <c r="A7062" s="1538" t="s">
        <v>2218</v>
      </c>
      <c r="B7062" s="1538"/>
      <c r="C7062" s="1538"/>
      <c r="D7062" s="1538"/>
      <c r="E7062" s="1538"/>
      <c r="F7062" s="1538"/>
      <c r="G7062" s="1538"/>
      <c r="H7062" s="271">
        <f>SUM(H7054:H7061)</f>
        <v>62</v>
      </c>
      <c r="I7062" s="1543"/>
      <c r="J7062" s="1543"/>
      <c r="K7062" s="1543"/>
      <c r="L7062" s="1543"/>
      <c r="M7062" s="1543"/>
      <c r="N7062" s="1543"/>
    </row>
    <row r="7063" spans="1:14" hidden="1">
      <c r="A7063" s="1538" t="s">
        <v>2219</v>
      </c>
      <c r="B7063" s="1538"/>
      <c r="C7063" s="1538"/>
      <c r="D7063" s="1538"/>
      <c r="E7063" s="1538"/>
      <c r="F7063" s="1538"/>
      <c r="G7063" s="1538"/>
      <c r="H7063" s="271">
        <f>SUM(H7054:H7057)</f>
        <v>31</v>
      </c>
      <c r="I7063" s="1543"/>
      <c r="J7063" s="1543"/>
      <c r="K7063" s="1543"/>
      <c r="L7063" s="1543"/>
      <c r="M7063" s="1543"/>
      <c r="N7063" s="1543"/>
    </row>
    <row r="7064" spans="1:14" hidden="1">
      <c r="A7064" s="1538" t="s">
        <v>2220</v>
      </c>
      <c r="B7064" s="1538"/>
      <c r="C7064" s="1538"/>
      <c r="D7064" s="1538"/>
      <c r="E7064" s="1538"/>
      <c r="F7064" s="1538"/>
      <c r="G7064" s="1538"/>
      <c r="H7064" s="269">
        <f>H7062-H7063</f>
        <v>31</v>
      </c>
      <c r="I7064" s="1543"/>
      <c r="J7064" s="1543"/>
      <c r="K7064" s="1543"/>
      <c r="L7064" s="1543"/>
      <c r="M7064" s="1543"/>
      <c r="N7064" s="1543"/>
    </row>
    <row r="7065" spans="1:14" hidden="1">
      <c r="A7065" s="278"/>
      <c r="B7065" s="278"/>
      <c r="C7065" s="278"/>
      <c r="D7065" s="281"/>
      <c r="E7065" s="1319"/>
      <c r="F7065" s="278"/>
      <c r="G7065" s="278"/>
      <c r="H7065" s="217"/>
      <c r="I7065" s="279"/>
      <c r="J7065" s="279"/>
      <c r="K7065" s="279"/>
      <c r="L7065" s="279"/>
      <c r="M7065" s="279"/>
      <c r="N7065" s="279"/>
    </row>
    <row r="7066" spans="1:14" hidden="1">
      <c r="A7066" s="1124" t="s">
        <v>3550</v>
      </c>
      <c r="B7066" s="1539" t="s">
        <v>1394</v>
      </c>
      <c r="C7066" s="1539"/>
      <c r="D7066" s="1539"/>
      <c r="E7066" s="1539"/>
      <c r="F7066" s="1539"/>
      <c r="G7066" s="1539"/>
      <c r="H7066" s="1539"/>
      <c r="I7066" s="1539"/>
      <c r="J7066" s="1539"/>
      <c r="K7066" s="864" t="s">
        <v>3154</v>
      </c>
      <c r="L7066" s="1540">
        <f>'27ª MEDIÇÃO '!F535</f>
        <v>45</v>
      </c>
      <c r="M7066" s="1540"/>
      <c r="N7066" s="865">
        <f>L7066-H7077</f>
        <v>0</v>
      </c>
    </row>
    <row r="7067" spans="1:14" hidden="1">
      <c r="A7067" s="1541"/>
      <c r="B7067" s="1541"/>
      <c r="C7067" s="366"/>
      <c r="D7067" s="367" t="s">
        <v>2183</v>
      </c>
      <c r="E7067" s="1320" t="s">
        <v>2184</v>
      </c>
      <c r="F7067" s="367" t="s">
        <v>2185</v>
      </c>
      <c r="G7067" s="367" t="s">
        <v>2186</v>
      </c>
      <c r="H7067" s="1542" t="s">
        <v>476</v>
      </c>
      <c r="I7067" s="1543"/>
      <c r="J7067" s="1543"/>
      <c r="K7067" s="1543"/>
      <c r="L7067" s="1543"/>
      <c r="M7067" s="1543"/>
      <c r="N7067" s="1543"/>
    </row>
    <row r="7068" spans="1:14" ht="24" hidden="1">
      <c r="A7068" s="1541"/>
      <c r="B7068" s="1541"/>
      <c r="C7068" s="368" t="s">
        <v>2627</v>
      </c>
      <c r="D7068" s="369" t="s">
        <v>2187</v>
      </c>
      <c r="E7068" s="529" t="s">
        <v>3152</v>
      </c>
      <c r="F7068" s="369" t="s">
        <v>2649</v>
      </c>
      <c r="G7068" s="370" t="s">
        <v>2709</v>
      </c>
      <c r="H7068" s="1542"/>
      <c r="I7068" s="1543"/>
      <c r="J7068" s="1543"/>
      <c r="K7068" s="1543"/>
      <c r="L7068" s="1543"/>
      <c r="M7068" s="1543"/>
      <c r="N7068" s="1543"/>
    </row>
    <row r="7069" spans="1:14" hidden="1">
      <c r="A7069" s="1544" t="s">
        <v>3521</v>
      </c>
      <c r="B7069" s="876"/>
      <c r="C7069" s="743"/>
      <c r="D7069" s="743"/>
      <c r="E7069" s="379"/>
      <c r="F7069" s="379"/>
      <c r="G7069" s="379"/>
      <c r="H7069" s="380"/>
      <c r="I7069" s="1543"/>
      <c r="J7069" s="1543"/>
      <c r="K7069" s="1543"/>
      <c r="L7069" s="1543"/>
      <c r="M7069" s="1543"/>
      <c r="N7069" s="1543"/>
    </row>
    <row r="7070" spans="1:14" hidden="1">
      <c r="A7070" s="1544"/>
      <c r="B7070" s="876" t="s">
        <v>3199</v>
      </c>
      <c r="C7070" s="743">
        <v>36</v>
      </c>
      <c r="D7070" s="743"/>
      <c r="E7070" s="379">
        <v>0.5</v>
      </c>
      <c r="F7070" s="379"/>
      <c r="G7070" s="379"/>
      <c r="H7070" s="380">
        <f>C7070*E7070</f>
        <v>18</v>
      </c>
      <c r="I7070" s="1543"/>
      <c r="J7070" s="1543"/>
      <c r="K7070" s="1543"/>
      <c r="L7070" s="1543"/>
      <c r="M7070" s="1543"/>
      <c r="N7070" s="1543"/>
    </row>
    <row r="7071" spans="1:14" hidden="1">
      <c r="A7071" s="1544"/>
      <c r="B7071" s="876" t="s">
        <v>3198</v>
      </c>
      <c r="C7071" s="743">
        <v>9</v>
      </c>
      <c r="D7071" s="743"/>
      <c r="E7071" s="379">
        <v>0.5</v>
      </c>
      <c r="F7071" s="379"/>
      <c r="G7071" s="379"/>
      <c r="H7071" s="380">
        <v>4</v>
      </c>
      <c r="I7071" s="1543"/>
      <c r="J7071" s="1543"/>
      <c r="K7071" s="1543"/>
      <c r="L7071" s="1543"/>
      <c r="M7071" s="1543"/>
      <c r="N7071" s="1543"/>
    </row>
    <row r="7072" spans="1:14" hidden="1">
      <c r="A7072" s="1544"/>
      <c r="B7072" s="876"/>
      <c r="C7072" s="743"/>
      <c r="D7072" s="743"/>
      <c r="E7072" s="379"/>
      <c r="F7072" s="379"/>
      <c r="G7072" s="379"/>
      <c r="H7072" s="380"/>
      <c r="I7072" s="1543"/>
      <c r="J7072" s="1543"/>
      <c r="K7072" s="1543"/>
      <c r="L7072" s="1543"/>
      <c r="M7072" s="1543"/>
      <c r="N7072" s="1543"/>
    </row>
    <row r="7073" spans="1:14" hidden="1">
      <c r="A7073" s="1544" t="s">
        <v>3569</v>
      </c>
      <c r="B7073" s="876"/>
      <c r="C7073" s="743"/>
      <c r="D7073" s="743"/>
      <c r="E7073" s="379"/>
      <c r="F7073" s="379"/>
      <c r="G7073" s="379"/>
      <c r="H7073" s="380"/>
      <c r="I7073" s="1543"/>
      <c r="J7073" s="1543"/>
      <c r="K7073" s="1543"/>
      <c r="L7073" s="1543"/>
      <c r="M7073" s="1543"/>
      <c r="N7073" s="1543"/>
    </row>
    <row r="7074" spans="1:14" ht="35.450000000000003" hidden="1" customHeight="1">
      <c r="A7074" s="1544"/>
      <c r="B7074" s="876" t="s">
        <v>3199</v>
      </c>
      <c r="C7074" s="743">
        <v>36</v>
      </c>
      <c r="D7074" s="743"/>
      <c r="E7074" s="379">
        <v>0.5</v>
      </c>
      <c r="F7074" s="379"/>
      <c r="G7074" s="379"/>
      <c r="H7074" s="380">
        <f>C7074*E7074</f>
        <v>18</v>
      </c>
      <c r="I7074" s="1543"/>
      <c r="J7074" s="1543"/>
      <c r="K7074" s="1543"/>
      <c r="L7074" s="1543"/>
      <c r="M7074" s="1543"/>
      <c r="N7074" s="1543"/>
    </row>
    <row r="7075" spans="1:14" hidden="1">
      <c r="A7075" s="1544"/>
      <c r="B7075" s="876" t="s">
        <v>3198</v>
      </c>
      <c r="C7075" s="743">
        <v>9</v>
      </c>
      <c r="D7075" s="743"/>
      <c r="E7075" s="379">
        <v>0.5</v>
      </c>
      <c r="F7075" s="379"/>
      <c r="G7075" s="379"/>
      <c r="H7075" s="380">
        <v>5</v>
      </c>
      <c r="I7075" s="1543"/>
      <c r="J7075" s="1543"/>
      <c r="K7075" s="1543"/>
      <c r="L7075" s="1543"/>
      <c r="M7075" s="1543"/>
      <c r="N7075" s="1543"/>
    </row>
    <row r="7076" spans="1:14" hidden="1">
      <c r="A7076" s="1544"/>
      <c r="B7076" s="876"/>
      <c r="C7076" s="743"/>
      <c r="D7076" s="743"/>
      <c r="E7076" s="379"/>
      <c r="F7076" s="379"/>
      <c r="G7076" s="379"/>
      <c r="H7076" s="380"/>
      <c r="I7076" s="1543"/>
      <c r="J7076" s="1543"/>
      <c r="K7076" s="1543"/>
      <c r="L7076" s="1543"/>
      <c r="M7076" s="1543"/>
      <c r="N7076" s="1543"/>
    </row>
    <row r="7077" spans="1:14" hidden="1">
      <c r="A7077" s="1538" t="s">
        <v>2218</v>
      </c>
      <c r="B7077" s="1538"/>
      <c r="C7077" s="1538"/>
      <c r="D7077" s="1538"/>
      <c r="E7077" s="1538"/>
      <c r="F7077" s="1538"/>
      <c r="G7077" s="1538"/>
      <c r="H7077" s="271">
        <f>SUM(H7069:H7076)</f>
        <v>45</v>
      </c>
      <c r="I7077" s="1543"/>
      <c r="J7077" s="1543"/>
      <c r="K7077" s="1543"/>
      <c r="L7077" s="1543"/>
      <c r="M7077" s="1543"/>
      <c r="N7077" s="1543"/>
    </row>
    <row r="7078" spans="1:14" hidden="1">
      <c r="A7078" s="1538" t="s">
        <v>2219</v>
      </c>
      <c r="B7078" s="1538"/>
      <c r="C7078" s="1538"/>
      <c r="D7078" s="1538"/>
      <c r="E7078" s="1538"/>
      <c r="F7078" s="1538"/>
      <c r="G7078" s="1538"/>
      <c r="H7078" s="271">
        <f>SUM(H7069:H7072)</f>
        <v>22</v>
      </c>
      <c r="I7078" s="1543"/>
      <c r="J7078" s="1543"/>
      <c r="K7078" s="1543"/>
      <c r="L7078" s="1543"/>
      <c r="M7078" s="1543"/>
      <c r="N7078" s="1543"/>
    </row>
    <row r="7079" spans="1:14" hidden="1">
      <c r="A7079" s="1538" t="s">
        <v>2220</v>
      </c>
      <c r="B7079" s="1538"/>
      <c r="C7079" s="1538"/>
      <c r="D7079" s="1538"/>
      <c r="E7079" s="1538"/>
      <c r="F7079" s="1538"/>
      <c r="G7079" s="1538"/>
      <c r="H7079" s="269">
        <f>H7077-H7078</f>
        <v>23</v>
      </c>
      <c r="I7079" s="1543"/>
      <c r="J7079" s="1543"/>
      <c r="K7079" s="1543"/>
      <c r="L7079" s="1543"/>
      <c r="M7079" s="1543"/>
      <c r="N7079" s="1543"/>
    </row>
    <row r="7080" spans="1:14" hidden="1">
      <c r="A7080" s="278"/>
      <c r="B7080" s="278"/>
      <c r="C7080" s="278"/>
      <c r="D7080" s="281"/>
      <c r="E7080" s="1319"/>
      <c r="F7080" s="278"/>
      <c r="G7080" s="278"/>
      <c r="H7080" s="217"/>
      <c r="I7080" s="279"/>
      <c r="J7080" s="279"/>
      <c r="K7080" s="279"/>
      <c r="L7080" s="279"/>
      <c r="M7080" s="279"/>
      <c r="N7080" s="279"/>
    </row>
    <row r="7081" spans="1:14" hidden="1">
      <c r="A7081" s="1124" t="s">
        <v>3551</v>
      </c>
      <c r="B7081" s="1550" t="s">
        <v>1433</v>
      </c>
      <c r="C7081" s="1550"/>
      <c r="D7081" s="1550"/>
      <c r="E7081" s="1550"/>
      <c r="F7081" s="1550"/>
      <c r="G7081" s="1550"/>
      <c r="H7081" s="1550"/>
      <c r="I7081" s="1550"/>
      <c r="J7081" s="1550"/>
      <c r="K7081" s="864" t="s">
        <v>3154</v>
      </c>
      <c r="L7081" s="1540">
        <f>'27ª MEDIÇÃO '!F536</f>
        <v>64</v>
      </c>
      <c r="M7081" s="1540"/>
      <c r="N7081" s="865">
        <f>L7081-H7092</f>
        <v>0</v>
      </c>
    </row>
    <row r="7082" spans="1:14" hidden="1">
      <c r="A7082" s="1541"/>
      <c r="B7082" s="1541"/>
      <c r="C7082" s="366"/>
      <c r="D7082" s="367" t="s">
        <v>2183</v>
      </c>
      <c r="E7082" s="1320" t="s">
        <v>2184</v>
      </c>
      <c r="F7082" s="367" t="s">
        <v>2185</v>
      </c>
      <c r="G7082" s="367" t="s">
        <v>2186</v>
      </c>
      <c r="H7082" s="1542" t="s">
        <v>476</v>
      </c>
      <c r="I7082" s="1543"/>
      <c r="J7082" s="1543"/>
      <c r="K7082" s="1543"/>
      <c r="L7082" s="1543"/>
      <c r="M7082" s="1543"/>
      <c r="N7082" s="1543"/>
    </row>
    <row r="7083" spans="1:14" ht="24" hidden="1">
      <c r="A7083" s="1541"/>
      <c r="B7083" s="1541"/>
      <c r="C7083" s="368" t="s">
        <v>2627</v>
      </c>
      <c r="D7083" s="369" t="s">
        <v>2187</v>
      </c>
      <c r="E7083" s="529" t="s">
        <v>3152</v>
      </c>
      <c r="F7083" s="369" t="s">
        <v>2649</v>
      </c>
      <c r="G7083" s="370" t="s">
        <v>2709</v>
      </c>
      <c r="H7083" s="1542"/>
      <c r="I7083" s="1543"/>
      <c r="J7083" s="1543"/>
      <c r="K7083" s="1543"/>
      <c r="L7083" s="1543"/>
      <c r="M7083" s="1543"/>
      <c r="N7083" s="1543"/>
    </row>
    <row r="7084" spans="1:14" hidden="1">
      <c r="A7084" s="1544" t="s">
        <v>3521</v>
      </c>
      <c r="B7084" s="876"/>
      <c r="C7084" s="743"/>
      <c r="D7084" s="743"/>
      <c r="E7084" s="379"/>
      <c r="F7084" s="379"/>
      <c r="G7084" s="379"/>
      <c r="H7084" s="380"/>
      <c r="I7084" s="1543"/>
      <c r="J7084" s="1543"/>
      <c r="K7084" s="1543"/>
      <c r="L7084" s="1543"/>
      <c r="M7084" s="1543"/>
      <c r="N7084" s="1543"/>
    </row>
    <row r="7085" spans="1:14" hidden="1">
      <c r="A7085" s="1544"/>
      <c r="B7085" s="876" t="s">
        <v>3199</v>
      </c>
      <c r="C7085" s="743">
        <v>38</v>
      </c>
      <c r="D7085" s="743"/>
      <c r="E7085" s="379">
        <v>0.5</v>
      </c>
      <c r="F7085" s="379"/>
      <c r="G7085" s="379"/>
      <c r="H7085" s="380">
        <f>C7085*E7085</f>
        <v>19</v>
      </c>
      <c r="I7085" s="1543"/>
      <c r="J7085" s="1543"/>
      <c r="K7085" s="1543"/>
      <c r="L7085" s="1543"/>
      <c r="M7085" s="1543"/>
      <c r="N7085" s="1543"/>
    </row>
    <row r="7086" spans="1:14" hidden="1">
      <c r="A7086" s="1544"/>
      <c r="B7086" s="876" t="s">
        <v>3198</v>
      </c>
      <c r="C7086" s="743">
        <v>26</v>
      </c>
      <c r="D7086" s="743"/>
      <c r="E7086" s="379">
        <v>0.5</v>
      </c>
      <c r="F7086" s="379"/>
      <c r="G7086" s="379"/>
      <c r="H7086" s="380">
        <f>C7086*E7086</f>
        <v>13</v>
      </c>
      <c r="I7086" s="1543"/>
      <c r="J7086" s="1543"/>
      <c r="K7086" s="1543"/>
      <c r="L7086" s="1543"/>
      <c r="M7086" s="1543"/>
      <c r="N7086" s="1543"/>
    </row>
    <row r="7087" spans="1:14" ht="16.899999999999999" customHeight="1">
      <c r="A7087" s="1544"/>
      <c r="B7087" s="876"/>
      <c r="C7087" s="743"/>
      <c r="D7087" s="743"/>
      <c r="E7087" s="379"/>
      <c r="F7087" s="379"/>
      <c r="G7087" s="379"/>
      <c r="H7087" s="380"/>
      <c r="I7087" s="1543"/>
      <c r="J7087" s="1543"/>
      <c r="K7087" s="1543"/>
      <c r="L7087" s="1543"/>
      <c r="M7087" s="1543"/>
      <c r="N7087" s="1543"/>
    </row>
    <row r="7088" spans="1:14" ht="16.899999999999999" customHeight="1">
      <c r="A7088" s="1544" t="s">
        <v>3569</v>
      </c>
      <c r="B7088" s="876"/>
      <c r="C7088" s="743"/>
      <c r="D7088" s="743"/>
      <c r="E7088" s="379"/>
      <c r="F7088" s="379"/>
      <c r="G7088" s="379"/>
      <c r="H7088" s="380"/>
      <c r="I7088" s="1543"/>
      <c r="J7088" s="1543"/>
      <c r="K7088" s="1543"/>
      <c r="L7088" s="1543"/>
      <c r="M7088" s="1543"/>
      <c r="N7088" s="1543"/>
    </row>
    <row r="7089" spans="1:14" ht="25.15" customHeight="1">
      <c r="A7089" s="1544"/>
      <c r="B7089" s="876" t="s">
        <v>3199</v>
      </c>
      <c r="C7089" s="743">
        <v>38</v>
      </c>
      <c r="D7089" s="743"/>
      <c r="E7089" s="379">
        <v>0.5</v>
      </c>
      <c r="F7089" s="379"/>
      <c r="G7089" s="379"/>
      <c r="H7089" s="380">
        <f>C7089*E7089</f>
        <v>19</v>
      </c>
      <c r="I7089" s="1543"/>
      <c r="J7089" s="1543"/>
      <c r="K7089" s="1543"/>
      <c r="L7089" s="1543"/>
      <c r="M7089" s="1543"/>
      <c r="N7089" s="1543"/>
    </row>
    <row r="7090" spans="1:14">
      <c r="A7090" s="1544"/>
      <c r="B7090" s="876" t="s">
        <v>3198</v>
      </c>
      <c r="C7090" s="743">
        <v>26</v>
      </c>
      <c r="D7090" s="743"/>
      <c r="E7090" s="379">
        <v>0.5</v>
      </c>
      <c r="F7090" s="379"/>
      <c r="G7090" s="379"/>
      <c r="H7090" s="380">
        <f>C7090*E7090</f>
        <v>13</v>
      </c>
      <c r="I7090" s="1543"/>
      <c r="J7090" s="1543"/>
      <c r="K7090" s="1543"/>
      <c r="L7090" s="1543"/>
      <c r="M7090" s="1543"/>
      <c r="N7090" s="1543"/>
    </row>
    <row r="7091" spans="1:14">
      <c r="A7091" s="1544"/>
      <c r="B7091" s="876"/>
      <c r="C7091" s="743"/>
      <c r="D7091" s="743"/>
      <c r="E7091" s="379"/>
      <c r="F7091" s="379"/>
      <c r="G7091" s="379"/>
      <c r="H7091" s="380"/>
      <c r="I7091" s="1543"/>
      <c r="J7091" s="1543"/>
      <c r="K7091" s="1543"/>
      <c r="L7091" s="1543"/>
      <c r="M7091" s="1543"/>
      <c r="N7091" s="1543"/>
    </row>
    <row r="7092" spans="1:14">
      <c r="A7092" s="1538" t="s">
        <v>2218</v>
      </c>
      <c r="B7092" s="1538"/>
      <c r="C7092" s="1538"/>
      <c r="D7092" s="1538"/>
      <c r="E7092" s="1538"/>
      <c r="F7092" s="1538"/>
      <c r="G7092" s="1538"/>
      <c r="H7092" s="271">
        <f>SUM(H7084:H7091)</f>
        <v>64</v>
      </c>
      <c r="I7092" s="1543"/>
      <c r="J7092" s="1543"/>
      <c r="K7092" s="1543"/>
      <c r="L7092" s="1543"/>
      <c r="M7092" s="1543"/>
      <c r="N7092" s="1543"/>
    </row>
    <row r="7093" spans="1:14">
      <c r="A7093" s="1538" t="s">
        <v>2219</v>
      </c>
      <c r="B7093" s="1538"/>
      <c r="C7093" s="1538"/>
      <c r="D7093" s="1538"/>
      <c r="E7093" s="1538"/>
      <c r="F7093" s="1538"/>
      <c r="G7093" s="1538"/>
      <c r="H7093" s="271">
        <f>SUM(H7084:H7087)</f>
        <v>32</v>
      </c>
      <c r="I7093" s="1543"/>
      <c r="J7093" s="1543"/>
      <c r="K7093" s="1543"/>
      <c r="L7093" s="1543"/>
      <c r="M7093" s="1543"/>
      <c r="N7093" s="1543"/>
    </row>
    <row r="7094" spans="1:14">
      <c r="A7094" s="1538" t="s">
        <v>2220</v>
      </c>
      <c r="B7094" s="1538"/>
      <c r="C7094" s="1538"/>
      <c r="D7094" s="1538"/>
      <c r="E7094" s="1538"/>
      <c r="F7094" s="1538"/>
      <c r="G7094" s="1538"/>
      <c r="H7094" s="269">
        <f>H7092-H7093</f>
        <v>32</v>
      </c>
      <c r="I7094" s="1543"/>
      <c r="J7094" s="1543"/>
      <c r="K7094" s="1543"/>
      <c r="L7094" s="1543"/>
      <c r="M7094" s="1543"/>
      <c r="N7094" s="1543"/>
    </row>
    <row r="7095" spans="1:14">
      <c r="A7095" s="278"/>
      <c r="B7095" s="278"/>
      <c r="C7095" s="278"/>
      <c r="D7095" s="281"/>
      <c r="E7095" s="1319"/>
      <c r="F7095" s="278"/>
      <c r="G7095" s="278"/>
      <c r="H7095" s="217"/>
      <c r="I7095" s="279"/>
      <c r="J7095" s="279"/>
      <c r="K7095" s="279"/>
      <c r="L7095" s="279"/>
      <c r="M7095" s="279"/>
      <c r="N7095" s="279"/>
    </row>
    <row r="7096" spans="1:14">
      <c r="A7096" s="1114" t="s">
        <v>3609</v>
      </c>
      <c r="B7096" s="1549" t="s">
        <v>3606</v>
      </c>
      <c r="C7096" s="1549"/>
      <c r="D7096" s="1549"/>
      <c r="E7096" s="1549"/>
      <c r="F7096" s="1549"/>
      <c r="G7096" s="1549"/>
      <c r="H7096" s="1549"/>
      <c r="I7096" s="1549"/>
      <c r="J7096" s="1549"/>
      <c r="K7096" s="1549"/>
      <c r="L7096" s="1549"/>
      <c r="M7096" s="1549"/>
      <c r="N7096" s="1549"/>
    </row>
    <row r="7097" spans="1:14">
      <c r="A7097" s="1124" t="s">
        <v>3610</v>
      </c>
      <c r="B7097" s="1539" t="s">
        <v>1713</v>
      </c>
      <c r="C7097" s="1539"/>
      <c r="D7097" s="1539"/>
      <c r="E7097" s="1539"/>
      <c r="F7097" s="1539"/>
      <c r="G7097" s="1539"/>
      <c r="H7097" s="1539"/>
      <c r="I7097" s="1539"/>
      <c r="J7097" s="1539"/>
      <c r="K7097" s="864" t="s">
        <v>3154</v>
      </c>
      <c r="L7097" s="1540">
        <f>'27ª MEDIÇÃO '!F538</f>
        <v>1427</v>
      </c>
      <c r="M7097" s="1540"/>
      <c r="N7097" s="865">
        <f>L7097-H7112</f>
        <v>0</v>
      </c>
    </row>
    <row r="7098" spans="1:14">
      <c r="A7098" s="1541"/>
      <c r="B7098" s="1541"/>
      <c r="C7098" s="366"/>
      <c r="D7098" s="367" t="s">
        <v>2183</v>
      </c>
      <c r="E7098" s="1320" t="s">
        <v>2184</v>
      </c>
      <c r="F7098" s="367" t="s">
        <v>2185</v>
      </c>
      <c r="G7098" s="367" t="s">
        <v>2186</v>
      </c>
      <c r="H7098" s="1542" t="s">
        <v>476</v>
      </c>
      <c r="I7098" s="1543"/>
      <c r="J7098" s="1543"/>
      <c r="K7098" s="1543"/>
      <c r="L7098" s="1543"/>
      <c r="M7098" s="1543"/>
      <c r="N7098" s="1543"/>
    </row>
    <row r="7099" spans="1:14" ht="24">
      <c r="A7099" s="1541"/>
      <c r="B7099" s="1541"/>
      <c r="C7099" s="368" t="s">
        <v>2627</v>
      </c>
      <c r="D7099" s="369" t="s">
        <v>2187</v>
      </c>
      <c r="E7099" s="529" t="s">
        <v>3152</v>
      </c>
      <c r="F7099" s="369" t="s">
        <v>2649</v>
      </c>
      <c r="G7099" s="370" t="s">
        <v>2709</v>
      </c>
      <c r="H7099" s="1542"/>
      <c r="I7099" s="1543"/>
      <c r="J7099" s="1543"/>
      <c r="K7099" s="1543"/>
      <c r="L7099" s="1543"/>
      <c r="M7099" s="1543"/>
      <c r="N7099" s="1543"/>
    </row>
    <row r="7100" spans="1:14">
      <c r="A7100" s="1544" t="s">
        <v>3569</v>
      </c>
      <c r="B7100" s="876"/>
      <c r="C7100" s="743"/>
      <c r="D7100" s="743"/>
      <c r="E7100" s="379"/>
      <c r="F7100" s="379"/>
      <c r="G7100" s="379"/>
      <c r="H7100" s="380"/>
      <c r="I7100" s="1543"/>
      <c r="J7100" s="1543"/>
      <c r="K7100" s="1543"/>
      <c r="L7100" s="1543"/>
      <c r="M7100" s="1543"/>
      <c r="N7100" s="1543"/>
    </row>
    <row r="7101" spans="1:14">
      <c r="A7101" s="1544"/>
      <c r="B7101" s="876" t="s">
        <v>3199</v>
      </c>
      <c r="C7101" s="743">
        <v>191</v>
      </c>
      <c r="D7101" s="743"/>
      <c r="E7101" s="379"/>
      <c r="F7101" s="379"/>
      <c r="G7101" s="379"/>
      <c r="H7101" s="380">
        <f>C7101*E7101</f>
        <v>0</v>
      </c>
      <c r="I7101" s="1543"/>
      <c r="J7101" s="1543"/>
      <c r="K7101" s="1543"/>
      <c r="L7101" s="1543"/>
      <c r="M7101" s="1543"/>
      <c r="N7101" s="1543"/>
    </row>
    <row r="7102" spans="1:14">
      <c r="A7102" s="1544"/>
      <c r="B7102" s="876" t="s">
        <v>3197</v>
      </c>
      <c r="C7102" s="743">
        <v>1196</v>
      </c>
      <c r="D7102" s="743"/>
      <c r="E7102" s="379">
        <v>0.35</v>
      </c>
      <c r="F7102" s="379"/>
      <c r="G7102" s="379"/>
      <c r="H7102" s="380">
        <v>417.1</v>
      </c>
      <c r="I7102" s="1543"/>
      <c r="J7102" s="1543"/>
      <c r="K7102" s="1543"/>
      <c r="L7102" s="1543"/>
      <c r="M7102" s="1543"/>
      <c r="N7102" s="1543"/>
    </row>
    <row r="7103" spans="1:14">
      <c r="A7103" s="1544"/>
      <c r="B7103" s="876" t="s">
        <v>3198</v>
      </c>
      <c r="C7103" s="743">
        <v>40</v>
      </c>
      <c r="D7103" s="743"/>
      <c r="E7103" s="379">
        <v>0.5</v>
      </c>
      <c r="F7103" s="379"/>
      <c r="G7103" s="379"/>
      <c r="H7103" s="380">
        <f>C7103*E7103</f>
        <v>20</v>
      </c>
      <c r="I7103" s="1543"/>
      <c r="J7103" s="1543"/>
      <c r="K7103" s="1543"/>
      <c r="L7103" s="1543"/>
      <c r="M7103" s="1543"/>
      <c r="N7103" s="1543"/>
    </row>
    <row r="7104" spans="1:14">
      <c r="A7104" s="1544" t="s">
        <v>3620</v>
      </c>
      <c r="B7104" s="876"/>
      <c r="C7104" s="743"/>
      <c r="D7104" s="743"/>
      <c r="E7104" s="379"/>
      <c r="F7104" s="379"/>
      <c r="G7104" s="379"/>
      <c r="H7104" s="380"/>
      <c r="I7104" s="1543"/>
      <c r="J7104" s="1543"/>
      <c r="K7104" s="1543"/>
      <c r="L7104" s="1543"/>
      <c r="M7104" s="1543"/>
      <c r="N7104" s="1543"/>
    </row>
    <row r="7105" spans="1:14">
      <c r="A7105" s="1544"/>
      <c r="B7105" s="876" t="s">
        <v>3199</v>
      </c>
      <c r="C7105" s="743">
        <v>191</v>
      </c>
      <c r="D7105" s="743"/>
      <c r="E7105" s="379">
        <v>0.2</v>
      </c>
      <c r="F7105" s="379"/>
      <c r="G7105" s="379"/>
      <c r="H7105" s="380">
        <f>C7105*E7105</f>
        <v>38.200000000000003</v>
      </c>
      <c r="I7105" s="1543"/>
      <c r="J7105" s="1543"/>
      <c r="K7105" s="1543"/>
      <c r="L7105" s="1543"/>
      <c r="M7105" s="1543"/>
      <c r="N7105" s="1543"/>
    </row>
    <row r="7106" spans="1:14">
      <c r="A7106" s="1544"/>
      <c r="B7106" s="876" t="s">
        <v>3197</v>
      </c>
      <c r="C7106" s="743">
        <v>1196</v>
      </c>
      <c r="D7106" s="743"/>
      <c r="E7106" s="379">
        <v>0.15</v>
      </c>
      <c r="F7106" s="379"/>
      <c r="G7106" s="379"/>
      <c r="H7106" s="380">
        <v>180.9</v>
      </c>
      <c r="I7106" s="1543"/>
      <c r="J7106" s="1543"/>
      <c r="K7106" s="1543"/>
      <c r="L7106" s="1543"/>
      <c r="M7106" s="1543"/>
      <c r="N7106" s="1543"/>
    </row>
    <row r="7107" spans="1:14">
      <c r="A7107" s="1544"/>
      <c r="B7107" s="876" t="s">
        <v>3198</v>
      </c>
      <c r="C7107" s="743">
        <v>40</v>
      </c>
      <c r="D7107" s="743"/>
      <c r="E7107" s="379">
        <v>0.5</v>
      </c>
      <c r="F7107" s="379"/>
      <c r="G7107" s="379"/>
      <c r="H7107" s="380">
        <f>C7107*E7107</f>
        <v>20</v>
      </c>
      <c r="I7107" s="1543"/>
      <c r="J7107" s="1543"/>
      <c r="K7107" s="1543"/>
      <c r="L7107" s="1543"/>
      <c r="M7107" s="1543"/>
      <c r="N7107" s="1543"/>
    </row>
    <row r="7108" spans="1:14">
      <c r="A7108" s="1544" t="s">
        <v>4080</v>
      </c>
      <c r="B7108" s="876"/>
      <c r="C7108" s="743"/>
      <c r="D7108" s="743"/>
      <c r="E7108" s="379"/>
      <c r="F7108" s="379"/>
      <c r="G7108" s="379"/>
      <c r="H7108" s="380"/>
      <c r="I7108" s="1543"/>
      <c r="J7108" s="1543"/>
      <c r="K7108" s="1543"/>
      <c r="L7108" s="1543"/>
      <c r="M7108" s="1543"/>
      <c r="N7108" s="1543"/>
    </row>
    <row r="7109" spans="1:14">
      <c r="A7109" s="1544"/>
      <c r="B7109" s="876" t="s">
        <v>3199</v>
      </c>
      <c r="C7109" s="743">
        <v>191</v>
      </c>
      <c r="D7109" s="743"/>
      <c r="E7109" s="379">
        <v>0.8</v>
      </c>
      <c r="F7109" s="379"/>
      <c r="G7109" s="379"/>
      <c r="H7109" s="380">
        <f>C7109*E7109</f>
        <v>152.80000000000001</v>
      </c>
      <c r="I7109" s="1543"/>
      <c r="J7109" s="1543"/>
      <c r="K7109" s="1543"/>
      <c r="L7109" s="1543"/>
      <c r="M7109" s="1543"/>
      <c r="N7109" s="1543"/>
    </row>
    <row r="7110" spans="1:14">
      <c r="A7110" s="1544"/>
      <c r="B7110" s="876" t="s">
        <v>3197</v>
      </c>
      <c r="C7110" s="743">
        <v>1196</v>
      </c>
      <c r="D7110" s="743"/>
      <c r="E7110" s="379">
        <v>0.5</v>
      </c>
      <c r="F7110" s="379"/>
      <c r="G7110" s="379"/>
      <c r="H7110" s="380">
        <f>C7110*E7110</f>
        <v>598</v>
      </c>
      <c r="I7110" s="1543"/>
      <c r="J7110" s="1543"/>
      <c r="K7110" s="1543"/>
      <c r="L7110" s="1543"/>
      <c r="M7110" s="1543"/>
      <c r="N7110" s="1543"/>
    </row>
    <row r="7111" spans="1:14">
      <c r="A7111" s="1544"/>
      <c r="B7111" s="876"/>
      <c r="C7111" s="743"/>
      <c r="D7111" s="743"/>
      <c r="E7111" s="379"/>
      <c r="F7111" s="379"/>
      <c r="G7111" s="379"/>
      <c r="H7111" s="380">
        <f>C7111*E7111</f>
        <v>0</v>
      </c>
      <c r="I7111" s="1543"/>
      <c r="J7111" s="1543"/>
      <c r="K7111" s="1543"/>
      <c r="L7111" s="1543"/>
      <c r="M7111" s="1543"/>
      <c r="N7111" s="1543"/>
    </row>
    <row r="7112" spans="1:14">
      <c r="A7112" s="1538" t="s">
        <v>2218</v>
      </c>
      <c r="B7112" s="1538"/>
      <c r="C7112" s="1538"/>
      <c r="D7112" s="1538"/>
      <c r="E7112" s="1538"/>
      <c r="F7112" s="1538"/>
      <c r="G7112" s="1538"/>
      <c r="H7112" s="271">
        <f>SUM(H7100:H7111)</f>
        <v>1427</v>
      </c>
      <c r="I7112" s="1543"/>
      <c r="J7112" s="1543"/>
      <c r="K7112" s="1543"/>
      <c r="L7112" s="1543"/>
      <c r="M7112" s="1543"/>
      <c r="N7112" s="1543"/>
    </row>
    <row r="7113" spans="1:14">
      <c r="A7113" s="1538" t="s">
        <v>2219</v>
      </c>
      <c r="B7113" s="1538"/>
      <c r="C7113" s="1538"/>
      <c r="D7113" s="1538"/>
      <c r="E7113" s="1538"/>
      <c r="F7113" s="1538"/>
      <c r="G7113" s="1538"/>
      <c r="H7113" s="271">
        <f>SUM(H7100:H7108)</f>
        <v>676.2</v>
      </c>
      <c r="I7113" s="1543"/>
      <c r="J7113" s="1543"/>
      <c r="K7113" s="1543"/>
      <c r="L7113" s="1543"/>
      <c r="M7113" s="1543"/>
      <c r="N7113" s="1543"/>
    </row>
    <row r="7114" spans="1:14">
      <c r="A7114" s="1538" t="s">
        <v>2220</v>
      </c>
      <c r="B7114" s="1538"/>
      <c r="C7114" s="1538"/>
      <c r="D7114" s="1538"/>
      <c r="E7114" s="1538"/>
      <c r="F7114" s="1538"/>
      <c r="G7114" s="1538"/>
      <c r="H7114" s="269">
        <f>H7112-H7113</f>
        <v>750.8</v>
      </c>
      <c r="I7114" s="1543"/>
      <c r="J7114" s="1543"/>
      <c r="K7114" s="1543"/>
      <c r="L7114" s="1543"/>
      <c r="M7114" s="1543"/>
      <c r="N7114" s="1543"/>
    </row>
    <row r="7115" spans="1:14">
      <c r="A7115" s="278"/>
      <c r="B7115" s="278"/>
      <c r="C7115" s="278"/>
      <c r="D7115" s="281"/>
      <c r="E7115" s="1319"/>
      <c r="F7115" s="278"/>
      <c r="G7115" s="278"/>
      <c r="H7115" s="217"/>
      <c r="I7115" s="279"/>
      <c r="J7115" s="279"/>
      <c r="K7115" s="279"/>
      <c r="L7115" s="279"/>
      <c r="M7115" s="279"/>
      <c r="N7115" s="279"/>
    </row>
    <row r="7116" spans="1:14">
      <c r="A7116" s="1124" t="s">
        <v>3919</v>
      </c>
      <c r="B7116" s="1539" t="s">
        <v>1794</v>
      </c>
      <c r="C7116" s="1539"/>
      <c r="D7116" s="1539"/>
      <c r="E7116" s="1539"/>
      <c r="F7116" s="1539"/>
      <c r="G7116" s="1539"/>
      <c r="H7116" s="1539"/>
      <c r="I7116" s="1539"/>
      <c r="J7116" s="1539"/>
      <c r="K7116" s="864" t="s">
        <v>3154</v>
      </c>
      <c r="L7116" s="1540">
        <v>427</v>
      </c>
      <c r="M7116" s="1540"/>
      <c r="N7116" s="865">
        <f>L7116-H7123</f>
        <v>0</v>
      </c>
    </row>
    <row r="7117" spans="1:14">
      <c r="A7117" s="1541"/>
      <c r="B7117" s="1541"/>
      <c r="C7117" s="366"/>
      <c r="D7117" s="367" t="s">
        <v>2183</v>
      </c>
      <c r="E7117" s="1320" t="s">
        <v>2184</v>
      </c>
      <c r="F7117" s="367" t="s">
        <v>2185</v>
      </c>
      <c r="G7117" s="367" t="s">
        <v>2186</v>
      </c>
      <c r="H7117" s="1542" t="s">
        <v>476</v>
      </c>
      <c r="I7117" s="1543"/>
      <c r="J7117" s="1543"/>
      <c r="K7117" s="1543"/>
      <c r="L7117" s="1543"/>
      <c r="M7117" s="1543"/>
      <c r="N7117" s="1543"/>
    </row>
    <row r="7118" spans="1:14" ht="25.15" customHeight="1">
      <c r="A7118" s="1541"/>
      <c r="B7118" s="1541"/>
      <c r="C7118" s="368" t="s">
        <v>2627</v>
      </c>
      <c r="D7118" s="369" t="s">
        <v>2187</v>
      </c>
      <c r="E7118" s="529" t="s">
        <v>3152</v>
      </c>
      <c r="F7118" s="369" t="s">
        <v>2649</v>
      </c>
      <c r="G7118" s="370" t="s">
        <v>2709</v>
      </c>
      <c r="H7118" s="1542"/>
      <c r="I7118" s="1543"/>
      <c r="J7118" s="1543"/>
      <c r="K7118" s="1543"/>
      <c r="L7118" s="1543"/>
      <c r="M7118" s="1543"/>
      <c r="N7118" s="1543"/>
    </row>
    <row r="7119" spans="1:14">
      <c r="A7119" s="1544" t="s">
        <v>3892</v>
      </c>
      <c r="B7119" s="876"/>
      <c r="C7119" s="743"/>
      <c r="D7119" s="743"/>
      <c r="E7119" s="379"/>
      <c r="F7119" s="379"/>
      <c r="G7119" s="379"/>
      <c r="H7119" s="380"/>
      <c r="I7119" s="1543"/>
      <c r="J7119" s="1543"/>
      <c r="K7119" s="1543"/>
      <c r="L7119" s="1543"/>
      <c r="M7119" s="1543"/>
      <c r="N7119" s="1543"/>
    </row>
    <row r="7120" spans="1:14">
      <c r="A7120" s="1544"/>
      <c r="B7120" s="876"/>
      <c r="C7120" s="743"/>
      <c r="D7120" s="743"/>
      <c r="E7120" s="379"/>
      <c r="F7120" s="379"/>
      <c r="G7120" s="379"/>
      <c r="H7120" s="380">
        <f>C7120*E7120</f>
        <v>0</v>
      </c>
      <c r="I7120" s="1543"/>
      <c r="J7120" s="1543"/>
      <c r="K7120" s="1543"/>
      <c r="L7120" s="1543"/>
      <c r="M7120" s="1543"/>
      <c r="N7120" s="1543"/>
    </row>
    <row r="7121" spans="1:14">
      <c r="A7121" s="1544"/>
      <c r="B7121" s="876" t="s">
        <v>3197</v>
      </c>
      <c r="C7121" s="743">
        <v>427</v>
      </c>
      <c r="D7121" s="743"/>
      <c r="E7121" s="379">
        <v>1</v>
      </c>
      <c r="F7121" s="379"/>
      <c r="G7121" s="379"/>
      <c r="H7121" s="380">
        <v>427</v>
      </c>
      <c r="I7121" s="1543"/>
      <c r="J7121" s="1543"/>
      <c r="K7121" s="1543"/>
      <c r="L7121" s="1543"/>
      <c r="M7121" s="1543"/>
      <c r="N7121" s="1543"/>
    </row>
    <row r="7122" spans="1:14">
      <c r="A7122" s="1544"/>
      <c r="B7122" s="876"/>
      <c r="C7122" s="743"/>
      <c r="D7122" s="743"/>
      <c r="E7122" s="379"/>
      <c r="F7122" s="379"/>
      <c r="G7122" s="379"/>
      <c r="H7122" s="380">
        <f>C7122*E7122</f>
        <v>0</v>
      </c>
      <c r="I7122" s="1543"/>
      <c r="J7122" s="1543"/>
      <c r="K7122" s="1543"/>
      <c r="L7122" s="1543"/>
      <c r="M7122" s="1543"/>
      <c r="N7122" s="1543"/>
    </row>
    <row r="7123" spans="1:14">
      <c r="A7123" s="1538" t="s">
        <v>2218</v>
      </c>
      <c r="B7123" s="1538"/>
      <c r="C7123" s="1538"/>
      <c r="D7123" s="1538"/>
      <c r="E7123" s="1538"/>
      <c r="F7123" s="1538"/>
      <c r="G7123" s="1538"/>
      <c r="H7123" s="271">
        <f>SUM(H7119:H7122)</f>
        <v>427</v>
      </c>
      <c r="I7123" s="1543"/>
      <c r="J7123" s="1543"/>
      <c r="K7123" s="1543"/>
      <c r="L7123" s="1543"/>
      <c r="M7123" s="1543"/>
      <c r="N7123" s="1543"/>
    </row>
    <row r="7124" spans="1:14">
      <c r="A7124" s="1538" t="s">
        <v>2219</v>
      </c>
      <c r="B7124" s="1538"/>
      <c r="C7124" s="1538"/>
      <c r="D7124" s="1538"/>
      <c r="E7124" s="1538"/>
      <c r="F7124" s="1538"/>
      <c r="G7124" s="1538"/>
      <c r="H7124" s="271">
        <v>0</v>
      </c>
      <c r="I7124" s="1543"/>
      <c r="J7124" s="1543"/>
      <c r="K7124" s="1543"/>
      <c r="L7124" s="1543"/>
      <c r="M7124" s="1543"/>
      <c r="N7124" s="1543"/>
    </row>
    <row r="7125" spans="1:14">
      <c r="A7125" s="1538" t="s">
        <v>2220</v>
      </c>
      <c r="B7125" s="1538"/>
      <c r="C7125" s="1538"/>
      <c r="D7125" s="1538"/>
      <c r="E7125" s="1538"/>
      <c r="F7125" s="1538"/>
      <c r="G7125" s="1538"/>
      <c r="H7125" s="269">
        <f>H7123-H7124</f>
        <v>427</v>
      </c>
      <c r="I7125" s="1543"/>
      <c r="J7125" s="1543"/>
      <c r="K7125" s="1543"/>
      <c r="L7125" s="1543"/>
      <c r="M7125" s="1543"/>
      <c r="N7125" s="1543"/>
    </row>
    <row r="7126" spans="1:14">
      <c r="A7126" s="278"/>
      <c r="B7126" s="278"/>
      <c r="C7126" s="278"/>
      <c r="D7126" s="281"/>
      <c r="E7126" s="1319"/>
      <c r="F7126" s="278"/>
      <c r="G7126" s="278"/>
      <c r="H7126" s="217"/>
      <c r="I7126" s="279"/>
      <c r="J7126" s="279"/>
      <c r="K7126" s="279"/>
      <c r="L7126" s="279"/>
      <c r="M7126" s="279"/>
      <c r="N7126" s="279"/>
    </row>
    <row r="7127" spans="1:14">
      <c r="A7127" s="1124" t="s">
        <v>3920</v>
      </c>
      <c r="B7127" s="1539" t="s">
        <v>1797</v>
      </c>
      <c r="C7127" s="1539"/>
      <c r="D7127" s="1539"/>
      <c r="E7127" s="1539"/>
      <c r="F7127" s="1539"/>
      <c r="G7127" s="1539"/>
      <c r="H7127" s="1539"/>
      <c r="I7127" s="1539"/>
      <c r="J7127" s="1539"/>
      <c r="K7127" s="864" t="s">
        <v>3154</v>
      </c>
      <c r="L7127" s="1540">
        <v>143</v>
      </c>
      <c r="M7127" s="1540"/>
      <c r="N7127" s="865">
        <f>L7127-H7133</f>
        <v>0</v>
      </c>
    </row>
    <row r="7128" spans="1:14">
      <c r="A7128" s="1541"/>
      <c r="B7128" s="1541"/>
      <c r="C7128" s="366"/>
      <c r="D7128" s="367" t="s">
        <v>2183</v>
      </c>
      <c r="E7128" s="1320" t="s">
        <v>2184</v>
      </c>
      <c r="F7128" s="367" t="s">
        <v>2185</v>
      </c>
      <c r="G7128" s="367" t="s">
        <v>2186</v>
      </c>
      <c r="H7128" s="1542" t="s">
        <v>476</v>
      </c>
      <c r="I7128" s="1543"/>
      <c r="J7128" s="1543"/>
      <c r="K7128" s="1543"/>
      <c r="L7128" s="1543"/>
      <c r="M7128" s="1543"/>
      <c r="N7128" s="1543"/>
    </row>
    <row r="7129" spans="1:14" ht="25.15" customHeight="1">
      <c r="A7129" s="1541"/>
      <c r="B7129" s="1541"/>
      <c r="C7129" s="368" t="s">
        <v>2627</v>
      </c>
      <c r="D7129" s="369" t="s">
        <v>2187</v>
      </c>
      <c r="E7129" s="529" t="s">
        <v>3152</v>
      </c>
      <c r="F7129" s="369" t="s">
        <v>2649</v>
      </c>
      <c r="G7129" s="370" t="s">
        <v>2709</v>
      </c>
      <c r="H7129" s="1542"/>
      <c r="I7129" s="1543"/>
      <c r="J7129" s="1543"/>
      <c r="K7129" s="1543"/>
      <c r="L7129" s="1543"/>
      <c r="M7129" s="1543"/>
      <c r="N7129" s="1543"/>
    </row>
    <row r="7130" spans="1:14">
      <c r="A7130" s="1544" t="s">
        <v>3892</v>
      </c>
      <c r="B7130" s="876"/>
      <c r="C7130" s="743"/>
      <c r="D7130" s="743"/>
      <c r="E7130" s="379"/>
      <c r="F7130" s="379"/>
      <c r="G7130" s="379"/>
      <c r="H7130" s="380"/>
      <c r="I7130" s="1543"/>
      <c r="J7130" s="1543"/>
      <c r="K7130" s="1543"/>
      <c r="L7130" s="1543"/>
      <c r="M7130" s="1543"/>
      <c r="N7130" s="1543"/>
    </row>
    <row r="7131" spans="1:14">
      <c r="A7131" s="1544"/>
      <c r="B7131" s="876" t="s">
        <v>3197</v>
      </c>
      <c r="C7131" s="743">
        <v>66</v>
      </c>
      <c r="D7131" s="743"/>
      <c r="E7131" s="379">
        <v>1</v>
      </c>
      <c r="F7131" s="379"/>
      <c r="G7131" s="379"/>
      <c r="H7131" s="380">
        <v>66</v>
      </c>
      <c r="I7131" s="1543"/>
      <c r="J7131" s="1543"/>
      <c r="K7131" s="1543"/>
      <c r="L7131" s="1543"/>
      <c r="M7131" s="1543"/>
      <c r="N7131" s="1543"/>
    </row>
    <row r="7132" spans="1:14">
      <c r="A7132" s="1544"/>
      <c r="B7132" s="876" t="s">
        <v>3198</v>
      </c>
      <c r="C7132" s="743">
        <v>77</v>
      </c>
      <c r="D7132" s="743"/>
      <c r="E7132" s="379">
        <v>1</v>
      </c>
      <c r="F7132" s="379"/>
      <c r="G7132" s="379"/>
      <c r="H7132" s="380">
        <v>77</v>
      </c>
      <c r="I7132" s="1543"/>
      <c r="J7132" s="1543"/>
      <c r="K7132" s="1543"/>
      <c r="L7132" s="1543"/>
      <c r="M7132" s="1543"/>
      <c r="N7132" s="1543"/>
    </row>
    <row r="7133" spans="1:14">
      <c r="A7133" s="1538" t="s">
        <v>2218</v>
      </c>
      <c r="B7133" s="1538"/>
      <c r="C7133" s="1538"/>
      <c r="D7133" s="1538"/>
      <c r="E7133" s="1538"/>
      <c r="F7133" s="1538"/>
      <c r="G7133" s="1538"/>
      <c r="H7133" s="271">
        <f>SUM(H7130:H7132)</f>
        <v>143</v>
      </c>
      <c r="I7133" s="1543"/>
      <c r="J7133" s="1543"/>
      <c r="K7133" s="1543"/>
      <c r="L7133" s="1543"/>
      <c r="M7133" s="1543"/>
      <c r="N7133" s="1543"/>
    </row>
    <row r="7134" spans="1:14">
      <c r="A7134" s="1538" t="s">
        <v>2219</v>
      </c>
      <c r="B7134" s="1538"/>
      <c r="C7134" s="1538"/>
      <c r="D7134" s="1538"/>
      <c r="E7134" s="1538"/>
      <c r="F7134" s="1538"/>
      <c r="G7134" s="1538"/>
      <c r="H7134" s="271">
        <v>0</v>
      </c>
      <c r="I7134" s="1543"/>
      <c r="J7134" s="1543"/>
      <c r="K7134" s="1543"/>
      <c r="L7134" s="1543"/>
      <c r="M7134" s="1543"/>
      <c r="N7134" s="1543"/>
    </row>
    <row r="7135" spans="1:14">
      <c r="A7135" s="1538" t="s">
        <v>2220</v>
      </c>
      <c r="B7135" s="1538"/>
      <c r="C7135" s="1538"/>
      <c r="D7135" s="1538"/>
      <c r="E7135" s="1538"/>
      <c r="F7135" s="1538"/>
      <c r="G7135" s="1538"/>
      <c r="H7135" s="269">
        <f>H7133-H7134</f>
        <v>143</v>
      </c>
      <c r="I7135" s="1543"/>
      <c r="J7135" s="1543"/>
      <c r="K7135" s="1543"/>
      <c r="L7135" s="1543"/>
      <c r="M7135" s="1543"/>
      <c r="N7135" s="1543"/>
    </row>
    <row r="7136" spans="1:14">
      <c r="A7136" s="278"/>
      <c r="B7136" s="278"/>
      <c r="C7136" s="278"/>
      <c r="D7136" s="281"/>
      <c r="E7136" s="1319"/>
      <c r="F7136" s="278"/>
      <c r="G7136" s="278"/>
      <c r="H7136" s="217"/>
      <c r="I7136" s="279"/>
      <c r="J7136" s="279"/>
      <c r="K7136" s="279"/>
      <c r="L7136" s="279"/>
      <c r="M7136" s="279"/>
      <c r="N7136" s="279"/>
    </row>
    <row r="7137" spans="1:14">
      <c r="A7137" s="1124" t="s">
        <v>4151</v>
      </c>
      <c r="B7137" s="1539" t="str">
        <f>'27ª MEDIÇÃO '!C541</f>
        <v>Cabo 2x22AWG uso em sistema de travamento de fechaduras</v>
      </c>
      <c r="C7137" s="1539"/>
      <c r="D7137" s="1539"/>
      <c r="E7137" s="1539"/>
      <c r="F7137" s="1539"/>
      <c r="G7137" s="1539"/>
      <c r="H7137" s="1539"/>
      <c r="I7137" s="1539"/>
      <c r="J7137" s="1539"/>
      <c r="K7137" s="864" t="s">
        <v>3154</v>
      </c>
      <c r="L7137" s="1540">
        <f>'27ª MEDIÇÃO '!F541</f>
        <v>45</v>
      </c>
      <c r="M7137" s="1540"/>
      <c r="N7137" s="865">
        <f>L7137-H7143</f>
        <v>0</v>
      </c>
    </row>
    <row r="7138" spans="1:14">
      <c r="A7138" s="1541"/>
      <c r="B7138" s="1541"/>
      <c r="C7138" s="366"/>
      <c r="D7138" s="367" t="s">
        <v>2183</v>
      </c>
      <c r="E7138" s="1320" t="s">
        <v>2184</v>
      </c>
      <c r="F7138" s="367" t="s">
        <v>2185</v>
      </c>
      <c r="G7138" s="367" t="s">
        <v>2186</v>
      </c>
      <c r="H7138" s="1542" t="s">
        <v>476</v>
      </c>
      <c r="I7138" s="1543"/>
      <c r="J7138" s="1543"/>
      <c r="K7138" s="1543"/>
      <c r="L7138" s="1543"/>
      <c r="M7138" s="1543"/>
      <c r="N7138" s="1543"/>
    </row>
    <row r="7139" spans="1:14" ht="25.15" customHeight="1">
      <c r="A7139" s="1541"/>
      <c r="B7139" s="1541"/>
      <c r="C7139" s="368" t="s">
        <v>2627</v>
      </c>
      <c r="D7139" s="369" t="s">
        <v>2187</v>
      </c>
      <c r="E7139" s="529" t="s">
        <v>3152</v>
      </c>
      <c r="F7139" s="369" t="s">
        <v>2649</v>
      </c>
      <c r="G7139" s="370" t="s">
        <v>2709</v>
      </c>
      <c r="H7139" s="1542"/>
      <c r="I7139" s="1543"/>
      <c r="J7139" s="1543"/>
      <c r="K7139" s="1543"/>
      <c r="L7139" s="1543"/>
      <c r="M7139" s="1543"/>
      <c r="N7139" s="1543"/>
    </row>
    <row r="7140" spans="1:14">
      <c r="A7140" s="1544" t="s">
        <v>4143</v>
      </c>
      <c r="B7140" s="876"/>
      <c r="C7140" s="743"/>
      <c r="D7140" s="743"/>
      <c r="E7140" s="379"/>
      <c r="F7140" s="379"/>
      <c r="G7140" s="379"/>
      <c r="H7140" s="380"/>
      <c r="I7140" s="1543"/>
      <c r="J7140" s="1543"/>
      <c r="K7140" s="1543"/>
      <c r="L7140" s="1543"/>
      <c r="M7140" s="1543"/>
      <c r="N7140" s="1543"/>
    </row>
    <row r="7141" spans="1:14">
      <c r="A7141" s="1544"/>
      <c r="B7141" s="876" t="s">
        <v>3965</v>
      </c>
      <c r="C7141" s="743">
        <v>45</v>
      </c>
      <c r="D7141" s="743"/>
      <c r="E7141" s="379"/>
      <c r="F7141" s="379"/>
      <c r="G7141" s="379"/>
      <c r="H7141" s="380">
        <f>C7141</f>
        <v>45</v>
      </c>
      <c r="I7141" s="1543"/>
      <c r="J7141" s="1543"/>
      <c r="K7141" s="1543"/>
      <c r="L7141" s="1543"/>
      <c r="M7141" s="1543"/>
      <c r="N7141" s="1543"/>
    </row>
    <row r="7142" spans="1:14">
      <c r="A7142" s="1544"/>
      <c r="B7142" s="876"/>
      <c r="C7142" s="743"/>
      <c r="D7142" s="743"/>
      <c r="E7142" s="379"/>
      <c r="F7142" s="379"/>
      <c r="G7142" s="379"/>
      <c r="H7142" s="380"/>
      <c r="I7142" s="1543"/>
      <c r="J7142" s="1543"/>
      <c r="K7142" s="1543"/>
      <c r="L7142" s="1543"/>
      <c r="M7142" s="1543"/>
      <c r="N7142" s="1543"/>
    </row>
    <row r="7143" spans="1:14">
      <c r="A7143" s="1538" t="s">
        <v>2218</v>
      </c>
      <c r="B7143" s="1538"/>
      <c r="C7143" s="1538"/>
      <c r="D7143" s="1538"/>
      <c r="E7143" s="1538"/>
      <c r="F7143" s="1538"/>
      <c r="G7143" s="1538"/>
      <c r="H7143" s="271">
        <f>SUM(H7140:H7142)</f>
        <v>45</v>
      </c>
      <c r="I7143" s="1543"/>
      <c r="J7143" s="1543"/>
      <c r="K7143" s="1543"/>
      <c r="L7143" s="1543"/>
      <c r="M7143" s="1543"/>
      <c r="N7143" s="1543"/>
    </row>
    <row r="7144" spans="1:14">
      <c r="A7144" s="1538" t="s">
        <v>2219</v>
      </c>
      <c r="B7144" s="1538"/>
      <c r="C7144" s="1538"/>
      <c r="D7144" s="1538"/>
      <c r="E7144" s="1538"/>
      <c r="F7144" s="1538"/>
      <c r="G7144" s="1538"/>
      <c r="H7144" s="271">
        <v>0</v>
      </c>
      <c r="I7144" s="1543"/>
      <c r="J7144" s="1543"/>
      <c r="K7144" s="1543"/>
      <c r="L7144" s="1543"/>
      <c r="M7144" s="1543"/>
      <c r="N7144" s="1543"/>
    </row>
    <row r="7145" spans="1:14">
      <c r="A7145" s="1538" t="s">
        <v>2220</v>
      </c>
      <c r="B7145" s="1538"/>
      <c r="C7145" s="1538"/>
      <c r="D7145" s="1538"/>
      <c r="E7145" s="1538"/>
      <c r="F7145" s="1538"/>
      <c r="G7145" s="1538"/>
      <c r="H7145" s="269">
        <f>H7143-H7144</f>
        <v>45</v>
      </c>
      <c r="I7145" s="1543"/>
      <c r="J7145" s="1543"/>
      <c r="K7145" s="1543"/>
      <c r="L7145" s="1543"/>
      <c r="M7145" s="1543"/>
      <c r="N7145" s="1543"/>
    </row>
    <row r="7146" spans="1:14">
      <c r="A7146" s="278"/>
      <c r="B7146" s="278"/>
      <c r="C7146" s="278"/>
      <c r="D7146" s="281"/>
      <c r="E7146" s="1319"/>
      <c r="F7146" s="278"/>
      <c r="G7146" s="278"/>
      <c r="H7146" s="217"/>
      <c r="I7146" s="279"/>
      <c r="J7146" s="279"/>
      <c r="K7146" s="279"/>
      <c r="L7146" s="279"/>
      <c r="M7146" s="279"/>
      <c r="N7146" s="279"/>
    </row>
    <row r="7147" spans="1:14">
      <c r="A7147" s="1124" t="s">
        <v>4077</v>
      </c>
      <c r="B7147" s="1539" t="s">
        <v>1721</v>
      </c>
      <c r="C7147" s="1539"/>
      <c r="D7147" s="1539"/>
      <c r="E7147" s="1539"/>
      <c r="F7147" s="1539"/>
      <c r="G7147" s="1539"/>
      <c r="H7147" s="1539"/>
      <c r="I7147" s="1539"/>
      <c r="J7147" s="1539"/>
      <c r="K7147" s="864" t="s">
        <v>3154</v>
      </c>
      <c r="L7147" s="1540">
        <v>18</v>
      </c>
      <c r="M7147" s="1540"/>
      <c r="N7147" s="865">
        <f>L7147-H7153</f>
        <v>0</v>
      </c>
    </row>
    <row r="7148" spans="1:14">
      <c r="A7148" s="1541"/>
      <c r="B7148" s="1541"/>
      <c r="C7148" s="366"/>
      <c r="D7148" s="367" t="s">
        <v>2183</v>
      </c>
      <c r="E7148" s="1320" t="s">
        <v>2184</v>
      </c>
      <c r="F7148" s="367" t="s">
        <v>2185</v>
      </c>
      <c r="G7148" s="367" t="s">
        <v>2186</v>
      </c>
      <c r="H7148" s="1542" t="s">
        <v>476</v>
      </c>
      <c r="I7148" s="1543"/>
      <c r="J7148" s="1543"/>
      <c r="K7148" s="1543"/>
      <c r="L7148" s="1543"/>
      <c r="M7148" s="1543"/>
      <c r="N7148" s="1543"/>
    </row>
    <row r="7149" spans="1:14" ht="25.15" customHeight="1">
      <c r="A7149" s="1541"/>
      <c r="B7149" s="1541"/>
      <c r="C7149" s="368" t="s">
        <v>2627</v>
      </c>
      <c r="D7149" s="369" t="s">
        <v>2187</v>
      </c>
      <c r="E7149" s="529" t="s">
        <v>3152</v>
      </c>
      <c r="F7149" s="369" t="s">
        <v>2649</v>
      </c>
      <c r="G7149" s="370" t="s">
        <v>2709</v>
      </c>
      <c r="H7149" s="1542"/>
      <c r="I7149" s="1543"/>
      <c r="J7149" s="1543"/>
      <c r="K7149" s="1543"/>
      <c r="L7149" s="1543"/>
      <c r="M7149" s="1543"/>
      <c r="N7149" s="1543"/>
    </row>
    <row r="7150" spans="1:14">
      <c r="A7150" s="1544" t="s">
        <v>4003</v>
      </c>
      <c r="B7150" s="876"/>
      <c r="C7150" s="743"/>
      <c r="D7150" s="743"/>
      <c r="E7150" s="379"/>
      <c r="F7150" s="379"/>
      <c r="G7150" s="379"/>
      <c r="H7150" s="380"/>
      <c r="I7150" s="1543"/>
      <c r="J7150" s="1543"/>
      <c r="K7150" s="1543"/>
      <c r="L7150" s="1543"/>
      <c r="M7150" s="1543"/>
      <c r="N7150" s="1543"/>
    </row>
    <row r="7151" spans="1:14">
      <c r="A7151" s="1544"/>
      <c r="B7151" s="876" t="s">
        <v>3197</v>
      </c>
      <c r="C7151" s="743">
        <v>8</v>
      </c>
      <c r="D7151" s="743"/>
      <c r="E7151" s="379">
        <v>1</v>
      </c>
      <c r="F7151" s="379"/>
      <c r="G7151" s="379"/>
      <c r="H7151" s="380">
        <v>8</v>
      </c>
      <c r="I7151" s="1543"/>
      <c r="J7151" s="1543"/>
      <c r="K7151" s="1543"/>
      <c r="L7151" s="1543"/>
      <c r="M7151" s="1543"/>
      <c r="N7151" s="1543"/>
    </row>
    <row r="7152" spans="1:14">
      <c r="A7152" s="1544"/>
      <c r="B7152" s="876" t="s">
        <v>3198</v>
      </c>
      <c r="C7152" s="743">
        <v>10</v>
      </c>
      <c r="D7152" s="743"/>
      <c r="E7152" s="379">
        <v>1</v>
      </c>
      <c r="F7152" s="379"/>
      <c r="G7152" s="379"/>
      <c r="H7152" s="380">
        <v>10</v>
      </c>
      <c r="I7152" s="1543"/>
      <c r="J7152" s="1543"/>
      <c r="K7152" s="1543"/>
      <c r="L7152" s="1543"/>
      <c r="M7152" s="1543"/>
      <c r="N7152" s="1543"/>
    </row>
    <row r="7153" spans="1:14">
      <c r="A7153" s="1538" t="s">
        <v>2218</v>
      </c>
      <c r="B7153" s="1538"/>
      <c r="C7153" s="1538"/>
      <c r="D7153" s="1538"/>
      <c r="E7153" s="1538"/>
      <c r="F7153" s="1538"/>
      <c r="G7153" s="1538"/>
      <c r="H7153" s="271">
        <f>SUM(H7150:H7152)</f>
        <v>18</v>
      </c>
      <c r="I7153" s="1543"/>
      <c r="J7153" s="1543"/>
      <c r="K7153" s="1543"/>
      <c r="L7153" s="1543"/>
      <c r="M7153" s="1543"/>
      <c r="N7153" s="1543"/>
    </row>
    <row r="7154" spans="1:14">
      <c r="A7154" s="1538" t="s">
        <v>2219</v>
      </c>
      <c r="B7154" s="1538"/>
      <c r="C7154" s="1538"/>
      <c r="D7154" s="1538"/>
      <c r="E7154" s="1538"/>
      <c r="F7154" s="1538"/>
      <c r="G7154" s="1538"/>
      <c r="H7154" s="271">
        <v>0</v>
      </c>
      <c r="I7154" s="1543"/>
      <c r="J7154" s="1543"/>
      <c r="K7154" s="1543"/>
      <c r="L7154" s="1543"/>
      <c r="M7154" s="1543"/>
      <c r="N7154" s="1543"/>
    </row>
    <row r="7155" spans="1:14">
      <c r="A7155" s="1538" t="s">
        <v>2220</v>
      </c>
      <c r="B7155" s="1538"/>
      <c r="C7155" s="1538"/>
      <c r="D7155" s="1538"/>
      <c r="E7155" s="1538"/>
      <c r="F7155" s="1538"/>
      <c r="G7155" s="1538"/>
      <c r="H7155" s="269">
        <f>H7153-H7154</f>
        <v>18</v>
      </c>
      <c r="I7155" s="1543"/>
      <c r="J7155" s="1543"/>
      <c r="K7155" s="1543"/>
      <c r="L7155" s="1543"/>
      <c r="M7155" s="1543"/>
      <c r="N7155" s="1543"/>
    </row>
    <row r="7156" spans="1:14">
      <c r="A7156" s="278"/>
      <c r="B7156" s="278"/>
      <c r="C7156" s="278"/>
      <c r="D7156" s="281"/>
      <c r="E7156" s="1319"/>
      <c r="F7156" s="278"/>
      <c r="G7156" s="278"/>
      <c r="H7156" s="217"/>
      <c r="I7156" s="279"/>
      <c r="J7156" s="279"/>
      <c r="K7156" s="279"/>
      <c r="L7156" s="279"/>
      <c r="M7156" s="279"/>
      <c r="N7156" s="279"/>
    </row>
    <row r="7157" spans="1:14">
      <c r="A7157" s="1124" t="s">
        <v>4078</v>
      </c>
      <c r="B7157" s="1539" t="s">
        <v>1806</v>
      </c>
      <c r="C7157" s="1539"/>
      <c r="D7157" s="1539"/>
      <c r="E7157" s="1539"/>
      <c r="F7157" s="1539"/>
      <c r="G7157" s="1539"/>
      <c r="H7157" s="1539"/>
      <c r="I7157" s="1539"/>
      <c r="J7157" s="1539"/>
      <c r="K7157" s="864" t="s">
        <v>3154</v>
      </c>
      <c r="L7157" s="1540">
        <v>3</v>
      </c>
      <c r="M7157" s="1540"/>
      <c r="N7157" s="865">
        <f>L7157-H7163</f>
        <v>0</v>
      </c>
    </row>
    <row r="7158" spans="1:14">
      <c r="A7158" s="1541"/>
      <c r="B7158" s="1541"/>
      <c r="C7158" s="366"/>
      <c r="D7158" s="367" t="s">
        <v>2183</v>
      </c>
      <c r="E7158" s="1320" t="s">
        <v>2184</v>
      </c>
      <c r="F7158" s="367" t="s">
        <v>2185</v>
      </c>
      <c r="G7158" s="367" t="s">
        <v>2186</v>
      </c>
      <c r="H7158" s="1542" t="s">
        <v>476</v>
      </c>
      <c r="I7158" s="1543"/>
      <c r="J7158" s="1543"/>
      <c r="K7158" s="1543"/>
      <c r="L7158" s="1543"/>
      <c r="M7158" s="1543"/>
      <c r="N7158" s="1543"/>
    </row>
    <row r="7159" spans="1:14" ht="25.15" customHeight="1">
      <c r="A7159" s="1541"/>
      <c r="B7159" s="1541"/>
      <c r="C7159" s="368" t="s">
        <v>2627</v>
      </c>
      <c r="D7159" s="369" t="s">
        <v>2187</v>
      </c>
      <c r="E7159" s="529" t="s">
        <v>3152</v>
      </c>
      <c r="F7159" s="369" t="s">
        <v>2649</v>
      </c>
      <c r="G7159" s="370" t="s">
        <v>2709</v>
      </c>
      <c r="H7159" s="1542"/>
      <c r="I7159" s="1543"/>
      <c r="J7159" s="1543"/>
      <c r="K7159" s="1543"/>
      <c r="L7159" s="1543"/>
      <c r="M7159" s="1543"/>
      <c r="N7159" s="1543"/>
    </row>
    <row r="7160" spans="1:14">
      <c r="A7160" s="1544" t="s">
        <v>4003</v>
      </c>
      <c r="B7160" s="876"/>
      <c r="C7160" s="743"/>
      <c r="D7160" s="743"/>
      <c r="E7160" s="379"/>
      <c r="F7160" s="379"/>
      <c r="G7160" s="379"/>
      <c r="H7160" s="380"/>
      <c r="I7160" s="1543"/>
      <c r="J7160" s="1543"/>
      <c r="K7160" s="1543"/>
      <c r="L7160" s="1543"/>
      <c r="M7160" s="1543"/>
      <c r="N7160" s="1543"/>
    </row>
    <row r="7161" spans="1:14">
      <c r="A7161" s="1544"/>
      <c r="B7161" s="876" t="s">
        <v>3197</v>
      </c>
      <c r="C7161" s="743">
        <v>2</v>
      </c>
      <c r="D7161" s="743"/>
      <c r="E7161" s="379">
        <v>1</v>
      </c>
      <c r="F7161" s="379"/>
      <c r="G7161" s="379"/>
      <c r="H7161" s="380">
        <v>2</v>
      </c>
      <c r="I7161" s="1543"/>
      <c r="J7161" s="1543"/>
      <c r="K7161" s="1543"/>
      <c r="L7161" s="1543"/>
      <c r="M7161" s="1543"/>
      <c r="N7161" s="1543"/>
    </row>
    <row r="7162" spans="1:14">
      <c r="A7162" s="1544"/>
      <c r="B7162" s="876" t="s">
        <v>3198</v>
      </c>
      <c r="C7162" s="743">
        <v>1</v>
      </c>
      <c r="D7162" s="743"/>
      <c r="E7162" s="379">
        <v>1</v>
      </c>
      <c r="F7162" s="379"/>
      <c r="G7162" s="379"/>
      <c r="H7162" s="380">
        <v>1</v>
      </c>
      <c r="I7162" s="1543"/>
      <c r="J7162" s="1543"/>
      <c r="K7162" s="1543"/>
      <c r="L7162" s="1543"/>
      <c r="M7162" s="1543"/>
      <c r="N7162" s="1543"/>
    </row>
    <row r="7163" spans="1:14">
      <c r="A7163" s="1538" t="s">
        <v>2218</v>
      </c>
      <c r="B7163" s="1538"/>
      <c r="C7163" s="1538"/>
      <c r="D7163" s="1538"/>
      <c r="E7163" s="1538"/>
      <c r="F7163" s="1538"/>
      <c r="G7163" s="1538"/>
      <c r="H7163" s="271">
        <f>SUM(H7160:H7162)</f>
        <v>3</v>
      </c>
      <c r="I7163" s="1543"/>
      <c r="J7163" s="1543"/>
      <c r="K7163" s="1543"/>
      <c r="L7163" s="1543"/>
      <c r="M7163" s="1543"/>
      <c r="N7163" s="1543"/>
    </row>
    <row r="7164" spans="1:14">
      <c r="A7164" s="1538" t="s">
        <v>2219</v>
      </c>
      <c r="B7164" s="1538"/>
      <c r="C7164" s="1538"/>
      <c r="D7164" s="1538"/>
      <c r="E7164" s="1538"/>
      <c r="F7164" s="1538"/>
      <c r="G7164" s="1538"/>
      <c r="H7164" s="271">
        <v>0</v>
      </c>
      <c r="I7164" s="1543"/>
      <c r="J7164" s="1543"/>
      <c r="K7164" s="1543"/>
      <c r="L7164" s="1543"/>
      <c r="M7164" s="1543"/>
      <c r="N7164" s="1543"/>
    </row>
    <row r="7165" spans="1:14">
      <c r="A7165" s="1538" t="s">
        <v>2220</v>
      </c>
      <c r="B7165" s="1538"/>
      <c r="C7165" s="1538"/>
      <c r="D7165" s="1538"/>
      <c r="E7165" s="1538"/>
      <c r="F7165" s="1538"/>
      <c r="G7165" s="1538"/>
      <c r="H7165" s="269">
        <f>H7163-H7164</f>
        <v>3</v>
      </c>
      <c r="I7165" s="1543"/>
      <c r="J7165" s="1543"/>
      <c r="K7165" s="1543"/>
      <c r="L7165" s="1543"/>
      <c r="M7165" s="1543"/>
      <c r="N7165" s="1543"/>
    </row>
    <row r="7166" spans="1:14">
      <c r="A7166" s="278"/>
      <c r="B7166" s="278"/>
      <c r="C7166" s="278"/>
      <c r="D7166" s="281"/>
      <c r="E7166" s="1319"/>
      <c r="F7166" s="278"/>
      <c r="G7166" s="278"/>
      <c r="H7166" s="217"/>
      <c r="I7166" s="279"/>
      <c r="J7166" s="279"/>
      <c r="K7166" s="279"/>
      <c r="L7166" s="279"/>
      <c r="M7166" s="279"/>
      <c r="N7166" s="279"/>
    </row>
    <row r="7167" spans="1:14">
      <c r="A7167" s="1114" t="s">
        <v>4118</v>
      </c>
      <c r="B7167" s="1548" t="s">
        <v>4105</v>
      </c>
      <c r="C7167" s="1548"/>
      <c r="D7167" s="1548"/>
      <c r="E7167" s="1548"/>
      <c r="F7167" s="1548"/>
      <c r="G7167" s="1548"/>
      <c r="H7167" s="1548"/>
      <c r="I7167" s="1548"/>
      <c r="J7167" s="1548"/>
      <c r="K7167" s="1548"/>
      <c r="L7167" s="1548"/>
      <c r="M7167" s="1548"/>
      <c r="N7167" s="1548"/>
    </row>
    <row r="7168" spans="1:14">
      <c r="A7168" s="1124" t="s">
        <v>4119</v>
      </c>
      <c r="B7168" s="1539" t="str">
        <f>'27ª MEDIÇÃO '!C547</f>
        <v>Patch Panel 24 Portas RJ45/IDC Cat.6, inclusive fixação em Rack 19"</v>
      </c>
      <c r="C7168" s="1539"/>
      <c r="D7168" s="1539"/>
      <c r="E7168" s="1539"/>
      <c r="F7168" s="1539"/>
      <c r="G7168" s="1539"/>
      <c r="H7168" s="1539"/>
      <c r="I7168" s="1539"/>
      <c r="J7168" s="1539"/>
      <c r="K7168" s="864" t="s">
        <v>3154</v>
      </c>
      <c r="L7168" s="1540">
        <f>'27ª MEDIÇÃO '!F547</f>
        <v>1</v>
      </c>
      <c r="M7168" s="1540"/>
      <c r="N7168" s="865">
        <f>L7168-H7174</f>
        <v>0</v>
      </c>
    </row>
    <row r="7169" spans="1:14">
      <c r="A7169" s="1541"/>
      <c r="B7169" s="1541"/>
      <c r="C7169" s="366"/>
      <c r="D7169" s="367" t="s">
        <v>2183</v>
      </c>
      <c r="E7169" s="1320" t="s">
        <v>2184</v>
      </c>
      <c r="F7169" s="367" t="s">
        <v>2185</v>
      </c>
      <c r="G7169" s="367" t="s">
        <v>2186</v>
      </c>
      <c r="H7169" s="1542" t="s">
        <v>476</v>
      </c>
      <c r="I7169" s="1543"/>
      <c r="J7169" s="1543"/>
      <c r="K7169" s="1543"/>
      <c r="L7169" s="1543"/>
      <c r="M7169" s="1543"/>
      <c r="N7169" s="1543"/>
    </row>
    <row r="7170" spans="1:14" ht="25.15" customHeight="1">
      <c r="A7170" s="1541"/>
      <c r="B7170" s="1541"/>
      <c r="C7170" s="368" t="s">
        <v>2627</v>
      </c>
      <c r="D7170" s="369" t="s">
        <v>2187</v>
      </c>
      <c r="E7170" s="529" t="s">
        <v>3152</v>
      </c>
      <c r="F7170" s="369" t="s">
        <v>2649</v>
      </c>
      <c r="G7170" s="370" t="s">
        <v>2709</v>
      </c>
      <c r="H7170" s="1542"/>
      <c r="I7170" s="1543"/>
      <c r="J7170" s="1543"/>
      <c r="K7170" s="1543"/>
      <c r="L7170" s="1543"/>
      <c r="M7170" s="1543"/>
      <c r="N7170" s="1543"/>
    </row>
    <row r="7171" spans="1:14">
      <c r="A7171" s="1544" t="s">
        <v>4143</v>
      </c>
      <c r="B7171" s="876" t="s">
        <v>3964</v>
      </c>
      <c r="C7171" s="743"/>
      <c r="D7171" s="743"/>
      <c r="E7171" s="379"/>
      <c r="F7171" s="379"/>
      <c r="G7171" s="379"/>
      <c r="H7171" s="380"/>
      <c r="I7171" s="1543"/>
      <c r="J7171" s="1543"/>
      <c r="K7171" s="1543"/>
      <c r="L7171" s="1543"/>
      <c r="M7171" s="1543"/>
      <c r="N7171" s="1543"/>
    </row>
    <row r="7172" spans="1:14">
      <c r="A7172" s="1544"/>
      <c r="B7172" s="876"/>
      <c r="C7172" s="743">
        <v>1</v>
      </c>
      <c r="D7172" s="743"/>
      <c r="E7172" s="379"/>
      <c r="F7172" s="379"/>
      <c r="G7172" s="379"/>
      <c r="H7172" s="380">
        <f>C7172</f>
        <v>1</v>
      </c>
      <c r="I7172" s="1543"/>
      <c r="J7172" s="1543"/>
      <c r="K7172" s="1543"/>
      <c r="L7172" s="1543"/>
      <c r="M7172" s="1543"/>
      <c r="N7172" s="1543"/>
    </row>
    <row r="7173" spans="1:14">
      <c r="A7173" s="1544"/>
      <c r="B7173" s="876"/>
      <c r="C7173" s="743"/>
      <c r="D7173" s="743"/>
      <c r="E7173" s="379"/>
      <c r="F7173" s="379"/>
      <c r="G7173" s="379"/>
      <c r="H7173" s="380"/>
      <c r="I7173" s="1543"/>
      <c r="J7173" s="1543"/>
      <c r="K7173" s="1543"/>
      <c r="L7173" s="1543"/>
      <c r="M7173" s="1543"/>
      <c r="N7173" s="1543"/>
    </row>
    <row r="7174" spans="1:14">
      <c r="A7174" s="1538" t="s">
        <v>2218</v>
      </c>
      <c r="B7174" s="1538"/>
      <c r="C7174" s="1538"/>
      <c r="D7174" s="1538"/>
      <c r="E7174" s="1538"/>
      <c r="F7174" s="1538"/>
      <c r="G7174" s="1538"/>
      <c r="H7174" s="271">
        <f>SUM(H7171:H7173)</f>
        <v>1</v>
      </c>
      <c r="I7174" s="1543"/>
      <c r="J7174" s="1543"/>
      <c r="K7174" s="1543"/>
      <c r="L7174" s="1543"/>
      <c r="M7174" s="1543"/>
      <c r="N7174" s="1543"/>
    </row>
    <row r="7175" spans="1:14">
      <c r="A7175" s="1538" t="s">
        <v>2219</v>
      </c>
      <c r="B7175" s="1538"/>
      <c r="C7175" s="1538"/>
      <c r="D7175" s="1538"/>
      <c r="E7175" s="1538"/>
      <c r="F7175" s="1538"/>
      <c r="G7175" s="1538"/>
      <c r="H7175" s="271">
        <v>0</v>
      </c>
      <c r="I7175" s="1543"/>
      <c r="J7175" s="1543"/>
      <c r="K7175" s="1543"/>
      <c r="L7175" s="1543"/>
      <c r="M7175" s="1543"/>
      <c r="N7175" s="1543"/>
    </row>
    <row r="7176" spans="1:14">
      <c r="A7176" s="1538" t="s">
        <v>2220</v>
      </c>
      <c r="B7176" s="1538"/>
      <c r="C7176" s="1538"/>
      <c r="D7176" s="1538"/>
      <c r="E7176" s="1538"/>
      <c r="F7176" s="1538"/>
      <c r="G7176" s="1538"/>
      <c r="H7176" s="269">
        <f>H7174-H7175</f>
        <v>1</v>
      </c>
      <c r="I7176" s="1543"/>
      <c r="J7176" s="1543"/>
      <c r="K7176" s="1543"/>
      <c r="L7176" s="1543"/>
      <c r="M7176" s="1543"/>
      <c r="N7176" s="1543"/>
    </row>
    <row r="7177" spans="1:14">
      <c r="A7177" s="278"/>
      <c r="B7177" s="278"/>
      <c r="C7177" s="278"/>
      <c r="D7177" s="281"/>
      <c r="E7177" s="1319"/>
      <c r="F7177" s="278"/>
      <c r="G7177" s="278"/>
      <c r="H7177" s="217"/>
      <c r="I7177" s="279"/>
      <c r="J7177" s="279"/>
      <c r="K7177" s="279"/>
      <c r="L7177" s="279"/>
      <c r="M7177" s="279"/>
      <c r="N7177" s="279"/>
    </row>
    <row r="7178" spans="1:14">
      <c r="A7178" s="1124" t="s">
        <v>4120</v>
      </c>
      <c r="B7178" s="1539" t="str">
        <f>'27ª MEDIÇÃO '!C548</f>
        <v>Guia de Cabos Fechado Horizontal Padrão 19" - 1 U´s, inclusive fixação em Rack 19"</v>
      </c>
      <c r="C7178" s="1539"/>
      <c r="D7178" s="1539"/>
      <c r="E7178" s="1539"/>
      <c r="F7178" s="1539"/>
      <c r="G7178" s="1539"/>
      <c r="H7178" s="1539"/>
      <c r="I7178" s="1539"/>
      <c r="J7178" s="1539"/>
      <c r="K7178" s="864" t="s">
        <v>3154</v>
      </c>
      <c r="L7178" s="1540">
        <f>'27ª MEDIÇÃO '!F548</f>
        <v>1</v>
      </c>
      <c r="M7178" s="1540"/>
      <c r="N7178" s="865">
        <f>L7178-H7184</f>
        <v>0</v>
      </c>
    </row>
    <row r="7179" spans="1:14">
      <c r="A7179" s="1541"/>
      <c r="B7179" s="1541"/>
      <c r="C7179" s="366"/>
      <c r="D7179" s="367" t="s">
        <v>2183</v>
      </c>
      <c r="E7179" s="1320" t="s">
        <v>2184</v>
      </c>
      <c r="F7179" s="367" t="s">
        <v>2185</v>
      </c>
      <c r="G7179" s="367" t="s">
        <v>2186</v>
      </c>
      <c r="H7179" s="1542" t="s">
        <v>476</v>
      </c>
      <c r="I7179" s="1543"/>
      <c r="J7179" s="1543"/>
      <c r="K7179" s="1543"/>
      <c r="L7179" s="1543"/>
      <c r="M7179" s="1543"/>
      <c r="N7179" s="1543"/>
    </row>
    <row r="7180" spans="1:14" ht="25.15" customHeight="1">
      <c r="A7180" s="1541"/>
      <c r="B7180" s="1541"/>
      <c r="C7180" s="368" t="s">
        <v>2627</v>
      </c>
      <c r="D7180" s="369" t="s">
        <v>2187</v>
      </c>
      <c r="E7180" s="529" t="s">
        <v>3152</v>
      </c>
      <c r="F7180" s="369" t="s">
        <v>2649</v>
      </c>
      <c r="G7180" s="370" t="s">
        <v>2709</v>
      </c>
      <c r="H7180" s="1542"/>
      <c r="I7180" s="1543"/>
      <c r="J7180" s="1543"/>
      <c r="K7180" s="1543"/>
      <c r="L7180" s="1543"/>
      <c r="M7180" s="1543"/>
      <c r="N7180" s="1543"/>
    </row>
    <row r="7181" spans="1:14">
      <c r="A7181" s="1544" t="s">
        <v>4143</v>
      </c>
      <c r="B7181" s="876"/>
      <c r="C7181" s="743"/>
      <c r="D7181" s="743"/>
      <c r="E7181" s="379"/>
      <c r="F7181" s="379"/>
      <c r="G7181" s="379"/>
      <c r="H7181" s="380"/>
      <c r="I7181" s="1543"/>
      <c r="J7181" s="1543"/>
      <c r="K7181" s="1543"/>
      <c r="L7181" s="1543"/>
      <c r="M7181" s="1543"/>
      <c r="N7181" s="1543"/>
    </row>
    <row r="7182" spans="1:14">
      <c r="A7182" s="1544"/>
      <c r="B7182" s="876" t="s">
        <v>3964</v>
      </c>
      <c r="C7182" s="743">
        <v>1</v>
      </c>
      <c r="D7182" s="743"/>
      <c r="E7182" s="379"/>
      <c r="F7182" s="379"/>
      <c r="G7182" s="379"/>
      <c r="H7182" s="380">
        <f>C7182</f>
        <v>1</v>
      </c>
      <c r="I7182" s="1543"/>
      <c r="J7182" s="1543"/>
      <c r="K7182" s="1543"/>
      <c r="L7182" s="1543"/>
      <c r="M7182" s="1543"/>
      <c r="N7182" s="1543"/>
    </row>
    <row r="7183" spans="1:14">
      <c r="A7183" s="1544"/>
      <c r="B7183" s="876"/>
      <c r="C7183" s="743"/>
      <c r="D7183" s="743"/>
      <c r="E7183" s="379"/>
      <c r="F7183" s="379"/>
      <c r="G7183" s="379"/>
      <c r="H7183" s="380"/>
      <c r="I7183" s="1543"/>
      <c r="J7183" s="1543"/>
      <c r="K7183" s="1543"/>
      <c r="L7183" s="1543"/>
      <c r="M7183" s="1543"/>
      <c r="N7183" s="1543"/>
    </row>
    <row r="7184" spans="1:14">
      <c r="A7184" s="1538" t="s">
        <v>2218</v>
      </c>
      <c r="B7184" s="1538"/>
      <c r="C7184" s="1538"/>
      <c r="D7184" s="1538"/>
      <c r="E7184" s="1538"/>
      <c r="F7184" s="1538"/>
      <c r="G7184" s="1538"/>
      <c r="H7184" s="271">
        <f>SUM(H7181:H7183)</f>
        <v>1</v>
      </c>
      <c r="I7184" s="1543"/>
      <c r="J7184" s="1543"/>
      <c r="K7184" s="1543"/>
      <c r="L7184" s="1543"/>
      <c r="M7184" s="1543"/>
      <c r="N7184" s="1543"/>
    </row>
    <row r="7185" spans="1:14">
      <c r="A7185" s="1538" t="s">
        <v>2219</v>
      </c>
      <c r="B7185" s="1538"/>
      <c r="C7185" s="1538"/>
      <c r="D7185" s="1538"/>
      <c r="E7185" s="1538"/>
      <c r="F7185" s="1538"/>
      <c r="G7185" s="1538"/>
      <c r="H7185" s="271">
        <v>0</v>
      </c>
      <c r="I7185" s="1543"/>
      <c r="J7185" s="1543"/>
      <c r="K7185" s="1543"/>
      <c r="L7185" s="1543"/>
      <c r="M7185" s="1543"/>
      <c r="N7185" s="1543"/>
    </row>
    <row r="7186" spans="1:14">
      <c r="A7186" s="1538" t="s">
        <v>2220</v>
      </c>
      <c r="B7186" s="1538"/>
      <c r="C7186" s="1538"/>
      <c r="D7186" s="1538"/>
      <c r="E7186" s="1538"/>
      <c r="F7186" s="1538"/>
      <c r="G7186" s="1538"/>
      <c r="H7186" s="269">
        <f>H7184-H7185</f>
        <v>1</v>
      </c>
      <c r="I7186" s="1543"/>
      <c r="J7186" s="1543"/>
      <c r="K7186" s="1543"/>
      <c r="L7186" s="1543"/>
      <c r="M7186" s="1543"/>
      <c r="N7186" s="1543"/>
    </row>
    <row r="7187" spans="1:14">
      <c r="A7187" s="278"/>
      <c r="B7187" s="278"/>
      <c r="C7187" s="278"/>
      <c r="D7187" s="281"/>
      <c r="E7187" s="1319"/>
      <c r="F7187" s="278"/>
      <c r="G7187" s="278"/>
      <c r="H7187" s="217"/>
      <c r="I7187" s="279"/>
      <c r="J7187" s="279"/>
      <c r="K7187" s="279"/>
      <c r="L7187" s="279"/>
      <c r="M7187" s="279"/>
      <c r="N7187" s="279"/>
    </row>
    <row r="7188" spans="1:14">
      <c r="A7188" s="1124" t="s">
        <v>4121</v>
      </c>
      <c r="B7188" s="1539" t="str">
        <f>'27ª MEDIÇÃO '!C549</f>
        <v>Patch Cord Gigalan Extra Flexível CAT 6 U/UTP RJ-45 - 1,50 m</v>
      </c>
      <c r="C7188" s="1539"/>
      <c r="D7188" s="1539"/>
      <c r="E7188" s="1539"/>
      <c r="F7188" s="1539"/>
      <c r="G7188" s="1539"/>
      <c r="H7188" s="1539"/>
      <c r="I7188" s="1539"/>
      <c r="J7188" s="1539"/>
      <c r="K7188" s="864" t="s">
        <v>3154</v>
      </c>
      <c r="L7188" s="1540">
        <f>'27ª MEDIÇÃO '!F549</f>
        <v>26</v>
      </c>
      <c r="M7188" s="1540"/>
      <c r="N7188" s="865">
        <f>L7188-H7194</f>
        <v>0</v>
      </c>
    </row>
    <row r="7189" spans="1:14">
      <c r="A7189" s="1541"/>
      <c r="B7189" s="1541"/>
      <c r="C7189" s="366"/>
      <c r="D7189" s="367" t="s">
        <v>2183</v>
      </c>
      <c r="E7189" s="1320" t="s">
        <v>2184</v>
      </c>
      <c r="F7189" s="367" t="s">
        <v>2185</v>
      </c>
      <c r="G7189" s="367" t="s">
        <v>2186</v>
      </c>
      <c r="H7189" s="1542" t="s">
        <v>476</v>
      </c>
      <c r="I7189" s="1543"/>
      <c r="J7189" s="1543"/>
      <c r="K7189" s="1543"/>
      <c r="L7189" s="1543"/>
      <c r="M7189" s="1543"/>
      <c r="N7189" s="1543"/>
    </row>
    <row r="7190" spans="1:14" ht="25.15" customHeight="1">
      <c r="A7190" s="1541"/>
      <c r="B7190" s="1541"/>
      <c r="C7190" s="368" t="s">
        <v>2627</v>
      </c>
      <c r="D7190" s="369" t="s">
        <v>2187</v>
      </c>
      <c r="E7190" s="529" t="s">
        <v>3152</v>
      </c>
      <c r="F7190" s="369" t="s">
        <v>2649</v>
      </c>
      <c r="G7190" s="370" t="s">
        <v>2709</v>
      </c>
      <c r="H7190" s="1542"/>
      <c r="I7190" s="1543"/>
      <c r="J7190" s="1543"/>
      <c r="K7190" s="1543"/>
      <c r="L7190" s="1543"/>
      <c r="M7190" s="1543"/>
      <c r="N7190" s="1543"/>
    </row>
    <row r="7191" spans="1:14">
      <c r="A7191" s="1544" t="s">
        <v>4143</v>
      </c>
      <c r="B7191" s="876" t="s">
        <v>3965</v>
      </c>
      <c r="C7191" s="743">
        <v>17</v>
      </c>
      <c r="D7191" s="743"/>
      <c r="E7191" s="379"/>
      <c r="F7191" s="379"/>
      <c r="G7191" s="379"/>
      <c r="H7191" s="380">
        <f>C7191</f>
        <v>17</v>
      </c>
      <c r="I7191" s="1543"/>
      <c r="J7191" s="1543"/>
      <c r="K7191" s="1543"/>
      <c r="L7191" s="1543"/>
      <c r="M7191" s="1543"/>
      <c r="N7191" s="1543"/>
    </row>
    <row r="7192" spans="1:14">
      <c r="A7192" s="1544"/>
      <c r="B7192" s="876" t="s">
        <v>3964</v>
      </c>
      <c r="C7192" s="743">
        <v>9</v>
      </c>
      <c r="D7192" s="743"/>
      <c r="E7192" s="379"/>
      <c r="F7192" s="379"/>
      <c r="G7192" s="379"/>
      <c r="H7192" s="380">
        <f>C7192</f>
        <v>9</v>
      </c>
      <c r="I7192" s="1543"/>
      <c r="J7192" s="1543"/>
      <c r="K7192" s="1543"/>
      <c r="L7192" s="1543"/>
      <c r="M7192" s="1543"/>
      <c r="N7192" s="1543"/>
    </row>
    <row r="7193" spans="1:14">
      <c r="A7193" s="1544"/>
      <c r="B7193" s="876"/>
      <c r="C7193" s="743"/>
      <c r="D7193" s="743"/>
      <c r="E7193" s="379"/>
      <c r="F7193" s="379"/>
      <c r="G7193" s="379"/>
      <c r="H7193" s="380">
        <f>C7193</f>
        <v>0</v>
      </c>
      <c r="I7193" s="1543"/>
      <c r="J7193" s="1543"/>
      <c r="K7193" s="1543"/>
      <c r="L7193" s="1543"/>
      <c r="M7193" s="1543"/>
      <c r="N7193" s="1543"/>
    </row>
    <row r="7194" spans="1:14">
      <c r="A7194" s="1538" t="s">
        <v>2218</v>
      </c>
      <c r="B7194" s="1538"/>
      <c r="C7194" s="1538"/>
      <c r="D7194" s="1538"/>
      <c r="E7194" s="1538"/>
      <c r="F7194" s="1538"/>
      <c r="G7194" s="1538"/>
      <c r="H7194" s="271">
        <f>SUM(H7191:H7193)</f>
        <v>26</v>
      </c>
      <c r="I7194" s="1543"/>
      <c r="J7194" s="1543"/>
      <c r="K7194" s="1543"/>
      <c r="L7194" s="1543"/>
      <c r="M7194" s="1543"/>
      <c r="N7194" s="1543"/>
    </row>
    <row r="7195" spans="1:14">
      <c r="A7195" s="1538" t="s">
        <v>2219</v>
      </c>
      <c r="B7195" s="1538"/>
      <c r="C7195" s="1538"/>
      <c r="D7195" s="1538"/>
      <c r="E7195" s="1538"/>
      <c r="F7195" s="1538"/>
      <c r="G7195" s="1538"/>
      <c r="H7195" s="271">
        <v>0</v>
      </c>
      <c r="I7195" s="1543"/>
      <c r="J7195" s="1543"/>
      <c r="K7195" s="1543"/>
      <c r="L7195" s="1543"/>
      <c r="M7195" s="1543"/>
      <c r="N7195" s="1543"/>
    </row>
    <row r="7196" spans="1:14">
      <c r="A7196" s="1538" t="s">
        <v>2220</v>
      </c>
      <c r="B7196" s="1538"/>
      <c r="C7196" s="1538"/>
      <c r="D7196" s="1538"/>
      <c r="E7196" s="1538"/>
      <c r="F7196" s="1538"/>
      <c r="G7196" s="1538"/>
      <c r="H7196" s="269">
        <f>H7194-H7195</f>
        <v>26</v>
      </c>
      <c r="I7196" s="1543"/>
      <c r="J7196" s="1543"/>
      <c r="K7196" s="1543"/>
      <c r="L7196" s="1543"/>
      <c r="M7196" s="1543"/>
      <c r="N7196" s="1543"/>
    </row>
    <row r="7197" spans="1:14">
      <c r="A7197" s="278"/>
      <c r="B7197" s="278"/>
      <c r="C7197" s="278"/>
      <c r="D7197" s="281"/>
      <c r="E7197" s="1319"/>
      <c r="F7197" s="278"/>
      <c r="G7197" s="278"/>
      <c r="H7197" s="217"/>
      <c r="I7197" s="279"/>
      <c r="J7197" s="279"/>
      <c r="K7197" s="279"/>
      <c r="L7197" s="279"/>
      <c r="M7197" s="279"/>
      <c r="N7197" s="279"/>
    </row>
    <row r="7198" spans="1:14">
      <c r="A7198" s="1124" t="s">
        <v>4122</v>
      </c>
      <c r="B7198" s="1539" t="str">
        <f>'27ª MEDIÇÃO '!C550</f>
        <v>Bandeja fixa para rack, 1Ux19"x500mm</v>
      </c>
      <c r="C7198" s="1539"/>
      <c r="D7198" s="1539"/>
      <c r="E7198" s="1539"/>
      <c r="F7198" s="1539"/>
      <c r="G7198" s="1539"/>
      <c r="H7198" s="1539"/>
      <c r="I7198" s="1539"/>
      <c r="J7198" s="1539"/>
      <c r="K7198" s="864" t="s">
        <v>3154</v>
      </c>
      <c r="L7198" s="1540">
        <f>'27ª MEDIÇÃO '!F550</f>
        <v>2</v>
      </c>
      <c r="M7198" s="1540"/>
      <c r="N7198" s="865">
        <f>L7198-H7204</f>
        <v>0</v>
      </c>
    </row>
    <row r="7199" spans="1:14">
      <c r="A7199" s="1541"/>
      <c r="B7199" s="1541"/>
      <c r="C7199" s="366"/>
      <c r="D7199" s="367" t="s">
        <v>2183</v>
      </c>
      <c r="E7199" s="1320" t="s">
        <v>2184</v>
      </c>
      <c r="F7199" s="367" t="s">
        <v>2185</v>
      </c>
      <c r="G7199" s="367" t="s">
        <v>2186</v>
      </c>
      <c r="H7199" s="1542" t="s">
        <v>476</v>
      </c>
      <c r="I7199" s="1543"/>
      <c r="J7199" s="1543"/>
      <c r="K7199" s="1543"/>
      <c r="L7199" s="1543"/>
      <c r="M7199" s="1543"/>
      <c r="N7199" s="1543"/>
    </row>
    <row r="7200" spans="1:14" ht="25.15" customHeight="1">
      <c r="A7200" s="1541"/>
      <c r="B7200" s="1541"/>
      <c r="C7200" s="368" t="s">
        <v>2627</v>
      </c>
      <c r="D7200" s="369" t="s">
        <v>2187</v>
      </c>
      <c r="E7200" s="529" t="s">
        <v>3152</v>
      </c>
      <c r="F7200" s="369" t="s">
        <v>2649</v>
      </c>
      <c r="G7200" s="370" t="s">
        <v>2709</v>
      </c>
      <c r="H7200" s="1542"/>
      <c r="I7200" s="1543"/>
      <c r="J7200" s="1543"/>
      <c r="K7200" s="1543"/>
      <c r="L7200" s="1543"/>
      <c r="M7200" s="1543"/>
      <c r="N7200" s="1543"/>
    </row>
    <row r="7201" spans="1:14">
      <c r="A7201" s="1544" t="s">
        <v>4143</v>
      </c>
      <c r="B7201" s="876"/>
      <c r="C7201" s="743"/>
      <c r="D7201" s="743"/>
      <c r="E7201" s="379"/>
      <c r="F7201" s="379"/>
      <c r="G7201" s="379"/>
      <c r="H7201" s="380"/>
      <c r="I7201" s="1543"/>
      <c r="J7201" s="1543"/>
      <c r="K7201" s="1543"/>
      <c r="L7201" s="1543"/>
      <c r="M7201" s="1543"/>
      <c r="N7201" s="1543"/>
    </row>
    <row r="7202" spans="1:14">
      <c r="A7202" s="1544"/>
      <c r="B7202" s="876" t="s">
        <v>3964</v>
      </c>
      <c r="C7202" s="743">
        <v>2</v>
      </c>
      <c r="D7202" s="743"/>
      <c r="E7202" s="379"/>
      <c r="F7202" s="379"/>
      <c r="G7202" s="379"/>
      <c r="H7202" s="380">
        <f>C7202</f>
        <v>2</v>
      </c>
      <c r="I7202" s="1543"/>
      <c r="J7202" s="1543"/>
      <c r="K7202" s="1543"/>
      <c r="L7202" s="1543"/>
      <c r="M7202" s="1543"/>
      <c r="N7202" s="1543"/>
    </row>
    <row r="7203" spans="1:14">
      <c r="A7203" s="1544"/>
      <c r="B7203" s="876"/>
      <c r="C7203" s="743"/>
      <c r="D7203" s="743"/>
      <c r="E7203" s="379"/>
      <c r="F7203" s="379"/>
      <c r="G7203" s="379"/>
      <c r="H7203" s="380">
        <f>C7203</f>
        <v>0</v>
      </c>
      <c r="I7203" s="1543"/>
      <c r="J7203" s="1543"/>
      <c r="K7203" s="1543"/>
      <c r="L7203" s="1543"/>
      <c r="M7203" s="1543"/>
      <c r="N7203" s="1543"/>
    </row>
    <row r="7204" spans="1:14">
      <c r="A7204" s="1538" t="s">
        <v>2218</v>
      </c>
      <c r="B7204" s="1538"/>
      <c r="C7204" s="1538"/>
      <c r="D7204" s="1538"/>
      <c r="E7204" s="1538"/>
      <c r="F7204" s="1538"/>
      <c r="G7204" s="1538"/>
      <c r="H7204" s="271">
        <f>SUM(H7201:H7203)</f>
        <v>2</v>
      </c>
      <c r="I7204" s="1543"/>
      <c r="J7204" s="1543"/>
      <c r="K7204" s="1543"/>
      <c r="L7204" s="1543"/>
      <c r="M7204" s="1543"/>
      <c r="N7204" s="1543"/>
    </row>
    <row r="7205" spans="1:14">
      <c r="A7205" s="1538" t="s">
        <v>2219</v>
      </c>
      <c r="B7205" s="1538"/>
      <c r="C7205" s="1538"/>
      <c r="D7205" s="1538"/>
      <c r="E7205" s="1538"/>
      <c r="F7205" s="1538"/>
      <c r="G7205" s="1538"/>
      <c r="H7205" s="271">
        <v>0</v>
      </c>
      <c r="I7205" s="1543"/>
      <c r="J7205" s="1543"/>
      <c r="K7205" s="1543"/>
      <c r="L7205" s="1543"/>
      <c r="M7205" s="1543"/>
      <c r="N7205" s="1543"/>
    </row>
    <row r="7206" spans="1:14">
      <c r="A7206" s="1538" t="s">
        <v>2220</v>
      </c>
      <c r="B7206" s="1538"/>
      <c r="C7206" s="1538"/>
      <c r="D7206" s="1538"/>
      <c r="E7206" s="1538"/>
      <c r="F7206" s="1538"/>
      <c r="G7206" s="1538"/>
      <c r="H7206" s="269">
        <f>H7204-H7205</f>
        <v>2</v>
      </c>
      <c r="I7206" s="1543"/>
      <c r="J7206" s="1543"/>
      <c r="K7206" s="1543"/>
      <c r="L7206" s="1543"/>
      <c r="M7206" s="1543"/>
      <c r="N7206" s="1543"/>
    </row>
    <row r="7207" spans="1:14">
      <c r="A7207" s="278"/>
      <c r="B7207" s="278"/>
      <c r="C7207" s="278"/>
      <c r="D7207" s="281"/>
      <c r="E7207" s="1319"/>
      <c r="F7207" s="278"/>
      <c r="G7207" s="278"/>
      <c r="H7207" s="217"/>
      <c r="I7207" s="279"/>
      <c r="J7207" s="279"/>
      <c r="K7207" s="279"/>
      <c r="L7207" s="279"/>
      <c r="M7207" s="279"/>
      <c r="N7207" s="279"/>
    </row>
    <row r="7208" spans="1:14">
      <c r="A7208" s="1124" t="s">
        <v>4123</v>
      </c>
      <c r="B7208" s="1539" t="str">
        <f>'27ª MEDIÇÃO '!C551</f>
        <v>Kit Central de Alarme de Barreira monitorável, com 1 par de sensores IVA 5080 AT, 2 controles remotos, 1 bateria selada 12V-7A, 1 sirene 120db ref. INTELBRÁS Anm 24NET ou equivalente</v>
      </c>
      <c r="C7208" s="1539"/>
      <c r="D7208" s="1539"/>
      <c r="E7208" s="1539"/>
      <c r="F7208" s="1539"/>
      <c r="G7208" s="1539"/>
      <c r="H7208" s="1539"/>
      <c r="I7208" s="1539"/>
      <c r="J7208" s="1539"/>
      <c r="K7208" s="864" t="s">
        <v>3154</v>
      </c>
      <c r="L7208" s="1540">
        <f>'27ª MEDIÇÃO '!F551</f>
        <v>1</v>
      </c>
      <c r="M7208" s="1540"/>
      <c r="N7208" s="865">
        <f>L7208-H7214</f>
        <v>0</v>
      </c>
    </row>
    <row r="7209" spans="1:14">
      <c r="A7209" s="1541"/>
      <c r="B7209" s="1541"/>
      <c r="C7209" s="366"/>
      <c r="D7209" s="367" t="s">
        <v>2183</v>
      </c>
      <c r="E7209" s="1320" t="s">
        <v>2184</v>
      </c>
      <c r="F7209" s="367" t="s">
        <v>2185</v>
      </c>
      <c r="G7209" s="367" t="s">
        <v>2186</v>
      </c>
      <c r="H7209" s="1542" t="s">
        <v>476</v>
      </c>
      <c r="I7209" s="1543"/>
      <c r="J7209" s="1543"/>
      <c r="K7209" s="1543"/>
      <c r="L7209" s="1543"/>
      <c r="M7209" s="1543"/>
      <c r="N7209" s="1543"/>
    </row>
    <row r="7210" spans="1:14" ht="25.15" customHeight="1">
      <c r="A7210" s="1541"/>
      <c r="B7210" s="1541"/>
      <c r="C7210" s="368" t="s">
        <v>2627</v>
      </c>
      <c r="D7210" s="369" t="s">
        <v>2187</v>
      </c>
      <c r="E7210" s="529" t="s">
        <v>3152</v>
      </c>
      <c r="F7210" s="369" t="s">
        <v>2649</v>
      </c>
      <c r="G7210" s="370" t="s">
        <v>2709</v>
      </c>
      <c r="H7210" s="1542"/>
      <c r="I7210" s="1543"/>
      <c r="J7210" s="1543"/>
      <c r="K7210" s="1543"/>
      <c r="L7210" s="1543"/>
      <c r="M7210" s="1543"/>
      <c r="N7210" s="1543"/>
    </row>
    <row r="7211" spans="1:14">
      <c r="A7211" s="1544" t="s">
        <v>4143</v>
      </c>
      <c r="B7211" s="876"/>
      <c r="C7211" s="743"/>
      <c r="D7211" s="743"/>
      <c r="E7211" s="379"/>
      <c r="F7211" s="379"/>
      <c r="G7211" s="379"/>
      <c r="H7211" s="380"/>
      <c r="I7211" s="1543"/>
      <c r="J7211" s="1543"/>
      <c r="K7211" s="1543"/>
      <c r="L7211" s="1543"/>
      <c r="M7211" s="1543"/>
      <c r="N7211" s="1543"/>
    </row>
    <row r="7212" spans="1:14">
      <c r="A7212" s="1544"/>
      <c r="B7212" s="876"/>
      <c r="C7212" s="743">
        <v>1</v>
      </c>
      <c r="D7212" s="743"/>
      <c r="E7212" s="379"/>
      <c r="F7212" s="379"/>
      <c r="G7212" s="379"/>
      <c r="H7212" s="380">
        <f>C7212</f>
        <v>1</v>
      </c>
      <c r="I7212" s="1543"/>
      <c r="J7212" s="1543"/>
      <c r="K7212" s="1543"/>
      <c r="L7212" s="1543"/>
      <c r="M7212" s="1543"/>
      <c r="N7212" s="1543"/>
    </row>
    <row r="7213" spans="1:14">
      <c r="A7213" s="1544"/>
      <c r="B7213" s="876"/>
      <c r="C7213" s="743"/>
      <c r="D7213" s="743"/>
      <c r="E7213" s="379"/>
      <c r="F7213" s="379"/>
      <c r="G7213" s="379"/>
      <c r="H7213" s="380">
        <f>C7213</f>
        <v>0</v>
      </c>
      <c r="I7213" s="1543"/>
      <c r="J7213" s="1543"/>
      <c r="K7213" s="1543"/>
      <c r="L7213" s="1543"/>
      <c r="M7213" s="1543"/>
      <c r="N7213" s="1543"/>
    </row>
    <row r="7214" spans="1:14">
      <c r="A7214" s="1538" t="s">
        <v>2218</v>
      </c>
      <c r="B7214" s="1538"/>
      <c r="C7214" s="1538"/>
      <c r="D7214" s="1538"/>
      <c r="E7214" s="1538"/>
      <c r="F7214" s="1538"/>
      <c r="G7214" s="1538"/>
      <c r="H7214" s="271">
        <f>SUM(H7211:H7213)</f>
        <v>1</v>
      </c>
      <c r="I7214" s="1543"/>
      <c r="J7214" s="1543"/>
      <c r="K7214" s="1543"/>
      <c r="L7214" s="1543"/>
      <c r="M7214" s="1543"/>
      <c r="N7214" s="1543"/>
    </row>
    <row r="7215" spans="1:14">
      <c r="A7215" s="1538" t="s">
        <v>2219</v>
      </c>
      <c r="B7215" s="1538"/>
      <c r="C7215" s="1538"/>
      <c r="D7215" s="1538"/>
      <c r="E7215" s="1538"/>
      <c r="F7215" s="1538"/>
      <c r="G7215" s="1538"/>
      <c r="H7215" s="271">
        <v>0</v>
      </c>
      <c r="I7215" s="1543"/>
      <c r="J7215" s="1543"/>
      <c r="K7215" s="1543"/>
      <c r="L7215" s="1543"/>
      <c r="M7215" s="1543"/>
      <c r="N7215" s="1543"/>
    </row>
    <row r="7216" spans="1:14">
      <c r="A7216" s="1538" t="s">
        <v>2220</v>
      </c>
      <c r="B7216" s="1538"/>
      <c r="C7216" s="1538"/>
      <c r="D7216" s="1538"/>
      <c r="E7216" s="1538"/>
      <c r="F7216" s="1538"/>
      <c r="G7216" s="1538"/>
      <c r="H7216" s="269">
        <f>H7214-H7215</f>
        <v>1</v>
      </c>
      <c r="I7216" s="1543"/>
      <c r="J7216" s="1543"/>
      <c r="K7216" s="1543"/>
      <c r="L7216" s="1543"/>
      <c r="M7216" s="1543"/>
      <c r="N7216" s="1543"/>
    </row>
    <row r="7217" spans="1:14">
      <c r="A7217" s="278"/>
      <c r="B7217" s="278"/>
      <c r="C7217" s="278"/>
      <c r="D7217" s="281"/>
      <c r="E7217" s="1319"/>
      <c r="F7217" s="278"/>
      <c r="G7217" s="278"/>
      <c r="H7217" s="217"/>
      <c r="I7217" s="279"/>
      <c r="J7217" s="279"/>
      <c r="K7217" s="279"/>
      <c r="L7217" s="279"/>
      <c r="M7217" s="279"/>
      <c r="N7217" s="279"/>
    </row>
    <row r="7218" spans="1:14">
      <c r="A7218" s="1124" t="s">
        <v>4124</v>
      </c>
      <c r="B7218" s="1539" t="str">
        <f>'27ª MEDIÇÃO '!C552</f>
        <v>Sensor ativo de Barreira alcance máximo de 80m ref. INTELBRÁS IVA 5080 AT ou equivalente</v>
      </c>
      <c r="C7218" s="1539"/>
      <c r="D7218" s="1539"/>
      <c r="E7218" s="1539"/>
      <c r="F7218" s="1539"/>
      <c r="G7218" s="1539"/>
      <c r="H7218" s="1539"/>
      <c r="I7218" s="1539"/>
      <c r="J7218" s="1539"/>
      <c r="K7218" s="864" t="s">
        <v>3154</v>
      </c>
      <c r="L7218" s="1540">
        <f>'27ª MEDIÇÃO '!F552</f>
        <v>10</v>
      </c>
      <c r="M7218" s="1540"/>
      <c r="N7218" s="865">
        <f>L7218-H7224</f>
        <v>0</v>
      </c>
    </row>
    <row r="7219" spans="1:14">
      <c r="A7219" s="1541"/>
      <c r="B7219" s="1541"/>
      <c r="C7219" s="366"/>
      <c r="D7219" s="367" t="s">
        <v>2183</v>
      </c>
      <c r="E7219" s="1320" t="s">
        <v>2184</v>
      </c>
      <c r="F7219" s="367" t="s">
        <v>2185</v>
      </c>
      <c r="G7219" s="367" t="s">
        <v>2186</v>
      </c>
      <c r="H7219" s="1542" t="s">
        <v>476</v>
      </c>
      <c r="I7219" s="1543"/>
      <c r="J7219" s="1543"/>
      <c r="K7219" s="1543"/>
      <c r="L7219" s="1543"/>
      <c r="M7219" s="1543"/>
      <c r="N7219" s="1543"/>
    </row>
    <row r="7220" spans="1:14" ht="25.15" customHeight="1">
      <c r="A7220" s="1541"/>
      <c r="B7220" s="1541"/>
      <c r="C7220" s="368" t="s">
        <v>2627</v>
      </c>
      <c r="D7220" s="369" t="s">
        <v>2187</v>
      </c>
      <c r="E7220" s="529" t="s">
        <v>3152</v>
      </c>
      <c r="F7220" s="369" t="s">
        <v>2649</v>
      </c>
      <c r="G7220" s="370" t="s">
        <v>2709</v>
      </c>
      <c r="H7220" s="1542"/>
      <c r="I7220" s="1543"/>
      <c r="J7220" s="1543"/>
      <c r="K7220" s="1543"/>
      <c r="L7220" s="1543"/>
      <c r="M7220" s="1543"/>
      <c r="N7220" s="1543"/>
    </row>
    <row r="7221" spans="1:14">
      <c r="A7221" s="1544" t="s">
        <v>4143</v>
      </c>
      <c r="B7221" s="876"/>
      <c r="C7221" s="743"/>
      <c r="D7221" s="743"/>
      <c r="E7221" s="379"/>
      <c r="F7221" s="379"/>
      <c r="G7221" s="379"/>
      <c r="H7221" s="380"/>
      <c r="I7221" s="1543"/>
      <c r="J7221" s="1543"/>
      <c r="K7221" s="1543"/>
      <c r="L7221" s="1543"/>
      <c r="M7221" s="1543"/>
      <c r="N7221" s="1543"/>
    </row>
    <row r="7222" spans="1:14">
      <c r="A7222" s="1544"/>
      <c r="B7222" s="876" t="s">
        <v>3965</v>
      </c>
      <c r="C7222" s="743">
        <v>10</v>
      </c>
      <c r="D7222" s="743"/>
      <c r="E7222" s="379"/>
      <c r="F7222" s="379"/>
      <c r="G7222" s="379"/>
      <c r="H7222" s="380">
        <f>C7222</f>
        <v>10</v>
      </c>
      <c r="I7222" s="1543"/>
      <c r="J7222" s="1543"/>
      <c r="K7222" s="1543"/>
      <c r="L7222" s="1543"/>
      <c r="M7222" s="1543"/>
      <c r="N7222" s="1543"/>
    </row>
    <row r="7223" spans="1:14">
      <c r="A7223" s="1544"/>
      <c r="B7223" s="876"/>
      <c r="C7223" s="743"/>
      <c r="D7223" s="743"/>
      <c r="E7223" s="379"/>
      <c r="F7223" s="379"/>
      <c r="G7223" s="379"/>
      <c r="H7223" s="380">
        <f>C7223</f>
        <v>0</v>
      </c>
      <c r="I7223" s="1543"/>
      <c r="J7223" s="1543"/>
      <c r="K7223" s="1543"/>
      <c r="L7223" s="1543"/>
      <c r="M7223" s="1543"/>
      <c r="N7223" s="1543"/>
    </row>
    <row r="7224" spans="1:14">
      <c r="A7224" s="1538" t="s">
        <v>2218</v>
      </c>
      <c r="B7224" s="1538"/>
      <c r="C7224" s="1538"/>
      <c r="D7224" s="1538"/>
      <c r="E7224" s="1538"/>
      <c r="F7224" s="1538"/>
      <c r="G7224" s="1538"/>
      <c r="H7224" s="271">
        <f>SUM(H7221:H7223)</f>
        <v>10</v>
      </c>
      <c r="I7224" s="1543"/>
      <c r="J7224" s="1543"/>
      <c r="K7224" s="1543"/>
      <c r="L7224" s="1543"/>
      <c r="M7224" s="1543"/>
      <c r="N7224" s="1543"/>
    </row>
    <row r="7225" spans="1:14">
      <c r="A7225" s="1538" t="s">
        <v>2219</v>
      </c>
      <c r="B7225" s="1538"/>
      <c r="C7225" s="1538"/>
      <c r="D7225" s="1538"/>
      <c r="E7225" s="1538"/>
      <c r="F7225" s="1538"/>
      <c r="G7225" s="1538"/>
      <c r="H7225" s="271">
        <v>0</v>
      </c>
      <c r="I7225" s="1543"/>
      <c r="J7225" s="1543"/>
      <c r="K7225" s="1543"/>
      <c r="L7225" s="1543"/>
      <c r="M7225" s="1543"/>
      <c r="N7225" s="1543"/>
    </row>
    <row r="7226" spans="1:14">
      <c r="A7226" s="1538" t="s">
        <v>2220</v>
      </c>
      <c r="B7226" s="1538"/>
      <c r="C7226" s="1538"/>
      <c r="D7226" s="1538"/>
      <c r="E7226" s="1538"/>
      <c r="F7226" s="1538"/>
      <c r="G7226" s="1538"/>
      <c r="H7226" s="269">
        <f>H7224-H7225</f>
        <v>10</v>
      </c>
      <c r="I7226" s="1543"/>
      <c r="J7226" s="1543"/>
      <c r="K7226" s="1543"/>
      <c r="L7226" s="1543"/>
      <c r="M7226" s="1543"/>
      <c r="N7226" s="1543"/>
    </row>
    <row r="7227" spans="1:14">
      <c r="A7227" s="278"/>
      <c r="B7227" s="278"/>
      <c r="C7227" s="278"/>
      <c r="D7227" s="281"/>
      <c r="E7227" s="1319"/>
      <c r="F7227" s="278"/>
      <c r="G7227" s="278"/>
      <c r="H7227" s="217"/>
      <c r="I7227" s="279"/>
      <c r="J7227" s="279"/>
      <c r="K7227" s="279"/>
      <c r="L7227" s="279"/>
      <c r="M7227" s="279"/>
      <c r="N7227" s="279"/>
    </row>
    <row r="7228" spans="1:14">
      <c r="A7228" s="1124" t="s">
        <v>4125</v>
      </c>
      <c r="B7228" s="1539" t="str">
        <f>'27ª MEDIÇÃO '!C553</f>
        <v>Central de Alarme sensorial monitorável com até 12 zonas ref. Active-8 Ultra (Modular) da JFL ou equivalente</v>
      </c>
      <c r="C7228" s="1539"/>
      <c r="D7228" s="1539"/>
      <c r="E7228" s="1539"/>
      <c r="F7228" s="1539"/>
      <c r="G7228" s="1539"/>
      <c r="H7228" s="1539"/>
      <c r="I7228" s="1539"/>
      <c r="J7228" s="1539"/>
      <c r="K7228" s="864" t="s">
        <v>3154</v>
      </c>
      <c r="L7228" s="1540">
        <f>'27ª MEDIÇÃO '!F553</f>
        <v>1</v>
      </c>
      <c r="M7228" s="1540"/>
      <c r="N7228" s="865">
        <f>L7228-H7234</f>
        <v>1</v>
      </c>
    </row>
    <row r="7229" spans="1:14">
      <c r="A7229" s="1541"/>
      <c r="B7229" s="1541"/>
      <c r="C7229" s="366"/>
      <c r="D7229" s="367" t="s">
        <v>2183</v>
      </c>
      <c r="E7229" s="1320" t="s">
        <v>2184</v>
      </c>
      <c r="F7229" s="367" t="s">
        <v>2185</v>
      </c>
      <c r="G7229" s="367" t="s">
        <v>2186</v>
      </c>
      <c r="H7229" s="1542" t="s">
        <v>476</v>
      </c>
      <c r="I7229" s="1543"/>
      <c r="J7229" s="1543"/>
      <c r="K7229" s="1543"/>
      <c r="L7229" s="1543"/>
      <c r="M7229" s="1543"/>
      <c r="N7229" s="1543"/>
    </row>
    <row r="7230" spans="1:14" ht="25.15" customHeight="1">
      <c r="A7230" s="1541"/>
      <c r="B7230" s="1541"/>
      <c r="C7230" s="368" t="s">
        <v>2627</v>
      </c>
      <c r="D7230" s="369" t="s">
        <v>2187</v>
      </c>
      <c r="E7230" s="529" t="s">
        <v>3152</v>
      </c>
      <c r="F7230" s="369" t="s">
        <v>2649</v>
      </c>
      <c r="G7230" s="370" t="s">
        <v>2709</v>
      </c>
      <c r="H7230" s="1542"/>
      <c r="I7230" s="1543"/>
      <c r="J7230" s="1543"/>
      <c r="K7230" s="1543"/>
      <c r="L7230" s="1543"/>
      <c r="M7230" s="1543"/>
      <c r="N7230" s="1543"/>
    </row>
    <row r="7231" spans="1:14">
      <c r="A7231" s="1544"/>
      <c r="B7231" s="876"/>
      <c r="C7231" s="743"/>
      <c r="D7231" s="743"/>
      <c r="E7231" s="379"/>
      <c r="F7231" s="379"/>
      <c r="G7231" s="379"/>
      <c r="H7231" s="380"/>
      <c r="I7231" s="1543"/>
      <c r="J7231" s="1543"/>
      <c r="K7231" s="1543"/>
      <c r="L7231" s="1543"/>
      <c r="M7231" s="1543"/>
      <c r="N7231" s="1543"/>
    </row>
    <row r="7232" spans="1:14">
      <c r="A7232" s="1544"/>
      <c r="B7232" s="876"/>
      <c r="C7232" s="743"/>
      <c r="D7232" s="743"/>
      <c r="E7232" s="379"/>
      <c r="F7232" s="379"/>
      <c r="G7232" s="379"/>
      <c r="H7232" s="380">
        <f>C7232</f>
        <v>0</v>
      </c>
      <c r="I7232" s="1543"/>
      <c r="J7232" s="1543"/>
      <c r="K7232" s="1543"/>
      <c r="L7232" s="1543"/>
      <c r="M7232" s="1543"/>
      <c r="N7232" s="1543"/>
    </row>
    <row r="7233" spans="1:14">
      <c r="A7233" s="1544"/>
      <c r="B7233" s="876"/>
      <c r="C7233" s="743"/>
      <c r="D7233" s="743"/>
      <c r="E7233" s="379"/>
      <c r="F7233" s="379"/>
      <c r="G7233" s="379"/>
      <c r="H7233" s="380">
        <f>C7233</f>
        <v>0</v>
      </c>
      <c r="I7233" s="1543"/>
      <c r="J7233" s="1543"/>
      <c r="K7233" s="1543"/>
      <c r="L7233" s="1543"/>
      <c r="M7233" s="1543"/>
      <c r="N7233" s="1543"/>
    </row>
    <row r="7234" spans="1:14">
      <c r="A7234" s="1538" t="s">
        <v>2218</v>
      </c>
      <c r="B7234" s="1538"/>
      <c r="C7234" s="1538"/>
      <c r="D7234" s="1538"/>
      <c r="E7234" s="1538"/>
      <c r="F7234" s="1538"/>
      <c r="G7234" s="1538"/>
      <c r="H7234" s="271">
        <f>SUM(H7231:H7233)</f>
        <v>0</v>
      </c>
      <c r="I7234" s="1543"/>
      <c r="J7234" s="1543"/>
      <c r="K7234" s="1543"/>
      <c r="L7234" s="1543"/>
      <c r="M7234" s="1543"/>
      <c r="N7234" s="1543"/>
    </row>
    <row r="7235" spans="1:14">
      <c r="A7235" s="1538" t="s">
        <v>2219</v>
      </c>
      <c r="B7235" s="1538"/>
      <c r="C7235" s="1538"/>
      <c r="D7235" s="1538"/>
      <c r="E7235" s="1538"/>
      <c r="F7235" s="1538"/>
      <c r="G7235" s="1538"/>
      <c r="H7235" s="271">
        <v>0</v>
      </c>
      <c r="I7235" s="1543"/>
      <c r="J7235" s="1543"/>
      <c r="K7235" s="1543"/>
      <c r="L7235" s="1543"/>
      <c r="M7235" s="1543"/>
      <c r="N7235" s="1543"/>
    </row>
    <row r="7236" spans="1:14">
      <c r="A7236" s="1538" t="s">
        <v>2220</v>
      </c>
      <c r="B7236" s="1538"/>
      <c r="C7236" s="1538"/>
      <c r="D7236" s="1538"/>
      <c r="E7236" s="1538"/>
      <c r="F7236" s="1538"/>
      <c r="G7236" s="1538"/>
      <c r="H7236" s="269">
        <f>H7234-H7235</f>
        <v>0</v>
      </c>
      <c r="I7236" s="1543"/>
      <c r="J7236" s="1543"/>
      <c r="K7236" s="1543"/>
      <c r="L7236" s="1543"/>
      <c r="M7236" s="1543"/>
      <c r="N7236" s="1543"/>
    </row>
    <row r="7237" spans="1:14">
      <c r="A7237" s="278"/>
      <c r="B7237" s="278"/>
      <c r="C7237" s="278"/>
      <c r="D7237" s="281"/>
      <c r="E7237" s="1319"/>
      <c r="F7237" s="278"/>
      <c r="G7237" s="278"/>
      <c r="H7237" s="217"/>
      <c r="I7237" s="279"/>
      <c r="J7237" s="279"/>
      <c r="K7237" s="279"/>
      <c r="L7237" s="279"/>
      <c r="M7237" s="279"/>
      <c r="N7237" s="279"/>
    </row>
    <row r="7238" spans="1:14">
      <c r="A7238" s="1124" t="s">
        <v>4126</v>
      </c>
      <c r="B7238" s="1539" t="str">
        <f>'27ª MEDIÇÃO '!C554</f>
        <v>Sensor Passivo Infravermelho PET digital com tecnologia de barramento ref. JFL DSL-510 BUS ou equivalente</v>
      </c>
      <c r="C7238" s="1539"/>
      <c r="D7238" s="1539"/>
      <c r="E7238" s="1539"/>
      <c r="F7238" s="1539"/>
      <c r="G7238" s="1539"/>
      <c r="H7238" s="1539"/>
      <c r="I7238" s="1539"/>
      <c r="J7238" s="1539"/>
      <c r="K7238" s="864" t="s">
        <v>3154</v>
      </c>
      <c r="L7238" s="1540">
        <f>'27ª MEDIÇÃO '!F554</f>
        <v>3</v>
      </c>
      <c r="M7238" s="1540"/>
      <c r="N7238" s="865">
        <f>L7238-H7244</f>
        <v>3</v>
      </c>
    </row>
    <row r="7239" spans="1:14">
      <c r="A7239" s="1541"/>
      <c r="B7239" s="1541"/>
      <c r="C7239" s="366"/>
      <c r="D7239" s="367" t="s">
        <v>2183</v>
      </c>
      <c r="E7239" s="1320" t="s">
        <v>2184</v>
      </c>
      <c r="F7239" s="367" t="s">
        <v>2185</v>
      </c>
      <c r="G7239" s="367" t="s">
        <v>2186</v>
      </c>
      <c r="H7239" s="1542" t="s">
        <v>476</v>
      </c>
      <c r="I7239" s="1543"/>
      <c r="J7239" s="1543"/>
      <c r="K7239" s="1543"/>
      <c r="L7239" s="1543"/>
      <c r="M7239" s="1543"/>
      <c r="N7239" s="1543"/>
    </row>
    <row r="7240" spans="1:14" ht="25.15" customHeight="1">
      <c r="A7240" s="1541"/>
      <c r="B7240" s="1541"/>
      <c r="C7240" s="368" t="s">
        <v>2627</v>
      </c>
      <c r="D7240" s="369" t="s">
        <v>2187</v>
      </c>
      <c r="E7240" s="529" t="s">
        <v>3152</v>
      </c>
      <c r="F7240" s="369" t="s">
        <v>2649</v>
      </c>
      <c r="G7240" s="370" t="s">
        <v>2709</v>
      </c>
      <c r="H7240" s="1542"/>
      <c r="I7240" s="1543"/>
      <c r="J7240" s="1543"/>
      <c r="K7240" s="1543"/>
      <c r="L7240" s="1543"/>
      <c r="M7240" s="1543"/>
      <c r="N7240" s="1543"/>
    </row>
    <row r="7241" spans="1:14">
      <c r="A7241" s="1544"/>
      <c r="B7241" s="876"/>
      <c r="C7241" s="743"/>
      <c r="D7241" s="743"/>
      <c r="E7241" s="379"/>
      <c r="F7241" s="379"/>
      <c r="G7241" s="379"/>
      <c r="H7241" s="380"/>
      <c r="I7241" s="1543"/>
      <c r="J7241" s="1543"/>
      <c r="K7241" s="1543"/>
      <c r="L7241" s="1543"/>
      <c r="M7241" s="1543"/>
      <c r="N7241" s="1543"/>
    </row>
    <row r="7242" spans="1:14">
      <c r="A7242" s="1544"/>
      <c r="B7242" s="876"/>
      <c r="C7242" s="743"/>
      <c r="D7242" s="743"/>
      <c r="E7242" s="379"/>
      <c r="F7242" s="379"/>
      <c r="G7242" s="379"/>
      <c r="H7242" s="380">
        <f>C7242</f>
        <v>0</v>
      </c>
      <c r="I7242" s="1543"/>
      <c r="J7242" s="1543"/>
      <c r="K7242" s="1543"/>
      <c r="L7242" s="1543"/>
      <c r="M7242" s="1543"/>
      <c r="N7242" s="1543"/>
    </row>
    <row r="7243" spans="1:14">
      <c r="A7243" s="1544"/>
      <c r="B7243" s="876"/>
      <c r="C7243" s="743"/>
      <c r="D7243" s="743"/>
      <c r="E7243" s="379"/>
      <c r="F7243" s="379"/>
      <c r="G7243" s="379"/>
      <c r="H7243" s="380">
        <f>C7243</f>
        <v>0</v>
      </c>
      <c r="I7243" s="1543"/>
      <c r="J7243" s="1543"/>
      <c r="K7243" s="1543"/>
      <c r="L7243" s="1543"/>
      <c r="M7243" s="1543"/>
      <c r="N7243" s="1543"/>
    </row>
    <row r="7244" spans="1:14">
      <c r="A7244" s="1538" t="s">
        <v>2218</v>
      </c>
      <c r="B7244" s="1538"/>
      <c r="C7244" s="1538"/>
      <c r="D7244" s="1538"/>
      <c r="E7244" s="1538"/>
      <c r="F7244" s="1538"/>
      <c r="G7244" s="1538"/>
      <c r="H7244" s="271">
        <f>SUM(H7241:H7243)</f>
        <v>0</v>
      </c>
      <c r="I7244" s="1543"/>
      <c r="J7244" s="1543"/>
      <c r="K7244" s="1543"/>
      <c r="L7244" s="1543"/>
      <c r="M7244" s="1543"/>
      <c r="N7244" s="1543"/>
    </row>
    <row r="7245" spans="1:14">
      <c r="A7245" s="1538" t="s">
        <v>2219</v>
      </c>
      <c r="B7245" s="1538"/>
      <c r="C7245" s="1538"/>
      <c r="D7245" s="1538"/>
      <c r="E7245" s="1538"/>
      <c r="F7245" s="1538"/>
      <c r="G7245" s="1538"/>
      <c r="H7245" s="271">
        <v>0</v>
      </c>
      <c r="I7245" s="1543"/>
      <c r="J7245" s="1543"/>
      <c r="K7245" s="1543"/>
      <c r="L7245" s="1543"/>
      <c r="M7245" s="1543"/>
      <c r="N7245" s="1543"/>
    </row>
    <row r="7246" spans="1:14">
      <c r="A7246" s="1538" t="s">
        <v>2220</v>
      </c>
      <c r="B7246" s="1538"/>
      <c r="C7246" s="1538"/>
      <c r="D7246" s="1538"/>
      <c r="E7246" s="1538"/>
      <c r="F7246" s="1538"/>
      <c r="G7246" s="1538"/>
      <c r="H7246" s="269">
        <f>H7244-H7245</f>
        <v>0</v>
      </c>
      <c r="I7246" s="1543"/>
      <c r="J7246" s="1543"/>
      <c r="K7246" s="1543"/>
      <c r="L7246" s="1543"/>
      <c r="M7246" s="1543"/>
      <c r="N7246" s="1543"/>
    </row>
    <row r="7247" spans="1:14">
      <c r="A7247" s="278"/>
      <c r="B7247" s="278"/>
      <c r="C7247" s="278"/>
      <c r="D7247" s="281"/>
      <c r="E7247" s="1319"/>
      <c r="F7247" s="278"/>
      <c r="G7247" s="278"/>
      <c r="H7247" s="217"/>
      <c r="I7247" s="279"/>
      <c r="J7247" s="279"/>
      <c r="K7247" s="279"/>
      <c r="L7247" s="279"/>
      <c r="M7247" s="279"/>
      <c r="N7247" s="279"/>
    </row>
    <row r="7248" spans="1:14">
      <c r="A7248" s="1124" t="s">
        <v>4127</v>
      </c>
      <c r="B7248" s="1539" t="str">
        <f>'27ª MEDIÇÃO '!C555</f>
        <v>Teclado LCD para alarme com fio para centrais monitoráveis ref. JFL TEC-300 ou equivalente</v>
      </c>
      <c r="C7248" s="1539"/>
      <c r="D7248" s="1539"/>
      <c r="E7248" s="1539"/>
      <c r="F7248" s="1539"/>
      <c r="G7248" s="1539"/>
      <c r="H7248" s="1539"/>
      <c r="I7248" s="1539"/>
      <c r="J7248" s="1539"/>
      <c r="K7248" s="864" t="s">
        <v>3154</v>
      </c>
      <c r="L7248" s="1540">
        <f>'27ª MEDIÇÃO '!F555</f>
        <v>2</v>
      </c>
      <c r="M7248" s="1540"/>
      <c r="N7248" s="865">
        <f>L7248-H7254</f>
        <v>2</v>
      </c>
    </row>
    <row r="7249" spans="1:14">
      <c r="A7249" s="1541"/>
      <c r="B7249" s="1541"/>
      <c r="C7249" s="366"/>
      <c r="D7249" s="367" t="s">
        <v>2183</v>
      </c>
      <c r="E7249" s="1320" t="s">
        <v>2184</v>
      </c>
      <c r="F7249" s="367" t="s">
        <v>2185</v>
      </c>
      <c r="G7249" s="367" t="s">
        <v>2186</v>
      </c>
      <c r="H7249" s="1542" t="s">
        <v>476</v>
      </c>
      <c r="I7249" s="1543"/>
      <c r="J7249" s="1543"/>
      <c r="K7249" s="1543"/>
      <c r="L7249" s="1543"/>
      <c r="M7249" s="1543"/>
      <c r="N7249" s="1543"/>
    </row>
    <row r="7250" spans="1:14" ht="25.15" customHeight="1">
      <c r="A7250" s="1541"/>
      <c r="B7250" s="1541"/>
      <c r="C7250" s="368" t="s">
        <v>2627</v>
      </c>
      <c r="D7250" s="369" t="s">
        <v>2187</v>
      </c>
      <c r="E7250" s="529" t="s">
        <v>3152</v>
      </c>
      <c r="F7250" s="369" t="s">
        <v>2649</v>
      </c>
      <c r="G7250" s="370" t="s">
        <v>2709</v>
      </c>
      <c r="H7250" s="1542"/>
      <c r="I7250" s="1543"/>
      <c r="J7250" s="1543"/>
      <c r="K7250" s="1543"/>
      <c r="L7250" s="1543"/>
      <c r="M7250" s="1543"/>
      <c r="N7250" s="1543"/>
    </row>
    <row r="7251" spans="1:14">
      <c r="A7251" s="1544"/>
      <c r="B7251" s="876"/>
      <c r="C7251" s="743"/>
      <c r="D7251" s="743"/>
      <c r="E7251" s="379"/>
      <c r="F7251" s="379"/>
      <c r="G7251" s="379"/>
      <c r="H7251" s="380"/>
      <c r="I7251" s="1543"/>
      <c r="J7251" s="1543"/>
      <c r="K7251" s="1543"/>
      <c r="L7251" s="1543"/>
      <c r="M7251" s="1543"/>
      <c r="N7251" s="1543"/>
    </row>
    <row r="7252" spans="1:14">
      <c r="A7252" s="1544"/>
      <c r="B7252" s="876"/>
      <c r="C7252" s="743"/>
      <c r="D7252" s="743"/>
      <c r="E7252" s="379"/>
      <c r="F7252" s="379"/>
      <c r="G7252" s="379"/>
      <c r="H7252" s="380">
        <f>C7252</f>
        <v>0</v>
      </c>
      <c r="I7252" s="1543"/>
      <c r="J7252" s="1543"/>
      <c r="K7252" s="1543"/>
      <c r="L7252" s="1543"/>
      <c r="M7252" s="1543"/>
      <c r="N7252" s="1543"/>
    </row>
    <row r="7253" spans="1:14">
      <c r="A7253" s="1544"/>
      <c r="B7253" s="876"/>
      <c r="C7253" s="743"/>
      <c r="D7253" s="743"/>
      <c r="E7253" s="379"/>
      <c r="F7253" s="379"/>
      <c r="G7253" s="379"/>
      <c r="H7253" s="380">
        <f>C7253</f>
        <v>0</v>
      </c>
      <c r="I7253" s="1543"/>
      <c r="J7253" s="1543"/>
      <c r="K7253" s="1543"/>
      <c r="L7253" s="1543"/>
      <c r="M7253" s="1543"/>
      <c r="N7253" s="1543"/>
    </row>
    <row r="7254" spans="1:14">
      <c r="A7254" s="1538" t="s">
        <v>2218</v>
      </c>
      <c r="B7254" s="1538"/>
      <c r="C7254" s="1538"/>
      <c r="D7254" s="1538"/>
      <c r="E7254" s="1538"/>
      <c r="F7254" s="1538"/>
      <c r="G7254" s="1538"/>
      <c r="H7254" s="271">
        <f>SUM(H7251:H7253)</f>
        <v>0</v>
      </c>
      <c r="I7254" s="1543"/>
      <c r="J7254" s="1543"/>
      <c r="K7254" s="1543"/>
      <c r="L7254" s="1543"/>
      <c r="M7254" s="1543"/>
      <c r="N7254" s="1543"/>
    </row>
    <row r="7255" spans="1:14">
      <c r="A7255" s="1538" t="s">
        <v>2219</v>
      </c>
      <c r="B7255" s="1538"/>
      <c r="C7255" s="1538"/>
      <c r="D7255" s="1538"/>
      <c r="E7255" s="1538"/>
      <c r="F7255" s="1538"/>
      <c r="G7255" s="1538"/>
      <c r="H7255" s="271">
        <v>0</v>
      </c>
      <c r="I7255" s="1543"/>
      <c r="J7255" s="1543"/>
      <c r="K7255" s="1543"/>
      <c r="L7255" s="1543"/>
      <c r="M7255" s="1543"/>
      <c r="N7255" s="1543"/>
    </row>
    <row r="7256" spans="1:14">
      <c r="A7256" s="1538" t="s">
        <v>2220</v>
      </c>
      <c r="B7256" s="1538"/>
      <c r="C7256" s="1538"/>
      <c r="D7256" s="1538"/>
      <c r="E7256" s="1538"/>
      <c r="F7256" s="1538"/>
      <c r="G7256" s="1538"/>
      <c r="H7256" s="269">
        <f>H7254-H7255</f>
        <v>0</v>
      </c>
      <c r="I7256" s="1543"/>
      <c r="J7256" s="1543"/>
      <c r="K7256" s="1543"/>
      <c r="L7256" s="1543"/>
      <c r="M7256" s="1543"/>
      <c r="N7256" s="1543"/>
    </row>
    <row r="7257" spans="1:14">
      <c r="A7257" s="278"/>
      <c r="B7257" s="278"/>
      <c r="C7257" s="278"/>
      <c r="D7257" s="281"/>
      <c r="E7257" s="1319"/>
      <c r="F7257" s="278"/>
      <c r="G7257" s="278"/>
      <c r="H7257" s="217"/>
      <c r="I7257" s="279"/>
      <c r="J7257" s="279"/>
      <c r="K7257" s="279"/>
      <c r="L7257" s="279"/>
      <c r="M7257" s="279"/>
      <c r="N7257" s="279"/>
    </row>
    <row r="7258" spans="1:14">
      <c r="A7258" s="1124" t="s">
        <v>4128</v>
      </c>
      <c r="B7258" s="1539" t="str">
        <f>'27ª MEDIÇÃO '!C556</f>
        <v>Sirene piezoelétrica com tecnologia de barramento ref JFL SIR-215-BUS ou equivalente</v>
      </c>
      <c r="C7258" s="1539"/>
      <c r="D7258" s="1539"/>
      <c r="E7258" s="1539"/>
      <c r="F7258" s="1539"/>
      <c r="G7258" s="1539"/>
      <c r="H7258" s="1539"/>
      <c r="I7258" s="1539"/>
      <c r="J7258" s="1539"/>
      <c r="K7258" s="864" t="s">
        <v>3154</v>
      </c>
      <c r="L7258" s="1540">
        <f>'27ª MEDIÇÃO '!F556</f>
        <v>2</v>
      </c>
      <c r="M7258" s="1540"/>
      <c r="N7258" s="865">
        <f>L7258-H7264</f>
        <v>2</v>
      </c>
    </row>
    <row r="7259" spans="1:14">
      <c r="A7259" s="1541"/>
      <c r="B7259" s="1541"/>
      <c r="C7259" s="366"/>
      <c r="D7259" s="367" t="s">
        <v>2183</v>
      </c>
      <c r="E7259" s="1320" t="s">
        <v>2184</v>
      </c>
      <c r="F7259" s="367" t="s">
        <v>2185</v>
      </c>
      <c r="G7259" s="367" t="s">
        <v>2186</v>
      </c>
      <c r="H7259" s="1542" t="s">
        <v>476</v>
      </c>
      <c r="I7259" s="1543"/>
      <c r="J7259" s="1543"/>
      <c r="K7259" s="1543"/>
      <c r="L7259" s="1543"/>
      <c r="M7259" s="1543"/>
      <c r="N7259" s="1543"/>
    </row>
    <row r="7260" spans="1:14" ht="25.15" customHeight="1">
      <c r="A7260" s="1541"/>
      <c r="B7260" s="1541"/>
      <c r="C7260" s="368" t="s">
        <v>2627</v>
      </c>
      <c r="D7260" s="369" t="s">
        <v>2187</v>
      </c>
      <c r="E7260" s="529" t="s">
        <v>3152</v>
      </c>
      <c r="F7260" s="369" t="s">
        <v>2649</v>
      </c>
      <c r="G7260" s="370" t="s">
        <v>2709</v>
      </c>
      <c r="H7260" s="1542"/>
      <c r="I7260" s="1543"/>
      <c r="J7260" s="1543"/>
      <c r="K7260" s="1543"/>
      <c r="L7260" s="1543"/>
      <c r="M7260" s="1543"/>
      <c r="N7260" s="1543"/>
    </row>
    <row r="7261" spans="1:14">
      <c r="A7261" s="1544"/>
      <c r="B7261" s="876"/>
      <c r="C7261" s="743"/>
      <c r="D7261" s="743"/>
      <c r="E7261" s="379"/>
      <c r="F7261" s="379"/>
      <c r="G7261" s="379"/>
      <c r="H7261" s="380"/>
      <c r="I7261" s="1543"/>
      <c r="J7261" s="1543"/>
      <c r="K7261" s="1543"/>
      <c r="L7261" s="1543"/>
      <c r="M7261" s="1543"/>
      <c r="N7261" s="1543"/>
    </row>
    <row r="7262" spans="1:14">
      <c r="A7262" s="1544"/>
      <c r="B7262" s="876"/>
      <c r="C7262" s="743"/>
      <c r="D7262" s="743"/>
      <c r="E7262" s="379"/>
      <c r="F7262" s="379"/>
      <c r="G7262" s="379"/>
      <c r="H7262" s="380">
        <f>C7262</f>
        <v>0</v>
      </c>
      <c r="I7262" s="1543"/>
      <c r="J7262" s="1543"/>
      <c r="K7262" s="1543"/>
      <c r="L7262" s="1543"/>
      <c r="M7262" s="1543"/>
      <c r="N7262" s="1543"/>
    </row>
    <row r="7263" spans="1:14">
      <c r="A7263" s="1544"/>
      <c r="B7263" s="876"/>
      <c r="C7263" s="743"/>
      <c r="D7263" s="743"/>
      <c r="E7263" s="379"/>
      <c r="F7263" s="379"/>
      <c r="G7263" s="379"/>
      <c r="H7263" s="380">
        <f>C7263</f>
        <v>0</v>
      </c>
      <c r="I7263" s="1543"/>
      <c r="J7263" s="1543"/>
      <c r="K7263" s="1543"/>
      <c r="L7263" s="1543"/>
      <c r="M7263" s="1543"/>
      <c r="N7263" s="1543"/>
    </row>
    <row r="7264" spans="1:14">
      <c r="A7264" s="1538" t="s">
        <v>2218</v>
      </c>
      <c r="B7264" s="1538"/>
      <c r="C7264" s="1538"/>
      <c r="D7264" s="1538"/>
      <c r="E7264" s="1538"/>
      <c r="F7264" s="1538"/>
      <c r="G7264" s="1538"/>
      <c r="H7264" s="271">
        <f>SUM(H7261:H7263)</f>
        <v>0</v>
      </c>
      <c r="I7264" s="1543"/>
      <c r="J7264" s="1543"/>
      <c r="K7264" s="1543"/>
      <c r="L7264" s="1543"/>
      <c r="M7264" s="1543"/>
      <c r="N7264" s="1543"/>
    </row>
    <row r="7265" spans="1:14">
      <c r="A7265" s="1538" t="s">
        <v>2219</v>
      </c>
      <c r="B7265" s="1538"/>
      <c r="C7265" s="1538"/>
      <c r="D7265" s="1538"/>
      <c r="E7265" s="1538"/>
      <c r="F7265" s="1538"/>
      <c r="G7265" s="1538"/>
      <c r="H7265" s="271">
        <v>0</v>
      </c>
      <c r="I7265" s="1543"/>
      <c r="J7265" s="1543"/>
      <c r="K7265" s="1543"/>
      <c r="L7265" s="1543"/>
      <c r="M7265" s="1543"/>
      <c r="N7265" s="1543"/>
    </row>
    <row r="7266" spans="1:14">
      <c r="A7266" s="1538" t="s">
        <v>2220</v>
      </c>
      <c r="B7266" s="1538"/>
      <c r="C7266" s="1538"/>
      <c r="D7266" s="1538"/>
      <c r="E7266" s="1538"/>
      <c r="F7266" s="1538"/>
      <c r="G7266" s="1538"/>
      <c r="H7266" s="269">
        <f>H7264-H7265</f>
        <v>0</v>
      </c>
      <c r="I7266" s="1543"/>
      <c r="J7266" s="1543"/>
      <c r="K7266" s="1543"/>
      <c r="L7266" s="1543"/>
      <c r="M7266" s="1543"/>
      <c r="N7266" s="1543"/>
    </row>
    <row r="7267" spans="1:14">
      <c r="A7267" s="278"/>
      <c r="B7267" s="278"/>
      <c r="C7267" s="278"/>
      <c r="D7267" s="281"/>
      <c r="E7267" s="1319"/>
      <c r="F7267" s="278"/>
      <c r="G7267" s="278"/>
      <c r="H7267" s="217"/>
      <c r="I7267" s="279"/>
      <c r="J7267" s="279"/>
      <c r="K7267" s="279"/>
      <c r="L7267" s="279"/>
      <c r="M7267" s="279"/>
      <c r="N7267" s="279"/>
    </row>
    <row r="7268" spans="1:14">
      <c r="A7268" s="1124" t="s">
        <v>4129</v>
      </c>
      <c r="B7268" s="1539" t="str">
        <f>'27ª MEDIÇÃO '!C557</f>
        <v>Régua com 8 tomadas 2P+T, 10 A</v>
      </c>
      <c r="C7268" s="1539"/>
      <c r="D7268" s="1539"/>
      <c r="E7268" s="1539"/>
      <c r="F7268" s="1539"/>
      <c r="G7268" s="1539"/>
      <c r="H7268" s="1539"/>
      <c r="I7268" s="1539"/>
      <c r="J7268" s="1539"/>
      <c r="K7268" s="864" t="s">
        <v>3154</v>
      </c>
      <c r="L7268" s="1540">
        <f>'27ª MEDIÇÃO '!F557</f>
        <v>1</v>
      </c>
      <c r="M7268" s="1540"/>
      <c r="N7268" s="865">
        <f>L7268-H7274</f>
        <v>0</v>
      </c>
    </row>
    <row r="7269" spans="1:14">
      <c r="A7269" s="1541"/>
      <c r="B7269" s="1541"/>
      <c r="C7269" s="366"/>
      <c r="D7269" s="367" t="s">
        <v>2183</v>
      </c>
      <c r="E7269" s="1320" t="s">
        <v>2184</v>
      </c>
      <c r="F7269" s="367" t="s">
        <v>2185</v>
      </c>
      <c r="G7269" s="367" t="s">
        <v>2186</v>
      </c>
      <c r="H7269" s="1542" t="s">
        <v>476</v>
      </c>
      <c r="I7269" s="1543"/>
      <c r="J7269" s="1543"/>
      <c r="K7269" s="1543"/>
      <c r="L7269" s="1543"/>
      <c r="M7269" s="1543"/>
      <c r="N7269" s="1543"/>
    </row>
    <row r="7270" spans="1:14" ht="25.15" customHeight="1">
      <c r="A7270" s="1541"/>
      <c r="B7270" s="1541"/>
      <c r="C7270" s="368" t="s">
        <v>2627</v>
      </c>
      <c r="D7270" s="369" t="s">
        <v>2187</v>
      </c>
      <c r="E7270" s="529" t="s">
        <v>3152</v>
      </c>
      <c r="F7270" s="369" t="s">
        <v>2649</v>
      </c>
      <c r="G7270" s="370" t="s">
        <v>2709</v>
      </c>
      <c r="H7270" s="1542"/>
      <c r="I7270" s="1543"/>
      <c r="J7270" s="1543"/>
      <c r="K7270" s="1543"/>
      <c r="L7270" s="1543"/>
      <c r="M7270" s="1543"/>
      <c r="N7270" s="1543"/>
    </row>
    <row r="7271" spans="1:14">
      <c r="A7271" s="1544" t="s">
        <v>4143</v>
      </c>
      <c r="B7271" s="876"/>
      <c r="C7271" s="743"/>
      <c r="D7271" s="743"/>
      <c r="E7271" s="379"/>
      <c r="F7271" s="379"/>
      <c r="G7271" s="379"/>
      <c r="H7271" s="380"/>
      <c r="I7271" s="1543"/>
      <c r="J7271" s="1543"/>
      <c r="K7271" s="1543"/>
      <c r="L7271" s="1543"/>
      <c r="M7271" s="1543"/>
      <c r="N7271" s="1543"/>
    </row>
    <row r="7272" spans="1:14">
      <c r="A7272" s="1544"/>
      <c r="B7272" s="876" t="s">
        <v>3964</v>
      </c>
      <c r="C7272" s="743">
        <v>1</v>
      </c>
      <c r="D7272" s="743"/>
      <c r="E7272" s="379"/>
      <c r="F7272" s="379"/>
      <c r="G7272" s="379"/>
      <c r="H7272" s="380">
        <f>C7272</f>
        <v>1</v>
      </c>
      <c r="I7272" s="1543"/>
      <c r="J7272" s="1543"/>
      <c r="K7272" s="1543"/>
      <c r="L7272" s="1543"/>
      <c r="M7272" s="1543"/>
      <c r="N7272" s="1543"/>
    </row>
    <row r="7273" spans="1:14">
      <c r="A7273" s="1544"/>
      <c r="B7273" s="876"/>
      <c r="C7273" s="743"/>
      <c r="D7273" s="743"/>
      <c r="E7273" s="379"/>
      <c r="F7273" s="379"/>
      <c r="G7273" s="379"/>
      <c r="H7273" s="380">
        <f>C7273</f>
        <v>0</v>
      </c>
      <c r="I7273" s="1543"/>
      <c r="J7273" s="1543"/>
      <c r="K7273" s="1543"/>
      <c r="L7273" s="1543"/>
      <c r="M7273" s="1543"/>
      <c r="N7273" s="1543"/>
    </row>
    <row r="7274" spans="1:14">
      <c r="A7274" s="1538" t="s">
        <v>2218</v>
      </c>
      <c r="B7274" s="1538"/>
      <c r="C7274" s="1538"/>
      <c r="D7274" s="1538"/>
      <c r="E7274" s="1538"/>
      <c r="F7274" s="1538"/>
      <c r="G7274" s="1538"/>
      <c r="H7274" s="271">
        <f>SUM(H7271:H7273)</f>
        <v>1</v>
      </c>
      <c r="I7274" s="1543"/>
      <c r="J7274" s="1543"/>
      <c r="K7274" s="1543"/>
      <c r="L7274" s="1543"/>
      <c r="M7274" s="1543"/>
      <c r="N7274" s="1543"/>
    </row>
    <row r="7275" spans="1:14">
      <c r="A7275" s="1538" t="s">
        <v>2219</v>
      </c>
      <c r="B7275" s="1538"/>
      <c r="C7275" s="1538"/>
      <c r="D7275" s="1538"/>
      <c r="E7275" s="1538"/>
      <c r="F7275" s="1538"/>
      <c r="G7275" s="1538"/>
      <c r="H7275" s="271">
        <v>0</v>
      </c>
      <c r="I7275" s="1543"/>
      <c r="J7275" s="1543"/>
      <c r="K7275" s="1543"/>
      <c r="L7275" s="1543"/>
      <c r="M7275" s="1543"/>
      <c r="N7275" s="1543"/>
    </row>
    <row r="7276" spans="1:14">
      <c r="A7276" s="1538" t="s">
        <v>2220</v>
      </c>
      <c r="B7276" s="1538"/>
      <c r="C7276" s="1538"/>
      <c r="D7276" s="1538"/>
      <c r="E7276" s="1538"/>
      <c r="F7276" s="1538"/>
      <c r="G7276" s="1538"/>
      <c r="H7276" s="269">
        <f>H7274-H7275</f>
        <v>1</v>
      </c>
      <c r="I7276" s="1543"/>
      <c r="J7276" s="1543"/>
      <c r="K7276" s="1543"/>
      <c r="L7276" s="1543"/>
      <c r="M7276" s="1543"/>
      <c r="N7276" s="1543"/>
    </row>
    <row r="7277" spans="1:14">
      <c r="A7277" s="278"/>
      <c r="B7277" s="278"/>
      <c r="C7277" s="278"/>
      <c r="D7277" s="281"/>
      <c r="E7277" s="1319"/>
      <c r="F7277" s="278"/>
      <c r="G7277" s="278"/>
      <c r="H7277" s="217"/>
      <c r="I7277" s="279"/>
      <c r="J7277" s="279"/>
      <c r="K7277" s="279"/>
      <c r="L7277" s="279"/>
      <c r="M7277" s="279"/>
      <c r="N7277" s="279"/>
    </row>
    <row r="7278" spans="1:14" ht="25.15" customHeight="1">
      <c r="A7278" s="1118" t="s">
        <v>1834</v>
      </c>
      <c r="B7278" s="1598" t="s">
        <v>1835</v>
      </c>
      <c r="C7278" s="1599"/>
      <c r="D7278" s="1599"/>
      <c r="E7278" s="1599"/>
      <c r="F7278" s="1599"/>
      <c r="G7278" s="1599"/>
      <c r="H7278" s="1599"/>
      <c r="I7278" s="1599"/>
      <c r="J7278" s="1599"/>
      <c r="K7278" s="1599"/>
      <c r="L7278" s="1599"/>
      <c r="M7278" s="1599"/>
      <c r="N7278" s="1600"/>
    </row>
    <row r="7279" spans="1:14">
      <c r="A7279" s="235" t="s">
        <v>1836</v>
      </c>
      <c r="B7279" s="1601" t="s">
        <v>1837</v>
      </c>
      <c r="C7279" s="1602"/>
      <c r="D7279" s="1602"/>
      <c r="E7279" s="1602"/>
      <c r="F7279" s="1602"/>
      <c r="G7279" s="1602"/>
      <c r="H7279" s="1602"/>
      <c r="I7279" s="1602"/>
      <c r="J7279" s="1602"/>
      <c r="K7279" s="1602"/>
      <c r="L7279" s="1602"/>
      <c r="M7279" s="1602"/>
      <c r="N7279" s="1603"/>
    </row>
    <row r="7280" spans="1:14" ht="26.25" customHeight="1">
      <c r="A7280" s="1126" t="s">
        <v>3666</v>
      </c>
      <c r="B7280" s="1561" t="s">
        <v>1840</v>
      </c>
      <c r="C7280" s="1562"/>
      <c r="D7280" s="1562"/>
      <c r="E7280" s="1562"/>
      <c r="F7280" s="1562"/>
      <c r="G7280" s="1562"/>
      <c r="H7280" s="1562"/>
      <c r="I7280" s="1562"/>
      <c r="J7280" s="1563"/>
      <c r="K7280" s="264" t="s">
        <v>3154</v>
      </c>
      <c r="L7280" s="1564">
        <f>'27ª MEDIÇÃO '!F561</f>
        <v>12</v>
      </c>
      <c r="M7280" s="1565"/>
      <c r="N7280" s="265">
        <f>L7280-H7295</f>
        <v>0</v>
      </c>
    </row>
    <row r="7281" spans="1:14">
      <c r="A7281" s="1499"/>
      <c r="B7281" s="1500"/>
      <c r="C7281" s="366"/>
      <c r="D7281" s="367" t="s">
        <v>2183</v>
      </c>
      <c r="E7281" s="1320" t="s">
        <v>2184</v>
      </c>
      <c r="F7281" s="367" t="s">
        <v>2185</v>
      </c>
      <c r="G7281" s="367" t="s">
        <v>2186</v>
      </c>
      <c r="H7281" s="1503" t="s">
        <v>476</v>
      </c>
      <c r="I7281" s="1505"/>
      <c r="J7281" s="1506"/>
      <c r="K7281" s="1506"/>
      <c r="L7281" s="1506"/>
      <c r="M7281" s="1506"/>
      <c r="N7281" s="1507"/>
    </row>
    <row r="7282" spans="1:14" ht="24">
      <c r="A7282" s="1501"/>
      <c r="B7282" s="1502"/>
      <c r="C7282" s="368" t="s">
        <v>2627</v>
      </c>
      <c r="D7282" s="369" t="s">
        <v>2187</v>
      </c>
      <c r="E7282" s="529" t="s">
        <v>3152</v>
      </c>
      <c r="F7282" s="369" t="s">
        <v>2649</v>
      </c>
      <c r="G7282" s="370" t="s">
        <v>2709</v>
      </c>
      <c r="H7282" s="1504"/>
      <c r="I7282" s="1508"/>
      <c r="J7282" s="1509"/>
      <c r="K7282" s="1509"/>
      <c r="L7282" s="1509"/>
      <c r="M7282" s="1509"/>
      <c r="N7282" s="1510"/>
    </row>
    <row r="7283" spans="1:14">
      <c r="A7283" s="1514" t="s">
        <v>3620</v>
      </c>
      <c r="B7283" s="1033" t="s">
        <v>2929</v>
      </c>
      <c r="C7283" s="756"/>
      <c r="D7283" s="202"/>
      <c r="E7283" s="346"/>
      <c r="F7283" s="346"/>
      <c r="G7283" s="346"/>
      <c r="H7283" s="403"/>
      <c r="I7283" s="1508"/>
      <c r="J7283" s="1509"/>
      <c r="K7283" s="1509"/>
      <c r="L7283" s="1509"/>
      <c r="M7283" s="1509"/>
      <c r="N7283" s="1510"/>
    </row>
    <row r="7284" spans="1:14">
      <c r="A7284" s="1523"/>
      <c r="B7284" s="876" t="s">
        <v>2344</v>
      </c>
      <c r="C7284" s="956">
        <v>1</v>
      </c>
      <c r="D7284" s="919"/>
      <c r="E7284" s="693"/>
      <c r="F7284" s="693"/>
      <c r="G7284" s="693"/>
      <c r="H7284" s="957">
        <f>C7284</f>
        <v>1</v>
      </c>
      <c r="I7284" s="1508"/>
      <c r="J7284" s="1509"/>
      <c r="K7284" s="1509"/>
      <c r="L7284" s="1509"/>
      <c r="M7284" s="1509"/>
      <c r="N7284" s="1510"/>
    </row>
    <row r="7285" spans="1:14">
      <c r="A7285" s="1523"/>
      <c r="B7285" s="876" t="s">
        <v>2461</v>
      </c>
      <c r="C7285" s="743">
        <v>1</v>
      </c>
      <c r="D7285" s="743"/>
      <c r="E7285" s="1367"/>
      <c r="F7285" s="743"/>
      <c r="G7285" s="743"/>
      <c r="H7285" s="957">
        <f>C7285</f>
        <v>1</v>
      </c>
      <c r="I7285" s="1508"/>
      <c r="J7285" s="1509"/>
      <c r="K7285" s="1509"/>
      <c r="L7285" s="1509"/>
      <c r="M7285" s="1509"/>
      <c r="N7285" s="1510"/>
    </row>
    <row r="7286" spans="1:14">
      <c r="A7286" s="1523"/>
      <c r="B7286" s="876" t="s">
        <v>2339</v>
      </c>
      <c r="C7286" s="743">
        <v>2</v>
      </c>
      <c r="D7286" s="743"/>
      <c r="E7286" s="1367"/>
      <c r="F7286" s="743"/>
      <c r="G7286" s="743"/>
      <c r="H7286" s="957">
        <f>C7286</f>
        <v>2</v>
      </c>
      <c r="I7286" s="1508"/>
      <c r="J7286" s="1509"/>
      <c r="K7286" s="1509"/>
      <c r="L7286" s="1509"/>
      <c r="M7286" s="1509"/>
      <c r="N7286" s="1510"/>
    </row>
    <row r="7287" spans="1:14">
      <c r="A7287" s="1523" t="s">
        <v>3892</v>
      </c>
      <c r="B7287" s="876" t="s">
        <v>3926</v>
      </c>
      <c r="C7287" s="237">
        <v>1</v>
      </c>
      <c r="D7287" s="237"/>
      <c r="E7287" s="1369"/>
      <c r="F7287" s="237"/>
      <c r="G7287" s="237"/>
      <c r="H7287" s="957">
        <f>C7287</f>
        <v>1</v>
      </c>
      <c r="I7287" s="1508"/>
      <c r="J7287" s="1509"/>
      <c r="K7287" s="1509"/>
      <c r="L7287" s="1509"/>
      <c r="M7287" s="1509"/>
      <c r="N7287" s="1510"/>
    </row>
    <row r="7288" spans="1:14">
      <c r="A7288" s="1523"/>
      <c r="B7288" s="1033" t="s">
        <v>2727</v>
      </c>
      <c r="C7288" s="756"/>
      <c r="D7288" s="202"/>
      <c r="E7288" s="346"/>
      <c r="F7288" s="346"/>
      <c r="G7288" s="346"/>
      <c r="H7288" s="403"/>
      <c r="I7288" s="1508"/>
      <c r="J7288" s="1509"/>
      <c r="K7288" s="1509"/>
      <c r="L7288" s="1509"/>
      <c r="M7288" s="1509"/>
      <c r="N7288" s="1510"/>
    </row>
    <row r="7289" spans="1:14">
      <c r="A7289" s="1523"/>
      <c r="B7289" s="876" t="s">
        <v>3853</v>
      </c>
      <c r="C7289" s="956">
        <v>1</v>
      </c>
      <c r="D7289" s="919"/>
      <c r="E7289" s="693"/>
      <c r="F7289" s="693"/>
      <c r="G7289" s="693"/>
      <c r="H7289" s="957">
        <f t="shared" ref="H7289:H7294" si="129">C7289</f>
        <v>1</v>
      </c>
      <c r="I7289" s="1508"/>
      <c r="J7289" s="1509"/>
      <c r="K7289" s="1509"/>
      <c r="L7289" s="1509"/>
      <c r="M7289" s="1509"/>
      <c r="N7289" s="1510"/>
    </row>
    <row r="7290" spans="1:14">
      <c r="A7290" s="1523"/>
      <c r="B7290" s="876" t="s">
        <v>3921</v>
      </c>
      <c r="C7290" s="1181">
        <v>1</v>
      </c>
      <c r="D7290" s="200"/>
      <c r="E7290" s="376"/>
      <c r="F7290" s="376"/>
      <c r="G7290" s="376"/>
      <c r="H7290" s="957">
        <f t="shared" si="129"/>
        <v>1</v>
      </c>
      <c r="I7290" s="1508"/>
      <c r="J7290" s="1509"/>
      <c r="K7290" s="1509"/>
      <c r="L7290" s="1509"/>
      <c r="M7290" s="1509"/>
      <c r="N7290" s="1510"/>
    </row>
    <row r="7291" spans="1:14">
      <c r="A7291" s="1523"/>
      <c r="B7291" s="876" t="s">
        <v>3922</v>
      </c>
      <c r="C7291" s="1181">
        <v>2</v>
      </c>
      <c r="D7291" s="200"/>
      <c r="E7291" s="376"/>
      <c r="F7291" s="376"/>
      <c r="G7291" s="376"/>
      <c r="H7291" s="957">
        <f t="shared" si="129"/>
        <v>2</v>
      </c>
      <c r="I7291" s="1508"/>
      <c r="J7291" s="1509"/>
      <c r="K7291" s="1509"/>
      <c r="L7291" s="1509"/>
      <c r="M7291" s="1509"/>
      <c r="N7291" s="1510"/>
    </row>
    <row r="7292" spans="1:14">
      <c r="A7292" s="1523"/>
      <c r="B7292" s="876" t="s">
        <v>3923</v>
      </c>
      <c r="C7292" s="743">
        <v>1</v>
      </c>
      <c r="D7292" s="743"/>
      <c r="E7292" s="1367"/>
      <c r="F7292" s="743"/>
      <c r="G7292" s="743"/>
      <c r="H7292" s="957">
        <f t="shared" si="129"/>
        <v>1</v>
      </c>
      <c r="I7292" s="1508"/>
      <c r="J7292" s="1509"/>
      <c r="K7292" s="1509"/>
      <c r="L7292" s="1509"/>
      <c r="M7292" s="1509"/>
      <c r="N7292" s="1510"/>
    </row>
    <row r="7293" spans="1:14">
      <c r="A7293" s="1523"/>
      <c r="B7293" s="876" t="s">
        <v>3924</v>
      </c>
      <c r="C7293" s="743">
        <v>1</v>
      </c>
      <c r="D7293" s="743"/>
      <c r="E7293" s="1367"/>
      <c r="F7293" s="743"/>
      <c r="G7293" s="743"/>
      <c r="H7293" s="957">
        <f t="shared" si="129"/>
        <v>1</v>
      </c>
      <c r="I7293" s="1508"/>
      <c r="J7293" s="1509"/>
      <c r="K7293" s="1509"/>
      <c r="L7293" s="1509"/>
      <c r="M7293" s="1509"/>
      <c r="N7293" s="1510"/>
    </row>
    <row r="7294" spans="1:14">
      <c r="A7294" s="1515"/>
      <c r="B7294" s="753" t="s">
        <v>3925</v>
      </c>
      <c r="C7294" s="757">
        <v>1</v>
      </c>
      <c r="D7294" s="294"/>
      <c r="E7294" s="348"/>
      <c r="F7294" s="348"/>
      <c r="G7294" s="348"/>
      <c r="H7294" s="349">
        <f t="shared" si="129"/>
        <v>1</v>
      </c>
      <c r="I7294" s="1508"/>
      <c r="J7294" s="1509"/>
      <c r="K7294" s="1509"/>
      <c r="L7294" s="1509"/>
      <c r="M7294" s="1509"/>
      <c r="N7294" s="1510"/>
    </row>
    <row r="7295" spans="1:14">
      <c r="A7295" s="1516" t="s">
        <v>2218</v>
      </c>
      <c r="B7295" s="1517"/>
      <c r="C7295" s="1517"/>
      <c r="D7295" s="1517"/>
      <c r="E7295" s="1517"/>
      <c r="F7295" s="1517"/>
      <c r="G7295" s="1518"/>
      <c r="H7295" s="271">
        <f>SUM(H7283:H7294)</f>
        <v>12</v>
      </c>
      <c r="I7295" s="1508"/>
      <c r="J7295" s="1509"/>
      <c r="K7295" s="1509"/>
      <c r="L7295" s="1509"/>
      <c r="M7295" s="1509"/>
      <c r="N7295" s="1510"/>
    </row>
    <row r="7296" spans="1:14">
      <c r="A7296" s="1519" t="s">
        <v>2219</v>
      </c>
      <c r="B7296" s="1517"/>
      <c r="C7296" s="1517"/>
      <c r="D7296" s="1517"/>
      <c r="E7296" s="1517"/>
      <c r="F7296" s="1517"/>
      <c r="G7296" s="1518"/>
      <c r="H7296" s="325">
        <f>SUM(H7281)</f>
        <v>0</v>
      </c>
      <c r="I7296" s="1508"/>
      <c r="J7296" s="1509"/>
      <c r="K7296" s="1509"/>
      <c r="L7296" s="1509"/>
      <c r="M7296" s="1509"/>
      <c r="N7296" s="1510"/>
    </row>
    <row r="7297" spans="1:14" ht="15.75" thickBot="1">
      <c r="A7297" s="1520" t="s">
        <v>2220</v>
      </c>
      <c r="B7297" s="1521"/>
      <c r="C7297" s="1521"/>
      <c r="D7297" s="1521"/>
      <c r="E7297" s="1521"/>
      <c r="F7297" s="1521"/>
      <c r="G7297" s="1522"/>
      <c r="H7297" s="216">
        <f>H7295-H7296</f>
        <v>12</v>
      </c>
      <c r="I7297" s="1511"/>
      <c r="J7297" s="1512"/>
      <c r="K7297" s="1512"/>
      <c r="L7297" s="1512"/>
      <c r="M7297" s="1512"/>
      <c r="N7297" s="1513"/>
    </row>
    <row r="7298" spans="1:14" ht="15.75" thickBot="1"/>
    <row r="7299" spans="1:14">
      <c r="A7299" s="1084" t="s">
        <v>3667</v>
      </c>
      <c r="B7299" s="1494" t="s">
        <v>3668</v>
      </c>
      <c r="C7299" s="1495"/>
      <c r="D7299" s="1495"/>
      <c r="E7299" s="1495"/>
      <c r="F7299" s="1495"/>
      <c r="G7299" s="1495"/>
      <c r="H7299" s="1495"/>
      <c r="I7299" s="1495"/>
      <c r="J7299" s="1496"/>
      <c r="K7299" s="196" t="s">
        <v>3154</v>
      </c>
      <c r="L7299" s="1497">
        <f>'27ª MEDIÇÃO '!F562</f>
        <v>5</v>
      </c>
      <c r="M7299" s="1498"/>
      <c r="N7299" s="197">
        <f>L7299-H7310</f>
        <v>0</v>
      </c>
    </row>
    <row r="7300" spans="1:14">
      <c r="A7300" s="1499"/>
      <c r="B7300" s="1500"/>
      <c r="C7300" s="366"/>
      <c r="D7300" s="367" t="s">
        <v>2183</v>
      </c>
      <c r="E7300" s="1320" t="s">
        <v>2184</v>
      </c>
      <c r="F7300" s="367" t="s">
        <v>2185</v>
      </c>
      <c r="G7300" s="367" t="s">
        <v>2186</v>
      </c>
      <c r="H7300" s="1503" t="s">
        <v>476</v>
      </c>
      <c r="I7300" s="1505"/>
      <c r="J7300" s="1506"/>
      <c r="K7300" s="1506"/>
      <c r="L7300" s="1506"/>
      <c r="M7300" s="1506"/>
      <c r="N7300" s="1507"/>
    </row>
    <row r="7301" spans="1:14" ht="24">
      <c r="A7301" s="1501"/>
      <c r="B7301" s="1502"/>
      <c r="C7301" s="368" t="s">
        <v>2627</v>
      </c>
      <c r="D7301" s="369" t="s">
        <v>2187</v>
      </c>
      <c r="E7301" s="529" t="s">
        <v>3152</v>
      </c>
      <c r="F7301" s="369" t="s">
        <v>2649</v>
      </c>
      <c r="G7301" s="370" t="s">
        <v>2709</v>
      </c>
      <c r="H7301" s="1504"/>
      <c r="I7301" s="1508"/>
      <c r="J7301" s="1509"/>
      <c r="K7301" s="1509"/>
      <c r="L7301" s="1509"/>
      <c r="M7301" s="1509"/>
      <c r="N7301" s="1510"/>
    </row>
    <row r="7302" spans="1:14">
      <c r="A7302" s="1535" t="s">
        <v>3620</v>
      </c>
      <c r="B7302" s="1033" t="s">
        <v>2929</v>
      </c>
      <c r="C7302" s="756"/>
      <c r="D7302" s="202"/>
      <c r="E7302" s="346"/>
      <c r="F7302" s="346"/>
      <c r="G7302" s="346"/>
      <c r="H7302" s="403"/>
      <c r="I7302" s="1508"/>
      <c r="J7302" s="1509"/>
      <c r="K7302" s="1509"/>
      <c r="L7302" s="1509"/>
      <c r="M7302" s="1509"/>
      <c r="N7302" s="1510"/>
    </row>
    <row r="7303" spans="1:14">
      <c r="A7303" s="1529"/>
      <c r="B7303" s="876" t="s">
        <v>3323</v>
      </c>
      <c r="C7303" s="956">
        <v>1</v>
      </c>
      <c r="D7303" s="919"/>
      <c r="E7303" s="693"/>
      <c r="F7303" s="693"/>
      <c r="G7303" s="693"/>
      <c r="H7303" s="957">
        <f>C7303</f>
        <v>1</v>
      </c>
      <c r="I7303" s="1508"/>
      <c r="J7303" s="1509"/>
      <c r="K7303" s="1509"/>
      <c r="L7303" s="1509"/>
      <c r="M7303" s="1509"/>
      <c r="N7303" s="1510"/>
    </row>
    <row r="7304" spans="1:14">
      <c r="A7304" s="1529"/>
      <c r="B7304" s="876" t="s">
        <v>3322</v>
      </c>
      <c r="C7304" s="743">
        <v>1</v>
      </c>
      <c r="D7304" s="743"/>
      <c r="E7304" s="1367"/>
      <c r="F7304" s="743"/>
      <c r="G7304" s="743"/>
      <c r="H7304" s="957">
        <f>C7304</f>
        <v>1</v>
      </c>
      <c r="I7304" s="1508"/>
      <c r="J7304" s="1509"/>
      <c r="K7304" s="1509"/>
      <c r="L7304" s="1509"/>
      <c r="M7304" s="1509"/>
      <c r="N7304" s="1510"/>
    </row>
    <row r="7305" spans="1:14">
      <c r="A7305" s="1545"/>
      <c r="B7305" s="753"/>
      <c r="C7305" s="757"/>
      <c r="D7305" s="294"/>
      <c r="E7305" s="348"/>
      <c r="F7305" s="348"/>
      <c r="G7305" s="348"/>
      <c r="H7305" s="349"/>
      <c r="I7305" s="1508"/>
      <c r="J7305" s="1509"/>
      <c r="K7305" s="1509"/>
      <c r="L7305" s="1509"/>
      <c r="M7305" s="1509"/>
      <c r="N7305" s="1510"/>
    </row>
    <row r="7306" spans="1:14">
      <c r="A7306" s="1535" t="s">
        <v>3892</v>
      </c>
      <c r="B7306" s="1033" t="s">
        <v>2727</v>
      </c>
      <c r="C7306" s="756"/>
      <c r="D7306" s="202"/>
      <c r="E7306" s="346"/>
      <c r="F7306" s="346"/>
      <c r="G7306" s="346"/>
      <c r="H7306" s="403"/>
      <c r="I7306" s="1508"/>
      <c r="J7306" s="1509"/>
      <c r="K7306" s="1509"/>
      <c r="L7306" s="1509"/>
      <c r="M7306" s="1509"/>
      <c r="N7306" s="1510"/>
    </row>
    <row r="7307" spans="1:14">
      <c r="A7307" s="1529"/>
      <c r="B7307" s="876" t="s">
        <v>3323</v>
      </c>
      <c r="C7307" s="956">
        <v>1</v>
      </c>
      <c r="D7307" s="919"/>
      <c r="E7307" s="693"/>
      <c r="F7307" s="693"/>
      <c r="G7307" s="693"/>
      <c r="H7307" s="957">
        <f>C7307</f>
        <v>1</v>
      </c>
      <c r="I7307" s="1508"/>
      <c r="J7307" s="1509"/>
      <c r="K7307" s="1509"/>
      <c r="L7307" s="1509"/>
      <c r="M7307" s="1509"/>
      <c r="N7307" s="1510"/>
    </row>
    <row r="7308" spans="1:14">
      <c r="A7308" s="1529"/>
      <c r="B7308" s="876" t="s">
        <v>3322</v>
      </c>
      <c r="C7308" s="743">
        <v>1</v>
      </c>
      <c r="D7308" s="743"/>
      <c r="E7308" s="1367"/>
      <c r="F7308" s="743"/>
      <c r="G7308" s="743"/>
      <c r="H7308" s="957">
        <f>C7308</f>
        <v>1</v>
      </c>
      <c r="I7308" s="1508"/>
      <c r="J7308" s="1509"/>
      <c r="K7308" s="1509"/>
      <c r="L7308" s="1509"/>
      <c r="M7308" s="1509"/>
      <c r="N7308" s="1510"/>
    </row>
    <row r="7309" spans="1:14">
      <c r="A7309" s="1545"/>
      <c r="B7309" s="753" t="s">
        <v>3318</v>
      </c>
      <c r="C7309" s="757">
        <v>1</v>
      </c>
      <c r="D7309" s="294"/>
      <c r="E7309" s="348"/>
      <c r="F7309" s="348"/>
      <c r="G7309" s="348"/>
      <c r="H7309" s="349">
        <v>1</v>
      </c>
      <c r="I7309" s="1508"/>
      <c r="J7309" s="1509"/>
      <c r="K7309" s="1509"/>
      <c r="L7309" s="1509"/>
      <c r="M7309" s="1509"/>
      <c r="N7309" s="1510"/>
    </row>
    <row r="7310" spans="1:14">
      <c r="A7310" s="1519" t="s">
        <v>2218</v>
      </c>
      <c r="B7310" s="1517"/>
      <c r="C7310" s="1517"/>
      <c r="D7310" s="1517"/>
      <c r="E7310" s="1517"/>
      <c r="F7310" s="1517"/>
      <c r="G7310" s="1518"/>
      <c r="H7310" s="271">
        <f>SUM(H7302:H7309)</f>
        <v>5</v>
      </c>
      <c r="I7310" s="1508"/>
      <c r="J7310" s="1509"/>
      <c r="K7310" s="1509"/>
      <c r="L7310" s="1509"/>
      <c r="M7310" s="1509"/>
      <c r="N7310" s="1510"/>
    </row>
    <row r="7311" spans="1:14">
      <c r="A7311" s="1519" t="s">
        <v>2219</v>
      </c>
      <c r="B7311" s="1517"/>
      <c r="C7311" s="1517"/>
      <c r="D7311" s="1517"/>
      <c r="E7311" s="1517"/>
      <c r="F7311" s="1517"/>
      <c r="G7311" s="1518"/>
      <c r="H7311" s="325">
        <f>SUM(H7303:H7305)</f>
        <v>2</v>
      </c>
      <c r="I7311" s="1508"/>
      <c r="J7311" s="1509"/>
      <c r="K7311" s="1509"/>
      <c r="L7311" s="1509"/>
      <c r="M7311" s="1509"/>
      <c r="N7311" s="1510"/>
    </row>
    <row r="7312" spans="1:14" ht="15.75" thickBot="1">
      <c r="A7312" s="1520" t="s">
        <v>2220</v>
      </c>
      <c r="B7312" s="1521"/>
      <c r="C7312" s="1521"/>
      <c r="D7312" s="1521"/>
      <c r="E7312" s="1521"/>
      <c r="F7312" s="1521"/>
      <c r="G7312" s="1522"/>
      <c r="H7312" s="216">
        <f>H7310-H7311</f>
        <v>3</v>
      </c>
      <c r="I7312" s="1511"/>
      <c r="J7312" s="1512"/>
      <c r="K7312" s="1512"/>
      <c r="L7312" s="1512"/>
      <c r="M7312" s="1512"/>
      <c r="N7312" s="1513"/>
    </row>
    <row r="7313" spans="1:14" ht="20.25" customHeight="1">
      <c r="A7313" s="1084" t="s">
        <v>3927</v>
      </c>
      <c r="B7313" s="1494" t="s">
        <v>1844</v>
      </c>
      <c r="C7313" s="1495"/>
      <c r="D7313" s="1495"/>
      <c r="E7313" s="1495"/>
      <c r="F7313" s="1495"/>
      <c r="G7313" s="1495"/>
      <c r="H7313" s="1495"/>
      <c r="I7313" s="1495"/>
      <c r="J7313" s="1496"/>
      <c r="K7313" s="196" t="s">
        <v>3154</v>
      </c>
      <c r="L7313" s="1497">
        <v>1</v>
      </c>
      <c r="M7313" s="1498"/>
      <c r="N7313" s="197">
        <f>L7313-H7320</f>
        <v>0</v>
      </c>
    </row>
    <row r="7314" spans="1:14">
      <c r="A7314" s="1499"/>
      <c r="B7314" s="1500"/>
      <c r="C7314" s="366"/>
      <c r="D7314" s="367" t="s">
        <v>2183</v>
      </c>
      <c r="E7314" s="1320" t="s">
        <v>2184</v>
      </c>
      <c r="F7314" s="367" t="s">
        <v>2185</v>
      </c>
      <c r="G7314" s="367" t="s">
        <v>2186</v>
      </c>
      <c r="H7314" s="1503" t="s">
        <v>476</v>
      </c>
      <c r="I7314" s="1505"/>
      <c r="J7314" s="1506"/>
      <c r="K7314" s="1506"/>
      <c r="L7314" s="1506"/>
      <c r="M7314" s="1506"/>
      <c r="N7314" s="1507"/>
    </row>
    <row r="7315" spans="1:14" ht="24">
      <c r="A7315" s="1501"/>
      <c r="B7315" s="1502"/>
      <c r="C7315" s="368" t="s">
        <v>2627</v>
      </c>
      <c r="D7315" s="369" t="s">
        <v>2187</v>
      </c>
      <c r="E7315" s="529" t="s">
        <v>3152</v>
      </c>
      <c r="F7315" s="369" t="s">
        <v>2649</v>
      </c>
      <c r="G7315" s="370" t="s">
        <v>2709</v>
      </c>
      <c r="H7315" s="1504"/>
      <c r="I7315" s="1508"/>
      <c r="J7315" s="1509"/>
      <c r="K7315" s="1509"/>
      <c r="L7315" s="1509"/>
      <c r="M7315" s="1509"/>
      <c r="N7315" s="1510"/>
    </row>
    <row r="7316" spans="1:14">
      <c r="A7316" s="1535" t="s">
        <v>3892</v>
      </c>
      <c r="B7316" s="1033" t="s">
        <v>2727</v>
      </c>
      <c r="C7316" s="756"/>
      <c r="D7316" s="202"/>
      <c r="E7316" s="346"/>
      <c r="F7316" s="346"/>
      <c r="G7316" s="346"/>
      <c r="H7316" s="403"/>
      <c r="I7316" s="1508"/>
      <c r="J7316" s="1509"/>
      <c r="K7316" s="1509"/>
      <c r="L7316" s="1509"/>
      <c r="M7316" s="1509"/>
      <c r="N7316" s="1510"/>
    </row>
    <row r="7317" spans="1:14">
      <c r="A7317" s="1529"/>
      <c r="B7317" s="876"/>
      <c r="C7317" s="956"/>
      <c r="D7317" s="919"/>
      <c r="E7317" s="693"/>
      <c r="F7317" s="693"/>
      <c r="G7317" s="693"/>
      <c r="H7317" s="957">
        <f>C7317</f>
        <v>0</v>
      </c>
      <c r="I7317" s="1508"/>
      <c r="J7317" s="1509"/>
      <c r="K7317" s="1509"/>
      <c r="L7317" s="1509"/>
      <c r="M7317" s="1509"/>
      <c r="N7317" s="1510"/>
    </row>
    <row r="7318" spans="1:14">
      <c r="A7318" s="1529"/>
      <c r="B7318" s="876" t="s">
        <v>3626</v>
      </c>
      <c r="C7318" s="743">
        <v>1</v>
      </c>
      <c r="D7318" s="743"/>
      <c r="E7318" s="1367"/>
      <c r="F7318" s="743"/>
      <c r="G7318" s="743"/>
      <c r="H7318" s="957">
        <f>C7318</f>
        <v>1</v>
      </c>
      <c r="I7318" s="1508"/>
      <c r="J7318" s="1509"/>
      <c r="K7318" s="1509"/>
      <c r="L7318" s="1509"/>
      <c r="M7318" s="1509"/>
      <c r="N7318" s="1510"/>
    </row>
    <row r="7319" spans="1:14">
      <c r="A7319" s="1545"/>
      <c r="B7319" s="753"/>
      <c r="C7319" s="757"/>
      <c r="D7319" s="294"/>
      <c r="E7319" s="348"/>
      <c r="F7319" s="348"/>
      <c r="G7319" s="348"/>
      <c r="H7319" s="349"/>
      <c r="I7319" s="1508"/>
      <c r="J7319" s="1509"/>
      <c r="K7319" s="1509"/>
      <c r="L7319" s="1509"/>
      <c r="M7319" s="1509"/>
      <c r="N7319" s="1510"/>
    </row>
    <row r="7320" spans="1:14">
      <c r="A7320" s="1519" t="s">
        <v>2218</v>
      </c>
      <c r="B7320" s="1517"/>
      <c r="C7320" s="1517"/>
      <c r="D7320" s="1517"/>
      <c r="E7320" s="1517"/>
      <c r="F7320" s="1517"/>
      <c r="G7320" s="1518"/>
      <c r="H7320" s="271">
        <f>SUM(H7316:H7319)</f>
        <v>1</v>
      </c>
      <c r="I7320" s="1508"/>
      <c r="J7320" s="1509"/>
      <c r="K7320" s="1509"/>
      <c r="L7320" s="1509"/>
      <c r="M7320" s="1509"/>
      <c r="N7320" s="1510"/>
    </row>
    <row r="7321" spans="1:14">
      <c r="A7321" s="1519" t="s">
        <v>2219</v>
      </c>
      <c r="B7321" s="1517"/>
      <c r="C7321" s="1517"/>
      <c r="D7321" s="1517"/>
      <c r="E7321" s="1517"/>
      <c r="F7321" s="1517"/>
      <c r="G7321" s="1518"/>
      <c r="H7321" s="325">
        <v>0</v>
      </c>
      <c r="I7321" s="1508"/>
      <c r="J7321" s="1509"/>
      <c r="K7321" s="1509"/>
      <c r="L7321" s="1509"/>
      <c r="M7321" s="1509"/>
      <c r="N7321" s="1510"/>
    </row>
    <row r="7322" spans="1:14" ht="15.75" thickBot="1">
      <c r="A7322" s="1520" t="s">
        <v>2220</v>
      </c>
      <c r="B7322" s="1521"/>
      <c r="C7322" s="1521"/>
      <c r="D7322" s="1521"/>
      <c r="E7322" s="1521"/>
      <c r="F7322" s="1521"/>
      <c r="G7322" s="1522"/>
      <c r="H7322" s="216">
        <f>H7320-H7321</f>
        <v>1</v>
      </c>
      <c r="I7322" s="1511"/>
      <c r="J7322" s="1512"/>
      <c r="K7322" s="1512"/>
      <c r="L7322" s="1512"/>
      <c r="M7322" s="1512"/>
      <c r="N7322" s="1513"/>
    </row>
    <row r="7324" spans="1:14" ht="16.899999999999999" customHeight="1">
      <c r="A7324" s="1127" t="s">
        <v>3993</v>
      </c>
      <c r="B7324" s="1476" t="s">
        <v>1850</v>
      </c>
      <c r="C7324" s="1477"/>
      <c r="D7324" s="1477"/>
      <c r="E7324" s="1477"/>
      <c r="F7324" s="1477"/>
      <c r="G7324" s="1477"/>
      <c r="H7324" s="1477"/>
      <c r="I7324" s="1477"/>
      <c r="J7324" s="1478"/>
      <c r="K7324" s="874" t="s">
        <v>3154</v>
      </c>
      <c r="L7324" s="1587">
        <v>9</v>
      </c>
      <c r="M7324" s="1588"/>
      <c r="N7324" s="1028">
        <f>L7324-H7331</f>
        <v>0</v>
      </c>
    </row>
    <row r="7325" spans="1:14" ht="25.15" customHeight="1">
      <c r="A7325" s="1499"/>
      <c r="B7325" s="1500"/>
      <c r="C7325" s="366"/>
      <c r="D7325" s="367" t="s">
        <v>2183</v>
      </c>
      <c r="E7325" s="1320" t="s">
        <v>2184</v>
      </c>
      <c r="F7325" s="367" t="s">
        <v>2185</v>
      </c>
      <c r="G7325" s="367" t="s">
        <v>2186</v>
      </c>
      <c r="H7325" s="1503" t="s">
        <v>476</v>
      </c>
      <c r="I7325" s="1505"/>
      <c r="J7325" s="1506"/>
      <c r="K7325" s="1506"/>
      <c r="L7325" s="1506"/>
      <c r="M7325" s="1506"/>
      <c r="N7325" s="1507"/>
    </row>
    <row r="7326" spans="1:14" ht="24">
      <c r="A7326" s="1501"/>
      <c r="B7326" s="1502"/>
      <c r="C7326" s="368" t="s">
        <v>2627</v>
      </c>
      <c r="D7326" s="369" t="s">
        <v>2187</v>
      </c>
      <c r="E7326" s="529" t="s">
        <v>3152</v>
      </c>
      <c r="F7326" s="369" t="s">
        <v>2649</v>
      </c>
      <c r="G7326" s="370" t="s">
        <v>2709</v>
      </c>
      <c r="H7326" s="1504"/>
      <c r="I7326" s="1508"/>
      <c r="J7326" s="1509"/>
      <c r="K7326" s="1509"/>
      <c r="L7326" s="1509"/>
      <c r="M7326" s="1509"/>
      <c r="N7326" s="1510"/>
    </row>
    <row r="7327" spans="1:14">
      <c r="A7327" s="1514" t="s">
        <v>3981</v>
      </c>
      <c r="B7327" s="429" t="s">
        <v>3524</v>
      </c>
      <c r="C7327" s="756">
        <v>5</v>
      </c>
      <c r="D7327" s="202"/>
      <c r="E7327" s="346"/>
      <c r="F7327" s="346"/>
      <c r="G7327" s="346"/>
      <c r="H7327" s="403">
        <v>5</v>
      </c>
      <c r="I7327" s="1508"/>
      <c r="J7327" s="1509"/>
      <c r="K7327" s="1509"/>
      <c r="L7327" s="1509"/>
      <c r="M7327" s="1509"/>
      <c r="N7327" s="1510"/>
    </row>
    <row r="7328" spans="1:14">
      <c r="A7328" s="1515"/>
      <c r="B7328" s="753" t="s">
        <v>3655</v>
      </c>
      <c r="C7328" s="757">
        <v>4</v>
      </c>
      <c r="D7328" s="294"/>
      <c r="E7328" s="348"/>
      <c r="F7328" s="348"/>
      <c r="G7328" s="348"/>
      <c r="H7328" s="349">
        <v>4</v>
      </c>
      <c r="I7328" s="1508"/>
      <c r="J7328" s="1509"/>
      <c r="K7328" s="1509"/>
      <c r="L7328" s="1509"/>
      <c r="M7328" s="1509"/>
      <c r="N7328" s="1510"/>
    </row>
    <row r="7329" spans="1:14">
      <c r="A7329" s="1514"/>
      <c r="B7329" s="429"/>
      <c r="C7329" s="756"/>
      <c r="D7329" s="202"/>
      <c r="E7329" s="346"/>
      <c r="F7329" s="346"/>
      <c r="G7329" s="346"/>
      <c r="H7329" s="403">
        <f>C7329*E7329</f>
        <v>0</v>
      </c>
      <c r="I7329" s="1508"/>
      <c r="J7329" s="1509"/>
      <c r="K7329" s="1509"/>
      <c r="L7329" s="1509"/>
      <c r="M7329" s="1509"/>
      <c r="N7329" s="1510"/>
    </row>
    <row r="7330" spans="1:14">
      <c r="A7330" s="1515"/>
      <c r="B7330" s="753"/>
      <c r="C7330" s="757"/>
      <c r="D7330" s="294"/>
      <c r="E7330" s="348"/>
      <c r="F7330" s="348"/>
      <c r="G7330" s="348"/>
      <c r="H7330" s="349"/>
      <c r="I7330" s="1508"/>
      <c r="J7330" s="1509"/>
      <c r="K7330" s="1509"/>
      <c r="L7330" s="1509"/>
      <c r="M7330" s="1509"/>
      <c r="N7330" s="1510"/>
    </row>
    <row r="7331" spans="1:14">
      <c r="A7331" s="1516" t="s">
        <v>2218</v>
      </c>
      <c r="B7331" s="1517"/>
      <c r="C7331" s="1517"/>
      <c r="D7331" s="1517"/>
      <c r="E7331" s="1517"/>
      <c r="F7331" s="1517"/>
      <c r="G7331" s="1518"/>
      <c r="H7331" s="271">
        <f>SUM(H7327:H7330)</f>
        <v>9</v>
      </c>
      <c r="I7331" s="1508"/>
      <c r="J7331" s="1509"/>
      <c r="K7331" s="1509"/>
      <c r="L7331" s="1509"/>
      <c r="M7331" s="1509"/>
      <c r="N7331" s="1510"/>
    </row>
    <row r="7332" spans="1:14">
      <c r="A7332" s="1519" t="s">
        <v>2219</v>
      </c>
      <c r="B7332" s="1517"/>
      <c r="C7332" s="1517"/>
      <c r="D7332" s="1517"/>
      <c r="E7332" s="1517"/>
      <c r="F7332" s="1517"/>
      <c r="G7332" s="1518"/>
      <c r="H7332" s="325">
        <v>0</v>
      </c>
      <c r="I7332" s="1508"/>
      <c r="J7332" s="1509"/>
      <c r="K7332" s="1509"/>
      <c r="L7332" s="1509"/>
      <c r="M7332" s="1509"/>
      <c r="N7332" s="1510"/>
    </row>
    <row r="7333" spans="1:14" ht="15.75" thickBot="1">
      <c r="A7333" s="1520" t="s">
        <v>2220</v>
      </c>
      <c r="B7333" s="1521"/>
      <c r="C7333" s="1521"/>
      <c r="D7333" s="1521"/>
      <c r="E7333" s="1521"/>
      <c r="F7333" s="1521"/>
      <c r="G7333" s="1522"/>
      <c r="H7333" s="216">
        <f>H7331-H7332</f>
        <v>9</v>
      </c>
      <c r="I7333" s="1511"/>
      <c r="J7333" s="1512"/>
      <c r="K7333" s="1512"/>
      <c r="L7333" s="1512"/>
      <c r="M7333" s="1512"/>
      <c r="N7333" s="1513"/>
    </row>
    <row r="7335" spans="1:14" ht="26.25" customHeight="1">
      <c r="A7335" s="1127" t="s">
        <v>4007</v>
      </c>
      <c r="B7335" s="1584" t="str">
        <f>'27ª MEDIÇÃO '!C566</f>
        <v>Lavatório suspenso de louça branca, dim.395x295MM, MODELO IZZY, CÓD. L15.17, marca de referência Deca ou eq., inclusive válvula, sifão e engates cromados</v>
      </c>
      <c r="C7335" s="1585"/>
      <c r="D7335" s="1585"/>
      <c r="E7335" s="1585"/>
      <c r="F7335" s="1585"/>
      <c r="G7335" s="1585"/>
      <c r="H7335" s="1585"/>
      <c r="I7335" s="1585"/>
      <c r="J7335" s="1586"/>
      <c r="K7335" s="874" t="s">
        <v>3154</v>
      </c>
      <c r="L7335" s="1587">
        <f>'27ª MEDIÇÃO '!F566</f>
        <v>5</v>
      </c>
      <c r="M7335" s="1588"/>
      <c r="N7335" s="1028">
        <f>L7335-H7343</f>
        <v>2</v>
      </c>
    </row>
    <row r="7336" spans="1:14" ht="25.15" customHeight="1">
      <c r="A7336" s="1499"/>
      <c r="B7336" s="1500"/>
      <c r="C7336" s="366"/>
      <c r="D7336" s="367" t="s">
        <v>2183</v>
      </c>
      <c r="E7336" s="1320" t="s">
        <v>2184</v>
      </c>
      <c r="F7336" s="367" t="s">
        <v>2185</v>
      </c>
      <c r="G7336" s="367" t="s">
        <v>2186</v>
      </c>
      <c r="H7336" s="1503" t="s">
        <v>476</v>
      </c>
      <c r="I7336" s="1505"/>
      <c r="J7336" s="1506"/>
      <c r="K7336" s="1506"/>
      <c r="L7336" s="1506"/>
      <c r="M7336" s="1506"/>
      <c r="N7336" s="1507"/>
    </row>
    <row r="7337" spans="1:14" ht="24">
      <c r="A7337" s="1501"/>
      <c r="B7337" s="1502"/>
      <c r="C7337" s="368" t="s">
        <v>2627</v>
      </c>
      <c r="D7337" s="369" t="s">
        <v>2187</v>
      </c>
      <c r="E7337" s="529" t="s">
        <v>3152</v>
      </c>
      <c r="F7337" s="369" t="s">
        <v>2649</v>
      </c>
      <c r="G7337" s="370" t="s">
        <v>2709</v>
      </c>
      <c r="H7337" s="1504"/>
      <c r="I7337" s="1508"/>
      <c r="J7337" s="1509"/>
      <c r="K7337" s="1509"/>
      <c r="L7337" s="1509"/>
      <c r="M7337" s="1509"/>
      <c r="N7337" s="1510"/>
    </row>
    <row r="7338" spans="1:14">
      <c r="A7338" s="1514" t="s">
        <v>4003</v>
      </c>
      <c r="B7338" s="429" t="s">
        <v>2929</v>
      </c>
      <c r="C7338" s="756"/>
      <c r="D7338" s="202"/>
      <c r="E7338" s="346"/>
      <c r="F7338" s="346"/>
      <c r="G7338" s="346"/>
      <c r="H7338" s="403"/>
      <c r="I7338" s="1508"/>
      <c r="J7338" s="1509"/>
      <c r="K7338" s="1509"/>
      <c r="L7338" s="1509"/>
      <c r="M7338" s="1509"/>
      <c r="N7338" s="1510"/>
    </row>
    <row r="7339" spans="1:14">
      <c r="A7339" s="1523"/>
      <c r="B7339" s="953" t="s">
        <v>2459</v>
      </c>
      <c r="C7339" s="956">
        <v>1</v>
      </c>
      <c r="D7339" s="919"/>
      <c r="E7339" s="693"/>
      <c r="F7339" s="693"/>
      <c r="G7339" s="693"/>
      <c r="H7339" s="957">
        <f>C7339</f>
        <v>1</v>
      </c>
      <c r="I7339" s="1508"/>
      <c r="J7339" s="1509"/>
      <c r="K7339" s="1509"/>
      <c r="L7339" s="1509"/>
      <c r="M7339" s="1509"/>
      <c r="N7339" s="1510"/>
    </row>
    <row r="7340" spans="1:14">
      <c r="A7340" s="1515"/>
      <c r="B7340" s="753" t="s">
        <v>3934</v>
      </c>
      <c r="C7340" s="757">
        <v>1</v>
      </c>
      <c r="D7340" s="294"/>
      <c r="E7340" s="348"/>
      <c r="F7340" s="348"/>
      <c r="G7340" s="348"/>
      <c r="H7340" s="957">
        <f>C7340</f>
        <v>1</v>
      </c>
      <c r="I7340" s="1508"/>
      <c r="J7340" s="1509"/>
      <c r="K7340" s="1509"/>
      <c r="L7340" s="1509"/>
      <c r="M7340" s="1509"/>
      <c r="N7340" s="1510"/>
    </row>
    <row r="7341" spans="1:14">
      <c r="A7341" s="1514" t="s">
        <v>4080</v>
      </c>
      <c r="B7341" s="429" t="s">
        <v>2727</v>
      </c>
      <c r="C7341" s="756"/>
      <c r="D7341" s="202"/>
      <c r="E7341" s="346"/>
      <c r="F7341" s="346"/>
      <c r="G7341" s="346"/>
      <c r="H7341" s="403"/>
      <c r="I7341" s="1508"/>
      <c r="J7341" s="1509"/>
      <c r="K7341" s="1509"/>
      <c r="L7341" s="1509"/>
      <c r="M7341" s="1509"/>
      <c r="N7341" s="1510"/>
    </row>
    <row r="7342" spans="1:14">
      <c r="A7342" s="1515"/>
      <c r="B7342" s="753" t="s">
        <v>3318</v>
      </c>
      <c r="C7342" s="757">
        <v>1</v>
      </c>
      <c r="D7342" s="294"/>
      <c r="E7342" s="348"/>
      <c r="F7342" s="348"/>
      <c r="G7342" s="348"/>
      <c r="H7342" s="349">
        <f>C7342</f>
        <v>1</v>
      </c>
      <c r="I7342" s="1508"/>
      <c r="J7342" s="1509"/>
      <c r="K7342" s="1509"/>
      <c r="L7342" s="1509"/>
      <c r="M7342" s="1509"/>
      <c r="N7342" s="1510"/>
    </row>
    <row r="7343" spans="1:14">
      <c r="A7343" s="1516" t="s">
        <v>2218</v>
      </c>
      <c r="B7343" s="1517"/>
      <c r="C7343" s="1517"/>
      <c r="D7343" s="1517"/>
      <c r="E7343" s="1517"/>
      <c r="F7343" s="1517"/>
      <c r="G7343" s="1518"/>
      <c r="H7343" s="271">
        <f>SUM(H7338:H7342)</f>
        <v>3</v>
      </c>
      <c r="I7343" s="1508"/>
      <c r="J7343" s="1509"/>
      <c r="K7343" s="1509"/>
      <c r="L7343" s="1509"/>
      <c r="M7343" s="1509"/>
      <c r="N7343" s="1510"/>
    </row>
    <row r="7344" spans="1:14">
      <c r="A7344" s="1519" t="s">
        <v>2219</v>
      </c>
      <c r="B7344" s="1517"/>
      <c r="C7344" s="1517"/>
      <c r="D7344" s="1517"/>
      <c r="E7344" s="1517"/>
      <c r="F7344" s="1517"/>
      <c r="G7344" s="1518"/>
      <c r="H7344" s="325">
        <v>0</v>
      </c>
      <c r="I7344" s="1508"/>
      <c r="J7344" s="1509"/>
      <c r="K7344" s="1509"/>
      <c r="L7344" s="1509"/>
      <c r="M7344" s="1509"/>
      <c r="N7344" s="1510"/>
    </row>
    <row r="7345" spans="1:14" ht="15.75" thickBot="1">
      <c r="A7345" s="1520" t="s">
        <v>2220</v>
      </c>
      <c r="B7345" s="1521"/>
      <c r="C7345" s="1521"/>
      <c r="D7345" s="1521"/>
      <c r="E7345" s="1521"/>
      <c r="F7345" s="1521"/>
      <c r="G7345" s="1522"/>
      <c r="H7345" s="216">
        <f>H7343-H7344</f>
        <v>3</v>
      </c>
      <c r="I7345" s="1511"/>
      <c r="J7345" s="1512"/>
      <c r="K7345" s="1512"/>
      <c r="L7345" s="1512"/>
      <c r="M7345" s="1512"/>
      <c r="N7345" s="1513"/>
    </row>
    <row r="7347" spans="1:14" ht="16.899999999999999" customHeight="1">
      <c r="A7347" s="1127" t="s">
        <v>3153</v>
      </c>
      <c r="B7347" s="1476" t="s">
        <v>1856</v>
      </c>
      <c r="C7347" s="1477"/>
      <c r="D7347" s="1477"/>
      <c r="E7347" s="1477"/>
      <c r="F7347" s="1477"/>
      <c r="G7347" s="1477"/>
      <c r="H7347" s="1477"/>
      <c r="I7347" s="1477"/>
      <c r="J7347" s="1478"/>
      <c r="K7347" s="874" t="s">
        <v>3154</v>
      </c>
      <c r="L7347" s="1587">
        <f>'27ª MEDIÇÃO '!F567</f>
        <v>4</v>
      </c>
      <c r="M7347" s="1588"/>
      <c r="N7347" s="1028">
        <f>L7347-H7354</f>
        <v>0</v>
      </c>
    </row>
    <row r="7348" spans="1:14" ht="25.15" customHeight="1">
      <c r="A7348" s="1499"/>
      <c r="B7348" s="1500"/>
      <c r="C7348" s="366"/>
      <c r="D7348" s="367" t="s">
        <v>2183</v>
      </c>
      <c r="E7348" s="1320" t="s">
        <v>2184</v>
      </c>
      <c r="F7348" s="367" t="s">
        <v>2185</v>
      </c>
      <c r="G7348" s="367" t="s">
        <v>2186</v>
      </c>
      <c r="H7348" s="1503" t="s">
        <v>476</v>
      </c>
      <c r="I7348" s="1505"/>
      <c r="J7348" s="1506"/>
      <c r="K7348" s="1506"/>
      <c r="L7348" s="1506"/>
      <c r="M7348" s="1506"/>
      <c r="N7348" s="1507"/>
    </row>
    <row r="7349" spans="1:14" ht="24">
      <c r="A7349" s="1501"/>
      <c r="B7349" s="1502"/>
      <c r="C7349" s="368" t="s">
        <v>2627</v>
      </c>
      <c r="D7349" s="369" t="s">
        <v>2187</v>
      </c>
      <c r="E7349" s="529" t="s">
        <v>3152</v>
      </c>
      <c r="F7349" s="369" t="s">
        <v>2649</v>
      </c>
      <c r="G7349" s="370" t="s">
        <v>2709</v>
      </c>
      <c r="H7349" s="1504"/>
      <c r="I7349" s="1508"/>
      <c r="J7349" s="1509"/>
      <c r="K7349" s="1509"/>
      <c r="L7349" s="1509"/>
      <c r="M7349" s="1509"/>
      <c r="N7349" s="1510"/>
    </row>
    <row r="7350" spans="1:14">
      <c r="A7350" s="1514" t="s">
        <v>2997</v>
      </c>
      <c r="B7350" s="429" t="s">
        <v>2380</v>
      </c>
      <c r="C7350" s="756">
        <v>4</v>
      </c>
      <c r="D7350" s="202"/>
      <c r="E7350" s="346">
        <v>0.5</v>
      </c>
      <c r="F7350" s="346"/>
      <c r="G7350" s="346"/>
      <c r="H7350" s="403">
        <f>C7350*E7350</f>
        <v>2</v>
      </c>
      <c r="I7350" s="1508"/>
      <c r="J7350" s="1509"/>
      <c r="K7350" s="1509"/>
      <c r="L7350" s="1509"/>
      <c r="M7350" s="1509"/>
      <c r="N7350" s="1510"/>
    </row>
    <row r="7351" spans="1:14">
      <c r="A7351" s="1515"/>
      <c r="B7351" s="753"/>
      <c r="C7351" s="757"/>
      <c r="D7351" s="294"/>
      <c r="E7351" s="348"/>
      <c r="F7351" s="348"/>
      <c r="G7351" s="348"/>
      <c r="H7351" s="349"/>
      <c r="I7351" s="1508"/>
      <c r="J7351" s="1509"/>
      <c r="K7351" s="1509"/>
      <c r="L7351" s="1509"/>
      <c r="M7351" s="1509"/>
      <c r="N7351" s="1510"/>
    </row>
    <row r="7352" spans="1:14">
      <c r="A7352" s="1514" t="s">
        <v>3158</v>
      </c>
      <c r="B7352" s="429" t="s">
        <v>2380</v>
      </c>
      <c r="C7352" s="756">
        <v>4</v>
      </c>
      <c r="D7352" s="202"/>
      <c r="E7352" s="346">
        <v>0.5</v>
      </c>
      <c r="F7352" s="346"/>
      <c r="G7352" s="346"/>
      <c r="H7352" s="403">
        <f>C7352*E7352</f>
        <v>2</v>
      </c>
      <c r="I7352" s="1508"/>
      <c r="J7352" s="1509"/>
      <c r="K7352" s="1509"/>
      <c r="L7352" s="1509"/>
      <c r="M7352" s="1509"/>
      <c r="N7352" s="1510"/>
    </row>
    <row r="7353" spans="1:14">
      <c r="A7353" s="1515"/>
      <c r="B7353" s="753"/>
      <c r="C7353" s="757"/>
      <c r="D7353" s="294"/>
      <c r="E7353" s="348"/>
      <c r="F7353" s="348"/>
      <c r="G7353" s="348"/>
      <c r="H7353" s="349"/>
      <c r="I7353" s="1508"/>
      <c r="J7353" s="1509"/>
      <c r="K7353" s="1509"/>
      <c r="L7353" s="1509"/>
      <c r="M7353" s="1509"/>
      <c r="N7353" s="1510"/>
    </row>
    <row r="7354" spans="1:14">
      <c r="A7354" s="1516" t="s">
        <v>2218</v>
      </c>
      <c r="B7354" s="1517"/>
      <c r="C7354" s="1517"/>
      <c r="D7354" s="1517"/>
      <c r="E7354" s="1517"/>
      <c r="F7354" s="1517"/>
      <c r="G7354" s="1518"/>
      <c r="H7354" s="271">
        <f>SUM(H7350:H7353)</f>
        <v>4</v>
      </c>
      <c r="I7354" s="1508"/>
      <c r="J7354" s="1509"/>
      <c r="K7354" s="1509"/>
      <c r="L7354" s="1509"/>
      <c r="M7354" s="1509"/>
      <c r="N7354" s="1510"/>
    </row>
    <row r="7355" spans="1:14">
      <c r="A7355" s="1519" t="s">
        <v>2219</v>
      </c>
      <c r="B7355" s="1517"/>
      <c r="C7355" s="1517"/>
      <c r="D7355" s="1517"/>
      <c r="E7355" s="1517"/>
      <c r="F7355" s="1517"/>
      <c r="G7355" s="1518"/>
      <c r="H7355" s="325">
        <f>H7350</f>
        <v>2</v>
      </c>
      <c r="I7355" s="1508"/>
      <c r="J7355" s="1509"/>
      <c r="K7355" s="1509"/>
      <c r="L7355" s="1509"/>
      <c r="M7355" s="1509"/>
      <c r="N7355" s="1510"/>
    </row>
    <row r="7356" spans="1:14" ht="15.75" thickBot="1">
      <c r="A7356" s="1520" t="s">
        <v>2220</v>
      </c>
      <c r="B7356" s="1521"/>
      <c r="C7356" s="1521"/>
      <c r="D7356" s="1521"/>
      <c r="E7356" s="1521"/>
      <c r="F7356" s="1521"/>
      <c r="G7356" s="1522"/>
      <c r="H7356" s="216">
        <f>H7354-H7355</f>
        <v>2</v>
      </c>
      <c r="I7356" s="1511"/>
      <c r="J7356" s="1512"/>
      <c r="K7356" s="1512"/>
      <c r="L7356" s="1512"/>
      <c r="M7356" s="1512"/>
      <c r="N7356" s="1513"/>
    </row>
    <row r="7358" spans="1:14" ht="16.899999999999999" customHeight="1">
      <c r="A7358" s="1114" t="s">
        <v>3507</v>
      </c>
      <c r="B7358" s="1595" t="s">
        <v>3508</v>
      </c>
      <c r="C7358" s="1596"/>
      <c r="D7358" s="1596"/>
      <c r="E7358" s="1596"/>
      <c r="F7358" s="1596"/>
      <c r="G7358" s="1596"/>
      <c r="H7358" s="1596"/>
      <c r="I7358" s="1596"/>
      <c r="J7358" s="1596"/>
      <c r="K7358" s="1596"/>
      <c r="L7358" s="1596"/>
      <c r="M7358" s="1596"/>
      <c r="N7358" s="1597"/>
    </row>
    <row r="7359" spans="1:14" ht="25.15" customHeight="1">
      <c r="A7359" s="1126" t="s">
        <v>3509</v>
      </c>
      <c r="B7359" s="1877" t="s">
        <v>1861</v>
      </c>
      <c r="C7359" s="1878"/>
      <c r="D7359" s="1878"/>
      <c r="E7359" s="1878"/>
      <c r="F7359" s="1878"/>
      <c r="G7359" s="1878"/>
      <c r="H7359" s="1878"/>
      <c r="I7359" s="1878"/>
      <c r="J7359" s="1879"/>
      <c r="K7359" s="264" t="s">
        <v>3154</v>
      </c>
      <c r="L7359" s="1564">
        <f>'27ª MEDIÇÃO '!F569</f>
        <v>23.080000000000002</v>
      </c>
      <c r="M7359" s="1565"/>
      <c r="N7359" s="265">
        <f>L7359-H7387</f>
        <v>0.20000000000000639</v>
      </c>
    </row>
    <row r="7360" spans="1:14">
      <c r="A7360" s="1499"/>
      <c r="B7360" s="1500"/>
      <c r="C7360" s="366"/>
      <c r="D7360" s="367" t="s">
        <v>2183</v>
      </c>
      <c r="E7360" s="1320" t="s">
        <v>2184</v>
      </c>
      <c r="F7360" s="367" t="s">
        <v>2185</v>
      </c>
      <c r="G7360" s="367" t="s">
        <v>2186</v>
      </c>
      <c r="H7360" s="1503" t="s">
        <v>476</v>
      </c>
      <c r="I7360" s="1505"/>
      <c r="J7360" s="1506"/>
      <c r="K7360" s="1506"/>
      <c r="L7360" s="1506"/>
      <c r="M7360" s="1506"/>
      <c r="N7360" s="1507"/>
    </row>
    <row r="7361" spans="1:14">
      <c r="A7361" s="1501"/>
      <c r="B7361" s="1502"/>
      <c r="C7361" s="368" t="s">
        <v>3393</v>
      </c>
      <c r="D7361" s="369"/>
      <c r="E7361" s="529"/>
      <c r="F7361" s="369"/>
      <c r="G7361" s="370" t="s">
        <v>3410</v>
      </c>
      <c r="H7361" s="1504"/>
      <c r="I7361" s="1508"/>
      <c r="J7361" s="1509"/>
      <c r="K7361" s="1509"/>
      <c r="L7361" s="1509"/>
      <c r="M7361" s="1509"/>
      <c r="N7361" s="1510"/>
    </row>
    <row r="7362" spans="1:14">
      <c r="A7362" s="1514" t="s">
        <v>3465</v>
      </c>
      <c r="B7362" s="968" t="s">
        <v>2727</v>
      </c>
      <c r="C7362" s="756"/>
      <c r="D7362" s="202"/>
      <c r="E7362" s="346"/>
      <c r="F7362" s="346"/>
      <c r="G7362" s="346"/>
      <c r="H7362" s="403"/>
      <c r="I7362" s="1508"/>
      <c r="J7362" s="1509"/>
      <c r="K7362" s="1509"/>
      <c r="L7362" s="1509"/>
      <c r="M7362" s="1509"/>
      <c r="N7362" s="1510"/>
    </row>
    <row r="7363" spans="1:14">
      <c r="A7363" s="1523"/>
      <c r="B7363" s="953" t="s">
        <v>2419</v>
      </c>
      <c r="C7363" s="956">
        <v>0.43</v>
      </c>
      <c r="D7363" s="919"/>
      <c r="E7363" s="693"/>
      <c r="F7363" s="693"/>
      <c r="G7363" s="693">
        <v>1</v>
      </c>
      <c r="H7363" s="957">
        <f>C7363</f>
        <v>0.43</v>
      </c>
      <c r="I7363" s="1508"/>
      <c r="J7363" s="1509"/>
      <c r="K7363" s="1509"/>
      <c r="L7363" s="1509"/>
      <c r="M7363" s="1509"/>
      <c r="N7363" s="1510"/>
    </row>
    <row r="7364" spans="1:14">
      <c r="A7364" s="1523"/>
      <c r="B7364" s="968" t="s">
        <v>2929</v>
      </c>
      <c r="C7364" s="956"/>
      <c r="D7364" s="919"/>
      <c r="E7364" s="693"/>
      <c r="F7364" s="693"/>
      <c r="G7364" s="693"/>
      <c r="H7364" s="957"/>
      <c r="I7364" s="1508"/>
      <c r="J7364" s="1509"/>
      <c r="K7364" s="1509"/>
      <c r="L7364" s="1509"/>
      <c r="M7364" s="1509"/>
      <c r="N7364" s="1510"/>
    </row>
    <row r="7365" spans="1:14">
      <c r="A7365" s="1523"/>
      <c r="B7365" s="953" t="s">
        <v>3511</v>
      </c>
      <c r="C7365" s="956">
        <v>0.62</v>
      </c>
      <c r="D7365" s="919"/>
      <c r="E7365" s="693"/>
      <c r="F7365" s="693"/>
      <c r="G7365" s="693">
        <v>1</v>
      </c>
      <c r="H7365" s="957">
        <f>C7365</f>
        <v>0.62</v>
      </c>
      <c r="I7365" s="1508"/>
      <c r="J7365" s="1509"/>
      <c r="K7365" s="1509"/>
      <c r="L7365" s="1509"/>
      <c r="M7365" s="1509"/>
      <c r="N7365" s="1510"/>
    </row>
    <row r="7366" spans="1:14">
      <c r="A7366" s="1515"/>
      <c r="B7366" s="753" t="s">
        <v>3510</v>
      </c>
      <c r="C7366" s="757">
        <v>0.98</v>
      </c>
      <c r="D7366" s="294"/>
      <c r="E7366" s="348"/>
      <c r="F7366" s="348"/>
      <c r="G7366" s="348">
        <v>1</v>
      </c>
      <c r="H7366" s="957">
        <f>C7366</f>
        <v>0.98</v>
      </c>
      <c r="I7366" s="1508"/>
      <c r="J7366" s="1509"/>
      <c r="K7366" s="1509"/>
      <c r="L7366" s="1509"/>
      <c r="M7366" s="1509"/>
      <c r="N7366" s="1510"/>
    </row>
    <row r="7367" spans="1:14">
      <c r="A7367" s="1514" t="s">
        <v>3521</v>
      </c>
      <c r="B7367" s="968" t="s">
        <v>2727</v>
      </c>
      <c r="C7367" s="756"/>
      <c r="D7367" s="202"/>
      <c r="E7367" s="346"/>
      <c r="F7367" s="346"/>
      <c r="G7367" s="346"/>
      <c r="H7367" s="403"/>
      <c r="I7367" s="1508"/>
      <c r="J7367" s="1509"/>
      <c r="K7367" s="1509"/>
      <c r="L7367" s="1509"/>
      <c r="M7367" s="1509"/>
      <c r="N7367" s="1510"/>
    </row>
    <row r="7368" spans="1:14">
      <c r="A7368" s="1523"/>
      <c r="B7368" s="953" t="s">
        <v>3525</v>
      </c>
      <c r="C7368" s="956">
        <v>0.67</v>
      </c>
      <c r="D7368" s="919"/>
      <c r="E7368" s="693"/>
      <c r="F7368" s="693"/>
      <c r="G7368" s="693">
        <v>1</v>
      </c>
      <c r="H7368" s="957">
        <f>C7368</f>
        <v>0.67</v>
      </c>
      <c r="I7368" s="1508"/>
      <c r="J7368" s="1509"/>
      <c r="K7368" s="1509"/>
      <c r="L7368" s="1509"/>
      <c r="M7368" s="1509"/>
      <c r="N7368" s="1510"/>
    </row>
    <row r="7369" spans="1:14" ht="16.899999999999999" customHeight="1">
      <c r="A7369" s="1523"/>
      <c r="B7369" s="968" t="s">
        <v>2929</v>
      </c>
      <c r="C7369" s="956"/>
      <c r="D7369" s="919"/>
      <c r="E7369" s="693"/>
      <c r="F7369" s="693"/>
      <c r="G7369" s="693"/>
      <c r="H7369" s="957"/>
      <c r="I7369" s="1508"/>
      <c r="J7369" s="1509"/>
      <c r="K7369" s="1509"/>
      <c r="L7369" s="1509"/>
      <c r="M7369" s="1509"/>
      <c r="N7369" s="1510"/>
    </row>
    <row r="7370" spans="1:14" ht="15" customHeight="1">
      <c r="A7370" s="1523"/>
      <c r="B7370" s="953" t="s">
        <v>3552</v>
      </c>
      <c r="C7370" s="956">
        <v>0.32</v>
      </c>
      <c r="D7370" s="919"/>
      <c r="E7370" s="693"/>
      <c r="F7370" s="693"/>
      <c r="G7370" s="693">
        <v>1</v>
      </c>
      <c r="H7370" s="957">
        <f>C7370</f>
        <v>0.32</v>
      </c>
      <c r="I7370" s="1508"/>
      <c r="J7370" s="1509"/>
      <c r="K7370" s="1509"/>
      <c r="L7370" s="1509"/>
      <c r="M7370" s="1509"/>
      <c r="N7370" s="1510"/>
    </row>
    <row r="7371" spans="1:14" ht="15" customHeight="1">
      <c r="A7371" s="1523" t="s">
        <v>3937</v>
      </c>
      <c r="B7371" s="968" t="s">
        <v>2727</v>
      </c>
      <c r="C7371" s="956"/>
      <c r="D7371" s="919"/>
      <c r="E7371" s="693"/>
      <c r="F7371" s="693"/>
      <c r="G7371" s="693"/>
      <c r="H7371" s="957"/>
      <c r="I7371" s="1508"/>
      <c r="J7371" s="1509"/>
      <c r="K7371" s="1509"/>
      <c r="L7371" s="1509"/>
      <c r="M7371" s="1509"/>
      <c r="N7371" s="1510"/>
    </row>
    <row r="7372" spans="1:14" ht="15" customHeight="1">
      <c r="A7372" s="1523"/>
      <c r="B7372" s="953" t="s">
        <v>2440</v>
      </c>
      <c r="C7372" s="956">
        <v>0.91</v>
      </c>
      <c r="D7372" s="919"/>
      <c r="E7372" s="693"/>
      <c r="F7372" s="693"/>
      <c r="G7372" s="693"/>
      <c r="H7372" s="957">
        <f>C7372</f>
        <v>0.91</v>
      </c>
      <c r="I7372" s="1508"/>
      <c r="J7372" s="1509"/>
      <c r="K7372" s="1509"/>
      <c r="L7372" s="1509"/>
      <c r="M7372" s="1509"/>
      <c r="N7372" s="1510"/>
    </row>
    <row r="7373" spans="1:14" ht="15" customHeight="1">
      <c r="A7373" s="1523"/>
      <c r="B7373" s="953" t="s">
        <v>3966</v>
      </c>
      <c r="C7373" s="956">
        <v>0.31</v>
      </c>
      <c r="D7373" s="919"/>
      <c r="E7373" s="693"/>
      <c r="F7373" s="693"/>
      <c r="G7373" s="693"/>
      <c r="H7373" s="957">
        <f t="shared" ref="H7373:H7378" si="130">C7373</f>
        <v>0.31</v>
      </c>
      <c r="I7373" s="1508"/>
      <c r="J7373" s="1509"/>
      <c r="K7373" s="1509"/>
      <c r="L7373" s="1509"/>
      <c r="M7373" s="1509"/>
      <c r="N7373" s="1510"/>
    </row>
    <row r="7374" spans="1:14" ht="15" customHeight="1">
      <c r="A7374" s="1523"/>
      <c r="B7374" s="953" t="s">
        <v>3967</v>
      </c>
      <c r="C7374" s="956">
        <v>0.62</v>
      </c>
      <c r="D7374" s="919"/>
      <c r="E7374" s="693"/>
      <c r="F7374" s="693"/>
      <c r="G7374" s="693"/>
      <c r="H7374" s="957">
        <f t="shared" si="130"/>
        <v>0.62</v>
      </c>
      <c r="I7374" s="1508"/>
      <c r="J7374" s="1509"/>
      <c r="K7374" s="1509"/>
      <c r="L7374" s="1509"/>
      <c r="M7374" s="1509"/>
      <c r="N7374" s="1510"/>
    </row>
    <row r="7375" spans="1:14" ht="15" customHeight="1">
      <c r="A7375" s="1523"/>
      <c r="B7375" s="953" t="s">
        <v>3853</v>
      </c>
      <c r="C7375" s="956">
        <v>0.32</v>
      </c>
      <c r="D7375" s="919"/>
      <c r="E7375" s="693"/>
      <c r="F7375" s="693"/>
      <c r="G7375" s="693"/>
      <c r="H7375" s="957">
        <f t="shared" si="130"/>
        <v>0.32</v>
      </c>
      <c r="I7375" s="1508"/>
      <c r="J7375" s="1509"/>
      <c r="K7375" s="1509"/>
      <c r="L7375" s="1509"/>
      <c r="M7375" s="1509"/>
      <c r="N7375" s="1510"/>
    </row>
    <row r="7376" spans="1:14" ht="15" customHeight="1">
      <c r="A7376" s="1523"/>
      <c r="B7376" s="953" t="s">
        <v>3968</v>
      </c>
      <c r="C7376" s="956">
        <v>0.32</v>
      </c>
      <c r="D7376" s="919"/>
      <c r="E7376" s="693"/>
      <c r="F7376" s="693"/>
      <c r="G7376" s="693"/>
      <c r="H7376" s="957">
        <f t="shared" si="130"/>
        <v>0.32</v>
      </c>
      <c r="I7376" s="1508"/>
      <c r="J7376" s="1509"/>
      <c r="K7376" s="1509"/>
      <c r="L7376" s="1509"/>
      <c r="M7376" s="1509"/>
      <c r="N7376" s="1510"/>
    </row>
    <row r="7377" spans="1:14" ht="15" customHeight="1">
      <c r="A7377" s="1523"/>
      <c r="B7377" s="968" t="s">
        <v>2929</v>
      </c>
      <c r="C7377" s="956"/>
      <c r="D7377" s="919"/>
      <c r="E7377" s="693"/>
      <c r="F7377" s="693"/>
      <c r="G7377" s="693"/>
      <c r="H7377" s="957"/>
      <c r="I7377" s="1508"/>
      <c r="J7377" s="1509"/>
      <c r="K7377" s="1509"/>
      <c r="L7377" s="1509"/>
      <c r="M7377" s="1509"/>
      <c r="N7377" s="1510"/>
    </row>
    <row r="7378" spans="1:14" ht="15" customHeight="1">
      <c r="A7378" s="1523"/>
      <c r="B7378" s="953" t="s">
        <v>2957</v>
      </c>
      <c r="C7378" s="956">
        <v>0.78</v>
      </c>
      <c r="D7378" s="919"/>
      <c r="E7378" s="693"/>
      <c r="F7378" s="693"/>
      <c r="G7378" s="693"/>
      <c r="H7378" s="957">
        <f t="shared" si="130"/>
        <v>0.78</v>
      </c>
      <c r="I7378" s="1508"/>
      <c r="J7378" s="1509"/>
      <c r="K7378" s="1509"/>
      <c r="L7378" s="1509"/>
      <c r="M7378" s="1509"/>
      <c r="N7378" s="1510"/>
    </row>
    <row r="7379" spans="1:14" ht="15" customHeight="1">
      <c r="A7379" s="1523"/>
      <c r="B7379" s="753" t="s">
        <v>3405</v>
      </c>
      <c r="C7379" s="757">
        <v>0.54</v>
      </c>
      <c r="D7379" s="294"/>
      <c r="E7379" s="348"/>
      <c r="F7379" s="348"/>
      <c r="G7379" s="348"/>
      <c r="H7379" s="957">
        <f t="shared" ref="H7379:H7385" si="131">C7379</f>
        <v>0.54</v>
      </c>
      <c r="I7379" s="1508"/>
      <c r="J7379" s="1509"/>
      <c r="K7379" s="1509"/>
      <c r="L7379" s="1509"/>
      <c r="M7379" s="1509"/>
      <c r="N7379" s="1510"/>
    </row>
    <row r="7380" spans="1:14" ht="15" customHeight="1">
      <c r="A7380" s="1523"/>
      <c r="B7380" s="753" t="s">
        <v>2903</v>
      </c>
      <c r="C7380" s="757">
        <v>5.07</v>
      </c>
      <c r="D7380" s="294"/>
      <c r="E7380" s="348"/>
      <c r="F7380" s="348"/>
      <c r="G7380" s="348"/>
      <c r="H7380" s="957">
        <f t="shared" si="131"/>
        <v>5.07</v>
      </c>
      <c r="I7380" s="1508"/>
      <c r="J7380" s="1509"/>
      <c r="K7380" s="1509"/>
      <c r="L7380" s="1509"/>
      <c r="M7380" s="1509"/>
      <c r="N7380" s="1510"/>
    </row>
    <row r="7381" spans="1:14" ht="15" customHeight="1">
      <c r="A7381" s="1523"/>
      <c r="B7381" s="753" t="s">
        <v>3969</v>
      </c>
      <c r="C7381" s="757">
        <v>5.4</v>
      </c>
      <c r="D7381" s="294"/>
      <c r="E7381" s="348"/>
      <c r="F7381" s="348"/>
      <c r="G7381" s="348"/>
      <c r="H7381" s="957">
        <f t="shared" si="131"/>
        <v>5.4</v>
      </c>
      <c r="I7381" s="1508"/>
      <c r="J7381" s="1509"/>
      <c r="K7381" s="1509"/>
      <c r="L7381" s="1509"/>
      <c r="M7381" s="1509"/>
      <c r="N7381" s="1510"/>
    </row>
    <row r="7382" spans="1:14" ht="15" customHeight="1">
      <c r="A7382" s="1523"/>
      <c r="B7382" s="753" t="s">
        <v>3970</v>
      </c>
      <c r="C7382" s="757">
        <v>2.34</v>
      </c>
      <c r="D7382" s="294"/>
      <c r="E7382" s="348"/>
      <c r="F7382" s="348"/>
      <c r="G7382" s="348"/>
      <c r="H7382" s="957">
        <f t="shared" si="131"/>
        <v>2.34</v>
      </c>
      <c r="I7382" s="1508"/>
      <c r="J7382" s="1509"/>
      <c r="K7382" s="1509"/>
      <c r="L7382" s="1509"/>
      <c r="M7382" s="1509"/>
      <c r="N7382" s="1510"/>
    </row>
    <row r="7383" spans="1:14" ht="15" customHeight="1">
      <c r="A7383" s="1090"/>
      <c r="B7383" s="753" t="s">
        <v>3972</v>
      </c>
      <c r="C7383" s="757">
        <v>1.1499999999999999</v>
      </c>
      <c r="D7383" s="294"/>
      <c r="E7383" s="348"/>
      <c r="F7383" s="348"/>
      <c r="G7383" s="348"/>
      <c r="H7383" s="957">
        <f t="shared" si="131"/>
        <v>1.1499999999999999</v>
      </c>
      <c r="I7383" s="1508"/>
      <c r="J7383" s="1509"/>
      <c r="K7383" s="1509"/>
      <c r="L7383" s="1509"/>
      <c r="M7383" s="1509"/>
      <c r="N7383" s="1510"/>
    </row>
    <row r="7384" spans="1:14" ht="15" customHeight="1">
      <c r="A7384" s="1090"/>
      <c r="B7384" s="753" t="s">
        <v>3973</v>
      </c>
      <c r="C7384" s="757">
        <v>0.57999999999999996</v>
      </c>
      <c r="D7384" s="294"/>
      <c r="E7384" s="348"/>
      <c r="F7384" s="348"/>
      <c r="G7384" s="348"/>
      <c r="H7384" s="957">
        <f t="shared" si="131"/>
        <v>0.57999999999999996</v>
      </c>
      <c r="I7384" s="1508"/>
      <c r="J7384" s="1509"/>
      <c r="K7384" s="1509"/>
      <c r="L7384" s="1509"/>
      <c r="M7384" s="1509"/>
      <c r="N7384" s="1510"/>
    </row>
    <row r="7385" spans="1:14" ht="15" customHeight="1">
      <c r="A7385" s="1090"/>
      <c r="B7385" s="753" t="s">
        <v>3756</v>
      </c>
      <c r="C7385" s="757">
        <v>1.52</v>
      </c>
      <c r="D7385" s="294"/>
      <c r="E7385" s="348"/>
      <c r="F7385" s="348"/>
      <c r="G7385" s="348"/>
      <c r="H7385" s="957">
        <f t="shared" si="131"/>
        <v>1.52</v>
      </c>
      <c r="I7385" s="1508"/>
      <c r="J7385" s="1509"/>
      <c r="K7385" s="1509"/>
      <c r="L7385" s="1509"/>
      <c r="M7385" s="1509"/>
      <c r="N7385" s="1510"/>
    </row>
    <row r="7386" spans="1:14">
      <c r="A7386" s="1138"/>
      <c r="B7386" s="753" t="s">
        <v>3971</v>
      </c>
      <c r="C7386" s="757">
        <v>1.48</v>
      </c>
      <c r="D7386" s="294"/>
      <c r="E7386" s="348"/>
      <c r="F7386" s="348"/>
      <c r="G7386" s="348"/>
      <c r="H7386" s="957"/>
      <c r="I7386" s="1508"/>
      <c r="J7386" s="1509"/>
      <c r="K7386" s="1509"/>
      <c r="L7386" s="1509"/>
      <c r="M7386" s="1509"/>
      <c r="N7386" s="1510"/>
    </row>
    <row r="7387" spans="1:14">
      <c r="A7387" s="1516" t="s">
        <v>2218</v>
      </c>
      <c r="B7387" s="1517"/>
      <c r="C7387" s="1517"/>
      <c r="D7387" s="1517"/>
      <c r="E7387" s="1517"/>
      <c r="F7387" s="1517"/>
      <c r="G7387" s="1518"/>
      <c r="H7387" s="271">
        <f>SUM(H7362:H7386)</f>
        <v>22.879999999999995</v>
      </c>
      <c r="I7387" s="1508"/>
      <c r="J7387" s="1509"/>
      <c r="K7387" s="1509"/>
      <c r="L7387" s="1509"/>
      <c r="M7387" s="1509"/>
      <c r="N7387" s="1510"/>
    </row>
    <row r="7388" spans="1:14">
      <c r="A7388" s="1519" t="s">
        <v>2219</v>
      </c>
      <c r="B7388" s="1517"/>
      <c r="C7388" s="1517"/>
      <c r="D7388" s="1517"/>
      <c r="E7388" s="1517"/>
      <c r="F7388" s="1517"/>
      <c r="G7388" s="1518"/>
      <c r="H7388" s="325">
        <f>SUM(H7360:H7370)</f>
        <v>3.02</v>
      </c>
      <c r="I7388" s="1508"/>
      <c r="J7388" s="1509"/>
      <c r="K7388" s="1509"/>
      <c r="L7388" s="1509"/>
      <c r="M7388" s="1509"/>
      <c r="N7388" s="1510"/>
    </row>
    <row r="7389" spans="1:14" ht="15.75" thickBot="1">
      <c r="A7389" s="1520" t="s">
        <v>2220</v>
      </c>
      <c r="B7389" s="1521"/>
      <c r="C7389" s="1521"/>
      <c r="D7389" s="1521"/>
      <c r="E7389" s="1521"/>
      <c r="F7389" s="1521"/>
      <c r="G7389" s="1522"/>
      <c r="H7389" s="216">
        <f>H7387-H7388</f>
        <v>19.859999999999996</v>
      </c>
      <c r="I7389" s="1511"/>
      <c r="J7389" s="1512"/>
      <c r="K7389" s="1512"/>
      <c r="L7389" s="1512"/>
      <c r="M7389" s="1512"/>
      <c r="N7389" s="1513"/>
    </row>
    <row r="7391" spans="1:14">
      <c r="A7391" s="1126" t="s">
        <v>3512</v>
      </c>
      <c r="B7391" s="1561" t="s">
        <v>1864</v>
      </c>
      <c r="C7391" s="1562"/>
      <c r="D7391" s="1562"/>
      <c r="E7391" s="1562"/>
      <c r="F7391" s="1562"/>
      <c r="G7391" s="1562"/>
      <c r="H7391" s="1562"/>
      <c r="I7391" s="1562"/>
      <c r="J7391" s="1563"/>
      <c r="K7391" s="264" t="s">
        <v>3154</v>
      </c>
      <c r="L7391" s="1564">
        <f>'27ª MEDIÇÃO '!F570</f>
        <v>31.25</v>
      </c>
      <c r="M7391" s="1565"/>
      <c r="N7391" s="265">
        <f>L7391-H7405</f>
        <v>0</v>
      </c>
    </row>
    <row r="7392" spans="1:14">
      <c r="A7392" s="1499"/>
      <c r="B7392" s="1500"/>
      <c r="C7392" s="366"/>
      <c r="D7392" s="367" t="s">
        <v>2183</v>
      </c>
      <c r="E7392" s="1320" t="s">
        <v>2184</v>
      </c>
      <c r="F7392" s="367" t="s">
        <v>2185</v>
      </c>
      <c r="G7392" s="367" t="s">
        <v>2186</v>
      </c>
      <c r="H7392" s="1503" t="s">
        <v>476</v>
      </c>
      <c r="I7392" s="1505"/>
      <c r="J7392" s="1506"/>
      <c r="K7392" s="1506"/>
      <c r="L7392" s="1506"/>
      <c r="M7392" s="1506"/>
      <c r="N7392" s="1507"/>
    </row>
    <row r="7393" spans="1:14">
      <c r="A7393" s="1501"/>
      <c r="B7393" s="1502"/>
      <c r="C7393" s="368" t="s">
        <v>3128</v>
      </c>
      <c r="D7393" s="369"/>
      <c r="E7393" s="529"/>
      <c r="F7393" s="369"/>
      <c r="G7393" s="370" t="s">
        <v>3410</v>
      </c>
      <c r="H7393" s="1504"/>
      <c r="I7393" s="1508"/>
      <c r="J7393" s="1509"/>
      <c r="K7393" s="1509"/>
      <c r="L7393" s="1509"/>
      <c r="M7393" s="1509"/>
      <c r="N7393" s="1510"/>
    </row>
    <row r="7394" spans="1:14">
      <c r="A7394" s="1514" t="s">
        <v>3465</v>
      </c>
      <c r="B7394" s="968" t="s">
        <v>2727</v>
      </c>
      <c r="C7394" s="756"/>
      <c r="D7394" s="202"/>
      <c r="E7394" s="346"/>
      <c r="F7394" s="346"/>
      <c r="G7394" s="346"/>
      <c r="H7394" s="403"/>
      <c r="I7394" s="1508"/>
      <c r="J7394" s="1509"/>
      <c r="K7394" s="1509"/>
      <c r="L7394" s="1509"/>
      <c r="M7394" s="1509"/>
      <c r="N7394" s="1510"/>
    </row>
    <row r="7395" spans="1:14">
      <c r="A7395" s="1523"/>
      <c r="B7395" s="953" t="s">
        <v>2419</v>
      </c>
      <c r="C7395" s="956">
        <v>1.79</v>
      </c>
      <c r="D7395" s="919"/>
      <c r="E7395" s="693"/>
      <c r="F7395" s="693"/>
      <c r="G7395" s="693">
        <v>1</v>
      </c>
      <c r="H7395" s="957">
        <f>C7395</f>
        <v>1.79</v>
      </c>
      <c r="I7395" s="1508"/>
      <c r="J7395" s="1509"/>
      <c r="K7395" s="1509"/>
      <c r="L7395" s="1509"/>
      <c r="M7395" s="1509"/>
      <c r="N7395" s="1510"/>
    </row>
    <row r="7396" spans="1:14" ht="25.15" customHeight="1">
      <c r="A7396" s="1523"/>
      <c r="B7396" s="968" t="s">
        <v>2929</v>
      </c>
      <c r="C7396" s="956"/>
      <c r="D7396" s="919"/>
      <c r="E7396" s="693"/>
      <c r="F7396" s="693"/>
      <c r="G7396" s="693"/>
      <c r="H7396" s="957"/>
      <c r="I7396" s="1508"/>
      <c r="J7396" s="1509"/>
      <c r="K7396" s="1509"/>
      <c r="L7396" s="1509"/>
      <c r="M7396" s="1509"/>
      <c r="N7396" s="1510"/>
    </row>
    <row r="7397" spans="1:14">
      <c r="A7397" s="1523"/>
      <c r="B7397" s="953" t="s">
        <v>3511</v>
      </c>
      <c r="C7397" s="956">
        <v>2.2400000000000002</v>
      </c>
      <c r="D7397" s="919"/>
      <c r="E7397" s="693"/>
      <c r="F7397" s="693"/>
      <c r="G7397" s="693">
        <v>1</v>
      </c>
      <c r="H7397" s="957">
        <f>C7397</f>
        <v>2.2400000000000002</v>
      </c>
      <c r="I7397" s="1508"/>
      <c r="J7397" s="1509"/>
      <c r="K7397" s="1509"/>
      <c r="L7397" s="1509"/>
      <c r="M7397" s="1509"/>
      <c r="N7397" s="1510"/>
    </row>
    <row r="7398" spans="1:14">
      <c r="A7398" s="1515"/>
      <c r="B7398" s="753" t="s">
        <v>3510</v>
      </c>
      <c r="C7398" s="757">
        <v>2.72</v>
      </c>
      <c r="D7398" s="294"/>
      <c r="E7398" s="348"/>
      <c r="F7398" s="348"/>
      <c r="G7398" s="348">
        <v>1</v>
      </c>
      <c r="H7398" s="957">
        <f>C7398</f>
        <v>2.72</v>
      </c>
      <c r="I7398" s="1508"/>
      <c r="J7398" s="1509"/>
      <c r="K7398" s="1509"/>
      <c r="L7398" s="1509"/>
      <c r="M7398" s="1509"/>
      <c r="N7398" s="1510"/>
    </row>
    <row r="7399" spans="1:14">
      <c r="A7399" s="1514" t="s">
        <v>3521</v>
      </c>
      <c r="B7399" s="968" t="s">
        <v>2727</v>
      </c>
      <c r="C7399" s="756"/>
      <c r="D7399" s="202"/>
      <c r="E7399" s="346"/>
      <c r="F7399" s="346"/>
      <c r="G7399" s="346"/>
      <c r="H7399" s="403"/>
      <c r="I7399" s="1508"/>
      <c r="J7399" s="1509"/>
      <c r="K7399" s="1509"/>
      <c r="L7399" s="1509"/>
      <c r="M7399" s="1509"/>
      <c r="N7399" s="1510"/>
    </row>
    <row r="7400" spans="1:14">
      <c r="A7400" s="1523"/>
      <c r="B7400" s="953" t="s">
        <v>3525</v>
      </c>
      <c r="C7400" s="956">
        <v>1.8</v>
      </c>
      <c r="D7400" s="919"/>
      <c r="E7400" s="693"/>
      <c r="F7400" s="693"/>
      <c r="G7400" s="693">
        <v>1</v>
      </c>
      <c r="H7400" s="957">
        <f>C7400</f>
        <v>1.8</v>
      </c>
      <c r="I7400" s="1508"/>
      <c r="J7400" s="1509"/>
      <c r="K7400" s="1509"/>
      <c r="L7400" s="1509"/>
      <c r="M7400" s="1509"/>
      <c r="N7400" s="1510"/>
    </row>
    <row r="7401" spans="1:14">
      <c r="A7401" s="1523"/>
      <c r="B7401" s="968" t="s">
        <v>2929</v>
      </c>
      <c r="C7401" s="956"/>
      <c r="D7401" s="919"/>
      <c r="E7401" s="693"/>
      <c r="F7401" s="693"/>
      <c r="G7401" s="693"/>
      <c r="H7401" s="957"/>
      <c r="I7401" s="1508"/>
      <c r="J7401" s="1509"/>
      <c r="K7401" s="1509"/>
      <c r="L7401" s="1509"/>
      <c r="M7401" s="1509"/>
      <c r="N7401" s="1510"/>
    </row>
    <row r="7402" spans="1:14">
      <c r="A7402" s="1523"/>
      <c r="B7402" s="953" t="s">
        <v>3552</v>
      </c>
      <c r="C7402" s="956">
        <v>1.2</v>
      </c>
      <c r="D7402" s="919"/>
      <c r="E7402" s="693"/>
      <c r="F7402" s="693"/>
      <c r="G7402" s="693">
        <v>1</v>
      </c>
      <c r="H7402" s="957">
        <f>C7402</f>
        <v>1.2</v>
      </c>
      <c r="I7402" s="1508"/>
      <c r="J7402" s="1509"/>
      <c r="K7402" s="1509"/>
      <c r="L7402" s="1509"/>
      <c r="M7402" s="1509"/>
      <c r="N7402" s="1510"/>
    </row>
    <row r="7403" spans="1:14">
      <c r="A7403" s="1515"/>
      <c r="B7403" s="753"/>
      <c r="C7403" s="757"/>
      <c r="D7403" s="294"/>
      <c r="E7403" s="348"/>
      <c r="F7403" s="348"/>
      <c r="G7403" s="348"/>
      <c r="H7403" s="957"/>
      <c r="I7403" s="1508"/>
      <c r="J7403" s="1509"/>
      <c r="K7403" s="1509"/>
      <c r="L7403" s="1509"/>
      <c r="M7403" s="1509"/>
      <c r="N7403" s="1510"/>
    </row>
    <row r="7404" spans="1:14">
      <c r="A7404" s="1228" t="s">
        <v>3937</v>
      </c>
      <c r="B7404" s="1244" t="s">
        <v>3974</v>
      </c>
      <c r="C7404" s="1245"/>
      <c r="D7404" s="478"/>
      <c r="E7404" s="479"/>
      <c r="F7404" s="479"/>
      <c r="G7404" s="479"/>
      <c r="H7404" s="377">
        <v>21.5</v>
      </c>
      <c r="I7404" s="1508"/>
      <c r="J7404" s="1509"/>
      <c r="K7404" s="1509"/>
      <c r="L7404" s="1509"/>
      <c r="M7404" s="1509"/>
      <c r="N7404" s="1510"/>
    </row>
    <row r="7405" spans="1:14">
      <c r="A7405" s="1516" t="s">
        <v>2218</v>
      </c>
      <c r="B7405" s="1517"/>
      <c r="C7405" s="1517"/>
      <c r="D7405" s="1517"/>
      <c r="E7405" s="1517"/>
      <c r="F7405" s="1517"/>
      <c r="G7405" s="1518"/>
      <c r="H7405" s="271">
        <f>SUM(H7394:H7404)</f>
        <v>31.25</v>
      </c>
      <c r="I7405" s="1508"/>
      <c r="J7405" s="1509"/>
      <c r="K7405" s="1509"/>
      <c r="L7405" s="1509"/>
      <c r="M7405" s="1509"/>
      <c r="N7405" s="1510"/>
    </row>
    <row r="7406" spans="1:14">
      <c r="A7406" s="1519" t="s">
        <v>2219</v>
      </c>
      <c r="B7406" s="1517"/>
      <c r="C7406" s="1517"/>
      <c r="D7406" s="1517"/>
      <c r="E7406" s="1517"/>
      <c r="F7406" s="1517"/>
      <c r="G7406" s="1518"/>
      <c r="H7406" s="325">
        <f>SUM(H7392:H7403)</f>
        <v>9.75</v>
      </c>
      <c r="I7406" s="1508"/>
      <c r="J7406" s="1509"/>
      <c r="K7406" s="1509"/>
      <c r="L7406" s="1509"/>
      <c r="M7406" s="1509"/>
      <c r="N7406" s="1510"/>
    </row>
    <row r="7407" spans="1:14" ht="25.15" customHeight="1" thickBot="1">
      <c r="A7407" s="1520" t="s">
        <v>2220</v>
      </c>
      <c r="B7407" s="1521"/>
      <c r="C7407" s="1521"/>
      <c r="D7407" s="1521"/>
      <c r="E7407" s="1521"/>
      <c r="F7407" s="1521"/>
      <c r="G7407" s="1522"/>
      <c r="H7407" s="216">
        <f>H7405-H7406</f>
        <v>21.5</v>
      </c>
      <c r="I7407" s="1511"/>
      <c r="J7407" s="1512"/>
      <c r="K7407" s="1512"/>
      <c r="L7407" s="1512"/>
      <c r="M7407" s="1512"/>
      <c r="N7407" s="1513"/>
    </row>
    <row r="7409" spans="1:14">
      <c r="A7409" s="1126" t="s">
        <v>3513</v>
      </c>
      <c r="B7409" s="1561" t="s">
        <v>1867</v>
      </c>
      <c r="C7409" s="1562"/>
      <c r="D7409" s="1562"/>
      <c r="E7409" s="1562"/>
      <c r="F7409" s="1562"/>
      <c r="G7409" s="1562"/>
      <c r="H7409" s="1562"/>
      <c r="I7409" s="1562"/>
      <c r="J7409" s="1563"/>
      <c r="K7409" s="264" t="s">
        <v>3154</v>
      </c>
      <c r="L7409" s="1564">
        <f>'27ª MEDIÇÃO '!F571</f>
        <v>32.510000000000005</v>
      </c>
      <c r="M7409" s="1565"/>
      <c r="N7409" s="265">
        <f>L7409-H7422</f>
        <v>0</v>
      </c>
    </row>
    <row r="7410" spans="1:14">
      <c r="A7410" s="1499"/>
      <c r="B7410" s="1500"/>
      <c r="C7410" s="366"/>
      <c r="D7410" s="367" t="s">
        <v>2183</v>
      </c>
      <c r="E7410" s="1320" t="s">
        <v>2184</v>
      </c>
      <c r="F7410" s="367" t="s">
        <v>2185</v>
      </c>
      <c r="G7410" s="367" t="s">
        <v>2186</v>
      </c>
      <c r="H7410" s="1503" t="s">
        <v>476</v>
      </c>
      <c r="I7410" s="1505"/>
      <c r="J7410" s="1506"/>
      <c r="K7410" s="1506"/>
      <c r="L7410" s="1506"/>
      <c r="M7410" s="1506"/>
      <c r="N7410" s="1507"/>
    </row>
    <row r="7411" spans="1:14">
      <c r="A7411" s="1501"/>
      <c r="B7411" s="1502"/>
      <c r="C7411" s="368" t="s">
        <v>3128</v>
      </c>
      <c r="D7411" s="369"/>
      <c r="E7411" s="529"/>
      <c r="F7411" s="369"/>
      <c r="G7411" s="370" t="s">
        <v>3410</v>
      </c>
      <c r="H7411" s="1504"/>
      <c r="I7411" s="1508"/>
      <c r="J7411" s="1509"/>
      <c r="K7411" s="1509"/>
      <c r="L7411" s="1509"/>
      <c r="M7411" s="1509"/>
      <c r="N7411" s="1510"/>
    </row>
    <row r="7412" spans="1:14">
      <c r="A7412" s="1514" t="s">
        <v>3465</v>
      </c>
      <c r="B7412" s="968" t="s">
        <v>2727</v>
      </c>
      <c r="C7412" s="756"/>
      <c r="D7412" s="202"/>
      <c r="E7412" s="346"/>
      <c r="F7412" s="346"/>
      <c r="G7412" s="346"/>
      <c r="H7412" s="403"/>
      <c r="I7412" s="1508"/>
      <c r="J7412" s="1509"/>
      <c r="K7412" s="1509"/>
      <c r="L7412" s="1509"/>
      <c r="M7412" s="1509"/>
      <c r="N7412" s="1510"/>
    </row>
    <row r="7413" spans="1:14">
      <c r="A7413" s="1523"/>
      <c r="B7413" s="953" t="s">
        <v>2419</v>
      </c>
      <c r="C7413" s="956">
        <v>0.95</v>
      </c>
      <c r="D7413" s="919"/>
      <c r="E7413" s="693"/>
      <c r="F7413" s="693"/>
      <c r="G7413" s="693">
        <v>1</v>
      </c>
      <c r="H7413" s="957">
        <f>C7413</f>
        <v>0.95</v>
      </c>
      <c r="I7413" s="1508"/>
      <c r="J7413" s="1509"/>
      <c r="K7413" s="1509"/>
      <c r="L7413" s="1509"/>
      <c r="M7413" s="1509"/>
      <c r="N7413" s="1510"/>
    </row>
    <row r="7414" spans="1:14">
      <c r="A7414" s="1523"/>
      <c r="B7414" s="968" t="s">
        <v>2929</v>
      </c>
      <c r="C7414" s="956"/>
      <c r="D7414" s="919"/>
      <c r="E7414" s="693"/>
      <c r="F7414" s="693"/>
      <c r="G7414" s="693"/>
      <c r="H7414" s="957"/>
      <c r="I7414" s="1508"/>
      <c r="J7414" s="1509"/>
      <c r="K7414" s="1509"/>
      <c r="L7414" s="1509"/>
      <c r="M7414" s="1509"/>
      <c r="N7414" s="1510"/>
    </row>
    <row r="7415" spans="1:14">
      <c r="A7415" s="1523"/>
      <c r="B7415" s="953" t="s">
        <v>3511</v>
      </c>
      <c r="C7415" s="956">
        <v>1.05</v>
      </c>
      <c r="D7415" s="919"/>
      <c r="E7415" s="693"/>
      <c r="F7415" s="693"/>
      <c r="G7415" s="693">
        <v>1</v>
      </c>
      <c r="H7415" s="957">
        <f>C7415</f>
        <v>1.05</v>
      </c>
      <c r="I7415" s="1508"/>
      <c r="J7415" s="1509"/>
      <c r="K7415" s="1509"/>
      <c r="L7415" s="1509"/>
      <c r="M7415" s="1509"/>
      <c r="N7415" s="1510"/>
    </row>
    <row r="7416" spans="1:14">
      <c r="A7416" s="1515"/>
      <c r="B7416" s="753" t="s">
        <v>3510</v>
      </c>
      <c r="C7416" s="757">
        <v>1.5</v>
      </c>
      <c r="D7416" s="294"/>
      <c r="E7416" s="348"/>
      <c r="F7416" s="348"/>
      <c r="G7416" s="348">
        <v>1</v>
      </c>
      <c r="H7416" s="957">
        <f>C7416</f>
        <v>1.5</v>
      </c>
      <c r="I7416" s="1508"/>
      <c r="J7416" s="1509"/>
      <c r="K7416" s="1509"/>
      <c r="L7416" s="1509"/>
      <c r="M7416" s="1509"/>
      <c r="N7416" s="1510"/>
    </row>
    <row r="7417" spans="1:14" ht="25.15" customHeight="1">
      <c r="A7417" s="1514" t="s">
        <v>3521</v>
      </c>
      <c r="B7417" s="968" t="s">
        <v>2727</v>
      </c>
      <c r="C7417" s="756"/>
      <c r="D7417" s="202"/>
      <c r="E7417" s="346"/>
      <c r="F7417" s="346"/>
      <c r="G7417" s="346"/>
      <c r="H7417" s="403"/>
      <c r="I7417" s="1508"/>
      <c r="J7417" s="1509"/>
      <c r="K7417" s="1509"/>
      <c r="L7417" s="1509"/>
      <c r="M7417" s="1509"/>
      <c r="N7417" s="1510"/>
    </row>
    <row r="7418" spans="1:14">
      <c r="A7418" s="1523"/>
      <c r="B7418" s="953" t="s">
        <v>3525</v>
      </c>
      <c r="C7418" s="956">
        <v>1.96</v>
      </c>
      <c r="D7418" s="919"/>
      <c r="E7418" s="693"/>
      <c r="F7418" s="693"/>
      <c r="G7418" s="693">
        <v>1</v>
      </c>
      <c r="H7418" s="957">
        <f>C7418</f>
        <v>1.96</v>
      </c>
      <c r="I7418" s="1508"/>
      <c r="J7418" s="1509"/>
      <c r="K7418" s="1509"/>
      <c r="L7418" s="1509"/>
      <c r="M7418" s="1509"/>
      <c r="N7418" s="1510"/>
    </row>
    <row r="7419" spans="1:14">
      <c r="A7419" s="1523"/>
      <c r="B7419" s="968" t="s">
        <v>2929</v>
      </c>
      <c r="C7419" s="956"/>
      <c r="D7419" s="919"/>
      <c r="E7419" s="693"/>
      <c r="F7419" s="693"/>
      <c r="G7419" s="693"/>
      <c r="H7419" s="957"/>
      <c r="I7419" s="1508"/>
      <c r="J7419" s="1509"/>
      <c r="K7419" s="1509"/>
      <c r="L7419" s="1509"/>
      <c r="M7419" s="1509"/>
      <c r="N7419" s="1510"/>
    </row>
    <row r="7420" spans="1:14">
      <c r="A7420" s="1523"/>
      <c r="B7420" s="953" t="s">
        <v>3552</v>
      </c>
      <c r="C7420" s="956">
        <v>1.2</v>
      </c>
      <c r="D7420" s="919"/>
      <c r="E7420" s="693"/>
      <c r="F7420" s="693"/>
      <c r="G7420" s="693">
        <v>1</v>
      </c>
      <c r="H7420" s="957">
        <f>C7420</f>
        <v>1.2</v>
      </c>
      <c r="I7420" s="1508"/>
      <c r="J7420" s="1509"/>
      <c r="K7420" s="1509"/>
      <c r="L7420" s="1509"/>
      <c r="M7420" s="1509"/>
      <c r="N7420" s="1510"/>
    </row>
    <row r="7421" spans="1:14">
      <c r="A7421" s="1138" t="s">
        <v>3937</v>
      </c>
      <c r="B7421" s="753" t="s">
        <v>3974</v>
      </c>
      <c r="C7421" s="757"/>
      <c r="D7421" s="294"/>
      <c r="E7421" s="348"/>
      <c r="F7421" s="348"/>
      <c r="G7421" s="348"/>
      <c r="H7421" s="957">
        <v>25.85</v>
      </c>
      <c r="I7421" s="1508"/>
      <c r="J7421" s="1509"/>
      <c r="K7421" s="1509"/>
      <c r="L7421" s="1509"/>
      <c r="M7421" s="1509"/>
      <c r="N7421" s="1510"/>
    </row>
    <row r="7422" spans="1:14">
      <c r="A7422" s="1516" t="s">
        <v>2218</v>
      </c>
      <c r="B7422" s="1517"/>
      <c r="C7422" s="1517"/>
      <c r="D7422" s="1517"/>
      <c r="E7422" s="1517"/>
      <c r="F7422" s="1517"/>
      <c r="G7422" s="1518"/>
      <c r="H7422" s="271">
        <f>SUM(H7412:H7421)</f>
        <v>32.510000000000005</v>
      </c>
      <c r="I7422" s="1508"/>
      <c r="J7422" s="1509"/>
      <c r="K7422" s="1509"/>
      <c r="L7422" s="1509"/>
      <c r="M7422" s="1509"/>
      <c r="N7422" s="1510"/>
    </row>
    <row r="7423" spans="1:14">
      <c r="A7423" s="1519" t="s">
        <v>2219</v>
      </c>
      <c r="B7423" s="1517"/>
      <c r="C7423" s="1517"/>
      <c r="D7423" s="1517"/>
      <c r="E7423" s="1517"/>
      <c r="F7423" s="1517"/>
      <c r="G7423" s="1518"/>
      <c r="H7423" s="325">
        <f>SUM(H7410:H7420)</f>
        <v>6.66</v>
      </c>
      <c r="I7423" s="1508"/>
      <c r="J7423" s="1509"/>
      <c r="K7423" s="1509"/>
      <c r="L7423" s="1509"/>
      <c r="M7423" s="1509"/>
      <c r="N7423" s="1510"/>
    </row>
    <row r="7424" spans="1:14" ht="15.75" thickBot="1">
      <c r="A7424" s="1520" t="s">
        <v>2220</v>
      </c>
      <c r="B7424" s="1521"/>
      <c r="C7424" s="1521"/>
      <c r="D7424" s="1521"/>
      <c r="E7424" s="1521"/>
      <c r="F7424" s="1521"/>
      <c r="G7424" s="1522"/>
      <c r="H7424" s="216">
        <f>H7422-H7423</f>
        <v>25.850000000000005</v>
      </c>
      <c r="I7424" s="1511"/>
      <c r="J7424" s="1512"/>
      <c r="K7424" s="1512"/>
      <c r="L7424" s="1512"/>
      <c r="M7424" s="1512"/>
      <c r="N7424" s="1513"/>
    </row>
    <row r="7426" spans="1:14" ht="39" customHeight="1">
      <c r="A7426" s="1308" t="s">
        <v>3514</v>
      </c>
      <c r="B7426" s="1550" t="s">
        <v>1870</v>
      </c>
      <c r="C7426" s="1550"/>
      <c r="D7426" s="1550"/>
      <c r="E7426" s="1550"/>
      <c r="F7426" s="1550"/>
      <c r="G7426" s="1550"/>
      <c r="H7426" s="1550"/>
      <c r="I7426" s="1550"/>
      <c r="J7426" s="1550"/>
      <c r="K7426" s="864" t="s">
        <v>3154</v>
      </c>
      <c r="L7426" s="1540">
        <f>'27ª MEDIÇÃO '!F572</f>
        <v>8</v>
      </c>
      <c r="M7426" s="1540"/>
      <c r="N7426" s="865">
        <f>L7426-H7435</f>
        <v>5</v>
      </c>
    </row>
    <row r="7427" spans="1:14">
      <c r="A7427" s="1499"/>
      <c r="B7427" s="1500"/>
      <c r="C7427" s="366"/>
      <c r="D7427" s="367" t="s">
        <v>2183</v>
      </c>
      <c r="E7427" s="1320" t="s">
        <v>2184</v>
      </c>
      <c r="F7427" s="367" t="s">
        <v>2185</v>
      </c>
      <c r="G7427" s="367" t="s">
        <v>2186</v>
      </c>
      <c r="H7427" s="1503" t="s">
        <v>476</v>
      </c>
      <c r="I7427" s="1505"/>
      <c r="J7427" s="1506"/>
      <c r="K7427" s="1506"/>
      <c r="L7427" s="1506"/>
      <c r="M7427" s="1506"/>
      <c r="N7427" s="1507"/>
    </row>
    <row r="7428" spans="1:14">
      <c r="A7428" s="1501"/>
      <c r="B7428" s="1502"/>
      <c r="C7428" s="368" t="s">
        <v>3128</v>
      </c>
      <c r="D7428" s="369"/>
      <c r="E7428" s="529"/>
      <c r="F7428" s="369"/>
      <c r="G7428" s="370" t="s">
        <v>3410</v>
      </c>
      <c r="H7428" s="1504"/>
      <c r="I7428" s="1508"/>
      <c r="J7428" s="1509"/>
      <c r="K7428" s="1509"/>
      <c r="L7428" s="1509"/>
      <c r="M7428" s="1509"/>
      <c r="N7428" s="1510"/>
    </row>
    <row r="7429" spans="1:14">
      <c r="A7429" s="1514" t="s">
        <v>3465</v>
      </c>
      <c r="B7429" s="968" t="s">
        <v>2727</v>
      </c>
      <c r="C7429" s="756"/>
      <c r="D7429" s="202"/>
      <c r="E7429" s="346"/>
      <c r="F7429" s="346"/>
      <c r="G7429" s="346"/>
      <c r="H7429" s="403"/>
      <c r="I7429" s="1508"/>
      <c r="J7429" s="1509"/>
      <c r="K7429" s="1509"/>
      <c r="L7429" s="1509"/>
      <c r="M7429" s="1509"/>
      <c r="N7429" s="1510"/>
    </row>
    <row r="7430" spans="1:14" ht="25.15" customHeight="1">
      <c r="A7430" s="1523"/>
      <c r="B7430" s="953" t="s">
        <v>2419</v>
      </c>
      <c r="C7430" s="956">
        <v>1</v>
      </c>
      <c r="D7430" s="919"/>
      <c r="E7430" s="693"/>
      <c r="F7430" s="693"/>
      <c r="G7430" s="693">
        <v>1</v>
      </c>
      <c r="H7430" s="957">
        <f>C7430</f>
        <v>1</v>
      </c>
      <c r="I7430" s="1508"/>
      <c r="J7430" s="1509"/>
      <c r="K7430" s="1509"/>
      <c r="L7430" s="1509"/>
      <c r="M7430" s="1509"/>
      <c r="N7430" s="1510"/>
    </row>
    <row r="7431" spans="1:14">
      <c r="A7431" s="1523"/>
      <c r="B7431" s="968" t="s">
        <v>2929</v>
      </c>
      <c r="C7431" s="956"/>
      <c r="D7431" s="919"/>
      <c r="E7431" s="693"/>
      <c r="F7431" s="693"/>
      <c r="G7431" s="693"/>
      <c r="H7431" s="957"/>
      <c r="I7431" s="1508"/>
      <c r="J7431" s="1509"/>
      <c r="K7431" s="1509"/>
      <c r="L7431" s="1509"/>
      <c r="M7431" s="1509"/>
      <c r="N7431" s="1510"/>
    </row>
    <row r="7432" spans="1:14">
      <c r="A7432" s="1515"/>
      <c r="B7432" s="753" t="s">
        <v>3510</v>
      </c>
      <c r="C7432" s="757">
        <v>1</v>
      </c>
      <c r="D7432" s="294"/>
      <c r="E7432" s="348"/>
      <c r="F7432" s="348"/>
      <c r="G7432" s="348">
        <v>1</v>
      </c>
      <c r="H7432" s="957">
        <f>C7432</f>
        <v>1</v>
      </c>
      <c r="I7432" s="1508"/>
      <c r="J7432" s="1509"/>
      <c r="K7432" s="1509"/>
      <c r="L7432" s="1509"/>
      <c r="M7432" s="1509"/>
      <c r="N7432" s="1510"/>
    </row>
    <row r="7433" spans="1:14">
      <c r="A7433" s="1514" t="s">
        <v>3521</v>
      </c>
      <c r="B7433" s="968" t="s">
        <v>2929</v>
      </c>
      <c r="C7433" s="756"/>
      <c r="D7433" s="202"/>
      <c r="E7433" s="346"/>
      <c r="F7433" s="346"/>
      <c r="G7433" s="346"/>
      <c r="H7433" s="403"/>
      <c r="I7433" s="1508"/>
      <c r="J7433" s="1509"/>
      <c r="K7433" s="1509"/>
      <c r="L7433" s="1509"/>
      <c r="M7433" s="1509"/>
      <c r="N7433" s="1510"/>
    </row>
    <row r="7434" spans="1:14">
      <c r="A7434" s="1515"/>
      <c r="B7434" s="953" t="s">
        <v>3552</v>
      </c>
      <c r="C7434" s="956">
        <v>1</v>
      </c>
      <c r="D7434" s="919"/>
      <c r="E7434" s="693"/>
      <c r="F7434" s="693"/>
      <c r="G7434" s="693">
        <v>1</v>
      </c>
      <c r="H7434" s="957">
        <f>C7434</f>
        <v>1</v>
      </c>
      <c r="I7434" s="1508"/>
      <c r="J7434" s="1509"/>
      <c r="K7434" s="1509"/>
      <c r="L7434" s="1509"/>
      <c r="M7434" s="1509"/>
      <c r="N7434" s="1510"/>
    </row>
    <row r="7435" spans="1:14">
      <c r="A7435" s="1516" t="s">
        <v>2218</v>
      </c>
      <c r="B7435" s="1517"/>
      <c r="C7435" s="1517"/>
      <c r="D7435" s="1517"/>
      <c r="E7435" s="1517"/>
      <c r="F7435" s="1517"/>
      <c r="G7435" s="1518"/>
      <c r="H7435" s="271">
        <f>SUM(H7429:H7434)</f>
        <v>3</v>
      </c>
      <c r="I7435" s="1508"/>
      <c r="J7435" s="1509"/>
      <c r="K7435" s="1509"/>
      <c r="L7435" s="1509"/>
      <c r="M7435" s="1509"/>
      <c r="N7435" s="1510"/>
    </row>
    <row r="7436" spans="1:14">
      <c r="A7436" s="1589" t="s">
        <v>2219</v>
      </c>
      <c r="B7436" s="1590"/>
      <c r="C7436" s="1590"/>
      <c r="D7436" s="1590"/>
      <c r="E7436" s="1590"/>
      <c r="F7436" s="1590"/>
      <c r="G7436" s="1591"/>
      <c r="H7436" s="325">
        <f>SUM(H7427:H7432)</f>
        <v>2</v>
      </c>
      <c r="I7436" s="1508"/>
      <c r="J7436" s="1509"/>
      <c r="K7436" s="1509"/>
      <c r="L7436" s="1509"/>
      <c r="M7436" s="1509"/>
      <c r="N7436" s="1510"/>
    </row>
    <row r="7437" spans="1:14" ht="15.75" thickBot="1">
      <c r="A7437" s="1592" t="s">
        <v>2220</v>
      </c>
      <c r="B7437" s="1593"/>
      <c r="C7437" s="1593"/>
      <c r="D7437" s="1593"/>
      <c r="E7437" s="1593"/>
      <c r="F7437" s="1593"/>
      <c r="G7437" s="1594"/>
      <c r="H7437" s="216">
        <f>H7435-H7436</f>
        <v>1</v>
      </c>
      <c r="I7437" s="1511"/>
      <c r="J7437" s="1512"/>
      <c r="K7437" s="1512"/>
      <c r="L7437" s="1512"/>
      <c r="M7437" s="1512"/>
      <c r="N7437" s="1513"/>
    </row>
    <row r="7439" spans="1:14" ht="16.899999999999999" customHeight="1">
      <c r="A7439" s="1114" t="s">
        <v>4027</v>
      </c>
      <c r="B7439" s="1595" t="s">
        <v>4028</v>
      </c>
      <c r="C7439" s="1596"/>
      <c r="D7439" s="1596"/>
      <c r="E7439" s="1596"/>
      <c r="F7439" s="1596"/>
      <c r="G7439" s="1596"/>
      <c r="H7439" s="1596"/>
      <c r="I7439" s="1596"/>
      <c r="J7439" s="1596"/>
      <c r="K7439" s="1596"/>
      <c r="L7439" s="1596"/>
      <c r="M7439" s="1596"/>
      <c r="N7439" s="1597"/>
    </row>
    <row r="7440" spans="1:14" ht="39" customHeight="1">
      <c r="A7440" s="1308" t="s">
        <v>4008</v>
      </c>
      <c r="B7440" s="1550" t="str">
        <f>'27ª MEDIÇÃO '!C574</f>
        <v>Torneira de pia de cozinha, bancada, saída lateral, tubo alto móvel, 1/4 de volta, com arejador móvel, cromada, linha Aquarius 1168-A, marca de ref. Fabrimar ou equivalente</v>
      </c>
      <c r="C7440" s="1550"/>
      <c r="D7440" s="1550"/>
      <c r="E7440" s="1550"/>
      <c r="F7440" s="1550"/>
      <c r="G7440" s="1550"/>
      <c r="H7440" s="1550"/>
      <c r="I7440" s="1550"/>
      <c r="J7440" s="1550"/>
      <c r="K7440" s="864" t="s">
        <v>3154</v>
      </c>
      <c r="L7440" s="1540">
        <f>'27ª MEDIÇÃO '!F574</f>
        <v>2</v>
      </c>
      <c r="M7440" s="1540"/>
      <c r="N7440" s="865">
        <f>L7440-H7447</f>
        <v>0</v>
      </c>
    </row>
    <row r="7441" spans="1:14">
      <c r="A7441" s="1499"/>
      <c r="B7441" s="1500"/>
      <c r="C7441" s="366"/>
      <c r="D7441" s="367" t="s">
        <v>2183</v>
      </c>
      <c r="E7441" s="1320" t="s">
        <v>2184</v>
      </c>
      <c r="F7441" s="367" t="s">
        <v>2185</v>
      </c>
      <c r="G7441" s="367" t="s">
        <v>2186</v>
      </c>
      <c r="H7441" s="1503" t="s">
        <v>476</v>
      </c>
      <c r="I7441" s="1505"/>
      <c r="J7441" s="1506"/>
      <c r="K7441" s="1506"/>
      <c r="L7441" s="1506"/>
      <c r="M7441" s="1506"/>
      <c r="N7441" s="1507"/>
    </row>
    <row r="7442" spans="1:14">
      <c r="A7442" s="1501"/>
      <c r="B7442" s="1502"/>
      <c r="C7442" s="368" t="s">
        <v>3128</v>
      </c>
      <c r="D7442" s="369"/>
      <c r="E7442" s="529"/>
      <c r="F7442" s="369"/>
      <c r="G7442" s="370" t="s">
        <v>3410</v>
      </c>
      <c r="H7442" s="1504"/>
      <c r="I7442" s="1508"/>
      <c r="J7442" s="1509"/>
      <c r="K7442" s="1509"/>
      <c r="L7442" s="1509"/>
      <c r="M7442" s="1509"/>
      <c r="N7442" s="1510"/>
    </row>
    <row r="7443" spans="1:14">
      <c r="A7443" s="1514" t="s">
        <v>4003</v>
      </c>
      <c r="B7443" s="968" t="s">
        <v>2727</v>
      </c>
      <c r="C7443" s="756"/>
      <c r="D7443" s="202"/>
      <c r="E7443" s="346"/>
      <c r="F7443" s="346"/>
      <c r="G7443" s="346"/>
      <c r="H7443" s="403"/>
      <c r="I7443" s="1508"/>
      <c r="J7443" s="1509"/>
      <c r="K7443" s="1509"/>
      <c r="L7443" s="1509"/>
      <c r="M7443" s="1509"/>
      <c r="N7443" s="1510"/>
    </row>
    <row r="7444" spans="1:14" ht="25.15" customHeight="1">
      <c r="A7444" s="1523"/>
      <c r="B7444" s="953" t="s">
        <v>2342</v>
      </c>
      <c r="C7444" s="956">
        <v>1</v>
      </c>
      <c r="D7444" s="919"/>
      <c r="E7444" s="693"/>
      <c r="F7444" s="693"/>
      <c r="G7444" s="693">
        <v>1</v>
      </c>
      <c r="H7444" s="957">
        <f>C7444</f>
        <v>1</v>
      </c>
      <c r="I7444" s="1508"/>
      <c r="J7444" s="1509"/>
      <c r="K7444" s="1509"/>
      <c r="L7444" s="1509"/>
      <c r="M7444" s="1509"/>
      <c r="N7444" s="1510"/>
    </row>
    <row r="7445" spans="1:14">
      <c r="A7445" s="1514" t="s">
        <v>4080</v>
      </c>
      <c r="B7445" s="968" t="s">
        <v>2929</v>
      </c>
      <c r="C7445" s="756"/>
      <c r="D7445" s="202"/>
      <c r="E7445" s="346"/>
      <c r="F7445" s="346"/>
      <c r="G7445" s="346"/>
      <c r="H7445" s="403"/>
      <c r="I7445" s="1508"/>
      <c r="J7445" s="1509"/>
      <c r="K7445" s="1509"/>
      <c r="L7445" s="1509"/>
      <c r="M7445" s="1509"/>
      <c r="N7445" s="1510"/>
    </row>
    <row r="7446" spans="1:14" ht="25.15" customHeight="1">
      <c r="A7446" s="1523"/>
      <c r="B7446" s="953" t="s">
        <v>2342</v>
      </c>
      <c r="C7446" s="956">
        <v>1</v>
      </c>
      <c r="D7446" s="919"/>
      <c r="E7446" s="693"/>
      <c r="F7446" s="693"/>
      <c r="G7446" s="693">
        <v>1</v>
      </c>
      <c r="H7446" s="957">
        <f>C7446</f>
        <v>1</v>
      </c>
      <c r="I7446" s="1508"/>
      <c r="J7446" s="1509"/>
      <c r="K7446" s="1509"/>
      <c r="L7446" s="1509"/>
      <c r="M7446" s="1509"/>
      <c r="N7446" s="1510"/>
    </row>
    <row r="7447" spans="1:14">
      <c r="A7447" s="1516" t="s">
        <v>2218</v>
      </c>
      <c r="B7447" s="1517"/>
      <c r="C7447" s="1517"/>
      <c r="D7447" s="1517"/>
      <c r="E7447" s="1517"/>
      <c r="F7447" s="1517"/>
      <c r="G7447" s="1518"/>
      <c r="H7447" s="271">
        <f>SUM(H7443:H7446)</f>
        <v>2</v>
      </c>
      <c r="I7447" s="1508"/>
      <c r="J7447" s="1509"/>
      <c r="K7447" s="1509"/>
      <c r="L7447" s="1509"/>
      <c r="M7447" s="1509"/>
      <c r="N7447" s="1510"/>
    </row>
    <row r="7448" spans="1:14">
      <c r="A7448" s="1589" t="s">
        <v>2219</v>
      </c>
      <c r="B7448" s="1590"/>
      <c r="C7448" s="1590"/>
      <c r="D7448" s="1590"/>
      <c r="E7448" s="1590"/>
      <c r="F7448" s="1590"/>
      <c r="G7448" s="1591"/>
      <c r="H7448" s="325">
        <f>SUM(H7444)</f>
        <v>1</v>
      </c>
      <c r="I7448" s="1508"/>
      <c r="J7448" s="1509"/>
      <c r="K7448" s="1509"/>
      <c r="L7448" s="1509"/>
      <c r="M7448" s="1509"/>
      <c r="N7448" s="1510"/>
    </row>
    <row r="7449" spans="1:14" ht="15.75" thickBot="1">
      <c r="A7449" s="1592" t="s">
        <v>2220</v>
      </c>
      <c r="B7449" s="1593"/>
      <c r="C7449" s="1593"/>
      <c r="D7449" s="1593"/>
      <c r="E7449" s="1593"/>
      <c r="F7449" s="1593"/>
      <c r="G7449" s="1594"/>
      <c r="H7449" s="216">
        <f>H7447-H7448</f>
        <v>1</v>
      </c>
      <c r="I7449" s="1511"/>
      <c r="J7449" s="1512"/>
      <c r="K7449" s="1512"/>
      <c r="L7449" s="1512"/>
      <c r="M7449" s="1512"/>
      <c r="N7449" s="1513"/>
    </row>
    <row r="7451" spans="1:14" ht="39" customHeight="1">
      <c r="A7451" s="1308" t="s">
        <v>4009</v>
      </c>
      <c r="B7451" s="1550" t="str">
        <f>'27ª MEDIÇÃO '!C575</f>
        <v>Torneira pressão cromada para lavatório, linha Pressmatic, cod. 446106, marcas de referência Docol ou equivalente</v>
      </c>
      <c r="C7451" s="1550"/>
      <c r="D7451" s="1550"/>
      <c r="E7451" s="1550"/>
      <c r="F7451" s="1550"/>
      <c r="G7451" s="1550"/>
      <c r="H7451" s="1550"/>
      <c r="I7451" s="1550"/>
      <c r="J7451" s="1550"/>
      <c r="K7451" s="864" t="s">
        <v>3154</v>
      </c>
      <c r="L7451" s="1540">
        <f>'27ª MEDIÇÃO '!F575</f>
        <v>5</v>
      </c>
      <c r="M7451" s="1540"/>
      <c r="N7451" s="865">
        <f>L7451-H7457</f>
        <v>3</v>
      </c>
    </row>
    <row r="7452" spans="1:14">
      <c r="A7452" s="1499"/>
      <c r="B7452" s="1500"/>
      <c r="C7452" s="366"/>
      <c r="D7452" s="367" t="s">
        <v>2183</v>
      </c>
      <c r="E7452" s="1320" t="s">
        <v>2184</v>
      </c>
      <c r="F7452" s="367" t="s">
        <v>2185</v>
      </c>
      <c r="G7452" s="367" t="s">
        <v>2186</v>
      </c>
      <c r="H7452" s="1503" t="s">
        <v>476</v>
      </c>
      <c r="I7452" s="1505"/>
      <c r="J7452" s="1506"/>
      <c r="K7452" s="1506"/>
      <c r="L7452" s="1506"/>
      <c r="M7452" s="1506"/>
      <c r="N7452" s="1507"/>
    </row>
    <row r="7453" spans="1:14">
      <c r="A7453" s="1501"/>
      <c r="B7453" s="1502"/>
      <c r="C7453" s="368" t="s">
        <v>3128</v>
      </c>
      <c r="D7453" s="369"/>
      <c r="E7453" s="529"/>
      <c r="F7453" s="369"/>
      <c r="G7453" s="370" t="s">
        <v>3410</v>
      </c>
      <c r="H7453" s="1504"/>
      <c r="I7453" s="1508"/>
      <c r="J7453" s="1509"/>
      <c r="K7453" s="1509"/>
      <c r="L7453" s="1509"/>
      <c r="M7453" s="1509"/>
      <c r="N7453" s="1510"/>
    </row>
    <row r="7454" spans="1:14">
      <c r="A7454" s="1514" t="s">
        <v>4003</v>
      </c>
      <c r="B7454" s="968" t="s">
        <v>2929</v>
      </c>
      <c r="C7454" s="756"/>
      <c r="D7454" s="202"/>
      <c r="E7454" s="346"/>
      <c r="F7454" s="346"/>
      <c r="G7454" s="346"/>
      <c r="H7454" s="403"/>
      <c r="I7454" s="1508"/>
      <c r="J7454" s="1509"/>
      <c r="K7454" s="1509"/>
      <c r="L7454" s="1509"/>
      <c r="M7454" s="1509"/>
      <c r="N7454" s="1510"/>
    </row>
    <row r="7455" spans="1:14">
      <c r="A7455" s="1523"/>
      <c r="B7455" s="1309" t="s">
        <v>2459</v>
      </c>
      <c r="C7455" s="956"/>
      <c r="D7455" s="919"/>
      <c r="E7455" s="693"/>
      <c r="F7455" s="693"/>
      <c r="G7455" s="693">
        <v>1</v>
      </c>
      <c r="H7455" s="957">
        <f>G7455</f>
        <v>1</v>
      </c>
      <c r="I7455" s="1508"/>
      <c r="J7455" s="1509"/>
      <c r="K7455" s="1509"/>
      <c r="L7455" s="1509"/>
      <c r="M7455" s="1509"/>
      <c r="N7455" s="1510"/>
    </row>
    <row r="7456" spans="1:14">
      <c r="A7456" s="1523"/>
      <c r="B7456" s="1309" t="s">
        <v>3934</v>
      </c>
      <c r="C7456" s="956"/>
      <c r="D7456" s="919"/>
      <c r="E7456" s="693"/>
      <c r="F7456" s="693"/>
      <c r="G7456" s="693">
        <v>1</v>
      </c>
      <c r="H7456" s="957">
        <f>G7456</f>
        <v>1</v>
      </c>
      <c r="I7456" s="1508"/>
      <c r="J7456" s="1509"/>
      <c r="K7456" s="1509"/>
      <c r="L7456" s="1509"/>
      <c r="M7456" s="1509"/>
      <c r="N7456" s="1510"/>
    </row>
    <row r="7457" spans="1:14">
      <c r="A7457" s="1516" t="s">
        <v>2218</v>
      </c>
      <c r="B7457" s="1517"/>
      <c r="C7457" s="1517"/>
      <c r="D7457" s="1517"/>
      <c r="E7457" s="1517"/>
      <c r="F7457" s="1517"/>
      <c r="G7457" s="1518"/>
      <c r="H7457" s="271">
        <f>SUM(H7454:H7456)</f>
        <v>2</v>
      </c>
      <c r="I7457" s="1508"/>
      <c r="J7457" s="1509"/>
      <c r="K7457" s="1509"/>
      <c r="L7457" s="1509"/>
      <c r="M7457" s="1509"/>
      <c r="N7457" s="1510"/>
    </row>
    <row r="7458" spans="1:14">
      <c r="A7458" s="1589" t="s">
        <v>2219</v>
      </c>
      <c r="B7458" s="1590"/>
      <c r="C7458" s="1590"/>
      <c r="D7458" s="1590"/>
      <c r="E7458" s="1590"/>
      <c r="F7458" s="1590"/>
      <c r="G7458" s="1591"/>
      <c r="H7458" s="325">
        <f>SUM(H7454)</f>
        <v>0</v>
      </c>
      <c r="I7458" s="1508"/>
      <c r="J7458" s="1509"/>
      <c r="K7458" s="1509"/>
      <c r="L7458" s="1509"/>
      <c r="M7458" s="1509"/>
      <c r="N7458" s="1510"/>
    </row>
    <row r="7459" spans="1:14" ht="15.75" thickBot="1">
      <c r="A7459" s="1592" t="s">
        <v>2220</v>
      </c>
      <c r="B7459" s="1593"/>
      <c r="C7459" s="1593"/>
      <c r="D7459" s="1593"/>
      <c r="E7459" s="1593"/>
      <c r="F7459" s="1593"/>
      <c r="G7459" s="1594"/>
      <c r="H7459" s="216">
        <f>H7457-H7458</f>
        <v>2</v>
      </c>
      <c r="I7459" s="1511"/>
      <c r="J7459" s="1512"/>
      <c r="K7459" s="1512"/>
      <c r="L7459" s="1512"/>
      <c r="M7459" s="1512"/>
      <c r="N7459" s="1513"/>
    </row>
    <row r="7461" spans="1:14" ht="39" customHeight="1">
      <c r="A7461" s="1308" t="s">
        <v>4026</v>
      </c>
      <c r="B7461" s="1550" t="str">
        <f>'27ª MEDIÇÃO '!C576</f>
        <v>Torneira pressão cromada para lavatório, linha Logicamatic, cod. 652806, marcas de referência Docol ou equivalente</v>
      </c>
      <c r="C7461" s="1550"/>
      <c r="D7461" s="1550"/>
      <c r="E7461" s="1550"/>
      <c r="F7461" s="1550"/>
      <c r="G7461" s="1550"/>
      <c r="H7461" s="1550"/>
      <c r="I7461" s="1550"/>
      <c r="J7461" s="1550"/>
      <c r="K7461" s="864" t="s">
        <v>3154</v>
      </c>
      <c r="L7461" s="1540">
        <f>'27ª MEDIÇÃO '!F576</f>
        <v>12</v>
      </c>
      <c r="M7461" s="1540"/>
      <c r="N7461" s="865">
        <f>L7461-H7478</f>
        <v>0</v>
      </c>
    </row>
    <row r="7462" spans="1:14">
      <c r="A7462" s="1499"/>
      <c r="B7462" s="1500"/>
      <c r="C7462" s="366"/>
      <c r="D7462" s="367" t="s">
        <v>2183</v>
      </c>
      <c r="E7462" s="1320" t="s">
        <v>2184</v>
      </c>
      <c r="F7462" s="367" t="s">
        <v>2185</v>
      </c>
      <c r="G7462" s="367" t="s">
        <v>2186</v>
      </c>
      <c r="H7462" s="1503" t="s">
        <v>476</v>
      </c>
      <c r="I7462" s="1505"/>
      <c r="J7462" s="1506"/>
      <c r="K7462" s="1506"/>
      <c r="L7462" s="1506"/>
      <c r="M7462" s="1506"/>
      <c r="N7462" s="1507"/>
    </row>
    <row r="7463" spans="1:14">
      <c r="A7463" s="1501"/>
      <c r="B7463" s="1502"/>
      <c r="C7463" s="368" t="s">
        <v>3128</v>
      </c>
      <c r="D7463" s="369"/>
      <c r="E7463" s="529"/>
      <c r="F7463" s="369"/>
      <c r="G7463" s="370" t="s">
        <v>3410</v>
      </c>
      <c r="H7463" s="1504"/>
      <c r="I7463" s="1508"/>
      <c r="J7463" s="1509"/>
      <c r="K7463" s="1509"/>
      <c r="L7463" s="1509"/>
      <c r="M7463" s="1509"/>
      <c r="N7463" s="1510"/>
    </row>
    <row r="7464" spans="1:14">
      <c r="A7464" s="1514" t="s">
        <v>4003</v>
      </c>
      <c r="B7464" s="968" t="s">
        <v>2727</v>
      </c>
      <c r="C7464" s="756"/>
      <c r="D7464" s="202"/>
      <c r="E7464" s="346"/>
      <c r="F7464" s="346"/>
      <c r="G7464" s="346"/>
      <c r="H7464" s="403"/>
      <c r="I7464" s="1508"/>
      <c r="J7464" s="1509"/>
      <c r="K7464" s="1509"/>
      <c r="L7464" s="1509"/>
      <c r="M7464" s="1509"/>
      <c r="N7464" s="1510"/>
    </row>
    <row r="7465" spans="1:14" ht="15" customHeight="1">
      <c r="A7465" s="1523"/>
      <c r="B7465" s="1309" t="s">
        <v>4030</v>
      </c>
      <c r="C7465" s="1380"/>
      <c r="D7465" s="1381"/>
      <c r="E7465" s="1382"/>
      <c r="F7465" s="693"/>
      <c r="G7465" s="693">
        <v>1</v>
      </c>
      <c r="H7465" s="957">
        <f>G7465</f>
        <v>1</v>
      </c>
      <c r="I7465" s="1508"/>
      <c r="J7465" s="1509"/>
      <c r="K7465" s="1509"/>
      <c r="L7465" s="1509"/>
      <c r="M7465" s="1509"/>
      <c r="N7465" s="1510"/>
    </row>
    <row r="7466" spans="1:14" ht="15" customHeight="1">
      <c r="A7466" s="1523"/>
      <c r="B7466" s="1309" t="s">
        <v>4031</v>
      </c>
      <c r="C7466" s="1380"/>
      <c r="D7466" s="1381"/>
      <c r="E7466" s="1382"/>
      <c r="F7466" s="693"/>
      <c r="G7466" s="693">
        <v>1</v>
      </c>
      <c r="H7466" s="957">
        <f t="shared" ref="H7466:H7477" si="132">G7466</f>
        <v>1</v>
      </c>
      <c r="I7466" s="1508"/>
      <c r="J7466" s="1509"/>
      <c r="K7466" s="1509"/>
      <c r="L7466" s="1509"/>
      <c r="M7466" s="1509"/>
      <c r="N7466" s="1510"/>
    </row>
    <row r="7467" spans="1:14" ht="15" customHeight="1">
      <c r="A7467" s="1523"/>
      <c r="B7467" s="1309" t="s">
        <v>4032</v>
      </c>
      <c r="C7467" s="1380"/>
      <c r="D7467" s="1381"/>
      <c r="E7467" s="1382"/>
      <c r="F7467" s="693"/>
      <c r="G7467" s="693">
        <v>1</v>
      </c>
      <c r="H7467" s="957">
        <f t="shared" si="132"/>
        <v>1</v>
      </c>
      <c r="I7467" s="1508"/>
      <c r="J7467" s="1509"/>
      <c r="K7467" s="1509"/>
      <c r="L7467" s="1509"/>
      <c r="M7467" s="1509"/>
      <c r="N7467" s="1510"/>
    </row>
    <row r="7468" spans="1:14" ht="15" customHeight="1">
      <c r="A7468" s="1523"/>
      <c r="B7468" s="1309" t="s">
        <v>3089</v>
      </c>
      <c r="C7468" s="1380"/>
      <c r="D7468" s="1381"/>
      <c r="E7468" s="1382"/>
      <c r="F7468" s="693"/>
      <c r="G7468" s="693">
        <v>1</v>
      </c>
      <c r="H7468" s="957">
        <f t="shared" si="132"/>
        <v>1</v>
      </c>
      <c r="I7468" s="1508"/>
      <c r="J7468" s="1509"/>
      <c r="K7468" s="1509"/>
      <c r="L7468" s="1509"/>
      <c r="M7468" s="1509"/>
      <c r="N7468" s="1510"/>
    </row>
    <row r="7469" spans="1:14" ht="15" customHeight="1">
      <c r="A7469" s="1523"/>
      <c r="B7469" s="1309" t="s">
        <v>2963</v>
      </c>
      <c r="C7469" s="1380"/>
      <c r="D7469" s="1381"/>
      <c r="E7469" s="1382"/>
      <c r="F7469" s="693"/>
      <c r="G7469" s="693">
        <v>1</v>
      </c>
      <c r="H7469" s="957">
        <f t="shared" si="132"/>
        <v>1</v>
      </c>
      <c r="I7469" s="1508"/>
      <c r="J7469" s="1509"/>
      <c r="K7469" s="1509"/>
      <c r="L7469" s="1509"/>
      <c r="M7469" s="1509"/>
      <c r="N7469" s="1510"/>
    </row>
    <row r="7470" spans="1:14" ht="15" customHeight="1">
      <c r="A7470" s="1523"/>
      <c r="B7470" s="1309" t="s">
        <v>2419</v>
      </c>
      <c r="C7470" s="1380"/>
      <c r="D7470" s="1381"/>
      <c r="E7470" s="1382"/>
      <c r="F7470" s="693"/>
      <c r="G7470" s="693">
        <v>1</v>
      </c>
      <c r="H7470" s="957">
        <f t="shared" si="132"/>
        <v>1</v>
      </c>
      <c r="I7470" s="1508"/>
      <c r="J7470" s="1509"/>
      <c r="K7470" s="1509"/>
      <c r="L7470" s="1509"/>
      <c r="M7470" s="1509"/>
      <c r="N7470" s="1510"/>
    </row>
    <row r="7471" spans="1:14" ht="15" customHeight="1">
      <c r="A7471" s="1523"/>
      <c r="B7471" s="1309" t="s">
        <v>4033</v>
      </c>
      <c r="C7471" s="1380"/>
      <c r="D7471" s="1381"/>
      <c r="E7471" s="1382"/>
      <c r="F7471" s="693"/>
      <c r="G7471" s="693">
        <v>1</v>
      </c>
      <c r="H7471" s="957">
        <f t="shared" si="132"/>
        <v>1</v>
      </c>
      <c r="I7471" s="1508"/>
      <c r="J7471" s="1509"/>
      <c r="K7471" s="1509"/>
      <c r="L7471" s="1509"/>
      <c r="M7471" s="1509"/>
      <c r="N7471" s="1510"/>
    </row>
    <row r="7472" spans="1:14">
      <c r="A7472" s="1523"/>
      <c r="B7472" s="1379" t="s">
        <v>2929</v>
      </c>
      <c r="C7472" s="956"/>
      <c r="D7472" s="919"/>
      <c r="E7472" s="693"/>
      <c r="F7472" s="693"/>
      <c r="G7472" s="693"/>
      <c r="H7472" s="957"/>
      <c r="I7472" s="1508"/>
      <c r="J7472" s="1509"/>
      <c r="K7472" s="1509"/>
      <c r="L7472" s="1509"/>
      <c r="M7472" s="1509"/>
      <c r="N7472" s="1510"/>
    </row>
    <row r="7473" spans="1:14">
      <c r="A7473" s="1523"/>
      <c r="B7473" s="1309" t="s">
        <v>4034</v>
      </c>
      <c r="C7473" s="956"/>
      <c r="D7473" s="919"/>
      <c r="E7473" s="693"/>
      <c r="F7473" s="693"/>
      <c r="G7473" s="693">
        <v>1</v>
      </c>
      <c r="H7473" s="957">
        <f t="shared" si="132"/>
        <v>1</v>
      </c>
      <c r="I7473" s="1508"/>
      <c r="J7473" s="1509"/>
      <c r="K7473" s="1509"/>
      <c r="L7473" s="1509"/>
      <c r="M7473" s="1509"/>
      <c r="N7473" s="1510"/>
    </row>
    <row r="7474" spans="1:14">
      <c r="A7474" s="1523"/>
      <c r="B7474" s="1309" t="s">
        <v>4035</v>
      </c>
      <c r="C7474" s="956"/>
      <c r="D7474" s="919"/>
      <c r="E7474" s="693"/>
      <c r="F7474" s="693"/>
      <c r="G7474" s="693">
        <v>1</v>
      </c>
      <c r="H7474" s="957">
        <f t="shared" si="132"/>
        <v>1</v>
      </c>
      <c r="I7474" s="1508"/>
      <c r="J7474" s="1509"/>
      <c r="K7474" s="1509"/>
      <c r="L7474" s="1509"/>
      <c r="M7474" s="1509"/>
      <c r="N7474" s="1510"/>
    </row>
    <row r="7475" spans="1:14">
      <c r="A7475" s="1523" t="s">
        <v>4080</v>
      </c>
      <c r="B7475" s="1309" t="s">
        <v>4036</v>
      </c>
      <c r="C7475" s="956"/>
      <c r="D7475" s="919"/>
      <c r="E7475" s="693"/>
      <c r="F7475" s="693"/>
      <c r="G7475" s="693">
        <v>1</v>
      </c>
      <c r="H7475" s="957">
        <f t="shared" si="132"/>
        <v>1</v>
      </c>
      <c r="I7475" s="1508"/>
      <c r="J7475" s="1509"/>
      <c r="K7475" s="1509"/>
      <c r="L7475" s="1509"/>
      <c r="M7475" s="1509"/>
      <c r="N7475" s="1510"/>
    </row>
    <row r="7476" spans="1:14">
      <c r="A7476" s="1523"/>
      <c r="B7476" s="1309" t="s">
        <v>4037</v>
      </c>
      <c r="C7476" s="956"/>
      <c r="D7476" s="919"/>
      <c r="E7476" s="693"/>
      <c r="F7476" s="693"/>
      <c r="G7476" s="693">
        <v>1</v>
      </c>
      <c r="H7476" s="957">
        <f t="shared" si="132"/>
        <v>1</v>
      </c>
      <c r="I7476" s="1508"/>
      <c r="J7476" s="1509"/>
      <c r="K7476" s="1509"/>
      <c r="L7476" s="1509"/>
      <c r="M7476" s="1509"/>
      <c r="N7476" s="1510"/>
    </row>
    <row r="7477" spans="1:14">
      <c r="A7477" s="1515"/>
      <c r="B7477" s="1309" t="s">
        <v>4038</v>
      </c>
      <c r="C7477" s="956"/>
      <c r="D7477" s="919"/>
      <c r="E7477" s="693"/>
      <c r="F7477" s="693"/>
      <c r="G7477" s="693">
        <v>1</v>
      </c>
      <c r="H7477" s="957">
        <f t="shared" si="132"/>
        <v>1</v>
      </c>
      <c r="I7477" s="1508"/>
      <c r="J7477" s="1509"/>
      <c r="K7477" s="1509"/>
      <c r="L7477" s="1509"/>
      <c r="M7477" s="1509"/>
      <c r="N7477" s="1510"/>
    </row>
    <row r="7478" spans="1:14">
      <c r="A7478" s="1516" t="s">
        <v>2218</v>
      </c>
      <c r="B7478" s="1517"/>
      <c r="C7478" s="1517"/>
      <c r="D7478" s="1517"/>
      <c r="E7478" s="1517"/>
      <c r="F7478" s="1517"/>
      <c r="G7478" s="1518"/>
      <c r="H7478" s="271">
        <f>SUM(H7464:H7477)</f>
        <v>12</v>
      </c>
      <c r="I7478" s="1508"/>
      <c r="J7478" s="1509"/>
      <c r="K7478" s="1509"/>
      <c r="L7478" s="1509"/>
      <c r="M7478" s="1509"/>
      <c r="N7478" s="1510"/>
    </row>
    <row r="7479" spans="1:14">
      <c r="A7479" s="1589" t="s">
        <v>2219</v>
      </c>
      <c r="B7479" s="1590"/>
      <c r="C7479" s="1590"/>
      <c r="D7479" s="1590"/>
      <c r="E7479" s="1590"/>
      <c r="F7479" s="1590"/>
      <c r="G7479" s="1591"/>
      <c r="H7479" s="325">
        <f>SUM(H7464:H7474)</f>
        <v>9</v>
      </c>
      <c r="I7479" s="1508"/>
      <c r="J7479" s="1509"/>
      <c r="K7479" s="1509"/>
      <c r="L7479" s="1509"/>
      <c r="M7479" s="1509"/>
      <c r="N7479" s="1510"/>
    </row>
    <row r="7480" spans="1:14" ht="15.75" thickBot="1">
      <c r="A7480" s="1592" t="s">
        <v>2220</v>
      </c>
      <c r="B7480" s="1593"/>
      <c r="C7480" s="1593"/>
      <c r="D7480" s="1593"/>
      <c r="E7480" s="1593"/>
      <c r="F7480" s="1593"/>
      <c r="G7480" s="1594"/>
      <c r="H7480" s="216">
        <f>H7478-H7479</f>
        <v>3</v>
      </c>
      <c r="I7480" s="1511"/>
      <c r="J7480" s="1512"/>
      <c r="K7480" s="1512"/>
      <c r="L7480" s="1512"/>
      <c r="M7480" s="1512"/>
      <c r="N7480" s="1513"/>
    </row>
    <row r="7482" spans="1:14" ht="39" customHeight="1">
      <c r="A7482" s="1308" t="s">
        <v>4039</v>
      </c>
      <c r="B7482" s="1550" t="str">
        <f>'27ª MEDIÇÃO '!C577</f>
        <v>Torneira de tanque e jardim, cromada, linha Aquarius, código 1128-A, marca de referência Fabrimar ou equivalente</v>
      </c>
      <c r="C7482" s="1550"/>
      <c r="D7482" s="1550"/>
      <c r="E7482" s="1550"/>
      <c r="F7482" s="1550"/>
      <c r="G7482" s="1550"/>
      <c r="H7482" s="1550"/>
      <c r="I7482" s="1550"/>
      <c r="J7482" s="1550"/>
      <c r="K7482" s="864" t="s">
        <v>3154</v>
      </c>
      <c r="L7482" s="1540">
        <f>'27ª MEDIÇÃO '!F577</f>
        <v>2</v>
      </c>
      <c r="M7482" s="1540"/>
      <c r="N7482" s="865">
        <f>L7482-H7490</f>
        <v>0</v>
      </c>
    </row>
    <row r="7483" spans="1:14">
      <c r="A7483" s="1499"/>
      <c r="B7483" s="1500"/>
      <c r="C7483" s="366"/>
      <c r="D7483" s="367" t="s">
        <v>2183</v>
      </c>
      <c r="E7483" s="1320" t="s">
        <v>2184</v>
      </c>
      <c r="F7483" s="367" t="s">
        <v>2185</v>
      </c>
      <c r="G7483" s="367" t="s">
        <v>2186</v>
      </c>
      <c r="H7483" s="1503" t="s">
        <v>476</v>
      </c>
      <c r="I7483" s="1505"/>
      <c r="J7483" s="1506"/>
      <c r="K7483" s="1506"/>
      <c r="L7483" s="1506"/>
      <c r="M7483" s="1506"/>
      <c r="N7483" s="1507"/>
    </row>
    <row r="7484" spans="1:14">
      <c r="A7484" s="1501"/>
      <c r="B7484" s="1502"/>
      <c r="C7484" s="368" t="s">
        <v>3128</v>
      </c>
      <c r="D7484" s="369"/>
      <c r="E7484" s="529"/>
      <c r="F7484" s="369"/>
      <c r="G7484" s="370" t="s">
        <v>3410</v>
      </c>
      <c r="H7484" s="1504"/>
      <c r="I7484" s="1508"/>
      <c r="J7484" s="1509"/>
      <c r="K7484" s="1509"/>
      <c r="L7484" s="1509"/>
      <c r="M7484" s="1509"/>
      <c r="N7484" s="1510"/>
    </row>
    <row r="7485" spans="1:14">
      <c r="A7485" s="1514" t="s">
        <v>4003</v>
      </c>
      <c r="B7485" s="968" t="s">
        <v>2727</v>
      </c>
      <c r="C7485" s="756"/>
      <c r="D7485" s="202"/>
      <c r="E7485" s="346"/>
      <c r="F7485" s="346"/>
      <c r="G7485" s="346"/>
      <c r="H7485" s="403"/>
      <c r="I7485" s="1508"/>
      <c r="J7485" s="1509"/>
      <c r="K7485" s="1509"/>
      <c r="L7485" s="1509"/>
      <c r="M7485" s="1509"/>
      <c r="N7485" s="1510"/>
    </row>
    <row r="7486" spans="1:14" ht="15" customHeight="1">
      <c r="A7486" s="1523"/>
      <c r="B7486" s="1309" t="s">
        <v>4030</v>
      </c>
      <c r="C7486" s="1380"/>
      <c r="D7486" s="1381"/>
      <c r="E7486" s="1382"/>
      <c r="F7486" s="693"/>
      <c r="G7486" s="693">
        <v>1</v>
      </c>
      <c r="H7486" s="957">
        <f>G7486</f>
        <v>1</v>
      </c>
      <c r="I7486" s="1508"/>
      <c r="J7486" s="1509"/>
      <c r="K7486" s="1509"/>
      <c r="L7486" s="1509"/>
      <c r="M7486" s="1509"/>
      <c r="N7486" s="1510"/>
    </row>
    <row r="7487" spans="1:14" ht="15" customHeight="1">
      <c r="A7487" s="1523"/>
      <c r="B7487" s="1309"/>
      <c r="C7487" s="1380"/>
      <c r="D7487" s="1381"/>
      <c r="E7487" s="1382"/>
      <c r="F7487" s="693"/>
      <c r="G7487" s="693"/>
      <c r="H7487" s="957">
        <f t="shared" ref="H7487:H7489" si="133">G7487</f>
        <v>0</v>
      </c>
      <c r="I7487" s="1508"/>
      <c r="J7487" s="1509"/>
      <c r="K7487" s="1509"/>
      <c r="L7487" s="1509"/>
      <c r="M7487" s="1509"/>
      <c r="N7487" s="1510"/>
    </row>
    <row r="7488" spans="1:14" ht="15" customHeight="1">
      <c r="A7488" s="1523"/>
      <c r="B7488" s="1379" t="s">
        <v>2929</v>
      </c>
      <c r="C7488" s="1380"/>
      <c r="D7488" s="1381"/>
      <c r="E7488" s="1382"/>
      <c r="F7488" s="693"/>
      <c r="G7488" s="693"/>
      <c r="H7488" s="957">
        <f t="shared" si="133"/>
        <v>0</v>
      </c>
      <c r="I7488" s="1508"/>
      <c r="J7488" s="1509"/>
      <c r="K7488" s="1509"/>
      <c r="L7488" s="1509"/>
      <c r="M7488" s="1509"/>
      <c r="N7488" s="1510"/>
    </row>
    <row r="7489" spans="1:14" ht="15" customHeight="1">
      <c r="A7489" s="1523"/>
      <c r="B7489" s="1309" t="s">
        <v>4038</v>
      </c>
      <c r="C7489" s="1380"/>
      <c r="D7489" s="1381"/>
      <c r="E7489" s="1382"/>
      <c r="F7489" s="693"/>
      <c r="G7489" s="693">
        <v>1</v>
      </c>
      <c r="H7489" s="957">
        <f t="shared" si="133"/>
        <v>1</v>
      </c>
      <c r="I7489" s="1508"/>
      <c r="J7489" s="1509"/>
      <c r="K7489" s="1509"/>
      <c r="L7489" s="1509"/>
      <c r="M7489" s="1509"/>
      <c r="N7489" s="1510"/>
    </row>
    <row r="7490" spans="1:14">
      <c r="A7490" s="1516" t="s">
        <v>2218</v>
      </c>
      <c r="B7490" s="1517"/>
      <c r="C7490" s="1517"/>
      <c r="D7490" s="1517"/>
      <c r="E7490" s="1517"/>
      <c r="F7490" s="1517"/>
      <c r="G7490" s="1518"/>
      <c r="H7490" s="271">
        <f>SUM(H7485:H7489)</f>
        <v>2</v>
      </c>
      <c r="I7490" s="1508"/>
      <c r="J7490" s="1509"/>
      <c r="K7490" s="1509"/>
      <c r="L7490" s="1509"/>
      <c r="M7490" s="1509"/>
      <c r="N7490" s="1510"/>
    </row>
    <row r="7491" spans="1:14">
      <c r="A7491" s="1589" t="s">
        <v>2219</v>
      </c>
      <c r="B7491" s="1590"/>
      <c r="C7491" s="1590"/>
      <c r="D7491" s="1590"/>
      <c r="E7491" s="1590"/>
      <c r="F7491" s="1590"/>
      <c r="G7491" s="1591"/>
      <c r="H7491" s="325">
        <f>SUM(H7485)</f>
        <v>0</v>
      </c>
      <c r="I7491" s="1508"/>
      <c r="J7491" s="1509"/>
      <c r="K7491" s="1509"/>
      <c r="L7491" s="1509"/>
      <c r="M7491" s="1509"/>
      <c r="N7491" s="1510"/>
    </row>
    <row r="7492" spans="1:14" ht="15.75" thickBot="1">
      <c r="A7492" s="1592" t="s">
        <v>2220</v>
      </c>
      <c r="B7492" s="1593"/>
      <c r="C7492" s="1593"/>
      <c r="D7492" s="1593"/>
      <c r="E7492" s="1593"/>
      <c r="F7492" s="1593"/>
      <c r="G7492" s="1594"/>
      <c r="H7492" s="216">
        <f>H7490-H7491</f>
        <v>2</v>
      </c>
      <c r="I7492" s="1511"/>
      <c r="J7492" s="1512"/>
      <c r="K7492" s="1512"/>
      <c r="L7492" s="1512"/>
      <c r="M7492" s="1512"/>
      <c r="N7492" s="1513"/>
    </row>
    <row r="7494" spans="1:14" ht="16.899999999999999" customHeight="1">
      <c r="A7494" s="1114" t="s">
        <v>4040</v>
      </c>
      <c r="B7494" s="1595" t="s">
        <v>4041</v>
      </c>
      <c r="C7494" s="1596"/>
      <c r="D7494" s="1596"/>
      <c r="E7494" s="1596"/>
      <c r="F7494" s="1596"/>
      <c r="G7494" s="1596"/>
      <c r="H7494" s="1596"/>
      <c r="I7494" s="1596"/>
      <c r="J7494" s="1596"/>
      <c r="K7494" s="1596"/>
      <c r="L7494" s="1596"/>
      <c r="M7494" s="1596"/>
      <c r="N7494" s="1597"/>
    </row>
    <row r="7495" spans="1:14">
      <c r="A7495" s="1126" t="s">
        <v>3928</v>
      </c>
      <c r="B7495" s="1561" t="s">
        <v>270</v>
      </c>
      <c r="C7495" s="1562"/>
      <c r="D7495" s="1562"/>
      <c r="E7495" s="1562"/>
      <c r="F7495" s="1562"/>
      <c r="G7495" s="1562"/>
      <c r="H7495" s="1562"/>
      <c r="I7495" s="1562"/>
      <c r="J7495" s="1563"/>
      <c r="K7495" s="264" t="s">
        <v>3154</v>
      </c>
      <c r="L7495" s="1564">
        <v>17</v>
      </c>
      <c r="M7495" s="1565"/>
      <c r="N7495" s="265">
        <f>L7495-H7516</f>
        <v>0</v>
      </c>
    </row>
    <row r="7496" spans="1:14">
      <c r="A7496" s="1499"/>
      <c r="B7496" s="1500"/>
      <c r="C7496" s="366"/>
      <c r="D7496" s="367" t="s">
        <v>2183</v>
      </c>
      <c r="E7496" s="1320" t="s">
        <v>2184</v>
      </c>
      <c r="F7496" s="367" t="s">
        <v>2185</v>
      </c>
      <c r="G7496" s="367" t="s">
        <v>2186</v>
      </c>
      <c r="H7496" s="1503" t="s">
        <v>476</v>
      </c>
      <c r="I7496" s="1505"/>
      <c r="J7496" s="1506"/>
      <c r="K7496" s="1506"/>
      <c r="L7496" s="1506"/>
      <c r="M7496" s="1506"/>
      <c r="N7496" s="1507"/>
    </row>
    <row r="7497" spans="1:14">
      <c r="A7497" s="1501"/>
      <c r="B7497" s="1502"/>
      <c r="C7497" s="368" t="s">
        <v>3128</v>
      </c>
      <c r="D7497" s="369"/>
      <c r="E7497" s="529"/>
      <c r="F7497" s="369"/>
      <c r="G7497" s="370" t="s">
        <v>3410</v>
      </c>
      <c r="H7497" s="1504"/>
      <c r="I7497" s="1508"/>
      <c r="J7497" s="1509"/>
      <c r="K7497" s="1509"/>
      <c r="L7497" s="1509"/>
      <c r="M7497" s="1509"/>
      <c r="N7497" s="1510"/>
    </row>
    <row r="7498" spans="1:14">
      <c r="A7498" s="1880" t="s">
        <v>3892</v>
      </c>
      <c r="B7498" s="1225" t="s">
        <v>2727</v>
      </c>
      <c r="C7498" s="430"/>
      <c r="D7498" s="287"/>
      <c r="E7498" s="1370"/>
      <c r="F7498" s="574"/>
      <c r="G7498" s="431"/>
      <c r="H7498" s="698"/>
      <c r="I7498" s="1508"/>
      <c r="J7498" s="1509"/>
      <c r="K7498" s="1509"/>
      <c r="L7498" s="1509"/>
      <c r="M7498" s="1509"/>
      <c r="N7498" s="1510"/>
    </row>
    <row r="7499" spans="1:14">
      <c r="A7499" s="1881"/>
      <c r="B7499" s="1226" t="s">
        <v>3318</v>
      </c>
      <c r="C7499" s="1223"/>
      <c r="D7499" s="297">
        <v>1</v>
      </c>
      <c r="E7499" s="1371"/>
      <c r="F7499" s="375"/>
      <c r="G7499" s="1224"/>
      <c r="H7499" s="698">
        <f t="shared" ref="H7499:H7515" si="134">D7499</f>
        <v>1</v>
      </c>
      <c r="I7499" s="1508"/>
      <c r="J7499" s="1509"/>
      <c r="K7499" s="1509"/>
      <c r="L7499" s="1509"/>
      <c r="M7499" s="1509"/>
      <c r="N7499" s="1510"/>
    </row>
    <row r="7500" spans="1:14">
      <c r="A7500" s="1881"/>
      <c r="B7500" s="1226" t="s">
        <v>3853</v>
      </c>
      <c r="C7500" s="1223"/>
      <c r="D7500" s="297">
        <v>1</v>
      </c>
      <c r="E7500" s="1371"/>
      <c r="F7500" s="375"/>
      <c r="G7500" s="1224"/>
      <c r="H7500" s="698">
        <f t="shared" si="134"/>
        <v>1</v>
      </c>
      <c r="I7500" s="1508"/>
      <c r="J7500" s="1509"/>
      <c r="K7500" s="1509"/>
      <c r="L7500" s="1509"/>
      <c r="M7500" s="1509"/>
      <c r="N7500" s="1510"/>
    </row>
    <row r="7501" spans="1:14">
      <c r="A7501" s="1881"/>
      <c r="B7501" s="1226" t="s">
        <v>3930</v>
      </c>
      <c r="C7501" s="1223"/>
      <c r="D7501" s="297">
        <v>1</v>
      </c>
      <c r="E7501" s="1371"/>
      <c r="F7501" s="375"/>
      <c r="G7501" s="1224"/>
      <c r="H7501" s="698">
        <f t="shared" si="134"/>
        <v>1</v>
      </c>
      <c r="I7501" s="1508"/>
      <c r="J7501" s="1509"/>
      <c r="K7501" s="1509"/>
      <c r="L7501" s="1509"/>
      <c r="M7501" s="1509"/>
      <c r="N7501" s="1510"/>
    </row>
    <row r="7502" spans="1:14">
      <c r="A7502" s="1881"/>
      <c r="B7502" s="1226" t="s">
        <v>3931</v>
      </c>
      <c r="C7502" s="1223"/>
      <c r="D7502" s="297">
        <v>2</v>
      </c>
      <c r="E7502" s="1371"/>
      <c r="F7502" s="375"/>
      <c r="G7502" s="1224"/>
      <c r="H7502" s="698">
        <f t="shared" si="134"/>
        <v>2</v>
      </c>
      <c r="I7502" s="1508"/>
      <c r="J7502" s="1509"/>
      <c r="K7502" s="1509"/>
      <c r="L7502" s="1509"/>
      <c r="M7502" s="1509"/>
      <c r="N7502" s="1510"/>
    </row>
    <row r="7503" spans="1:14">
      <c r="A7503" s="1881"/>
      <c r="B7503" s="1226" t="s">
        <v>3932</v>
      </c>
      <c r="C7503" s="1223"/>
      <c r="D7503" s="297">
        <v>1</v>
      </c>
      <c r="E7503" s="1371"/>
      <c r="F7503" s="375"/>
      <c r="G7503" s="1224"/>
      <c r="H7503" s="698">
        <f t="shared" si="134"/>
        <v>1</v>
      </c>
      <c r="I7503" s="1508"/>
      <c r="J7503" s="1509"/>
      <c r="K7503" s="1509"/>
      <c r="L7503" s="1509"/>
      <c r="M7503" s="1509"/>
      <c r="N7503" s="1510"/>
    </row>
    <row r="7504" spans="1:14">
      <c r="A7504" s="1881"/>
      <c r="B7504" s="1226" t="s">
        <v>3579</v>
      </c>
      <c r="C7504" s="1223"/>
      <c r="D7504" s="297">
        <v>1</v>
      </c>
      <c r="E7504" s="1371"/>
      <c r="F7504" s="375"/>
      <c r="G7504" s="1224"/>
      <c r="H7504" s="698">
        <f t="shared" si="134"/>
        <v>1</v>
      </c>
      <c r="I7504" s="1508"/>
      <c r="J7504" s="1509"/>
      <c r="K7504" s="1509"/>
      <c r="L7504" s="1509"/>
      <c r="M7504" s="1509"/>
      <c r="N7504" s="1510"/>
    </row>
    <row r="7505" spans="1:14">
      <c r="A7505" s="1881"/>
      <c r="B7505" s="1226" t="s">
        <v>2344</v>
      </c>
      <c r="C7505" s="1223"/>
      <c r="D7505" s="297">
        <v>1</v>
      </c>
      <c r="E7505" s="1371"/>
      <c r="F7505" s="375"/>
      <c r="G7505" s="1224"/>
      <c r="H7505" s="698">
        <f t="shared" si="134"/>
        <v>1</v>
      </c>
      <c r="I7505" s="1508"/>
      <c r="J7505" s="1509"/>
      <c r="K7505" s="1509"/>
      <c r="L7505" s="1509"/>
      <c r="M7505" s="1509"/>
      <c r="N7505" s="1510"/>
    </row>
    <row r="7506" spans="1:14">
      <c r="A7506" s="1881"/>
      <c r="B7506" s="1226" t="s">
        <v>3933</v>
      </c>
      <c r="C7506" s="1223"/>
      <c r="D7506" s="297">
        <v>1</v>
      </c>
      <c r="E7506" s="1371"/>
      <c r="F7506" s="375"/>
      <c r="G7506" s="1224"/>
      <c r="H7506" s="698">
        <f t="shared" si="134"/>
        <v>1</v>
      </c>
      <c r="I7506" s="1508"/>
      <c r="J7506" s="1509"/>
      <c r="K7506" s="1509"/>
      <c r="L7506" s="1509"/>
      <c r="M7506" s="1509"/>
      <c r="N7506" s="1510"/>
    </row>
    <row r="7507" spans="1:14">
      <c r="A7507" s="1881"/>
      <c r="B7507" s="1226" t="s">
        <v>3322</v>
      </c>
      <c r="C7507" s="1223"/>
      <c r="D7507" s="297">
        <v>1</v>
      </c>
      <c r="E7507" s="1371"/>
      <c r="F7507" s="375"/>
      <c r="G7507" s="1224"/>
      <c r="H7507" s="698">
        <f t="shared" si="134"/>
        <v>1</v>
      </c>
      <c r="I7507" s="1508"/>
      <c r="J7507" s="1509"/>
      <c r="K7507" s="1509"/>
      <c r="L7507" s="1509"/>
      <c r="M7507" s="1509"/>
      <c r="N7507" s="1510"/>
    </row>
    <row r="7508" spans="1:14">
      <c r="A7508" s="1881"/>
      <c r="B7508" s="1226"/>
      <c r="C7508" s="1223"/>
      <c r="D7508" s="297"/>
      <c r="E7508" s="1371"/>
      <c r="F7508" s="375"/>
      <c r="G7508" s="1224"/>
      <c r="H7508" s="698"/>
      <c r="I7508" s="1508"/>
      <c r="J7508" s="1509"/>
      <c r="K7508" s="1509"/>
      <c r="L7508" s="1509"/>
      <c r="M7508" s="1509"/>
      <c r="N7508" s="1510"/>
    </row>
    <row r="7509" spans="1:14">
      <c r="A7509" s="1881"/>
      <c r="B7509" s="1226" t="s">
        <v>2929</v>
      </c>
      <c r="C7509" s="1223"/>
      <c r="D7509" s="297"/>
      <c r="E7509" s="1371"/>
      <c r="F7509" s="375"/>
      <c r="G7509" s="1224"/>
      <c r="H7509" s="698"/>
      <c r="I7509" s="1508"/>
      <c r="J7509" s="1509"/>
      <c r="K7509" s="1509"/>
      <c r="L7509" s="1509"/>
      <c r="M7509" s="1509"/>
      <c r="N7509" s="1510"/>
    </row>
    <row r="7510" spans="1:14">
      <c r="A7510" s="1881"/>
      <c r="B7510" s="1226" t="s">
        <v>2344</v>
      </c>
      <c r="C7510" s="1223"/>
      <c r="D7510" s="297">
        <v>1</v>
      </c>
      <c r="E7510" s="1371"/>
      <c r="F7510" s="375"/>
      <c r="G7510" s="1224"/>
      <c r="H7510" s="698">
        <f t="shared" si="134"/>
        <v>1</v>
      </c>
      <c r="I7510" s="1508"/>
      <c r="J7510" s="1509"/>
      <c r="K7510" s="1509"/>
      <c r="L7510" s="1509"/>
      <c r="M7510" s="1509"/>
      <c r="N7510" s="1510"/>
    </row>
    <row r="7511" spans="1:14">
      <c r="A7511" s="1881"/>
      <c r="B7511" s="1226" t="s">
        <v>2459</v>
      </c>
      <c r="C7511" s="1223"/>
      <c r="D7511" s="297">
        <v>1</v>
      </c>
      <c r="E7511" s="1371"/>
      <c r="F7511" s="375"/>
      <c r="G7511" s="1224"/>
      <c r="H7511" s="698">
        <f t="shared" si="134"/>
        <v>1</v>
      </c>
      <c r="I7511" s="1508"/>
      <c r="J7511" s="1509"/>
      <c r="K7511" s="1509"/>
      <c r="L7511" s="1509"/>
      <c r="M7511" s="1509"/>
      <c r="N7511" s="1510"/>
    </row>
    <row r="7512" spans="1:14">
      <c r="A7512" s="1881"/>
      <c r="B7512" s="1226" t="s">
        <v>3934</v>
      </c>
      <c r="C7512" s="1223"/>
      <c r="D7512" s="297">
        <v>1</v>
      </c>
      <c r="E7512" s="1371"/>
      <c r="F7512" s="375"/>
      <c r="G7512" s="1224"/>
      <c r="H7512" s="698">
        <f t="shared" si="134"/>
        <v>1</v>
      </c>
      <c r="I7512" s="1508"/>
      <c r="J7512" s="1509"/>
      <c r="K7512" s="1509"/>
      <c r="L7512" s="1509"/>
      <c r="M7512" s="1509"/>
      <c r="N7512" s="1510"/>
    </row>
    <row r="7513" spans="1:14">
      <c r="A7513" s="1881"/>
      <c r="B7513" s="1226" t="s">
        <v>2461</v>
      </c>
      <c r="C7513" s="1223"/>
      <c r="D7513" s="297">
        <v>1</v>
      </c>
      <c r="E7513" s="1371"/>
      <c r="F7513" s="375"/>
      <c r="G7513" s="1224"/>
      <c r="H7513" s="698">
        <f t="shared" si="134"/>
        <v>1</v>
      </c>
      <c r="I7513" s="1508"/>
      <c r="J7513" s="1509"/>
      <c r="K7513" s="1509"/>
      <c r="L7513" s="1509"/>
      <c r="M7513" s="1509"/>
      <c r="N7513" s="1510"/>
    </row>
    <row r="7514" spans="1:14">
      <c r="A7514" s="1881"/>
      <c r="B7514" s="1226" t="s">
        <v>2339</v>
      </c>
      <c r="C7514" s="1223"/>
      <c r="D7514" s="297">
        <v>2</v>
      </c>
      <c r="E7514" s="1371"/>
      <c r="F7514" s="375"/>
      <c r="G7514" s="1224"/>
      <c r="H7514" s="698">
        <f t="shared" si="134"/>
        <v>2</v>
      </c>
      <c r="I7514" s="1508"/>
      <c r="J7514" s="1509"/>
      <c r="K7514" s="1509"/>
      <c r="L7514" s="1509"/>
      <c r="M7514" s="1509"/>
      <c r="N7514" s="1510"/>
    </row>
    <row r="7515" spans="1:14">
      <c r="A7515" s="1882"/>
      <c r="B7515" s="1226" t="s">
        <v>2338</v>
      </c>
      <c r="C7515" s="1223"/>
      <c r="D7515" s="297">
        <v>1</v>
      </c>
      <c r="E7515" s="1371"/>
      <c r="F7515" s="375"/>
      <c r="G7515" s="1224"/>
      <c r="H7515" s="698">
        <f t="shared" si="134"/>
        <v>1</v>
      </c>
      <c r="I7515" s="1508"/>
      <c r="J7515" s="1509"/>
      <c r="K7515" s="1509"/>
      <c r="L7515" s="1509"/>
      <c r="M7515" s="1509"/>
      <c r="N7515" s="1510"/>
    </row>
    <row r="7516" spans="1:14">
      <c r="A7516" s="1516" t="s">
        <v>2218</v>
      </c>
      <c r="B7516" s="1517"/>
      <c r="C7516" s="1517"/>
      <c r="D7516" s="1517"/>
      <c r="E7516" s="1517"/>
      <c r="F7516" s="1517"/>
      <c r="G7516" s="1518"/>
      <c r="H7516" s="271">
        <f>SUM(H7499:H7515)</f>
        <v>17</v>
      </c>
      <c r="I7516" s="1508"/>
      <c r="J7516" s="1509"/>
      <c r="K7516" s="1509"/>
      <c r="L7516" s="1509"/>
      <c r="M7516" s="1509"/>
      <c r="N7516" s="1510"/>
    </row>
    <row r="7517" spans="1:14">
      <c r="A7517" s="1519" t="s">
        <v>2219</v>
      </c>
      <c r="B7517" s="1517"/>
      <c r="C7517" s="1517"/>
      <c r="D7517" s="1517"/>
      <c r="E7517" s="1517"/>
      <c r="F7517" s="1517"/>
      <c r="G7517" s="1518"/>
      <c r="H7517" s="325">
        <f>SUM(H7496:H7497)</f>
        <v>0</v>
      </c>
      <c r="I7517" s="1508"/>
      <c r="J7517" s="1509"/>
      <c r="K7517" s="1509"/>
      <c r="L7517" s="1509"/>
      <c r="M7517" s="1509"/>
      <c r="N7517" s="1510"/>
    </row>
    <row r="7518" spans="1:14" ht="15.75" thickBot="1">
      <c r="A7518" s="1520" t="s">
        <v>2220</v>
      </c>
      <c r="B7518" s="1521"/>
      <c r="C7518" s="1521"/>
      <c r="D7518" s="1521"/>
      <c r="E7518" s="1521"/>
      <c r="F7518" s="1521"/>
      <c r="G7518" s="1522"/>
      <c r="H7518" s="216">
        <f>H7516-H7517</f>
        <v>17</v>
      </c>
      <c r="I7518" s="1511"/>
      <c r="J7518" s="1512"/>
      <c r="K7518" s="1512"/>
      <c r="L7518" s="1512"/>
      <c r="M7518" s="1512"/>
      <c r="N7518" s="1513"/>
    </row>
    <row r="7519" spans="1:14" ht="15.75" thickBot="1"/>
    <row r="7520" spans="1:14">
      <c r="A7520" s="1084" t="s">
        <v>3929</v>
      </c>
      <c r="B7520" s="1533" t="s">
        <v>1890</v>
      </c>
      <c r="C7520" s="1533"/>
      <c r="D7520" s="1533"/>
      <c r="E7520" s="1533"/>
      <c r="F7520" s="1533"/>
      <c r="G7520" s="1533"/>
      <c r="H7520" s="1533"/>
      <c r="I7520" s="1533"/>
      <c r="J7520" s="1533"/>
      <c r="K7520" s="266" t="s">
        <v>3154</v>
      </c>
      <c r="L7520" s="1534">
        <v>3</v>
      </c>
      <c r="M7520" s="1534"/>
      <c r="N7520" s="197">
        <f>L7520-H7526</f>
        <v>0</v>
      </c>
    </row>
    <row r="7521" spans="1:14">
      <c r="A7521" s="1499"/>
      <c r="B7521" s="1500"/>
      <c r="C7521" s="366"/>
      <c r="D7521" s="367" t="s">
        <v>2183</v>
      </c>
      <c r="E7521" s="1320" t="s">
        <v>2184</v>
      </c>
      <c r="F7521" s="367" t="s">
        <v>2185</v>
      </c>
      <c r="G7521" s="367" t="s">
        <v>2186</v>
      </c>
      <c r="H7521" s="1503" t="s">
        <v>476</v>
      </c>
      <c r="I7521" s="1505"/>
      <c r="J7521" s="1506"/>
      <c r="K7521" s="1506"/>
      <c r="L7521" s="1506"/>
      <c r="M7521" s="1506"/>
      <c r="N7521" s="1507"/>
    </row>
    <row r="7522" spans="1:14">
      <c r="A7522" s="1501"/>
      <c r="B7522" s="1502"/>
      <c r="C7522" s="368" t="s">
        <v>3128</v>
      </c>
      <c r="D7522" s="369"/>
      <c r="E7522" s="529"/>
      <c r="F7522" s="369"/>
      <c r="G7522" s="370" t="s">
        <v>3410</v>
      </c>
      <c r="H7522" s="1504"/>
      <c r="I7522" s="1508"/>
      <c r="J7522" s="1509"/>
      <c r="K7522" s="1509"/>
      <c r="L7522" s="1509"/>
      <c r="M7522" s="1509"/>
      <c r="N7522" s="1510"/>
    </row>
    <row r="7523" spans="1:14">
      <c r="A7523" s="1535" t="s">
        <v>3892</v>
      </c>
      <c r="B7523" s="1226" t="s">
        <v>3853</v>
      </c>
      <c r="C7523" s="756"/>
      <c r="D7523" s="202">
        <v>1</v>
      </c>
      <c r="E7523" s="346"/>
      <c r="F7523" s="346"/>
      <c r="G7523" s="346"/>
      <c r="H7523" s="698">
        <f t="shared" ref="H7523:H7525" si="135">D7523</f>
        <v>1</v>
      </c>
      <c r="I7523" s="1508"/>
      <c r="J7523" s="1509"/>
      <c r="K7523" s="1509"/>
      <c r="L7523" s="1509"/>
      <c r="M7523" s="1509"/>
      <c r="N7523" s="1510"/>
    </row>
    <row r="7524" spans="1:14">
      <c r="A7524" s="1529"/>
      <c r="B7524" s="1226" t="s">
        <v>3930</v>
      </c>
      <c r="C7524" s="956"/>
      <c r="D7524" s="919">
        <v>1</v>
      </c>
      <c r="E7524" s="693"/>
      <c r="F7524" s="693"/>
      <c r="G7524" s="693"/>
      <c r="H7524" s="698">
        <f t="shared" si="135"/>
        <v>1</v>
      </c>
      <c r="I7524" s="1508"/>
      <c r="J7524" s="1509"/>
      <c r="K7524" s="1509"/>
      <c r="L7524" s="1509"/>
      <c r="M7524" s="1509"/>
      <c r="N7524" s="1510"/>
    </row>
    <row r="7525" spans="1:14">
      <c r="A7525" s="1545"/>
      <c r="B7525" s="1226" t="s">
        <v>3931</v>
      </c>
      <c r="C7525" s="956"/>
      <c r="D7525" s="919">
        <v>1</v>
      </c>
      <c r="E7525" s="693"/>
      <c r="F7525" s="693"/>
      <c r="G7525" s="693"/>
      <c r="H7525" s="698">
        <f t="shared" si="135"/>
        <v>1</v>
      </c>
      <c r="I7525" s="1508"/>
      <c r="J7525" s="1509"/>
      <c r="K7525" s="1509"/>
      <c r="L7525" s="1509"/>
      <c r="M7525" s="1509"/>
      <c r="N7525" s="1510"/>
    </row>
    <row r="7526" spans="1:14">
      <c r="A7526" s="1519" t="s">
        <v>2218</v>
      </c>
      <c r="B7526" s="1517"/>
      <c r="C7526" s="1517"/>
      <c r="D7526" s="1517"/>
      <c r="E7526" s="1517"/>
      <c r="F7526" s="1517"/>
      <c r="G7526" s="1518"/>
      <c r="H7526" s="271">
        <f>SUM(H7523:H7525)</f>
        <v>3</v>
      </c>
      <c r="I7526" s="1508"/>
      <c r="J7526" s="1509"/>
      <c r="K7526" s="1509"/>
      <c r="L7526" s="1509"/>
      <c r="M7526" s="1509"/>
      <c r="N7526" s="1510"/>
    </row>
    <row r="7527" spans="1:14">
      <c r="A7527" s="1519" t="s">
        <v>2219</v>
      </c>
      <c r="B7527" s="1517"/>
      <c r="C7527" s="1517"/>
      <c r="D7527" s="1517"/>
      <c r="E7527" s="1517"/>
      <c r="F7527" s="1517"/>
      <c r="G7527" s="1518"/>
      <c r="H7527" s="325">
        <f>SUM(H7521:H7522)</f>
        <v>0</v>
      </c>
      <c r="I7527" s="1508"/>
      <c r="J7527" s="1509"/>
      <c r="K7527" s="1509"/>
      <c r="L7527" s="1509"/>
      <c r="M7527" s="1509"/>
      <c r="N7527" s="1510"/>
    </row>
    <row r="7528" spans="1:14" ht="15.75" thickBot="1">
      <c r="A7528" s="1520" t="s">
        <v>2220</v>
      </c>
      <c r="B7528" s="1521"/>
      <c r="C7528" s="1521"/>
      <c r="D7528" s="1521"/>
      <c r="E7528" s="1521"/>
      <c r="F7528" s="1521"/>
      <c r="G7528" s="1522"/>
      <c r="H7528" s="216">
        <f>H7526-H7527</f>
        <v>3</v>
      </c>
      <c r="I7528" s="1511"/>
      <c r="J7528" s="1512"/>
      <c r="K7528" s="1512"/>
      <c r="L7528" s="1512"/>
      <c r="M7528" s="1512"/>
      <c r="N7528" s="1513"/>
    </row>
    <row r="7529" spans="1:14" ht="15.75" thickBot="1"/>
    <row r="7530" spans="1:14">
      <c r="A7530" s="1084" t="s">
        <v>4029</v>
      </c>
      <c r="B7530" s="1533" t="str">
        <f>'27ª MEDIÇÃO '!C581</f>
        <v>Dispenser para papel higiênico em plástico ABS, tipo rolão para 300 metros, cor branco</v>
      </c>
      <c r="C7530" s="1533"/>
      <c r="D7530" s="1533"/>
      <c r="E7530" s="1533"/>
      <c r="F7530" s="1533"/>
      <c r="G7530" s="1533"/>
      <c r="H7530" s="1533"/>
      <c r="I7530" s="1533"/>
      <c r="J7530" s="1533"/>
      <c r="K7530" s="266" t="s">
        <v>3154</v>
      </c>
      <c r="L7530" s="1534">
        <f>'27ª MEDIÇÃO '!F581</f>
        <v>17</v>
      </c>
      <c r="M7530" s="1534"/>
      <c r="N7530" s="197">
        <f>L7530-H7553</f>
        <v>0</v>
      </c>
    </row>
    <row r="7531" spans="1:14">
      <c r="A7531" s="1499"/>
      <c r="B7531" s="1500"/>
      <c r="C7531" s="366"/>
      <c r="D7531" s="367" t="s">
        <v>2183</v>
      </c>
      <c r="E7531" s="1320" t="s">
        <v>2184</v>
      </c>
      <c r="F7531" s="367" t="s">
        <v>2185</v>
      </c>
      <c r="G7531" s="367" t="s">
        <v>2186</v>
      </c>
      <c r="H7531" s="1503" t="s">
        <v>476</v>
      </c>
      <c r="I7531" s="1505"/>
      <c r="J7531" s="1506"/>
      <c r="K7531" s="1506"/>
      <c r="L7531" s="1506"/>
      <c r="M7531" s="1506"/>
      <c r="N7531" s="1507"/>
    </row>
    <row r="7532" spans="1:14">
      <c r="A7532" s="1501"/>
      <c r="B7532" s="1502"/>
      <c r="C7532" s="368" t="s">
        <v>3128</v>
      </c>
      <c r="D7532" s="369"/>
      <c r="E7532" s="529"/>
      <c r="F7532" s="369"/>
      <c r="G7532" s="370" t="s">
        <v>3410</v>
      </c>
      <c r="H7532" s="1504"/>
      <c r="I7532" s="1508"/>
      <c r="J7532" s="1509"/>
      <c r="K7532" s="1509"/>
      <c r="L7532" s="1509"/>
      <c r="M7532" s="1509"/>
      <c r="N7532" s="1510"/>
    </row>
    <row r="7533" spans="1:14">
      <c r="A7533" s="1535" t="s">
        <v>4003</v>
      </c>
      <c r="B7533" s="1263" t="s">
        <v>2727</v>
      </c>
      <c r="C7533" s="1384"/>
      <c r="D7533" s="1385"/>
      <c r="E7533" s="379"/>
      <c r="F7533" s="379"/>
      <c r="G7533" s="379"/>
      <c r="H7533" s="1383">
        <f>D7533</f>
        <v>0</v>
      </c>
      <c r="I7533" s="1508"/>
      <c r="J7533" s="1509"/>
      <c r="K7533" s="1509"/>
      <c r="L7533" s="1509"/>
      <c r="M7533" s="1509"/>
      <c r="N7533" s="1510"/>
    </row>
    <row r="7534" spans="1:14">
      <c r="A7534" s="1529"/>
      <c r="B7534" s="1386" t="s">
        <v>3318</v>
      </c>
      <c r="C7534" s="1384"/>
      <c r="D7534" s="1385">
        <v>1</v>
      </c>
      <c r="E7534" s="379"/>
      <c r="F7534" s="379"/>
      <c r="G7534" s="379"/>
      <c r="H7534" s="1383">
        <f t="shared" ref="H7534:H7552" si="136">D7534</f>
        <v>1</v>
      </c>
      <c r="I7534" s="1508"/>
      <c r="J7534" s="1509"/>
      <c r="K7534" s="1509"/>
      <c r="L7534" s="1509"/>
      <c r="M7534" s="1509"/>
      <c r="N7534" s="1510"/>
    </row>
    <row r="7535" spans="1:14">
      <c r="A7535" s="1529"/>
      <c r="B7535" s="1386" t="s">
        <v>3089</v>
      </c>
      <c r="C7535" s="1384"/>
      <c r="D7535" s="1385">
        <v>1</v>
      </c>
      <c r="E7535" s="379"/>
      <c r="F7535" s="379"/>
      <c r="G7535" s="379"/>
      <c r="H7535" s="1383">
        <f t="shared" si="136"/>
        <v>1</v>
      </c>
      <c r="I7535" s="1508"/>
      <c r="J7535" s="1509"/>
      <c r="K7535" s="1509"/>
      <c r="L7535" s="1509"/>
      <c r="M7535" s="1509"/>
      <c r="N7535" s="1510"/>
    </row>
    <row r="7536" spans="1:14">
      <c r="A7536" s="1529"/>
      <c r="B7536" s="1386" t="s">
        <v>4031</v>
      </c>
      <c r="C7536" s="1384"/>
      <c r="D7536" s="1385">
        <v>1</v>
      </c>
      <c r="E7536" s="379"/>
      <c r="F7536" s="379"/>
      <c r="G7536" s="379"/>
      <c r="H7536" s="1383">
        <f t="shared" si="136"/>
        <v>1</v>
      </c>
      <c r="I7536" s="1508"/>
      <c r="J7536" s="1509"/>
      <c r="K7536" s="1509"/>
      <c r="L7536" s="1509"/>
      <c r="M7536" s="1509"/>
      <c r="N7536" s="1510"/>
    </row>
    <row r="7537" spans="1:14">
      <c r="A7537" s="1529"/>
      <c r="B7537" s="1386" t="s">
        <v>4032</v>
      </c>
      <c r="C7537" s="1384"/>
      <c r="D7537" s="1385">
        <v>2</v>
      </c>
      <c r="E7537" s="379"/>
      <c r="F7537" s="379"/>
      <c r="G7537" s="379"/>
      <c r="H7537" s="1383">
        <f t="shared" si="136"/>
        <v>2</v>
      </c>
      <c r="I7537" s="1508"/>
      <c r="J7537" s="1509"/>
      <c r="K7537" s="1509"/>
      <c r="L7537" s="1509"/>
      <c r="M7537" s="1509"/>
      <c r="N7537" s="1510"/>
    </row>
    <row r="7538" spans="1:14">
      <c r="A7538" s="1529"/>
      <c r="B7538" s="1386" t="s">
        <v>3580</v>
      </c>
      <c r="C7538" s="1384"/>
      <c r="D7538" s="1385">
        <v>1</v>
      </c>
      <c r="E7538" s="379"/>
      <c r="F7538" s="379"/>
      <c r="G7538" s="379"/>
      <c r="H7538" s="1383">
        <f t="shared" si="136"/>
        <v>1</v>
      </c>
      <c r="I7538" s="1508"/>
      <c r="J7538" s="1509"/>
      <c r="K7538" s="1509"/>
      <c r="L7538" s="1509"/>
      <c r="M7538" s="1509"/>
      <c r="N7538" s="1510"/>
    </row>
    <row r="7539" spans="1:14">
      <c r="A7539" s="1529"/>
      <c r="B7539" s="1386" t="s">
        <v>3579</v>
      </c>
      <c r="C7539" s="1384"/>
      <c r="D7539" s="1385">
        <v>1</v>
      </c>
      <c r="E7539" s="379"/>
      <c r="F7539" s="379"/>
      <c r="G7539" s="379"/>
      <c r="H7539" s="1383">
        <f t="shared" si="136"/>
        <v>1</v>
      </c>
      <c r="I7539" s="1508"/>
      <c r="J7539" s="1509"/>
      <c r="K7539" s="1509"/>
      <c r="L7539" s="1509"/>
      <c r="M7539" s="1509"/>
      <c r="N7539" s="1510"/>
    </row>
    <row r="7540" spans="1:14">
      <c r="A7540" s="1529"/>
      <c r="B7540" s="1386" t="s">
        <v>2344</v>
      </c>
      <c r="C7540" s="1384"/>
      <c r="D7540" s="1385">
        <v>1</v>
      </c>
      <c r="E7540" s="379"/>
      <c r="F7540" s="379"/>
      <c r="G7540" s="379"/>
      <c r="H7540" s="1383">
        <f t="shared" si="136"/>
        <v>1</v>
      </c>
      <c r="I7540" s="1508"/>
      <c r="J7540" s="1509"/>
      <c r="K7540" s="1509"/>
      <c r="L7540" s="1509"/>
      <c r="M7540" s="1509"/>
      <c r="N7540" s="1510"/>
    </row>
    <row r="7541" spans="1:14">
      <c r="A7541" s="1529"/>
      <c r="B7541" s="1386" t="s">
        <v>2459</v>
      </c>
      <c r="C7541" s="1384"/>
      <c r="D7541" s="1385">
        <v>1</v>
      </c>
      <c r="E7541" s="379"/>
      <c r="F7541" s="379"/>
      <c r="G7541" s="379"/>
      <c r="H7541" s="1383">
        <f t="shared" si="136"/>
        <v>1</v>
      </c>
      <c r="I7541" s="1508"/>
      <c r="J7541" s="1509"/>
      <c r="K7541" s="1509"/>
      <c r="L7541" s="1509"/>
      <c r="M7541" s="1509"/>
      <c r="N7541" s="1510"/>
    </row>
    <row r="7542" spans="1:14">
      <c r="A7542" s="1529"/>
      <c r="B7542" s="1386" t="s">
        <v>3934</v>
      </c>
      <c r="C7542" s="1384"/>
      <c r="D7542" s="1385">
        <v>1</v>
      </c>
      <c r="E7542" s="379"/>
      <c r="F7542" s="379"/>
      <c r="G7542" s="379"/>
      <c r="H7542" s="1383">
        <f t="shared" si="136"/>
        <v>1</v>
      </c>
      <c r="I7542" s="1508"/>
      <c r="J7542" s="1509"/>
      <c r="K7542" s="1509"/>
      <c r="L7542" s="1509"/>
      <c r="M7542" s="1509"/>
      <c r="N7542" s="1510"/>
    </row>
    <row r="7543" spans="1:14">
      <c r="A7543" s="1529"/>
      <c r="B7543" s="1386"/>
      <c r="C7543" s="1384"/>
      <c r="D7543" s="1385"/>
      <c r="E7543" s="379"/>
      <c r="F7543" s="379"/>
      <c r="G7543" s="379"/>
      <c r="H7543" s="1383"/>
      <c r="I7543" s="1508"/>
      <c r="J7543" s="1509"/>
      <c r="K7543" s="1509"/>
      <c r="L7543" s="1509"/>
      <c r="M7543" s="1509"/>
      <c r="N7543" s="1510"/>
    </row>
    <row r="7544" spans="1:14">
      <c r="A7544" s="1529"/>
      <c r="B7544" s="1263" t="s">
        <v>2929</v>
      </c>
      <c r="C7544" s="1384"/>
      <c r="D7544" s="1385"/>
      <c r="E7544" s="379"/>
      <c r="F7544" s="379"/>
      <c r="G7544" s="379"/>
      <c r="H7544" s="1383"/>
      <c r="I7544" s="1508"/>
      <c r="J7544" s="1509"/>
      <c r="K7544" s="1509"/>
      <c r="L7544" s="1509"/>
      <c r="M7544" s="1509"/>
      <c r="N7544" s="1510"/>
    </row>
    <row r="7545" spans="1:14">
      <c r="A7545" s="1529"/>
      <c r="B7545" s="1386" t="s">
        <v>2344</v>
      </c>
      <c r="C7545" s="1384"/>
      <c r="D7545" s="1385">
        <v>1</v>
      </c>
      <c r="E7545" s="379"/>
      <c r="F7545" s="379"/>
      <c r="G7545" s="379"/>
      <c r="H7545" s="1383">
        <f t="shared" si="136"/>
        <v>1</v>
      </c>
      <c r="I7545" s="1508"/>
      <c r="J7545" s="1509"/>
      <c r="K7545" s="1509"/>
      <c r="L7545" s="1509"/>
      <c r="M7545" s="1509"/>
      <c r="N7545" s="1510"/>
    </row>
    <row r="7546" spans="1:14">
      <c r="A7546" s="1529"/>
      <c r="B7546" s="1386" t="s">
        <v>2459</v>
      </c>
      <c r="C7546" s="1384"/>
      <c r="D7546" s="1385">
        <v>1</v>
      </c>
      <c r="E7546" s="379"/>
      <c r="F7546" s="379"/>
      <c r="G7546" s="379"/>
      <c r="H7546" s="1383">
        <f t="shared" si="136"/>
        <v>1</v>
      </c>
      <c r="I7546" s="1508"/>
      <c r="J7546" s="1509"/>
      <c r="K7546" s="1509"/>
      <c r="L7546" s="1509"/>
      <c r="M7546" s="1509"/>
      <c r="N7546" s="1510"/>
    </row>
    <row r="7547" spans="1:14">
      <c r="A7547" s="1529"/>
      <c r="B7547" s="1386" t="s">
        <v>3934</v>
      </c>
      <c r="C7547" s="1384"/>
      <c r="D7547" s="1385">
        <v>1</v>
      </c>
      <c r="E7547" s="379"/>
      <c r="F7547" s="379"/>
      <c r="G7547" s="379"/>
      <c r="H7547" s="1383">
        <f t="shared" si="136"/>
        <v>1</v>
      </c>
      <c r="I7547" s="1508"/>
      <c r="J7547" s="1509"/>
      <c r="K7547" s="1509"/>
      <c r="L7547" s="1509"/>
      <c r="M7547" s="1509"/>
      <c r="N7547" s="1510"/>
    </row>
    <row r="7548" spans="1:14">
      <c r="A7548" s="1529"/>
      <c r="B7548" s="1386" t="s">
        <v>2461</v>
      </c>
      <c r="C7548" s="1384"/>
      <c r="D7548" s="1385">
        <v>1</v>
      </c>
      <c r="E7548" s="379"/>
      <c r="F7548" s="379"/>
      <c r="G7548" s="379"/>
      <c r="H7548" s="1383">
        <f t="shared" si="136"/>
        <v>1</v>
      </c>
      <c r="I7548" s="1508"/>
      <c r="J7548" s="1509"/>
      <c r="K7548" s="1509"/>
      <c r="L7548" s="1509"/>
      <c r="M7548" s="1509"/>
      <c r="N7548" s="1510"/>
    </row>
    <row r="7549" spans="1:14">
      <c r="A7549" s="1529"/>
      <c r="B7549" s="1386" t="s">
        <v>2339</v>
      </c>
      <c r="C7549" s="1384"/>
      <c r="D7549" s="1385">
        <v>2</v>
      </c>
      <c r="E7549" s="379"/>
      <c r="F7549" s="379"/>
      <c r="G7549" s="379"/>
      <c r="H7549" s="1383">
        <f t="shared" si="136"/>
        <v>2</v>
      </c>
      <c r="I7549" s="1508"/>
      <c r="J7549" s="1509"/>
      <c r="K7549" s="1509"/>
      <c r="L7549" s="1509"/>
      <c r="M7549" s="1509"/>
      <c r="N7549" s="1510"/>
    </row>
    <row r="7550" spans="1:14">
      <c r="A7550" s="1529"/>
      <c r="B7550" s="1386" t="s">
        <v>2338</v>
      </c>
      <c r="C7550" s="1384"/>
      <c r="D7550" s="1385">
        <v>1</v>
      </c>
      <c r="E7550" s="379"/>
      <c r="F7550" s="379"/>
      <c r="G7550" s="379"/>
      <c r="H7550" s="1383">
        <f t="shared" si="136"/>
        <v>1</v>
      </c>
      <c r="I7550" s="1508"/>
      <c r="J7550" s="1509"/>
      <c r="K7550" s="1509"/>
      <c r="L7550" s="1509"/>
      <c r="M7550" s="1509"/>
      <c r="N7550" s="1510"/>
    </row>
    <row r="7551" spans="1:14">
      <c r="A7551" s="1529"/>
      <c r="B7551" s="1386"/>
      <c r="C7551" s="1384"/>
      <c r="D7551" s="218"/>
      <c r="E7551" s="379"/>
      <c r="F7551" s="379"/>
      <c r="G7551" s="379"/>
      <c r="H7551" s="1383"/>
      <c r="I7551" s="1508"/>
      <c r="J7551" s="1509"/>
      <c r="K7551" s="1509"/>
      <c r="L7551" s="1509"/>
      <c r="M7551" s="1509"/>
      <c r="N7551" s="1510"/>
    </row>
    <row r="7552" spans="1:14">
      <c r="A7552" s="1545"/>
      <c r="B7552" s="1386"/>
      <c r="C7552" s="1384"/>
      <c r="D7552" s="218"/>
      <c r="E7552" s="379"/>
      <c r="F7552" s="379"/>
      <c r="G7552" s="379"/>
      <c r="H7552" s="1383">
        <f t="shared" si="136"/>
        <v>0</v>
      </c>
      <c r="I7552" s="1508"/>
      <c r="J7552" s="1509"/>
      <c r="K7552" s="1509"/>
      <c r="L7552" s="1509"/>
      <c r="M7552" s="1509"/>
      <c r="N7552" s="1510"/>
    </row>
    <row r="7553" spans="1:14">
      <c r="A7553" s="1519" t="s">
        <v>2218</v>
      </c>
      <c r="B7553" s="1517"/>
      <c r="C7553" s="1517"/>
      <c r="D7553" s="1517"/>
      <c r="E7553" s="1517"/>
      <c r="F7553" s="1517"/>
      <c r="G7553" s="1518"/>
      <c r="H7553" s="271">
        <f>SUM(H7533:H7552)</f>
        <v>17</v>
      </c>
      <c r="I7553" s="1508"/>
      <c r="J7553" s="1509"/>
      <c r="K7553" s="1509"/>
      <c r="L7553" s="1509"/>
      <c r="M7553" s="1509"/>
      <c r="N7553" s="1510"/>
    </row>
    <row r="7554" spans="1:14">
      <c r="A7554" s="1519" t="s">
        <v>2219</v>
      </c>
      <c r="B7554" s="1517"/>
      <c r="C7554" s="1517"/>
      <c r="D7554" s="1517"/>
      <c r="E7554" s="1517"/>
      <c r="F7554" s="1517"/>
      <c r="G7554" s="1518"/>
      <c r="H7554" s="325">
        <f>SUM(H7531:H7532)</f>
        <v>0</v>
      </c>
      <c r="I7554" s="1508"/>
      <c r="J7554" s="1509"/>
      <c r="K7554" s="1509"/>
      <c r="L7554" s="1509"/>
      <c r="M7554" s="1509"/>
      <c r="N7554" s="1510"/>
    </row>
    <row r="7555" spans="1:14" ht="15.75" thickBot="1">
      <c r="A7555" s="1520" t="s">
        <v>2220</v>
      </c>
      <c r="B7555" s="1521"/>
      <c r="C7555" s="1521"/>
      <c r="D7555" s="1521"/>
      <c r="E7555" s="1521"/>
      <c r="F7555" s="1521"/>
      <c r="G7555" s="1522"/>
      <c r="H7555" s="216">
        <f>H7553-H7554</f>
        <v>17</v>
      </c>
      <c r="I7555" s="1511"/>
      <c r="J7555" s="1512"/>
      <c r="K7555" s="1512"/>
      <c r="L7555" s="1512"/>
      <c r="M7555" s="1512"/>
      <c r="N7555" s="1513"/>
    </row>
    <row r="7556" spans="1:14" ht="15.75" thickBot="1"/>
    <row r="7557" spans="1:14" ht="23.25" customHeight="1">
      <c r="A7557" s="1084" t="s">
        <v>4042</v>
      </c>
      <c r="B7557" s="1533" t="str">
        <f>'27ª MEDIÇÃO '!C582</f>
        <v>Dispenser de plástico ABS branco para sabonete líquido, marcas de referência JSN, Iramax, Sólimp ou equivalente, com reservatório, fixado com parafusos e buchas</v>
      </c>
      <c r="C7557" s="1533"/>
      <c r="D7557" s="1533"/>
      <c r="E7557" s="1533"/>
      <c r="F7557" s="1533"/>
      <c r="G7557" s="1533"/>
      <c r="H7557" s="1533"/>
      <c r="I7557" s="1533"/>
      <c r="J7557" s="1533"/>
      <c r="K7557" s="266" t="s">
        <v>3154</v>
      </c>
      <c r="L7557" s="1534">
        <f>'27ª MEDIÇÃO '!F582</f>
        <v>18</v>
      </c>
      <c r="M7557" s="1534"/>
      <c r="N7557" s="197">
        <f>L7557-H7581</f>
        <v>0</v>
      </c>
    </row>
    <row r="7558" spans="1:14">
      <c r="A7558" s="1499"/>
      <c r="B7558" s="1500"/>
      <c r="C7558" s="366"/>
      <c r="D7558" s="367" t="s">
        <v>2183</v>
      </c>
      <c r="E7558" s="1320" t="s">
        <v>2184</v>
      </c>
      <c r="F7558" s="367" t="s">
        <v>2185</v>
      </c>
      <c r="G7558" s="367" t="s">
        <v>2186</v>
      </c>
      <c r="H7558" s="1503" t="s">
        <v>476</v>
      </c>
      <c r="I7558" s="1505"/>
      <c r="J7558" s="1506"/>
      <c r="K7558" s="1506"/>
      <c r="L7558" s="1506"/>
      <c r="M7558" s="1506"/>
      <c r="N7558" s="1507"/>
    </row>
    <row r="7559" spans="1:14">
      <c r="A7559" s="1501"/>
      <c r="B7559" s="1502"/>
      <c r="C7559" s="368" t="s">
        <v>3128</v>
      </c>
      <c r="D7559" s="369"/>
      <c r="E7559" s="529"/>
      <c r="F7559" s="369"/>
      <c r="G7559" s="370" t="s">
        <v>3410</v>
      </c>
      <c r="H7559" s="1504"/>
      <c r="I7559" s="1508"/>
      <c r="J7559" s="1509"/>
      <c r="K7559" s="1509"/>
      <c r="L7559" s="1509"/>
      <c r="M7559" s="1509"/>
      <c r="N7559" s="1510"/>
    </row>
    <row r="7560" spans="1:14">
      <c r="A7560" s="1535" t="s">
        <v>4003</v>
      </c>
      <c r="B7560" s="1263" t="s">
        <v>2727</v>
      </c>
      <c r="C7560" s="1384"/>
      <c r="D7560" s="1385"/>
      <c r="E7560" s="379"/>
      <c r="F7560" s="379"/>
      <c r="G7560" s="379"/>
      <c r="H7560" s="1383"/>
      <c r="I7560" s="1508"/>
      <c r="J7560" s="1509"/>
      <c r="K7560" s="1509"/>
      <c r="L7560" s="1509"/>
      <c r="M7560" s="1509"/>
      <c r="N7560" s="1510"/>
    </row>
    <row r="7561" spans="1:14">
      <c r="A7561" s="1529"/>
      <c r="B7561" s="1386" t="s">
        <v>3318</v>
      </c>
      <c r="C7561" s="1384"/>
      <c r="D7561" s="1385"/>
      <c r="E7561" s="379"/>
      <c r="F7561" s="379"/>
      <c r="G7561" s="379">
        <v>1</v>
      </c>
      <c r="H7561" s="1383">
        <f>G7561</f>
        <v>1</v>
      </c>
      <c r="I7561" s="1508"/>
      <c r="J7561" s="1509"/>
      <c r="K7561" s="1509"/>
      <c r="L7561" s="1509"/>
      <c r="M7561" s="1509"/>
      <c r="N7561" s="1510"/>
    </row>
    <row r="7562" spans="1:14">
      <c r="A7562" s="1529"/>
      <c r="B7562" s="1386" t="s">
        <v>3089</v>
      </c>
      <c r="C7562" s="1384"/>
      <c r="D7562" s="1385"/>
      <c r="E7562" s="379"/>
      <c r="F7562" s="379"/>
      <c r="G7562" s="379">
        <v>1</v>
      </c>
      <c r="H7562" s="1383">
        <f t="shared" ref="H7562:H7580" si="137">G7562</f>
        <v>1</v>
      </c>
      <c r="I7562" s="1508"/>
      <c r="J7562" s="1509"/>
      <c r="K7562" s="1509"/>
      <c r="L7562" s="1509"/>
      <c r="M7562" s="1509"/>
      <c r="N7562" s="1510"/>
    </row>
    <row r="7563" spans="1:14">
      <c r="A7563" s="1529"/>
      <c r="B7563" s="1386" t="s">
        <v>4031</v>
      </c>
      <c r="C7563" s="1384"/>
      <c r="D7563" s="1385"/>
      <c r="E7563" s="379"/>
      <c r="F7563" s="379"/>
      <c r="G7563" s="379">
        <v>1</v>
      </c>
      <c r="H7563" s="1383">
        <f t="shared" si="137"/>
        <v>1</v>
      </c>
      <c r="I7563" s="1508"/>
      <c r="J7563" s="1509"/>
      <c r="K7563" s="1509"/>
      <c r="L7563" s="1509"/>
      <c r="M7563" s="1509"/>
      <c r="N7563" s="1510"/>
    </row>
    <row r="7564" spans="1:14">
      <c r="A7564" s="1529"/>
      <c r="B7564" s="1386" t="s">
        <v>4032</v>
      </c>
      <c r="C7564" s="1384"/>
      <c r="D7564" s="1385"/>
      <c r="E7564" s="379"/>
      <c r="F7564" s="379"/>
      <c r="G7564" s="379">
        <v>1</v>
      </c>
      <c r="H7564" s="1383">
        <f t="shared" si="137"/>
        <v>1</v>
      </c>
      <c r="I7564" s="1508"/>
      <c r="J7564" s="1509"/>
      <c r="K7564" s="1509"/>
      <c r="L7564" s="1509"/>
      <c r="M7564" s="1509"/>
      <c r="N7564" s="1510"/>
    </row>
    <row r="7565" spans="1:14">
      <c r="A7565" s="1529"/>
      <c r="B7565" s="1386" t="s">
        <v>2342</v>
      </c>
      <c r="C7565" s="1384"/>
      <c r="D7565" s="1385"/>
      <c r="E7565" s="379"/>
      <c r="F7565" s="379"/>
      <c r="G7565" s="379">
        <v>1</v>
      </c>
      <c r="H7565" s="1383">
        <f t="shared" si="137"/>
        <v>1</v>
      </c>
      <c r="I7565" s="1508"/>
      <c r="J7565" s="1509"/>
      <c r="K7565" s="1509"/>
      <c r="L7565" s="1509"/>
      <c r="M7565" s="1509"/>
      <c r="N7565" s="1510"/>
    </row>
    <row r="7566" spans="1:14">
      <c r="A7566" s="1529"/>
      <c r="B7566" s="1386" t="s">
        <v>2419</v>
      </c>
      <c r="C7566" s="1384"/>
      <c r="D7566" s="1385"/>
      <c r="E7566" s="379"/>
      <c r="F7566" s="379"/>
      <c r="G7566" s="379">
        <v>1</v>
      </c>
      <c r="H7566" s="1383">
        <f t="shared" si="137"/>
        <v>1</v>
      </c>
      <c r="I7566" s="1508"/>
      <c r="J7566" s="1509"/>
      <c r="K7566" s="1509"/>
      <c r="L7566" s="1509"/>
      <c r="M7566" s="1509"/>
      <c r="N7566" s="1510"/>
    </row>
    <row r="7567" spans="1:14">
      <c r="A7567" s="1529"/>
      <c r="B7567" s="1386" t="s">
        <v>2344</v>
      </c>
      <c r="C7567" s="1384"/>
      <c r="D7567" s="1385"/>
      <c r="E7567" s="379"/>
      <c r="F7567" s="379"/>
      <c r="G7567" s="379">
        <v>1</v>
      </c>
      <c r="H7567" s="1383">
        <f t="shared" si="137"/>
        <v>1</v>
      </c>
      <c r="I7567" s="1508"/>
      <c r="J7567" s="1509"/>
      <c r="K7567" s="1509"/>
      <c r="L7567" s="1509"/>
      <c r="M7567" s="1509"/>
      <c r="N7567" s="1510"/>
    </row>
    <row r="7568" spans="1:14">
      <c r="A7568" s="1529"/>
      <c r="B7568" s="1386" t="s">
        <v>2459</v>
      </c>
      <c r="C7568" s="1384"/>
      <c r="D7568" s="1385"/>
      <c r="E7568" s="379"/>
      <c r="F7568" s="379"/>
      <c r="G7568" s="379">
        <v>1</v>
      </c>
      <c r="H7568" s="1383">
        <f t="shared" si="137"/>
        <v>1</v>
      </c>
      <c r="I7568" s="1508"/>
      <c r="J7568" s="1509"/>
      <c r="K7568" s="1509"/>
      <c r="L7568" s="1509"/>
      <c r="M7568" s="1509"/>
      <c r="N7568" s="1510"/>
    </row>
    <row r="7569" spans="1:14">
      <c r="A7569" s="1529"/>
      <c r="B7569" s="1386" t="s">
        <v>3934</v>
      </c>
      <c r="C7569" s="1384"/>
      <c r="D7569" s="1385"/>
      <c r="E7569" s="379"/>
      <c r="F7569" s="379"/>
      <c r="G7569" s="379">
        <v>1</v>
      </c>
      <c r="H7569" s="1383">
        <f t="shared" si="137"/>
        <v>1</v>
      </c>
      <c r="I7569" s="1508"/>
      <c r="J7569" s="1509"/>
      <c r="K7569" s="1509"/>
      <c r="L7569" s="1509"/>
      <c r="M7569" s="1509"/>
      <c r="N7569" s="1510"/>
    </row>
    <row r="7570" spans="1:14">
      <c r="A7570" s="1529"/>
      <c r="B7570" s="1386" t="s">
        <v>2455</v>
      </c>
      <c r="C7570" s="1384"/>
      <c r="D7570" s="1385"/>
      <c r="E7570" s="379"/>
      <c r="F7570" s="379"/>
      <c r="G7570" s="379">
        <v>1</v>
      </c>
      <c r="H7570" s="1383">
        <f t="shared" si="137"/>
        <v>1</v>
      </c>
      <c r="I7570" s="1508"/>
      <c r="J7570" s="1509"/>
      <c r="K7570" s="1509"/>
      <c r="L7570" s="1509"/>
      <c r="M7570" s="1509"/>
      <c r="N7570" s="1510"/>
    </row>
    <row r="7571" spans="1:14">
      <c r="A7571" s="1529"/>
      <c r="B7571" s="1386"/>
      <c r="C7571" s="1384"/>
      <c r="D7571" s="1385"/>
      <c r="E7571" s="379"/>
      <c r="F7571" s="379"/>
      <c r="G7571" s="379"/>
      <c r="H7571" s="1383"/>
      <c r="I7571" s="1508"/>
      <c r="J7571" s="1509"/>
      <c r="K7571" s="1509"/>
      <c r="L7571" s="1509"/>
      <c r="M7571" s="1509"/>
      <c r="N7571" s="1510"/>
    </row>
    <row r="7572" spans="1:14">
      <c r="A7572" s="1529"/>
      <c r="B7572" s="1263" t="s">
        <v>2929</v>
      </c>
      <c r="C7572" s="1384"/>
      <c r="D7572" s="1385"/>
      <c r="E7572" s="379"/>
      <c r="F7572" s="379"/>
      <c r="G7572" s="379"/>
      <c r="H7572" s="1383"/>
      <c r="I7572" s="1508"/>
      <c r="J7572" s="1509"/>
      <c r="K7572" s="1509"/>
      <c r="L7572" s="1509"/>
      <c r="M7572" s="1509"/>
      <c r="N7572" s="1510"/>
    </row>
    <row r="7573" spans="1:14">
      <c r="A7573" s="1529"/>
      <c r="B7573" s="1386" t="s">
        <v>2344</v>
      </c>
      <c r="C7573" s="1384"/>
      <c r="D7573" s="1385"/>
      <c r="E7573" s="379"/>
      <c r="F7573" s="379"/>
      <c r="G7573" s="379">
        <v>1</v>
      </c>
      <c r="H7573" s="1383">
        <f t="shared" si="137"/>
        <v>1</v>
      </c>
      <c r="I7573" s="1508"/>
      <c r="J7573" s="1509"/>
      <c r="K7573" s="1509"/>
      <c r="L7573" s="1509"/>
      <c r="M7573" s="1509"/>
      <c r="N7573" s="1510"/>
    </row>
    <row r="7574" spans="1:14">
      <c r="A7574" s="1529"/>
      <c r="B7574" s="1386" t="s">
        <v>2459</v>
      </c>
      <c r="C7574" s="1384"/>
      <c r="D7574" s="1385"/>
      <c r="E7574" s="379"/>
      <c r="F7574" s="379"/>
      <c r="G7574" s="379">
        <v>1</v>
      </c>
      <c r="H7574" s="1383">
        <f t="shared" si="137"/>
        <v>1</v>
      </c>
      <c r="I7574" s="1508"/>
      <c r="J7574" s="1509"/>
      <c r="K7574" s="1509"/>
      <c r="L7574" s="1509"/>
      <c r="M7574" s="1509"/>
      <c r="N7574" s="1510"/>
    </row>
    <row r="7575" spans="1:14">
      <c r="A7575" s="1529"/>
      <c r="B7575" s="1386" t="s">
        <v>3934</v>
      </c>
      <c r="C7575" s="1384"/>
      <c r="D7575" s="1385"/>
      <c r="E7575" s="379"/>
      <c r="F7575" s="379"/>
      <c r="G7575" s="379">
        <v>1</v>
      </c>
      <c r="H7575" s="1383">
        <f t="shared" si="137"/>
        <v>1</v>
      </c>
      <c r="I7575" s="1508"/>
      <c r="J7575" s="1509"/>
      <c r="K7575" s="1509"/>
      <c r="L7575" s="1509"/>
      <c r="M7575" s="1509"/>
      <c r="N7575" s="1510"/>
    </row>
    <row r="7576" spans="1:14">
      <c r="A7576" s="1529"/>
      <c r="B7576" s="1386" t="s">
        <v>2461</v>
      </c>
      <c r="C7576" s="1384"/>
      <c r="D7576" s="1385"/>
      <c r="E7576" s="379"/>
      <c r="F7576" s="379"/>
      <c r="G7576" s="379">
        <v>1</v>
      </c>
      <c r="H7576" s="1383">
        <f t="shared" si="137"/>
        <v>1</v>
      </c>
      <c r="I7576" s="1508"/>
      <c r="J7576" s="1509"/>
      <c r="K7576" s="1509"/>
      <c r="L7576" s="1509"/>
      <c r="M7576" s="1509"/>
      <c r="N7576" s="1510"/>
    </row>
    <row r="7577" spans="1:14">
      <c r="A7577" s="1529"/>
      <c r="B7577" s="1386" t="s">
        <v>2339</v>
      </c>
      <c r="C7577" s="1384"/>
      <c r="D7577" s="1385"/>
      <c r="E7577" s="379"/>
      <c r="F7577" s="379"/>
      <c r="G7577" s="379">
        <v>1</v>
      </c>
      <c r="H7577" s="1383">
        <f t="shared" si="137"/>
        <v>1</v>
      </c>
      <c r="I7577" s="1508"/>
      <c r="J7577" s="1509"/>
      <c r="K7577" s="1509"/>
      <c r="L7577" s="1509"/>
      <c r="M7577" s="1509"/>
      <c r="N7577" s="1510"/>
    </row>
    <row r="7578" spans="1:14">
      <c r="A7578" s="1529"/>
      <c r="B7578" s="1386" t="s">
        <v>2338</v>
      </c>
      <c r="C7578" s="1384"/>
      <c r="D7578" s="1385"/>
      <c r="E7578" s="379"/>
      <c r="F7578" s="379"/>
      <c r="G7578" s="379">
        <v>1</v>
      </c>
      <c r="H7578" s="1383">
        <f t="shared" si="137"/>
        <v>1</v>
      </c>
      <c r="I7578" s="1508"/>
      <c r="J7578" s="1509"/>
      <c r="K7578" s="1509"/>
      <c r="L7578" s="1509"/>
      <c r="M7578" s="1509"/>
      <c r="N7578" s="1510"/>
    </row>
    <row r="7579" spans="1:14">
      <c r="A7579" s="1529"/>
      <c r="B7579" s="1386" t="s">
        <v>2460</v>
      </c>
      <c r="C7579" s="1384"/>
      <c r="D7579" s="218"/>
      <c r="E7579" s="379"/>
      <c r="F7579" s="379"/>
      <c r="G7579" s="379">
        <v>1</v>
      </c>
      <c r="H7579" s="1383">
        <f t="shared" si="137"/>
        <v>1</v>
      </c>
      <c r="I7579" s="1508"/>
      <c r="J7579" s="1509"/>
      <c r="K7579" s="1509"/>
      <c r="L7579" s="1509"/>
      <c r="M7579" s="1509"/>
      <c r="N7579" s="1510"/>
    </row>
    <row r="7580" spans="1:14">
      <c r="A7580" s="1545"/>
      <c r="B7580" s="1386" t="s">
        <v>2342</v>
      </c>
      <c r="C7580" s="1384"/>
      <c r="D7580" s="218"/>
      <c r="E7580" s="379"/>
      <c r="F7580" s="379"/>
      <c r="G7580" s="379">
        <v>1</v>
      </c>
      <c r="H7580" s="1383">
        <f t="shared" si="137"/>
        <v>1</v>
      </c>
      <c r="I7580" s="1508"/>
      <c r="J7580" s="1509"/>
      <c r="K7580" s="1509"/>
      <c r="L7580" s="1509"/>
      <c r="M7580" s="1509"/>
      <c r="N7580" s="1510"/>
    </row>
    <row r="7581" spans="1:14">
      <c r="A7581" s="1519" t="s">
        <v>2218</v>
      </c>
      <c r="B7581" s="1517"/>
      <c r="C7581" s="1517"/>
      <c r="D7581" s="1517"/>
      <c r="E7581" s="1517"/>
      <c r="F7581" s="1517"/>
      <c r="G7581" s="1518"/>
      <c r="H7581" s="271">
        <f>SUM(H7560:H7580)</f>
        <v>18</v>
      </c>
      <c r="I7581" s="1508"/>
      <c r="J7581" s="1509"/>
      <c r="K7581" s="1509"/>
      <c r="L7581" s="1509"/>
      <c r="M7581" s="1509"/>
      <c r="N7581" s="1510"/>
    </row>
    <row r="7582" spans="1:14">
      <c r="A7582" s="1519" t="s">
        <v>2219</v>
      </c>
      <c r="B7582" s="1517"/>
      <c r="C7582" s="1517"/>
      <c r="D7582" s="1517"/>
      <c r="E7582" s="1517"/>
      <c r="F7582" s="1517"/>
      <c r="G7582" s="1518"/>
      <c r="H7582" s="325">
        <f>SUM(H7558:H7559)</f>
        <v>0</v>
      </c>
      <c r="I7582" s="1508"/>
      <c r="J7582" s="1509"/>
      <c r="K7582" s="1509"/>
      <c r="L7582" s="1509"/>
      <c r="M7582" s="1509"/>
      <c r="N7582" s="1510"/>
    </row>
    <row r="7583" spans="1:14" ht="15.75" thickBot="1">
      <c r="A7583" s="1520" t="s">
        <v>2220</v>
      </c>
      <c r="B7583" s="1521"/>
      <c r="C7583" s="1521"/>
      <c r="D7583" s="1521"/>
      <c r="E7583" s="1521"/>
      <c r="F7583" s="1521"/>
      <c r="G7583" s="1522"/>
      <c r="H7583" s="216">
        <f>H7581-H7582</f>
        <v>18</v>
      </c>
      <c r="I7583" s="1511"/>
      <c r="J7583" s="1512"/>
      <c r="K7583" s="1512"/>
      <c r="L7583" s="1512"/>
      <c r="M7583" s="1512"/>
      <c r="N7583" s="1513"/>
    </row>
    <row r="7584" spans="1:14" ht="15.75" thickBot="1"/>
    <row r="7585" spans="1:14" ht="23.25" customHeight="1">
      <c r="A7585" s="1084" t="s">
        <v>4043</v>
      </c>
      <c r="B7585" s="1533" t="str">
        <f>'27ª MEDIÇÃO '!C583</f>
        <v>Dispenser para papel toalha interfolhado, duas dobras, em plástico ABS, cor branca</v>
      </c>
      <c r="C7585" s="1533"/>
      <c r="D7585" s="1533"/>
      <c r="E7585" s="1533"/>
      <c r="F7585" s="1533"/>
      <c r="G7585" s="1533"/>
      <c r="H7585" s="1533"/>
      <c r="I7585" s="1533"/>
      <c r="J7585" s="1533"/>
      <c r="K7585" s="266" t="s">
        <v>3154</v>
      </c>
      <c r="L7585" s="1534">
        <f>'27ª MEDIÇÃO '!F583</f>
        <v>18</v>
      </c>
      <c r="M7585" s="1534"/>
      <c r="N7585" s="197">
        <f>L7585-H7609</f>
        <v>0</v>
      </c>
    </row>
    <row r="7586" spans="1:14">
      <c r="A7586" s="1499"/>
      <c r="B7586" s="1500"/>
      <c r="C7586" s="366"/>
      <c r="D7586" s="367" t="s">
        <v>2183</v>
      </c>
      <c r="E7586" s="1320" t="s">
        <v>2184</v>
      </c>
      <c r="F7586" s="367" t="s">
        <v>2185</v>
      </c>
      <c r="G7586" s="367" t="s">
        <v>2186</v>
      </c>
      <c r="H7586" s="1503" t="s">
        <v>476</v>
      </c>
      <c r="I7586" s="1505"/>
      <c r="J7586" s="1506"/>
      <c r="K7586" s="1506"/>
      <c r="L7586" s="1506"/>
      <c r="M7586" s="1506"/>
      <c r="N7586" s="1507"/>
    </row>
    <row r="7587" spans="1:14">
      <c r="A7587" s="1501"/>
      <c r="B7587" s="1502"/>
      <c r="C7587" s="368" t="s">
        <v>3128</v>
      </c>
      <c r="D7587" s="369"/>
      <c r="E7587" s="529"/>
      <c r="F7587" s="369"/>
      <c r="G7587" s="370" t="s">
        <v>3410</v>
      </c>
      <c r="H7587" s="1504"/>
      <c r="I7587" s="1508"/>
      <c r="J7587" s="1509"/>
      <c r="K7587" s="1509"/>
      <c r="L7587" s="1509"/>
      <c r="M7587" s="1509"/>
      <c r="N7587" s="1510"/>
    </row>
    <row r="7588" spans="1:14">
      <c r="A7588" s="1535" t="s">
        <v>4003</v>
      </c>
      <c r="B7588" s="1263" t="s">
        <v>2727</v>
      </c>
      <c r="C7588" s="1384"/>
      <c r="D7588" s="1385"/>
      <c r="E7588" s="379"/>
      <c r="F7588" s="379"/>
      <c r="G7588" s="379"/>
      <c r="H7588" s="1383"/>
      <c r="I7588" s="1508"/>
      <c r="J7588" s="1509"/>
      <c r="K7588" s="1509"/>
      <c r="L7588" s="1509"/>
      <c r="M7588" s="1509"/>
      <c r="N7588" s="1510"/>
    </row>
    <row r="7589" spans="1:14">
      <c r="A7589" s="1529"/>
      <c r="B7589" s="1386" t="s">
        <v>3318</v>
      </c>
      <c r="C7589" s="1384"/>
      <c r="D7589" s="1385"/>
      <c r="E7589" s="379"/>
      <c r="F7589" s="379"/>
      <c r="G7589" s="379">
        <v>1</v>
      </c>
      <c r="H7589" s="1383">
        <f>G7589</f>
        <v>1</v>
      </c>
      <c r="I7589" s="1508"/>
      <c r="J7589" s="1509"/>
      <c r="K7589" s="1509"/>
      <c r="L7589" s="1509"/>
      <c r="M7589" s="1509"/>
      <c r="N7589" s="1510"/>
    </row>
    <row r="7590" spans="1:14">
      <c r="A7590" s="1529"/>
      <c r="B7590" s="1386" t="s">
        <v>3089</v>
      </c>
      <c r="C7590" s="1384"/>
      <c r="D7590" s="1385"/>
      <c r="E7590" s="379"/>
      <c r="F7590" s="379"/>
      <c r="G7590" s="379">
        <v>1</v>
      </c>
      <c r="H7590" s="1383">
        <f t="shared" ref="H7590:H7608" si="138">G7590</f>
        <v>1</v>
      </c>
      <c r="I7590" s="1508"/>
      <c r="J7590" s="1509"/>
      <c r="K7590" s="1509"/>
      <c r="L7590" s="1509"/>
      <c r="M7590" s="1509"/>
      <c r="N7590" s="1510"/>
    </row>
    <row r="7591" spans="1:14">
      <c r="A7591" s="1529"/>
      <c r="B7591" s="1386" t="s">
        <v>4031</v>
      </c>
      <c r="C7591" s="1384"/>
      <c r="D7591" s="1385"/>
      <c r="E7591" s="379"/>
      <c r="F7591" s="379"/>
      <c r="G7591" s="379">
        <v>1</v>
      </c>
      <c r="H7591" s="1383">
        <f t="shared" si="138"/>
        <v>1</v>
      </c>
      <c r="I7591" s="1508"/>
      <c r="J7591" s="1509"/>
      <c r="K7591" s="1509"/>
      <c r="L7591" s="1509"/>
      <c r="M7591" s="1509"/>
      <c r="N7591" s="1510"/>
    </row>
    <row r="7592" spans="1:14">
      <c r="A7592" s="1529"/>
      <c r="B7592" s="1386" t="s">
        <v>4032</v>
      </c>
      <c r="C7592" s="1384"/>
      <c r="D7592" s="1385"/>
      <c r="E7592" s="379"/>
      <c r="F7592" s="379"/>
      <c r="G7592" s="379">
        <v>1</v>
      </c>
      <c r="H7592" s="1383">
        <f t="shared" si="138"/>
        <v>1</v>
      </c>
      <c r="I7592" s="1508"/>
      <c r="J7592" s="1509"/>
      <c r="K7592" s="1509"/>
      <c r="L7592" s="1509"/>
      <c r="M7592" s="1509"/>
      <c r="N7592" s="1510"/>
    </row>
    <row r="7593" spans="1:14">
      <c r="A7593" s="1529"/>
      <c r="B7593" s="1386" t="s">
        <v>2342</v>
      </c>
      <c r="C7593" s="1384"/>
      <c r="D7593" s="1385"/>
      <c r="E7593" s="379"/>
      <c r="F7593" s="379"/>
      <c r="G7593" s="379">
        <v>1</v>
      </c>
      <c r="H7593" s="1383">
        <f t="shared" si="138"/>
        <v>1</v>
      </c>
      <c r="I7593" s="1508"/>
      <c r="J7593" s="1509"/>
      <c r="K7593" s="1509"/>
      <c r="L7593" s="1509"/>
      <c r="M7593" s="1509"/>
      <c r="N7593" s="1510"/>
    </row>
    <row r="7594" spans="1:14">
      <c r="A7594" s="1529"/>
      <c r="B7594" s="1386" t="s">
        <v>2419</v>
      </c>
      <c r="C7594" s="1384"/>
      <c r="D7594" s="1385"/>
      <c r="E7594" s="379"/>
      <c r="F7594" s="379"/>
      <c r="G7594" s="379">
        <v>1</v>
      </c>
      <c r="H7594" s="1383">
        <f t="shared" si="138"/>
        <v>1</v>
      </c>
      <c r="I7594" s="1508"/>
      <c r="J7594" s="1509"/>
      <c r="K7594" s="1509"/>
      <c r="L7594" s="1509"/>
      <c r="M7594" s="1509"/>
      <c r="N7594" s="1510"/>
    </row>
    <row r="7595" spans="1:14">
      <c r="A7595" s="1529"/>
      <c r="B7595" s="1386" t="s">
        <v>2344</v>
      </c>
      <c r="C7595" s="1384"/>
      <c r="D7595" s="1385"/>
      <c r="E7595" s="379"/>
      <c r="F7595" s="379"/>
      <c r="G7595" s="379">
        <v>1</v>
      </c>
      <c r="H7595" s="1383">
        <f t="shared" si="138"/>
        <v>1</v>
      </c>
      <c r="I7595" s="1508"/>
      <c r="J7595" s="1509"/>
      <c r="K7595" s="1509"/>
      <c r="L7595" s="1509"/>
      <c r="M7595" s="1509"/>
      <c r="N7595" s="1510"/>
    </row>
    <row r="7596" spans="1:14">
      <c r="A7596" s="1529"/>
      <c r="B7596" s="1386" t="s">
        <v>2459</v>
      </c>
      <c r="C7596" s="1384"/>
      <c r="D7596" s="1385"/>
      <c r="E7596" s="379"/>
      <c r="F7596" s="379"/>
      <c r="G7596" s="379">
        <v>1</v>
      </c>
      <c r="H7596" s="1383">
        <f t="shared" si="138"/>
        <v>1</v>
      </c>
      <c r="I7596" s="1508"/>
      <c r="J7596" s="1509"/>
      <c r="K7596" s="1509"/>
      <c r="L7596" s="1509"/>
      <c r="M7596" s="1509"/>
      <c r="N7596" s="1510"/>
    </row>
    <row r="7597" spans="1:14">
      <c r="A7597" s="1529"/>
      <c r="B7597" s="1386" t="s">
        <v>3934</v>
      </c>
      <c r="C7597" s="1384"/>
      <c r="D7597" s="1385"/>
      <c r="E7597" s="379"/>
      <c r="F7597" s="379"/>
      <c r="G7597" s="379">
        <v>1</v>
      </c>
      <c r="H7597" s="1383">
        <f t="shared" si="138"/>
        <v>1</v>
      </c>
      <c r="I7597" s="1508"/>
      <c r="J7597" s="1509"/>
      <c r="K7597" s="1509"/>
      <c r="L7597" s="1509"/>
      <c r="M7597" s="1509"/>
      <c r="N7597" s="1510"/>
    </row>
    <row r="7598" spans="1:14">
      <c r="A7598" s="1529"/>
      <c r="B7598" s="1386" t="s">
        <v>2455</v>
      </c>
      <c r="C7598" s="1384"/>
      <c r="D7598" s="1385"/>
      <c r="E7598" s="379"/>
      <c r="F7598" s="379"/>
      <c r="G7598" s="379">
        <v>1</v>
      </c>
      <c r="H7598" s="1383">
        <f t="shared" si="138"/>
        <v>1</v>
      </c>
      <c r="I7598" s="1508"/>
      <c r="J7598" s="1509"/>
      <c r="K7598" s="1509"/>
      <c r="L7598" s="1509"/>
      <c r="M7598" s="1509"/>
      <c r="N7598" s="1510"/>
    </row>
    <row r="7599" spans="1:14">
      <c r="A7599" s="1529"/>
      <c r="B7599" s="1386"/>
      <c r="C7599" s="1384"/>
      <c r="D7599" s="1385"/>
      <c r="E7599" s="379"/>
      <c r="F7599" s="379"/>
      <c r="G7599" s="379"/>
      <c r="H7599" s="1383"/>
      <c r="I7599" s="1508"/>
      <c r="J7599" s="1509"/>
      <c r="K7599" s="1509"/>
      <c r="L7599" s="1509"/>
      <c r="M7599" s="1509"/>
      <c r="N7599" s="1510"/>
    </row>
    <row r="7600" spans="1:14">
      <c r="A7600" s="1529"/>
      <c r="B7600" s="1263" t="s">
        <v>2929</v>
      </c>
      <c r="C7600" s="1384"/>
      <c r="D7600" s="1385"/>
      <c r="E7600" s="379"/>
      <c r="F7600" s="379"/>
      <c r="G7600" s="379"/>
      <c r="H7600" s="1383"/>
      <c r="I7600" s="1508"/>
      <c r="J7600" s="1509"/>
      <c r="K7600" s="1509"/>
      <c r="L7600" s="1509"/>
      <c r="M7600" s="1509"/>
      <c r="N7600" s="1510"/>
    </row>
    <row r="7601" spans="1:14">
      <c r="A7601" s="1529"/>
      <c r="B7601" s="1386" t="s">
        <v>2344</v>
      </c>
      <c r="C7601" s="1384"/>
      <c r="D7601" s="1385"/>
      <c r="E7601" s="379"/>
      <c r="F7601" s="379"/>
      <c r="G7601" s="379">
        <v>1</v>
      </c>
      <c r="H7601" s="1383">
        <f t="shared" si="138"/>
        <v>1</v>
      </c>
      <c r="I7601" s="1508"/>
      <c r="J7601" s="1509"/>
      <c r="K7601" s="1509"/>
      <c r="L7601" s="1509"/>
      <c r="M7601" s="1509"/>
      <c r="N7601" s="1510"/>
    </row>
    <row r="7602" spans="1:14">
      <c r="A7602" s="1529"/>
      <c r="B7602" s="1386" t="s">
        <v>2459</v>
      </c>
      <c r="C7602" s="1384"/>
      <c r="D7602" s="1385"/>
      <c r="E7602" s="379"/>
      <c r="F7602" s="379"/>
      <c r="G7602" s="379">
        <v>1</v>
      </c>
      <c r="H7602" s="1383">
        <f t="shared" si="138"/>
        <v>1</v>
      </c>
      <c r="I7602" s="1508"/>
      <c r="J7602" s="1509"/>
      <c r="K7602" s="1509"/>
      <c r="L7602" s="1509"/>
      <c r="M7602" s="1509"/>
      <c r="N7602" s="1510"/>
    </row>
    <row r="7603" spans="1:14">
      <c r="A7603" s="1529"/>
      <c r="B7603" s="1386" t="s">
        <v>3934</v>
      </c>
      <c r="C7603" s="1384"/>
      <c r="D7603" s="1385"/>
      <c r="E7603" s="379"/>
      <c r="F7603" s="379"/>
      <c r="G7603" s="379">
        <v>1</v>
      </c>
      <c r="H7603" s="1383">
        <f t="shared" si="138"/>
        <v>1</v>
      </c>
      <c r="I7603" s="1508"/>
      <c r="J7603" s="1509"/>
      <c r="K7603" s="1509"/>
      <c r="L7603" s="1509"/>
      <c r="M7603" s="1509"/>
      <c r="N7603" s="1510"/>
    </row>
    <row r="7604" spans="1:14">
      <c r="A7604" s="1529"/>
      <c r="B7604" s="1386" t="s">
        <v>2461</v>
      </c>
      <c r="C7604" s="1384"/>
      <c r="D7604" s="1385"/>
      <c r="E7604" s="379"/>
      <c r="F7604" s="379"/>
      <c r="G7604" s="379">
        <v>1</v>
      </c>
      <c r="H7604" s="1383">
        <f t="shared" si="138"/>
        <v>1</v>
      </c>
      <c r="I7604" s="1508"/>
      <c r="J7604" s="1509"/>
      <c r="K7604" s="1509"/>
      <c r="L7604" s="1509"/>
      <c r="M7604" s="1509"/>
      <c r="N7604" s="1510"/>
    </row>
    <row r="7605" spans="1:14">
      <c r="A7605" s="1529"/>
      <c r="B7605" s="1386" t="s">
        <v>2339</v>
      </c>
      <c r="C7605" s="1384"/>
      <c r="D7605" s="1385"/>
      <c r="E7605" s="379"/>
      <c r="F7605" s="379"/>
      <c r="G7605" s="379">
        <v>1</v>
      </c>
      <c r="H7605" s="1383">
        <f t="shared" si="138"/>
        <v>1</v>
      </c>
      <c r="I7605" s="1508"/>
      <c r="J7605" s="1509"/>
      <c r="K7605" s="1509"/>
      <c r="L7605" s="1509"/>
      <c r="M7605" s="1509"/>
      <c r="N7605" s="1510"/>
    </row>
    <row r="7606" spans="1:14">
      <c r="A7606" s="1529"/>
      <c r="B7606" s="1386" t="s">
        <v>2338</v>
      </c>
      <c r="C7606" s="1384"/>
      <c r="D7606" s="1385"/>
      <c r="E7606" s="379"/>
      <c r="F7606" s="379"/>
      <c r="G7606" s="379">
        <v>1</v>
      </c>
      <c r="H7606" s="1383">
        <f t="shared" si="138"/>
        <v>1</v>
      </c>
      <c r="I7606" s="1508"/>
      <c r="J7606" s="1509"/>
      <c r="K7606" s="1509"/>
      <c r="L7606" s="1509"/>
      <c r="M7606" s="1509"/>
      <c r="N7606" s="1510"/>
    </row>
    <row r="7607" spans="1:14">
      <c r="A7607" s="1529"/>
      <c r="B7607" s="1386" t="s">
        <v>2460</v>
      </c>
      <c r="C7607" s="1384"/>
      <c r="D7607" s="218"/>
      <c r="E7607" s="379"/>
      <c r="F7607" s="379"/>
      <c r="G7607" s="379">
        <v>1</v>
      </c>
      <c r="H7607" s="1383">
        <f t="shared" si="138"/>
        <v>1</v>
      </c>
      <c r="I7607" s="1508"/>
      <c r="J7607" s="1509"/>
      <c r="K7607" s="1509"/>
      <c r="L7607" s="1509"/>
      <c r="M7607" s="1509"/>
      <c r="N7607" s="1510"/>
    </row>
    <row r="7608" spans="1:14">
      <c r="A7608" s="1545"/>
      <c r="B7608" s="1386" t="s">
        <v>2342</v>
      </c>
      <c r="C7608" s="1384"/>
      <c r="D7608" s="218"/>
      <c r="E7608" s="379"/>
      <c r="F7608" s="379"/>
      <c r="G7608" s="379">
        <v>1</v>
      </c>
      <c r="H7608" s="1383">
        <f t="shared" si="138"/>
        <v>1</v>
      </c>
      <c r="I7608" s="1508"/>
      <c r="J7608" s="1509"/>
      <c r="K7608" s="1509"/>
      <c r="L7608" s="1509"/>
      <c r="M7608" s="1509"/>
      <c r="N7608" s="1510"/>
    </row>
    <row r="7609" spans="1:14">
      <c r="A7609" s="1519" t="s">
        <v>2218</v>
      </c>
      <c r="B7609" s="1517"/>
      <c r="C7609" s="1517"/>
      <c r="D7609" s="1517"/>
      <c r="E7609" s="1517"/>
      <c r="F7609" s="1517"/>
      <c r="G7609" s="1518"/>
      <c r="H7609" s="271">
        <f>SUM(H7588:H7608)</f>
        <v>18</v>
      </c>
      <c r="I7609" s="1508"/>
      <c r="J7609" s="1509"/>
      <c r="K7609" s="1509"/>
      <c r="L7609" s="1509"/>
      <c r="M7609" s="1509"/>
      <c r="N7609" s="1510"/>
    </row>
    <row r="7610" spans="1:14">
      <c r="A7610" s="1519" t="s">
        <v>2219</v>
      </c>
      <c r="B7610" s="1517"/>
      <c r="C7610" s="1517"/>
      <c r="D7610" s="1517"/>
      <c r="E7610" s="1517"/>
      <c r="F7610" s="1517"/>
      <c r="G7610" s="1518"/>
      <c r="H7610" s="325">
        <f>SUM(H7586:H7587)</f>
        <v>0</v>
      </c>
      <c r="I7610" s="1508"/>
      <c r="J7610" s="1509"/>
      <c r="K7610" s="1509"/>
      <c r="L7610" s="1509"/>
      <c r="M7610" s="1509"/>
      <c r="N7610" s="1510"/>
    </row>
    <row r="7611" spans="1:14" ht="15.75" thickBot="1">
      <c r="A7611" s="1520" t="s">
        <v>2220</v>
      </c>
      <c r="B7611" s="1521"/>
      <c r="C7611" s="1521"/>
      <c r="D7611" s="1521"/>
      <c r="E7611" s="1521"/>
      <c r="F7611" s="1521"/>
      <c r="G7611" s="1522"/>
      <c r="H7611" s="216">
        <f>H7609-H7610</f>
        <v>18</v>
      </c>
      <c r="I7611" s="1511"/>
      <c r="J7611" s="1512"/>
      <c r="K7611" s="1512"/>
      <c r="L7611" s="1512"/>
      <c r="M7611" s="1512"/>
      <c r="N7611" s="1513"/>
    </row>
    <row r="7612" spans="1:14" ht="23.25" customHeight="1">
      <c r="A7612" s="1084" t="s">
        <v>4044</v>
      </c>
      <c r="B7612" s="1533" t="str">
        <f>'27ª MEDIÇÃO '!C584</f>
        <v>Cuba em aço inox nº 02(dim.560x340x150)mm, marcas de referência Franke, Strake, tramontina, inclusive válvula de metal 31/2" e sifão cromado 1 x 1/2", excl. torneira</v>
      </c>
      <c r="C7612" s="1533"/>
      <c r="D7612" s="1533"/>
      <c r="E7612" s="1533"/>
      <c r="F7612" s="1533"/>
      <c r="G7612" s="1533"/>
      <c r="H7612" s="1533"/>
      <c r="I7612" s="1533"/>
      <c r="J7612" s="1533"/>
      <c r="K7612" s="266" t="s">
        <v>3154</v>
      </c>
      <c r="L7612" s="1534">
        <f>'27ª MEDIÇÃO '!F584</f>
        <v>2</v>
      </c>
      <c r="M7612" s="1534"/>
      <c r="N7612" s="197">
        <f>L7612-H7620</f>
        <v>0</v>
      </c>
    </row>
    <row r="7613" spans="1:14">
      <c r="A7613" s="1499"/>
      <c r="B7613" s="1500"/>
      <c r="C7613" s="366"/>
      <c r="D7613" s="367" t="s">
        <v>2183</v>
      </c>
      <c r="E7613" s="1320" t="s">
        <v>2184</v>
      </c>
      <c r="F7613" s="367" t="s">
        <v>2185</v>
      </c>
      <c r="G7613" s="367" t="s">
        <v>2186</v>
      </c>
      <c r="H7613" s="1503" t="s">
        <v>476</v>
      </c>
      <c r="I7613" s="1505"/>
      <c r="J7613" s="1506"/>
      <c r="K7613" s="1506"/>
      <c r="L7613" s="1506"/>
      <c r="M7613" s="1506"/>
      <c r="N7613" s="1507"/>
    </row>
    <row r="7614" spans="1:14">
      <c r="A7614" s="1501"/>
      <c r="B7614" s="1502"/>
      <c r="C7614" s="368" t="s">
        <v>3128</v>
      </c>
      <c r="D7614" s="369"/>
      <c r="E7614" s="529"/>
      <c r="F7614" s="369"/>
      <c r="G7614" s="370" t="s">
        <v>3410</v>
      </c>
      <c r="H7614" s="1504"/>
      <c r="I7614" s="1508"/>
      <c r="J7614" s="1509"/>
      <c r="K7614" s="1509"/>
      <c r="L7614" s="1509"/>
      <c r="M7614" s="1509"/>
      <c r="N7614" s="1510"/>
    </row>
    <row r="7615" spans="1:14">
      <c r="A7615" s="1535" t="s">
        <v>4003</v>
      </c>
      <c r="B7615" s="1263" t="s">
        <v>2727</v>
      </c>
      <c r="C7615" s="1384"/>
      <c r="D7615" s="1385"/>
      <c r="E7615" s="379"/>
      <c r="F7615" s="379"/>
      <c r="G7615" s="379"/>
      <c r="H7615" s="1383"/>
      <c r="I7615" s="1508"/>
      <c r="J7615" s="1509"/>
      <c r="K7615" s="1509"/>
      <c r="L7615" s="1509"/>
      <c r="M7615" s="1509"/>
      <c r="N7615" s="1510"/>
    </row>
    <row r="7616" spans="1:14">
      <c r="A7616" s="1529"/>
      <c r="B7616" s="1386" t="s">
        <v>2342</v>
      </c>
      <c r="C7616" s="1384"/>
      <c r="D7616" s="1385"/>
      <c r="E7616" s="379"/>
      <c r="F7616" s="379"/>
      <c r="G7616" s="379">
        <v>1</v>
      </c>
      <c r="H7616" s="1383">
        <f t="shared" ref="H7616:H7619" si="139">G7616</f>
        <v>1</v>
      </c>
      <c r="I7616" s="1508"/>
      <c r="J7616" s="1509"/>
      <c r="K7616" s="1509"/>
      <c r="L7616" s="1509"/>
      <c r="M7616" s="1509"/>
      <c r="N7616" s="1510"/>
    </row>
    <row r="7617" spans="1:14">
      <c r="A7617" s="1529"/>
      <c r="B7617" s="1386"/>
      <c r="C7617" s="1384"/>
      <c r="D7617" s="1385"/>
      <c r="E7617" s="379"/>
      <c r="F7617" s="379"/>
      <c r="G7617" s="379"/>
      <c r="H7617" s="1383"/>
      <c r="I7617" s="1508"/>
      <c r="J7617" s="1509"/>
      <c r="K7617" s="1509"/>
      <c r="L7617" s="1509"/>
      <c r="M7617" s="1509"/>
      <c r="N7617" s="1510"/>
    </row>
    <row r="7618" spans="1:14">
      <c r="A7618" s="1529"/>
      <c r="B7618" s="1263" t="s">
        <v>2929</v>
      </c>
      <c r="C7618" s="1384"/>
      <c r="D7618" s="1385"/>
      <c r="E7618" s="379"/>
      <c r="F7618" s="379"/>
      <c r="G7618" s="379"/>
      <c r="H7618" s="1383"/>
      <c r="I7618" s="1508"/>
      <c r="J7618" s="1509"/>
      <c r="K7618" s="1509"/>
      <c r="L7618" s="1509"/>
      <c r="M7618" s="1509"/>
      <c r="N7618" s="1510"/>
    </row>
    <row r="7619" spans="1:14">
      <c r="A7619" s="1545"/>
      <c r="B7619" s="1386" t="s">
        <v>2342</v>
      </c>
      <c r="C7619" s="1384"/>
      <c r="D7619" s="218"/>
      <c r="E7619" s="379"/>
      <c r="F7619" s="379"/>
      <c r="G7619" s="379">
        <v>1</v>
      </c>
      <c r="H7619" s="1383">
        <f t="shared" si="139"/>
        <v>1</v>
      </c>
      <c r="I7619" s="1508"/>
      <c r="J7619" s="1509"/>
      <c r="K7619" s="1509"/>
      <c r="L7619" s="1509"/>
      <c r="M7619" s="1509"/>
      <c r="N7619" s="1510"/>
    </row>
    <row r="7620" spans="1:14">
      <c r="A7620" s="1519" t="s">
        <v>2218</v>
      </c>
      <c r="B7620" s="1517"/>
      <c r="C7620" s="1517"/>
      <c r="D7620" s="1517"/>
      <c r="E7620" s="1517"/>
      <c r="F7620" s="1517"/>
      <c r="G7620" s="1518"/>
      <c r="H7620" s="271">
        <f>SUM(H7615:H7619)</f>
        <v>2</v>
      </c>
      <c r="I7620" s="1508"/>
      <c r="J7620" s="1509"/>
      <c r="K7620" s="1509"/>
      <c r="L7620" s="1509"/>
      <c r="M7620" s="1509"/>
      <c r="N7620" s="1510"/>
    </row>
    <row r="7621" spans="1:14">
      <c r="A7621" s="1519" t="s">
        <v>2219</v>
      </c>
      <c r="B7621" s="1517"/>
      <c r="C7621" s="1517"/>
      <c r="D7621" s="1517"/>
      <c r="E7621" s="1517"/>
      <c r="F7621" s="1517"/>
      <c r="G7621" s="1518"/>
      <c r="H7621" s="325">
        <f>SUM(H7613:H7614)</f>
        <v>0</v>
      </c>
      <c r="I7621" s="1508"/>
      <c r="J7621" s="1509"/>
      <c r="K7621" s="1509"/>
      <c r="L7621" s="1509"/>
      <c r="M7621" s="1509"/>
      <c r="N7621" s="1510"/>
    </row>
    <row r="7622" spans="1:14" ht="15.75" thickBot="1">
      <c r="A7622" s="1520" t="s">
        <v>2220</v>
      </c>
      <c r="B7622" s="1521"/>
      <c r="C7622" s="1521"/>
      <c r="D7622" s="1521"/>
      <c r="E7622" s="1521"/>
      <c r="F7622" s="1521"/>
      <c r="G7622" s="1522"/>
      <c r="H7622" s="216">
        <f>H7620-H7621</f>
        <v>2</v>
      </c>
      <c r="I7622" s="1511"/>
      <c r="J7622" s="1512"/>
      <c r="K7622" s="1512"/>
      <c r="L7622" s="1512"/>
      <c r="M7622" s="1512"/>
      <c r="N7622" s="1513"/>
    </row>
    <row r="7623" spans="1:14" ht="15.75" thickBot="1">
      <c r="A7623" s="1104"/>
      <c r="B7623" s="278"/>
      <c r="C7623" s="278"/>
      <c r="D7623" s="278"/>
      <c r="E7623" s="278"/>
      <c r="F7623" s="278"/>
      <c r="G7623" s="278"/>
      <c r="H7623" s="217"/>
      <c r="I7623" s="279"/>
      <c r="J7623" s="279"/>
      <c r="K7623" s="279"/>
      <c r="L7623" s="279"/>
      <c r="M7623" s="279"/>
      <c r="N7623" s="441"/>
    </row>
    <row r="7624" spans="1:14" ht="23.25" customHeight="1">
      <c r="A7624" s="1084" t="s">
        <v>4045</v>
      </c>
      <c r="B7624" s="1533" t="str">
        <f>'27ª MEDIÇÃO '!C585</f>
        <v>Tanque simples de aço inox Fischer, mod. TQ1-S AISI 304, ou equivalente nas marcas Metalpress ou Mekal, inclusive válvula de metal 1 1/4" e sifão cromado 2", excl. torneira</v>
      </c>
      <c r="C7624" s="1533"/>
      <c r="D7624" s="1533"/>
      <c r="E7624" s="1533"/>
      <c r="F7624" s="1533"/>
      <c r="G7624" s="1533"/>
      <c r="H7624" s="1533"/>
      <c r="I7624" s="1533"/>
      <c r="J7624" s="1533"/>
      <c r="K7624" s="266" t="s">
        <v>3154</v>
      </c>
      <c r="L7624" s="1534">
        <f>'27ª MEDIÇÃO '!F585</f>
        <v>2</v>
      </c>
      <c r="M7624" s="1534"/>
      <c r="N7624" s="197">
        <f>L7624-H7633</f>
        <v>0</v>
      </c>
    </row>
    <row r="7625" spans="1:14">
      <c r="A7625" s="1499"/>
      <c r="B7625" s="1500"/>
      <c r="C7625" s="366"/>
      <c r="D7625" s="367" t="s">
        <v>2183</v>
      </c>
      <c r="E7625" s="1320" t="s">
        <v>2184</v>
      </c>
      <c r="F7625" s="367" t="s">
        <v>2185</v>
      </c>
      <c r="G7625" s="367" t="s">
        <v>2186</v>
      </c>
      <c r="H7625" s="1503" t="s">
        <v>476</v>
      </c>
      <c r="I7625" s="1505"/>
      <c r="J7625" s="1506"/>
      <c r="K7625" s="1506"/>
      <c r="L7625" s="1506"/>
      <c r="M7625" s="1506"/>
      <c r="N7625" s="1507"/>
    </row>
    <row r="7626" spans="1:14">
      <c r="A7626" s="1501"/>
      <c r="B7626" s="1502"/>
      <c r="C7626" s="368" t="s">
        <v>3128</v>
      </c>
      <c r="D7626" s="369"/>
      <c r="E7626" s="529"/>
      <c r="F7626" s="369"/>
      <c r="G7626" s="370" t="s">
        <v>3410</v>
      </c>
      <c r="H7626" s="1504"/>
      <c r="I7626" s="1508"/>
      <c r="J7626" s="1509"/>
      <c r="K7626" s="1509"/>
      <c r="L7626" s="1509"/>
      <c r="M7626" s="1509"/>
      <c r="N7626" s="1510"/>
    </row>
    <row r="7627" spans="1:14">
      <c r="A7627" s="1535" t="s">
        <v>4003</v>
      </c>
      <c r="B7627" s="1263" t="s">
        <v>2727</v>
      </c>
      <c r="C7627" s="1384"/>
      <c r="D7627" s="1385"/>
      <c r="E7627" s="379"/>
      <c r="F7627" s="379"/>
      <c r="G7627" s="379"/>
      <c r="H7627" s="1383"/>
      <c r="I7627" s="1508"/>
      <c r="J7627" s="1509"/>
      <c r="K7627" s="1509"/>
      <c r="L7627" s="1509"/>
      <c r="M7627" s="1509"/>
      <c r="N7627" s="1510"/>
    </row>
    <row r="7628" spans="1:14">
      <c r="A7628" s="1529"/>
      <c r="B7628" s="1386" t="s">
        <v>2455</v>
      </c>
      <c r="C7628" s="1384"/>
      <c r="D7628" s="1385"/>
      <c r="E7628" s="379"/>
      <c r="F7628" s="379"/>
      <c r="G7628" s="379">
        <v>1</v>
      </c>
      <c r="H7628" s="1383">
        <f t="shared" ref="H7628" si="140">G7628</f>
        <v>1</v>
      </c>
      <c r="I7628" s="1508"/>
      <c r="J7628" s="1509"/>
      <c r="K7628" s="1509"/>
      <c r="L7628" s="1509"/>
      <c r="M7628" s="1509"/>
      <c r="N7628" s="1510"/>
    </row>
    <row r="7629" spans="1:14">
      <c r="A7629" s="1529"/>
      <c r="B7629" s="1386"/>
      <c r="C7629" s="1384"/>
      <c r="D7629" s="1385"/>
      <c r="E7629" s="379"/>
      <c r="F7629" s="379"/>
      <c r="G7629" s="379"/>
      <c r="H7629" s="1383"/>
      <c r="I7629" s="1508"/>
      <c r="J7629" s="1509"/>
      <c r="K7629" s="1509"/>
      <c r="L7629" s="1509"/>
      <c r="M7629" s="1509"/>
      <c r="N7629" s="1510"/>
    </row>
    <row r="7630" spans="1:14">
      <c r="A7630" s="1535" t="s">
        <v>4080</v>
      </c>
      <c r="B7630" s="1263" t="s">
        <v>2929</v>
      </c>
      <c r="C7630" s="1384"/>
      <c r="D7630" s="1385"/>
      <c r="E7630" s="379"/>
      <c r="F7630" s="379"/>
      <c r="G7630" s="379"/>
      <c r="H7630" s="1383"/>
      <c r="I7630" s="1508"/>
      <c r="J7630" s="1509"/>
      <c r="K7630" s="1509"/>
      <c r="L7630" s="1509"/>
      <c r="M7630" s="1509"/>
      <c r="N7630" s="1510"/>
    </row>
    <row r="7631" spans="1:14">
      <c r="A7631" s="1529"/>
      <c r="B7631" s="1386" t="s">
        <v>4130</v>
      </c>
      <c r="C7631" s="1384"/>
      <c r="D7631" s="1385"/>
      <c r="E7631" s="379"/>
      <c r="F7631" s="379"/>
      <c r="G7631" s="379">
        <v>1</v>
      </c>
      <c r="H7631" s="1383">
        <f t="shared" ref="H7631" si="141">G7631</f>
        <v>1</v>
      </c>
      <c r="I7631" s="1508"/>
      <c r="J7631" s="1509"/>
      <c r="K7631" s="1509"/>
      <c r="L7631" s="1509"/>
      <c r="M7631" s="1509"/>
      <c r="N7631" s="1510"/>
    </row>
    <row r="7632" spans="1:14">
      <c r="A7632" s="1529"/>
      <c r="B7632" s="1386"/>
      <c r="C7632" s="1384"/>
      <c r="D7632" s="1385"/>
      <c r="E7632" s="379"/>
      <c r="F7632" s="379"/>
      <c r="G7632" s="379"/>
      <c r="H7632" s="1383"/>
      <c r="I7632" s="1508"/>
      <c r="J7632" s="1509"/>
      <c r="K7632" s="1509"/>
      <c r="L7632" s="1509"/>
      <c r="M7632" s="1509"/>
      <c r="N7632" s="1510"/>
    </row>
    <row r="7633" spans="1:14">
      <c r="A7633" s="1519" t="s">
        <v>2218</v>
      </c>
      <c r="B7633" s="1517"/>
      <c r="C7633" s="1517"/>
      <c r="D7633" s="1517"/>
      <c r="E7633" s="1517"/>
      <c r="F7633" s="1517"/>
      <c r="G7633" s="1518"/>
      <c r="H7633" s="271">
        <f>SUM(H7627:H7632)</f>
        <v>2</v>
      </c>
      <c r="I7633" s="1508"/>
      <c r="J7633" s="1509"/>
      <c r="K7633" s="1509"/>
      <c r="L7633" s="1509"/>
      <c r="M7633" s="1509"/>
      <c r="N7633" s="1510"/>
    </row>
    <row r="7634" spans="1:14">
      <c r="A7634" s="1519" t="s">
        <v>2219</v>
      </c>
      <c r="B7634" s="1517"/>
      <c r="C7634" s="1517"/>
      <c r="D7634" s="1517"/>
      <c r="E7634" s="1517"/>
      <c r="F7634" s="1517"/>
      <c r="G7634" s="1518"/>
      <c r="H7634" s="325">
        <f>SUM(H7630:H7631)</f>
        <v>1</v>
      </c>
      <c r="I7634" s="1508"/>
      <c r="J7634" s="1509"/>
      <c r="K7634" s="1509"/>
      <c r="L7634" s="1509"/>
      <c r="M7634" s="1509"/>
      <c r="N7634" s="1510"/>
    </row>
    <row r="7635" spans="1:14" ht="15.75" thickBot="1">
      <c r="A7635" s="1520" t="s">
        <v>2220</v>
      </c>
      <c r="B7635" s="1521"/>
      <c r="C7635" s="1521"/>
      <c r="D7635" s="1521"/>
      <c r="E7635" s="1521"/>
      <c r="F7635" s="1521"/>
      <c r="G7635" s="1522"/>
      <c r="H7635" s="216">
        <f>H7633-H7634</f>
        <v>1</v>
      </c>
      <c r="I7635" s="1511"/>
      <c r="J7635" s="1512"/>
      <c r="K7635" s="1512"/>
      <c r="L7635" s="1512"/>
      <c r="M7635" s="1512"/>
      <c r="N7635" s="1513"/>
    </row>
    <row r="7636" spans="1:14" ht="15.75" thickBot="1">
      <c r="A7636" s="1104"/>
      <c r="B7636" s="278"/>
      <c r="C7636" s="278"/>
      <c r="D7636" s="278"/>
      <c r="E7636" s="278"/>
      <c r="F7636" s="278"/>
      <c r="G7636" s="278"/>
      <c r="H7636" s="217"/>
      <c r="I7636" s="279"/>
      <c r="J7636" s="279"/>
      <c r="K7636" s="279"/>
      <c r="L7636" s="279"/>
      <c r="M7636" s="279"/>
      <c r="N7636" s="441"/>
    </row>
    <row r="7637" spans="1:14" ht="23.25" customHeight="1">
      <c r="A7637" s="1084" t="s">
        <v>4046</v>
      </c>
      <c r="B7637" s="1533" t="str">
        <f>'27ª MEDIÇÃO '!C586</f>
        <v>Barra de apoio reta em aço inox 304 p/ portadores de necessidades especiais (NBR 9050), largura 80 cm</v>
      </c>
      <c r="C7637" s="1533"/>
      <c r="D7637" s="1533"/>
      <c r="E7637" s="1533"/>
      <c r="F7637" s="1533"/>
      <c r="G7637" s="1533"/>
      <c r="H7637" s="1533"/>
      <c r="I7637" s="1533"/>
      <c r="J7637" s="1533"/>
      <c r="K7637" s="266" t="s">
        <v>3154</v>
      </c>
      <c r="L7637" s="1534">
        <f>'27ª MEDIÇÃO '!F586</f>
        <v>7</v>
      </c>
      <c r="M7637" s="1534"/>
      <c r="N7637" s="197">
        <f>L7637-H7651</f>
        <v>0</v>
      </c>
    </row>
    <row r="7638" spans="1:14">
      <c r="A7638" s="1499"/>
      <c r="B7638" s="1500"/>
      <c r="C7638" s="366"/>
      <c r="D7638" s="367" t="s">
        <v>2183</v>
      </c>
      <c r="E7638" s="1320" t="s">
        <v>2184</v>
      </c>
      <c r="F7638" s="367" t="s">
        <v>2185</v>
      </c>
      <c r="G7638" s="367" t="s">
        <v>2186</v>
      </c>
      <c r="H7638" s="1503" t="s">
        <v>476</v>
      </c>
      <c r="I7638" s="1505"/>
      <c r="J7638" s="1506"/>
      <c r="K7638" s="1506"/>
      <c r="L7638" s="1506"/>
      <c r="M7638" s="1506"/>
      <c r="N7638" s="1507"/>
    </row>
    <row r="7639" spans="1:14">
      <c r="A7639" s="1501"/>
      <c r="B7639" s="1502"/>
      <c r="C7639" s="368" t="s">
        <v>3128</v>
      </c>
      <c r="D7639" s="369"/>
      <c r="E7639" s="529"/>
      <c r="F7639" s="369"/>
      <c r="G7639" s="370" t="s">
        <v>3410</v>
      </c>
      <c r="H7639" s="1504"/>
      <c r="I7639" s="1508"/>
      <c r="J7639" s="1509"/>
      <c r="K7639" s="1509"/>
      <c r="L7639" s="1509"/>
      <c r="M7639" s="1509"/>
      <c r="N7639" s="1510"/>
    </row>
    <row r="7640" spans="1:14">
      <c r="A7640" s="1535" t="s">
        <v>4003</v>
      </c>
      <c r="B7640" s="1263" t="s">
        <v>2727</v>
      </c>
      <c r="C7640" s="1384"/>
      <c r="D7640" s="1385"/>
      <c r="E7640" s="379"/>
      <c r="F7640" s="379"/>
      <c r="G7640" s="379"/>
      <c r="H7640" s="1383"/>
      <c r="I7640" s="1508"/>
      <c r="J7640" s="1509"/>
      <c r="K7640" s="1509"/>
      <c r="L7640" s="1509"/>
      <c r="M7640" s="1509"/>
      <c r="N7640" s="1510"/>
    </row>
    <row r="7641" spans="1:14">
      <c r="A7641" s="1529"/>
      <c r="B7641" s="1386" t="s">
        <v>3318</v>
      </c>
      <c r="C7641" s="1384"/>
      <c r="D7641" s="1385"/>
      <c r="E7641" s="379"/>
      <c r="F7641" s="379"/>
      <c r="G7641" s="379">
        <v>2</v>
      </c>
      <c r="H7641" s="1383">
        <f t="shared" ref="H7641:H7649" si="142">G7641</f>
        <v>2</v>
      </c>
      <c r="I7641" s="1508"/>
      <c r="J7641" s="1509"/>
      <c r="K7641" s="1509"/>
      <c r="L7641" s="1509"/>
      <c r="M7641" s="1509"/>
      <c r="N7641" s="1510"/>
    </row>
    <row r="7642" spans="1:14">
      <c r="A7642" s="1529"/>
      <c r="B7642" s="1386"/>
      <c r="C7642" s="1384"/>
      <c r="D7642" s="1385"/>
      <c r="E7642" s="379"/>
      <c r="F7642" s="379"/>
      <c r="G7642" s="379"/>
      <c r="H7642" s="1383"/>
      <c r="I7642" s="1508"/>
      <c r="J7642" s="1509"/>
      <c r="K7642" s="1509"/>
      <c r="L7642" s="1509"/>
      <c r="M7642" s="1509"/>
      <c r="N7642" s="1510"/>
    </row>
    <row r="7643" spans="1:14">
      <c r="A7643" s="1529"/>
      <c r="B7643" s="1263" t="s">
        <v>2929</v>
      </c>
      <c r="C7643" s="1384"/>
      <c r="D7643" s="1385"/>
      <c r="E7643" s="379"/>
      <c r="F7643" s="379"/>
      <c r="G7643" s="379"/>
      <c r="H7643" s="1383"/>
      <c r="I7643" s="1508"/>
      <c r="J7643" s="1509"/>
      <c r="K7643" s="1509"/>
      <c r="L7643" s="1509"/>
      <c r="M7643" s="1509"/>
      <c r="N7643" s="1510"/>
    </row>
    <row r="7644" spans="1:14">
      <c r="A7644" s="1529"/>
      <c r="B7644" s="1386" t="s">
        <v>2459</v>
      </c>
      <c r="C7644" s="1384"/>
      <c r="D7644" s="1385"/>
      <c r="E7644" s="379"/>
      <c r="F7644" s="379"/>
      <c r="G7644" s="379">
        <v>1</v>
      </c>
      <c r="H7644" s="1383">
        <f t="shared" si="142"/>
        <v>1</v>
      </c>
      <c r="I7644" s="1508"/>
      <c r="J7644" s="1509"/>
      <c r="K7644" s="1509"/>
      <c r="L7644" s="1509"/>
      <c r="M7644" s="1509"/>
      <c r="N7644" s="1510"/>
    </row>
    <row r="7645" spans="1:14">
      <c r="A7645" s="1529"/>
      <c r="B7645" s="1386" t="s">
        <v>3934</v>
      </c>
      <c r="C7645" s="1384"/>
      <c r="D7645" s="1385"/>
      <c r="E7645" s="379"/>
      <c r="F7645" s="379"/>
      <c r="G7645" s="379">
        <v>1</v>
      </c>
      <c r="H7645" s="1383">
        <f t="shared" si="142"/>
        <v>1</v>
      </c>
      <c r="I7645" s="1508"/>
      <c r="J7645" s="1509"/>
      <c r="K7645" s="1509"/>
      <c r="L7645" s="1509"/>
      <c r="M7645" s="1509"/>
      <c r="N7645" s="1510"/>
    </row>
    <row r="7646" spans="1:14">
      <c r="A7646" s="1536" t="s">
        <v>4143</v>
      </c>
      <c r="B7646" s="1397"/>
      <c r="C7646" s="1398"/>
      <c r="D7646" s="1399"/>
      <c r="E7646" s="1400"/>
      <c r="F7646" s="1400"/>
      <c r="G7646" s="1401"/>
      <c r="H7646" s="1383"/>
      <c r="I7646" s="1508"/>
      <c r="J7646" s="1509"/>
      <c r="K7646" s="1509"/>
      <c r="L7646" s="1509"/>
      <c r="M7646" s="1509"/>
      <c r="N7646" s="1510"/>
    </row>
    <row r="7647" spans="1:14">
      <c r="A7647" s="1536"/>
      <c r="B7647" s="1263" t="s">
        <v>2727</v>
      </c>
      <c r="C7647" s="1398"/>
      <c r="D7647" s="1399"/>
      <c r="E7647" s="1400"/>
      <c r="F7647" s="1400"/>
      <c r="G7647" s="1401"/>
      <c r="H7647" s="1383"/>
      <c r="I7647" s="1508"/>
      <c r="J7647" s="1509"/>
      <c r="K7647" s="1509"/>
      <c r="L7647" s="1509"/>
      <c r="M7647" s="1509"/>
      <c r="N7647" s="1510"/>
    </row>
    <row r="7648" spans="1:14">
      <c r="A7648" s="1536"/>
      <c r="B7648" s="1386" t="s">
        <v>3318</v>
      </c>
      <c r="C7648" s="1402"/>
      <c r="D7648" s="1403"/>
      <c r="E7648" s="1404"/>
      <c r="F7648" s="1400"/>
      <c r="G7648" s="1401">
        <v>1</v>
      </c>
      <c r="H7648" s="1383">
        <f t="shared" si="142"/>
        <v>1</v>
      </c>
      <c r="I7648" s="1508"/>
      <c r="J7648" s="1509"/>
      <c r="K7648" s="1509"/>
      <c r="L7648" s="1509"/>
      <c r="M7648" s="1509"/>
      <c r="N7648" s="1510"/>
    </row>
    <row r="7649" spans="1:14">
      <c r="A7649" s="1536"/>
      <c r="B7649" s="1386" t="s">
        <v>2459</v>
      </c>
      <c r="C7649" s="1402"/>
      <c r="D7649" s="1403"/>
      <c r="E7649" s="1404"/>
      <c r="F7649" s="1400"/>
      <c r="G7649" s="1401">
        <v>1</v>
      </c>
      <c r="H7649" s="1383">
        <f t="shared" si="142"/>
        <v>1</v>
      </c>
      <c r="I7649" s="1508"/>
      <c r="J7649" s="1509"/>
      <c r="K7649" s="1509"/>
      <c r="L7649" s="1509"/>
      <c r="M7649" s="1509"/>
      <c r="N7649" s="1510"/>
    </row>
    <row r="7650" spans="1:14">
      <c r="A7650" s="1537"/>
      <c r="B7650" s="1386" t="s">
        <v>3934</v>
      </c>
      <c r="C7650" s="1398"/>
      <c r="D7650" s="1399"/>
      <c r="E7650" s="1400"/>
      <c r="F7650" s="1400"/>
      <c r="G7650" s="1401">
        <v>1</v>
      </c>
      <c r="H7650" s="1405">
        <v>1</v>
      </c>
      <c r="I7650" s="1508"/>
      <c r="J7650" s="1509"/>
      <c r="K7650" s="1509"/>
      <c r="L7650" s="1509"/>
      <c r="M7650" s="1509"/>
      <c r="N7650" s="1510"/>
    </row>
    <row r="7651" spans="1:14">
      <c r="A7651" s="1519" t="s">
        <v>2218</v>
      </c>
      <c r="B7651" s="1517"/>
      <c r="C7651" s="1517"/>
      <c r="D7651" s="1517"/>
      <c r="E7651" s="1517"/>
      <c r="F7651" s="1517"/>
      <c r="G7651" s="1518"/>
      <c r="H7651" s="271">
        <f>SUM(H7640:H7650)</f>
        <v>7</v>
      </c>
      <c r="I7651" s="1508"/>
      <c r="J7651" s="1509"/>
      <c r="K7651" s="1509"/>
      <c r="L7651" s="1509"/>
      <c r="M7651" s="1509"/>
      <c r="N7651" s="1510"/>
    </row>
    <row r="7652" spans="1:14">
      <c r="A7652" s="1519" t="s">
        <v>2219</v>
      </c>
      <c r="B7652" s="1517"/>
      <c r="C7652" s="1517"/>
      <c r="D7652" s="1517"/>
      <c r="E7652" s="1517"/>
      <c r="F7652" s="1517"/>
      <c r="G7652" s="1518"/>
      <c r="H7652" s="325">
        <f>SUM(H7641:H7645)</f>
        <v>4</v>
      </c>
      <c r="I7652" s="1508"/>
      <c r="J7652" s="1509"/>
      <c r="K7652" s="1509"/>
      <c r="L7652" s="1509"/>
      <c r="M7652" s="1509"/>
      <c r="N7652" s="1510"/>
    </row>
    <row r="7653" spans="1:14" ht="15.75" thickBot="1">
      <c r="A7653" s="1520" t="s">
        <v>2220</v>
      </c>
      <c r="B7653" s="1521"/>
      <c r="C7653" s="1521"/>
      <c r="D7653" s="1521"/>
      <c r="E7653" s="1521"/>
      <c r="F7653" s="1521"/>
      <c r="G7653" s="1522"/>
      <c r="H7653" s="216">
        <f>H7651-H7652</f>
        <v>3</v>
      </c>
      <c r="I7653" s="1511"/>
      <c r="J7653" s="1512"/>
      <c r="K7653" s="1512"/>
      <c r="L7653" s="1512"/>
      <c r="M7653" s="1512"/>
      <c r="N7653" s="1513"/>
    </row>
    <row r="7654" spans="1:14" ht="15.75" thickBot="1">
      <c r="A7654" s="1104"/>
      <c r="B7654" s="278"/>
      <c r="C7654" s="278"/>
      <c r="D7654" s="278"/>
      <c r="E7654" s="278"/>
      <c r="F7654" s="278"/>
      <c r="G7654" s="278"/>
      <c r="H7654" s="217"/>
      <c r="I7654" s="279"/>
      <c r="J7654" s="279"/>
      <c r="K7654" s="279"/>
      <c r="L7654" s="279"/>
      <c r="M7654" s="279"/>
      <c r="N7654" s="441"/>
    </row>
    <row r="7655" spans="1:14" ht="23.25" customHeight="1">
      <c r="A7655" s="1084" t="s">
        <v>4047</v>
      </c>
      <c r="B7655" s="1533" t="str">
        <f>'27ª MEDIÇÃO '!C587</f>
        <v>Barra de apoio "U" em aço inox 304 Ø1.1/4" p/ lavatório L51 - Deca ou equivalente, p/ portadores de necessidades especiais (NBR 9050)</v>
      </c>
      <c r="C7655" s="1533"/>
      <c r="D7655" s="1533"/>
      <c r="E7655" s="1533"/>
      <c r="F7655" s="1533"/>
      <c r="G7655" s="1533"/>
      <c r="H7655" s="1533"/>
      <c r="I7655" s="1533"/>
      <c r="J7655" s="1533"/>
      <c r="K7655" s="266" t="s">
        <v>3154</v>
      </c>
      <c r="L7655" s="1534">
        <f>'27ª MEDIÇÃO '!F587</f>
        <v>10</v>
      </c>
      <c r="M7655" s="1534"/>
      <c r="N7655" s="197">
        <f>L7655-H7667</f>
        <v>0</v>
      </c>
    </row>
    <row r="7656" spans="1:14">
      <c r="A7656" s="1499"/>
      <c r="B7656" s="1500"/>
      <c r="C7656" s="366"/>
      <c r="D7656" s="367" t="s">
        <v>2183</v>
      </c>
      <c r="E7656" s="1320" t="s">
        <v>2184</v>
      </c>
      <c r="F7656" s="367" t="s">
        <v>2185</v>
      </c>
      <c r="G7656" s="367" t="s">
        <v>2186</v>
      </c>
      <c r="H7656" s="1503" t="s">
        <v>476</v>
      </c>
      <c r="I7656" s="1505"/>
      <c r="J7656" s="1506"/>
      <c r="K7656" s="1506"/>
      <c r="L7656" s="1506"/>
      <c r="M7656" s="1506"/>
      <c r="N7656" s="1507"/>
    </row>
    <row r="7657" spans="1:14">
      <c r="A7657" s="1501"/>
      <c r="B7657" s="1502"/>
      <c r="C7657" s="368" t="s">
        <v>3128</v>
      </c>
      <c r="D7657" s="369"/>
      <c r="E7657" s="529"/>
      <c r="F7657" s="369"/>
      <c r="G7657" s="370" t="s">
        <v>3410</v>
      </c>
      <c r="H7657" s="1504"/>
      <c r="I7657" s="1508"/>
      <c r="J7657" s="1509"/>
      <c r="K7657" s="1509"/>
      <c r="L7657" s="1509"/>
      <c r="M7657" s="1509"/>
      <c r="N7657" s="1510"/>
    </row>
    <row r="7658" spans="1:14">
      <c r="A7658" s="1529" t="s">
        <v>4003</v>
      </c>
      <c r="B7658" s="1386"/>
      <c r="C7658" s="1384"/>
      <c r="D7658" s="1385"/>
      <c r="E7658" s="379"/>
      <c r="F7658" s="379"/>
      <c r="G7658" s="379"/>
      <c r="H7658" s="1383"/>
      <c r="I7658" s="1508"/>
      <c r="J7658" s="1509"/>
      <c r="K7658" s="1509"/>
      <c r="L7658" s="1509"/>
      <c r="M7658" s="1509"/>
      <c r="N7658" s="1510"/>
    </row>
    <row r="7659" spans="1:14">
      <c r="A7659" s="1529"/>
      <c r="B7659" s="1263" t="s">
        <v>2929</v>
      </c>
      <c r="C7659" s="1384"/>
      <c r="D7659" s="1385"/>
      <c r="E7659" s="379"/>
      <c r="F7659" s="379"/>
      <c r="G7659" s="379"/>
      <c r="H7659" s="1383"/>
      <c r="I7659" s="1508"/>
      <c r="J7659" s="1509"/>
      <c r="K7659" s="1509"/>
      <c r="L7659" s="1509"/>
      <c r="M7659" s="1509"/>
      <c r="N7659" s="1510"/>
    </row>
    <row r="7660" spans="1:14">
      <c r="A7660" s="1529"/>
      <c r="B7660" s="1386" t="s">
        <v>2459</v>
      </c>
      <c r="C7660" s="1384"/>
      <c r="D7660" s="1385"/>
      <c r="E7660" s="379"/>
      <c r="F7660" s="379"/>
      <c r="G7660" s="379">
        <v>2</v>
      </c>
      <c r="H7660" s="1383">
        <f t="shared" ref="H7660:H7661" si="143">G7660</f>
        <v>2</v>
      </c>
      <c r="I7660" s="1508"/>
      <c r="J7660" s="1509"/>
      <c r="K7660" s="1509"/>
      <c r="L7660" s="1509"/>
      <c r="M7660" s="1509"/>
      <c r="N7660" s="1510"/>
    </row>
    <row r="7661" spans="1:14">
      <c r="A7661" s="1529"/>
      <c r="B7661" s="1386" t="s">
        <v>3934</v>
      </c>
      <c r="C7661" s="1384"/>
      <c r="D7661" s="1385"/>
      <c r="E7661" s="379"/>
      <c r="F7661" s="379"/>
      <c r="G7661" s="379">
        <v>2</v>
      </c>
      <c r="H7661" s="1383">
        <f t="shared" si="143"/>
        <v>2</v>
      </c>
      <c r="I7661" s="1508"/>
      <c r="J7661" s="1509"/>
      <c r="K7661" s="1509"/>
      <c r="L7661" s="1509"/>
      <c r="M7661" s="1509"/>
      <c r="N7661" s="1510"/>
    </row>
    <row r="7662" spans="1:14">
      <c r="A7662" s="1529" t="s">
        <v>4080</v>
      </c>
      <c r="B7662" s="1386"/>
      <c r="C7662" s="1384"/>
      <c r="D7662" s="1385"/>
      <c r="E7662" s="379"/>
      <c r="F7662" s="379"/>
      <c r="G7662" s="379"/>
      <c r="H7662" s="1383"/>
      <c r="I7662" s="1508"/>
      <c r="J7662" s="1509"/>
      <c r="K7662" s="1509"/>
      <c r="L7662" s="1509"/>
      <c r="M7662" s="1509"/>
      <c r="N7662" s="1510"/>
    </row>
    <row r="7663" spans="1:14">
      <c r="A7663" s="1529"/>
      <c r="B7663" s="1263" t="s">
        <v>2727</v>
      </c>
      <c r="C7663" s="1384"/>
      <c r="D7663" s="1385"/>
      <c r="E7663" s="379"/>
      <c r="F7663" s="379"/>
      <c r="G7663" s="379"/>
      <c r="H7663" s="1383"/>
      <c r="I7663" s="1508"/>
      <c r="J7663" s="1509"/>
      <c r="K7663" s="1509"/>
      <c r="L7663" s="1509"/>
      <c r="M7663" s="1509"/>
      <c r="N7663" s="1510"/>
    </row>
    <row r="7664" spans="1:14">
      <c r="A7664" s="1529"/>
      <c r="B7664" s="1386" t="s">
        <v>4131</v>
      </c>
      <c r="C7664" s="1384"/>
      <c r="D7664" s="1385"/>
      <c r="E7664" s="379"/>
      <c r="F7664" s="379"/>
      <c r="G7664" s="379">
        <v>2</v>
      </c>
      <c r="H7664" s="1383">
        <v>2</v>
      </c>
      <c r="I7664" s="1508"/>
      <c r="J7664" s="1509"/>
      <c r="K7664" s="1509"/>
      <c r="L7664" s="1509"/>
      <c r="M7664" s="1509"/>
      <c r="N7664" s="1510"/>
    </row>
    <row r="7665" spans="1:14">
      <c r="A7665" s="1529"/>
      <c r="B7665" s="1386" t="s">
        <v>2459</v>
      </c>
      <c r="C7665" s="1384"/>
      <c r="D7665" s="1385"/>
      <c r="E7665" s="379"/>
      <c r="F7665" s="379"/>
      <c r="G7665" s="379">
        <v>2</v>
      </c>
      <c r="H7665" s="1383">
        <f t="shared" ref="H7665:H7666" si="144">G7665</f>
        <v>2</v>
      </c>
      <c r="I7665" s="1508"/>
      <c r="J7665" s="1509"/>
      <c r="K7665" s="1509"/>
      <c r="L7665" s="1509"/>
      <c r="M7665" s="1509"/>
      <c r="N7665" s="1510"/>
    </row>
    <row r="7666" spans="1:14">
      <c r="A7666" s="1529"/>
      <c r="B7666" s="1386" t="s">
        <v>3934</v>
      </c>
      <c r="C7666" s="1384"/>
      <c r="D7666" s="1385"/>
      <c r="E7666" s="379"/>
      <c r="F7666" s="379"/>
      <c r="G7666" s="379">
        <v>2</v>
      </c>
      <c r="H7666" s="1383">
        <f t="shared" si="144"/>
        <v>2</v>
      </c>
      <c r="I7666" s="1508"/>
      <c r="J7666" s="1509"/>
      <c r="K7666" s="1509"/>
      <c r="L7666" s="1509"/>
      <c r="M7666" s="1509"/>
      <c r="N7666" s="1510"/>
    </row>
    <row r="7667" spans="1:14">
      <c r="A7667" s="1519" t="s">
        <v>2218</v>
      </c>
      <c r="B7667" s="1517"/>
      <c r="C7667" s="1517"/>
      <c r="D7667" s="1517"/>
      <c r="E7667" s="1517"/>
      <c r="F7667" s="1517"/>
      <c r="G7667" s="1518"/>
      <c r="H7667" s="271">
        <f>SUM(H7658:H7666)</f>
        <v>10</v>
      </c>
      <c r="I7667" s="1508"/>
      <c r="J7667" s="1509"/>
      <c r="K7667" s="1509"/>
      <c r="L7667" s="1509"/>
      <c r="M7667" s="1509"/>
      <c r="N7667" s="1510"/>
    </row>
    <row r="7668" spans="1:14">
      <c r="A7668" s="1519" t="s">
        <v>2219</v>
      </c>
      <c r="B7668" s="1517"/>
      <c r="C7668" s="1517"/>
      <c r="D7668" s="1517"/>
      <c r="E7668" s="1517"/>
      <c r="F7668" s="1517"/>
      <c r="G7668" s="1518"/>
      <c r="H7668" s="325">
        <f>SUM(H7660:H7661)</f>
        <v>4</v>
      </c>
      <c r="I7668" s="1508"/>
      <c r="J7668" s="1509"/>
      <c r="K7668" s="1509"/>
      <c r="L7668" s="1509"/>
      <c r="M7668" s="1509"/>
      <c r="N7668" s="1510"/>
    </row>
    <row r="7669" spans="1:14" ht="15.75" thickBot="1">
      <c r="A7669" s="1520" t="s">
        <v>2220</v>
      </c>
      <c r="B7669" s="1521"/>
      <c r="C7669" s="1521"/>
      <c r="D7669" s="1521"/>
      <c r="E7669" s="1521"/>
      <c r="F7669" s="1521"/>
      <c r="G7669" s="1522"/>
      <c r="H7669" s="216">
        <f>H7667-H7668</f>
        <v>6</v>
      </c>
      <c r="I7669" s="1511"/>
      <c r="J7669" s="1512"/>
      <c r="K7669" s="1512"/>
      <c r="L7669" s="1512"/>
      <c r="M7669" s="1512"/>
      <c r="N7669" s="1513"/>
    </row>
    <row r="7670" spans="1:14" ht="23.25" customHeight="1">
      <c r="A7670" s="1084" t="s">
        <v>4048</v>
      </c>
      <c r="B7670" s="1533" t="str">
        <f>'27ª MEDIÇÃO '!C588</f>
        <v>Barra de apoio reta em aço inox 304 p/ portadores de necessidades especiais (NBR 9050), largura 60 cm</v>
      </c>
      <c r="C7670" s="1533"/>
      <c r="D7670" s="1533"/>
      <c r="E7670" s="1533"/>
      <c r="F7670" s="1533"/>
      <c r="G7670" s="1533"/>
      <c r="H7670" s="1533"/>
      <c r="I7670" s="1533"/>
      <c r="J7670" s="1533"/>
      <c r="K7670" s="266" t="s">
        <v>3154</v>
      </c>
      <c r="L7670" s="1534">
        <f>'27ª MEDIÇÃO '!F588</f>
        <v>5</v>
      </c>
      <c r="M7670" s="1534"/>
      <c r="N7670" s="197">
        <f>L7670-H7682</f>
        <v>0</v>
      </c>
    </row>
    <row r="7671" spans="1:14">
      <c r="A7671" s="1499"/>
      <c r="B7671" s="1500"/>
      <c r="C7671" s="366"/>
      <c r="D7671" s="367" t="s">
        <v>2183</v>
      </c>
      <c r="E7671" s="1320" t="s">
        <v>2184</v>
      </c>
      <c r="F7671" s="367" t="s">
        <v>2185</v>
      </c>
      <c r="G7671" s="367" t="s">
        <v>2186</v>
      </c>
      <c r="H7671" s="1503" t="s">
        <v>476</v>
      </c>
      <c r="I7671" s="1505"/>
      <c r="J7671" s="1506"/>
      <c r="K7671" s="1506"/>
      <c r="L7671" s="1506"/>
      <c r="M7671" s="1506"/>
      <c r="N7671" s="1507"/>
    </row>
    <row r="7672" spans="1:14">
      <c r="A7672" s="1501"/>
      <c r="B7672" s="1502"/>
      <c r="C7672" s="368" t="s">
        <v>3128</v>
      </c>
      <c r="D7672" s="369"/>
      <c r="E7672" s="529"/>
      <c r="F7672" s="369"/>
      <c r="G7672" s="370" t="s">
        <v>3410</v>
      </c>
      <c r="H7672" s="1504"/>
      <c r="I7672" s="1508"/>
      <c r="J7672" s="1509"/>
      <c r="K7672" s="1509"/>
      <c r="L7672" s="1509"/>
      <c r="M7672" s="1509"/>
      <c r="N7672" s="1510"/>
    </row>
    <row r="7673" spans="1:14">
      <c r="A7673" s="1529" t="s">
        <v>4003</v>
      </c>
      <c r="B7673" s="1386"/>
      <c r="C7673" s="1384"/>
      <c r="D7673" s="1385"/>
      <c r="E7673" s="379"/>
      <c r="F7673" s="379"/>
      <c r="G7673" s="379"/>
      <c r="H7673" s="1383"/>
      <c r="I7673" s="1508"/>
      <c r="J7673" s="1509"/>
      <c r="K7673" s="1509"/>
      <c r="L7673" s="1509"/>
      <c r="M7673" s="1509"/>
      <c r="N7673" s="1510"/>
    </row>
    <row r="7674" spans="1:14">
      <c r="A7674" s="1529"/>
      <c r="B7674" s="1263" t="s">
        <v>2727</v>
      </c>
      <c r="C7674" s="1384"/>
      <c r="D7674" s="1385"/>
      <c r="E7674" s="379"/>
      <c r="F7674" s="379"/>
      <c r="G7674" s="379"/>
      <c r="H7674" s="1383"/>
      <c r="I7674" s="1508"/>
      <c r="J7674" s="1509"/>
      <c r="K7674" s="1509"/>
      <c r="L7674" s="1509"/>
      <c r="M7674" s="1509"/>
      <c r="N7674" s="1510"/>
    </row>
    <row r="7675" spans="1:14">
      <c r="A7675" s="1529"/>
      <c r="B7675" s="1386" t="s">
        <v>3318</v>
      </c>
      <c r="C7675" s="1384"/>
      <c r="D7675" s="1385"/>
      <c r="E7675" s="379"/>
      <c r="F7675" s="379"/>
      <c r="G7675" s="379">
        <v>1</v>
      </c>
      <c r="H7675" s="1383">
        <f t="shared" ref="H7675:H7681" si="145">G7675</f>
        <v>1</v>
      </c>
      <c r="I7675" s="1508"/>
      <c r="J7675" s="1509"/>
      <c r="K7675" s="1509"/>
      <c r="L7675" s="1509"/>
      <c r="M7675" s="1509"/>
      <c r="N7675" s="1510"/>
    </row>
    <row r="7676" spans="1:14">
      <c r="A7676" s="1529"/>
      <c r="B7676" s="1386" t="s">
        <v>2459</v>
      </c>
      <c r="C7676" s="1384"/>
      <c r="D7676" s="1385"/>
      <c r="E7676" s="379"/>
      <c r="F7676" s="379"/>
      <c r="G7676" s="379">
        <v>1</v>
      </c>
      <c r="H7676" s="1383">
        <f t="shared" si="145"/>
        <v>1</v>
      </c>
      <c r="I7676" s="1508"/>
      <c r="J7676" s="1509"/>
      <c r="K7676" s="1509"/>
      <c r="L7676" s="1509"/>
      <c r="M7676" s="1509"/>
      <c r="N7676" s="1510"/>
    </row>
    <row r="7677" spans="1:14">
      <c r="A7677" s="1529"/>
      <c r="B7677" s="1386" t="s">
        <v>3934</v>
      </c>
      <c r="C7677" s="1384"/>
      <c r="D7677" s="1385"/>
      <c r="E7677" s="379"/>
      <c r="F7677" s="379"/>
      <c r="G7677" s="379">
        <v>1</v>
      </c>
      <c r="H7677" s="1383">
        <f t="shared" si="145"/>
        <v>1</v>
      </c>
      <c r="I7677" s="1508"/>
      <c r="J7677" s="1509"/>
      <c r="K7677" s="1509"/>
      <c r="L7677" s="1509"/>
      <c r="M7677" s="1509"/>
      <c r="N7677" s="1510"/>
    </row>
    <row r="7678" spans="1:14">
      <c r="A7678" s="1529"/>
      <c r="B7678" s="1386"/>
      <c r="C7678" s="1384"/>
      <c r="D7678" s="1385"/>
      <c r="E7678" s="379"/>
      <c r="F7678" s="379"/>
      <c r="G7678" s="379"/>
      <c r="H7678" s="1383"/>
      <c r="I7678" s="1508"/>
      <c r="J7678" s="1509"/>
      <c r="K7678" s="1509"/>
      <c r="L7678" s="1509"/>
      <c r="M7678" s="1509"/>
      <c r="N7678" s="1510"/>
    </row>
    <row r="7679" spans="1:14">
      <c r="A7679" s="1529"/>
      <c r="B7679" s="1263" t="s">
        <v>2929</v>
      </c>
      <c r="C7679" s="1384"/>
      <c r="D7679" s="1385"/>
      <c r="E7679" s="379"/>
      <c r="F7679" s="379"/>
      <c r="G7679" s="379"/>
      <c r="H7679" s="1383"/>
      <c r="I7679" s="1508"/>
      <c r="J7679" s="1509"/>
      <c r="K7679" s="1509"/>
      <c r="L7679" s="1509"/>
      <c r="M7679" s="1509"/>
      <c r="N7679" s="1510"/>
    </row>
    <row r="7680" spans="1:14">
      <c r="A7680" s="1529"/>
      <c r="B7680" s="1386" t="s">
        <v>2459</v>
      </c>
      <c r="C7680" s="1384"/>
      <c r="D7680" s="1385"/>
      <c r="E7680" s="379"/>
      <c r="F7680" s="379"/>
      <c r="G7680" s="379">
        <v>1</v>
      </c>
      <c r="H7680" s="1383">
        <f t="shared" si="145"/>
        <v>1</v>
      </c>
      <c r="I7680" s="1508"/>
      <c r="J7680" s="1509"/>
      <c r="K7680" s="1509"/>
      <c r="L7680" s="1509"/>
      <c r="M7680" s="1509"/>
      <c r="N7680" s="1510"/>
    </row>
    <row r="7681" spans="1:14">
      <c r="A7681" s="1529"/>
      <c r="B7681" s="1386" t="s">
        <v>3934</v>
      </c>
      <c r="C7681" s="1384"/>
      <c r="D7681" s="1385"/>
      <c r="E7681" s="379"/>
      <c r="F7681" s="379"/>
      <c r="G7681" s="379">
        <v>1</v>
      </c>
      <c r="H7681" s="1383">
        <f t="shared" si="145"/>
        <v>1</v>
      </c>
      <c r="I7681" s="1508"/>
      <c r="J7681" s="1509"/>
      <c r="K7681" s="1509"/>
      <c r="L7681" s="1509"/>
      <c r="M7681" s="1509"/>
      <c r="N7681" s="1510"/>
    </row>
    <row r="7682" spans="1:14">
      <c r="A7682" s="1519" t="s">
        <v>2218</v>
      </c>
      <c r="B7682" s="1517"/>
      <c r="C7682" s="1517"/>
      <c r="D7682" s="1517"/>
      <c r="E7682" s="1517"/>
      <c r="F7682" s="1517"/>
      <c r="G7682" s="1518"/>
      <c r="H7682" s="271">
        <f>SUM(H7673:H7681)</f>
        <v>5</v>
      </c>
      <c r="I7682" s="1508"/>
      <c r="J7682" s="1509"/>
      <c r="K7682" s="1509"/>
      <c r="L7682" s="1509"/>
      <c r="M7682" s="1509"/>
      <c r="N7682" s="1510"/>
    </row>
    <row r="7683" spans="1:14">
      <c r="A7683" s="1519" t="s">
        <v>2219</v>
      </c>
      <c r="B7683" s="1517"/>
      <c r="C7683" s="1517"/>
      <c r="D7683" s="1517"/>
      <c r="E7683" s="1517"/>
      <c r="F7683" s="1517"/>
      <c r="G7683" s="1518"/>
      <c r="H7683" s="325">
        <f>SUM(H7671:H7672)</f>
        <v>0</v>
      </c>
      <c r="I7683" s="1508"/>
      <c r="J7683" s="1509"/>
      <c r="K7683" s="1509"/>
      <c r="L7683" s="1509"/>
      <c r="M7683" s="1509"/>
      <c r="N7683" s="1510"/>
    </row>
    <row r="7684" spans="1:14" ht="15.75" thickBot="1">
      <c r="A7684" s="1520" t="s">
        <v>2220</v>
      </c>
      <c r="B7684" s="1521"/>
      <c r="C7684" s="1521"/>
      <c r="D7684" s="1521"/>
      <c r="E7684" s="1521"/>
      <c r="F7684" s="1521"/>
      <c r="G7684" s="1522"/>
      <c r="H7684" s="216">
        <f>H7682-H7683</f>
        <v>5</v>
      </c>
      <c r="I7684" s="1511"/>
      <c r="J7684" s="1512"/>
      <c r="K7684" s="1512"/>
      <c r="L7684" s="1512"/>
      <c r="M7684" s="1512"/>
      <c r="N7684" s="1513"/>
    </row>
    <row r="7685" spans="1:14" ht="23.25" customHeight="1">
      <c r="A7685" s="1084" t="s">
        <v>4153</v>
      </c>
      <c r="B7685" s="1533" t="str">
        <f>'27ª MEDIÇÃO '!C589</f>
        <v>Dispositivo de sinalização de emergência</v>
      </c>
      <c r="C7685" s="1533"/>
      <c r="D7685" s="1533"/>
      <c r="E7685" s="1533"/>
      <c r="F7685" s="1533"/>
      <c r="G7685" s="1533"/>
      <c r="H7685" s="1533"/>
      <c r="I7685" s="1533"/>
      <c r="J7685" s="1533"/>
      <c r="K7685" s="266" t="s">
        <v>3154</v>
      </c>
      <c r="L7685" s="1534">
        <f>'27ª MEDIÇÃO '!F589</f>
        <v>5</v>
      </c>
      <c r="M7685" s="1534"/>
      <c r="N7685" s="197">
        <f>L7685-H7697</f>
        <v>0</v>
      </c>
    </row>
    <row r="7686" spans="1:14">
      <c r="A7686" s="1499"/>
      <c r="B7686" s="1500"/>
      <c r="C7686" s="366"/>
      <c r="D7686" s="367" t="s">
        <v>2183</v>
      </c>
      <c r="E7686" s="1320" t="s">
        <v>2184</v>
      </c>
      <c r="F7686" s="367" t="s">
        <v>2185</v>
      </c>
      <c r="G7686" s="367" t="s">
        <v>2186</v>
      </c>
      <c r="H7686" s="1503" t="s">
        <v>476</v>
      </c>
      <c r="I7686" s="1505"/>
      <c r="J7686" s="1506"/>
      <c r="K7686" s="1506"/>
      <c r="L7686" s="1506"/>
      <c r="M7686" s="1506"/>
      <c r="N7686" s="1507"/>
    </row>
    <row r="7687" spans="1:14">
      <c r="A7687" s="1501"/>
      <c r="B7687" s="1502"/>
      <c r="C7687" s="368" t="s">
        <v>3128</v>
      </c>
      <c r="D7687" s="369"/>
      <c r="E7687" s="529"/>
      <c r="F7687" s="369"/>
      <c r="G7687" s="370" t="s">
        <v>3410</v>
      </c>
      <c r="H7687" s="1504"/>
      <c r="I7687" s="1508"/>
      <c r="J7687" s="1509"/>
      <c r="K7687" s="1509"/>
      <c r="L7687" s="1509"/>
      <c r="M7687" s="1509"/>
      <c r="N7687" s="1510"/>
    </row>
    <row r="7688" spans="1:14">
      <c r="A7688" s="1529" t="s">
        <v>4143</v>
      </c>
      <c r="B7688" s="1386"/>
      <c r="C7688" s="1384"/>
      <c r="D7688" s="1385"/>
      <c r="E7688" s="379"/>
      <c r="F7688" s="379"/>
      <c r="G7688" s="379"/>
      <c r="H7688" s="1383"/>
      <c r="I7688" s="1508"/>
      <c r="J7688" s="1509"/>
      <c r="K7688" s="1509"/>
      <c r="L7688" s="1509"/>
      <c r="M7688" s="1509"/>
      <c r="N7688" s="1510"/>
    </row>
    <row r="7689" spans="1:14">
      <c r="A7689" s="1529"/>
      <c r="B7689" s="1263" t="s">
        <v>2727</v>
      </c>
      <c r="C7689" s="1384"/>
      <c r="D7689" s="1385"/>
      <c r="E7689" s="379"/>
      <c r="F7689" s="379"/>
      <c r="G7689" s="379"/>
      <c r="H7689" s="1383"/>
      <c r="I7689" s="1508"/>
      <c r="J7689" s="1509"/>
      <c r="K7689" s="1509"/>
      <c r="L7689" s="1509"/>
      <c r="M7689" s="1509"/>
      <c r="N7689" s="1510"/>
    </row>
    <row r="7690" spans="1:14">
      <c r="A7690" s="1529"/>
      <c r="B7690" s="1386" t="s">
        <v>3318</v>
      </c>
      <c r="C7690" s="1384"/>
      <c r="D7690" s="1385"/>
      <c r="E7690" s="379"/>
      <c r="F7690" s="379"/>
      <c r="G7690" s="379">
        <v>1</v>
      </c>
      <c r="H7690" s="1383">
        <f t="shared" ref="H7690:H7692" si="146">G7690</f>
        <v>1</v>
      </c>
      <c r="I7690" s="1508"/>
      <c r="J7690" s="1509"/>
      <c r="K7690" s="1509"/>
      <c r="L7690" s="1509"/>
      <c r="M7690" s="1509"/>
      <c r="N7690" s="1510"/>
    </row>
    <row r="7691" spans="1:14">
      <c r="A7691" s="1529"/>
      <c r="B7691" s="1386" t="s">
        <v>2459</v>
      </c>
      <c r="C7691" s="1384"/>
      <c r="D7691" s="1385"/>
      <c r="E7691" s="379"/>
      <c r="F7691" s="379"/>
      <c r="G7691" s="379">
        <v>1</v>
      </c>
      <c r="H7691" s="1383">
        <f t="shared" si="146"/>
        <v>1</v>
      </c>
      <c r="I7691" s="1508"/>
      <c r="J7691" s="1509"/>
      <c r="K7691" s="1509"/>
      <c r="L7691" s="1509"/>
      <c r="M7691" s="1509"/>
      <c r="N7691" s="1510"/>
    </row>
    <row r="7692" spans="1:14">
      <c r="A7692" s="1529"/>
      <c r="B7692" s="1386" t="s">
        <v>3934</v>
      </c>
      <c r="C7692" s="1384"/>
      <c r="D7692" s="1385"/>
      <c r="E7692" s="379"/>
      <c r="F7692" s="379"/>
      <c r="G7692" s="379">
        <v>1</v>
      </c>
      <c r="H7692" s="1383">
        <f t="shared" si="146"/>
        <v>1</v>
      </c>
      <c r="I7692" s="1508"/>
      <c r="J7692" s="1509"/>
      <c r="K7692" s="1509"/>
      <c r="L7692" s="1509"/>
      <c r="M7692" s="1509"/>
      <c r="N7692" s="1510"/>
    </row>
    <row r="7693" spans="1:14">
      <c r="A7693" s="1529"/>
      <c r="B7693" s="1386"/>
      <c r="C7693" s="1384"/>
      <c r="D7693" s="1385"/>
      <c r="E7693" s="379"/>
      <c r="F7693" s="379"/>
      <c r="G7693" s="379"/>
      <c r="H7693" s="1383"/>
      <c r="I7693" s="1508"/>
      <c r="J7693" s="1509"/>
      <c r="K7693" s="1509"/>
      <c r="L7693" s="1509"/>
      <c r="M7693" s="1509"/>
      <c r="N7693" s="1510"/>
    </row>
    <row r="7694" spans="1:14">
      <c r="A7694" s="1529"/>
      <c r="B7694" s="1263" t="s">
        <v>2929</v>
      </c>
      <c r="C7694" s="1384"/>
      <c r="D7694" s="1385"/>
      <c r="E7694" s="379"/>
      <c r="F7694" s="379"/>
      <c r="G7694" s="379"/>
      <c r="H7694" s="1383"/>
      <c r="I7694" s="1508"/>
      <c r="J7694" s="1509"/>
      <c r="K7694" s="1509"/>
      <c r="L7694" s="1509"/>
      <c r="M7694" s="1509"/>
      <c r="N7694" s="1510"/>
    </row>
    <row r="7695" spans="1:14">
      <c r="A7695" s="1529"/>
      <c r="B7695" s="1386" t="s">
        <v>2459</v>
      </c>
      <c r="C7695" s="1384"/>
      <c r="D7695" s="1385"/>
      <c r="E7695" s="379"/>
      <c r="F7695" s="379"/>
      <c r="G7695" s="379">
        <v>1</v>
      </c>
      <c r="H7695" s="1383">
        <f t="shared" ref="H7695:H7696" si="147">G7695</f>
        <v>1</v>
      </c>
      <c r="I7695" s="1508"/>
      <c r="J7695" s="1509"/>
      <c r="K7695" s="1509"/>
      <c r="L7695" s="1509"/>
      <c r="M7695" s="1509"/>
      <c r="N7695" s="1510"/>
    </row>
    <row r="7696" spans="1:14">
      <c r="A7696" s="1529"/>
      <c r="B7696" s="1386" t="s">
        <v>3934</v>
      </c>
      <c r="C7696" s="1384"/>
      <c r="D7696" s="1385"/>
      <c r="E7696" s="379"/>
      <c r="F7696" s="379"/>
      <c r="G7696" s="379">
        <v>1</v>
      </c>
      <c r="H7696" s="1383">
        <f t="shared" si="147"/>
        <v>1</v>
      </c>
      <c r="I7696" s="1508"/>
      <c r="J7696" s="1509"/>
      <c r="K7696" s="1509"/>
      <c r="L7696" s="1509"/>
      <c r="M7696" s="1509"/>
      <c r="N7696" s="1510"/>
    </row>
    <row r="7697" spans="1:14">
      <c r="A7697" s="1519" t="s">
        <v>2218</v>
      </c>
      <c r="B7697" s="1517"/>
      <c r="C7697" s="1517"/>
      <c r="D7697" s="1517"/>
      <c r="E7697" s="1517"/>
      <c r="F7697" s="1517"/>
      <c r="G7697" s="1518"/>
      <c r="H7697" s="271">
        <f>SUM(H7688:H7696)</f>
        <v>5</v>
      </c>
      <c r="I7697" s="1508"/>
      <c r="J7697" s="1509"/>
      <c r="K7697" s="1509"/>
      <c r="L7697" s="1509"/>
      <c r="M7697" s="1509"/>
      <c r="N7697" s="1510"/>
    </row>
    <row r="7698" spans="1:14">
      <c r="A7698" s="1519" t="s">
        <v>2219</v>
      </c>
      <c r="B7698" s="1517"/>
      <c r="C7698" s="1517"/>
      <c r="D7698" s="1517"/>
      <c r="E7698" s="1517"/>
      <c r="F7698" s="1517"/>
      <c r="G7698" s="1518"/>
      <c r="H7698" s="325">
        <f>SUM(H7688)</f>
        <v>0</v>
      </c>
      <c r="I7698" s="1508"/>
      <c r="J7698" s="1509"/>
      <c r="K7698" s="1509"/>
      <c r="L7698" s="1509"/>
      <c r="M7698" s="1509"/>
      <c r="N7698" s="1510"/>
    </row>
    <row r="7699" spans="1:14" ht="15.75" thickBot="1">
      <c r="A7699" s="1520" t="s">
        <v>2220</v>
      </c>
      <c r="B7699" s="1521"/>
      <c r="C7699" s="1521"/>
      <c r="D7699" s="1521"/>
      <c r="E7699" s="1521"/>
      <c r="F7699" s="1521"/>
      <c r="G7699" s="1522"/>
      <c r="H7699" s="216">
        <f>H7697-H7698</f>
        <v>5</v>
      </c>
      <c r="I7699" s="1511"/>
      <c r="J7699" s="1512"/>
      <c r="K7699" s="1512"/>
      <c r="L7699" s="1512"/>
      <c r="M7699" s="1512"/>
      <c r="N7699" s="1513"/>
    </row>
    <row r="7700" spans="1:14" ht="15.75" thickBot="1">
      <c r="A7700" s="1104"/>
      <c r="B7700" s="278"/>
      <c r="C7700" s="278"/>
      <c r="D7700" s="278"/>
      <c r="E7700" s="278"/>
      <c r="F7700" s="278"/>
      <c r="G7700" s="278"/>
      <c r="H7700" s="217"/>
      <c r="I7700" s="279"/>
      <c r="J7700" s="279"/>
      <c r="K7700" s="279"/>
      <c r="L7700" s="279"/>
      <c r="M7700" s="279"/>
      <c r="N7700" s="441"/>
    </row>
    <row r="7701" spans="1:14" ht="15.75">
      <c r="A7701" s="1128">
        <v>18</v>
      </c>
      <c r="B7701" s="1491" t="s">
        <v>1917</v>
      </c>
      <c r="C7701" s="1492"/>
      <c r="D7701" s="1492"/>
      <c r="E7701" s="1492"/>
      <c r="F7701" s="1492"/>
      <c r="G7701" s="1492"/>
      <c r="H7701" s="1492"/>
      <c r="I7701" s="1492"/>
      <c r="J7701" s="1492"/>
      <c r="K7701" s="1492"/>
      <c r="L7701" s="1492"/>
      <c r="M7701" s="1492"/>
      <c r="N7701" s="1493"/>
    </row>
    <row r="7702" spans="1:14" ht="15.75" thickBot="1">
      <c r="A7702" s="1129">
        <v>1801</v>
      </c>
      <c r="B7702" s="1614" t="s">
        <v>3452</v>
      </c>
      <c r="C7702" s="1615"/>
      <c r="D7702" s="1615"/>
      <c r="E7702" s="1615"/>
      <c r="F7702" s="1615"/>
      <c r="G7702" s="1615"/>
      <c r="H7702" s="1615"/>
      <c r="I7702" s="1615"/>
      <c r="J7702" s="1615"/>
      <c r="K7702" s="1615"/>
      <c r="L7702" s="1615"/>
      <c r="M7702" s="1615"/>
      <c r="N7702" s="1616"/>
    </row>
    <row r="7703" spans="1:14" ht="27.75" customHeight="1">
      <c r="A7703" s="1084" t="s">
        <v>3453</v>
      </c>
      <c r="B7703" s="1494" t="s">
        <v>1922</v>
      </c>
      <c r="C7703" s="1495"/>
      <c r="D7703" s="1495"/>
      <c r="E7703" s="1495"/>
      <c r="F7703" s="1495"/>
      <c r="G7703" s="1495"/>
      <c r="H7703" s="1495"/>
      <c r="I7703" s="1495"/>
      <c r="J7703" s="1496"/>
      <c r="K7703" s="196" t="s">
        <v>28</v>
      </c>
      <c r="L7703" s="1497">
        <f>'27ª MEDIÇÃO '!F592</f>
        <v>520.20000000000005</v>
      </c>
      <c r="M7703" s="1498"/>
      <c r="N7703" s="197">
        <f>L7703-H7725</f>
        <v>0</v>
      </c>
    </row>
    <row r="7704" spans="1:14">
      <c r="A7704" s="1499"/>
      <c r="B7704" s="1500"/>
      <c r="C7704" s="366"/>
      <c r="D7704" s="367"/>
      <c r="E7704" s="1320"/>
      <c r="F7704" s="367"/>
      <c r="G7704" s="367"/>
      <c r="H7704" s="1503" t="s">
        <v>476</v>
      </c>
      <c r="I7704" s="1505"/>
      <c r="J7704" s="1506"/>
      <c r="K7704" s="1506"/>
      <c r="L7704" s="1506"/>
      <c r="M7704" s="1506"/>
      <c r="N7704" s="1507"/>
    </row>
    <row r="7705" spans="1:14" ht="25.15" customHeight="1">
      <c r="A7705" s="1501"/>
      <c r="B7705" s="1502"/>
      <c r="C7705" s="97" t="s">
        <v>3031</v>
      </c>
      <c r="D7705" s="97" t="s">
        <v>3214</v>
      </c>
      <c r="E7705" s="97" t="s">
        <v>3457</v>
      </c>
      <c r="F7705" s="574"/>
      <c r="G7705" s="97" t="s">
        <v>3048</v>
      </c>
      <c r="H7705" s="1504"/>
      <c r="I7705" s="1508"/>
      <c r="J7705" s="1509"/>
      <c r="K7705" s="1509"/>
      <c r="L7705" s="1509"/>
      <c r="M7705" s="1509"/>
      <c r="N7705" s="1510"/>
    </row>
    <row r="7706" spans="1:14">
      <c r="A7706" s="1536" t="s">
        <v>3428</v>
      </c>
      <c r="B7706" s="959" t="s">
        <v>3454</v>
      </c>
      <c r="C7706" s="317"/>
      <c r="D7706" s="317"/>
      <c r="E7706" s="1315"/>
      <c r="F7706" s="317"/>
      <c r="G7706" s="317"/>
      <c r="H7706" s="857"/>
      <c r="I7706" s="1508"/>
      <c r="J7706" s="1509"/>
      <c r="K7706" s="1509"/>
      <c r="L7706" s="1509"/>
      <c r="M7706" s="1509"/>
      <c r="N7706" s="1510"/>
    </row>
    <row r="7707" spans="1:14">
      <c r="A7707" s="1536"/>
      <c r="B7707" s="921" t="s">
        <v>3213</v>
      </c>
      <c r="C7707" s="317">
        <v>118.56</v>
      </c>
      <c r="D7707" s="317"/>
      <c r="E7707" s="1315"/>
      <c r="F7707" s="317"/>
      <c r="G7707" s="317">
        <v>7</v>
      </c>
      <c r="H7707" s="857">
        <f>C7707*E7707</f>
        <v>0</v>
      </c>
      <c r="I7707" s="1508"/>
      <c r="J7707" s="1509"/>
      <c r="K7707" s="1509"/>
      <c r="L7707" s="1509"/>
      <c r="M7707" s="1509"/>
      <c r="N7707" s="1510"/>
    </row>
    <row r="7708" spans="1:14">
      <c r="A7708" s="1536"/>
      <c r="B7708" s="921" t="s">
        <v>3455</v>
      </c>
      <c r="C7708" s="317">
        <v>141.12</v>
      </c>
      <c r="D7708" s="317"/>
      <c r="E7708" s="1315"/>
      <c r="F7708" s="317"/>
      <c r="G7708" s="317">
        <v>8</v>
      </c>
      <c r="H7708" s="857">
        <f>C7708*E7708</f>
        <v>0</v>
      </c>
      <c r="I7708" s="1508"/>
      <c r="J7708" s="1509"/>
      <c r="K7708" s="1509"/>
      <c r="L7708" s="1509"/>
      <c r="M7708" s="1509"/>
      <c r="N7708" s="1510"/>
    </row>
    <row r="7709" spans="1:14">
      <c r="A7709" s="1536"/>
      <c r="B7709" s="959" t="s">
        <v>3456</v>
      </c>
      <c r="C7709" s="317"/>
      <c r="D7709" s="317"/>
      <c r="E7709" s="1315"/>
      <c r="F7709" s="317"/>
      <c r="G7709" s="317"/>
      <c r="H7709" s="857"/>
      <c r="I7709" s="1508"/>
      <c r="J7709" s="1509"/>
      <c r="K7709" s="1509"/>
      <c r="L7709" s="1509"/>
      <c r="M7709" s="1509"/>
      <c r="N7709" s="1510"/>
    </row>
    <row r="7710" spans="1:14">
      <c r="A7710" s="1536"/>
      <c r="B7710" s="921" t="s">
        <v>3213</v>
      </c>
      <c r="C7710" s="317">
        <v>170.28</v>
      </c>
      <c r="D7710" s="317"/>
      <c r="E7710" s="1315">
        <v>0.8</v>
      </c>
      <c r="F7710" s="317"/>
      <c r="G7710" s="317">
        <v>11</v>
      </c>
      <c r="H7710" s="857">
        <f>C7710*E7710</f>
        <v>136.22400000000002</v>
      </c>
      <c r="I7710" s="1508"/>
      <c r="J7710" s="1509"/>
      <c r="K7710" s="1509"/>
      <c r="L7710" s="1509"/>
      <c r="M7710" s="1509"/>
      <c r="N7710" s="1510"/>
    </row>
    <row r="7711" spans="1:14">
      <c r="A7711" s="1537"/>
      <c r="B7711" s="1034" t="s">
        <v>3455</v>
      </c>
      <c r="C7711" s="1021">
        <v>80.040000000000006</v>
      </c>
      <c r="D7711" s="1021"/>
      <c r="E7711" s="1368">
        <v>1</v>
      </c>
      <c r="F7711" s="1021"/>
      <c r="G7711" s="1021">
        <v>4</v>
      </c>
      <c r="H7711" s="1035">
        <f>C7711</f>
        <v>80.040000000000006</v>
      </c>
      <c r="I7711" s="1508"/>
      <c r="J7711" s="1509"/>
      <c r="K7711" s="1509"/>
      <c r="L7711" s="1509"/>
      <c r="M7711" s="1509"/>
      <c r="N7711" s="1510"/>
    </row>
    <row r="7712" spans="1:14">
      <c r="A7712" s="1536" t="s">
        <v>3465</v>
      </c>
      <c r="B7712" s="959" t="s">
        <v>3454</v>
      </c>
      <c r="C7712" s="317"/>
      <c r="D7712" s="317"/>
      <c r="E7712" s="1315"/>
      <c r="F7712" s="317"/>
      <c r="G7712" s="317"/>
      <c r="H7712" s="857"/>
      <c r="I7712" s="1508"/>
      <c r="J7712" s="1509"/>
      <c r="K7712" s="1509"/>
      <c r="L7712" s="1509"/>
      <c r="M7712" s="1509"/>
      <c r="N7712" s="1510"/>
    </row>
    <row r="7713" spans="1:14">
      <c r="A7713" s="1536"/>
      <c r="B7713" s="921" t="s">
        <v>3213</v>
      </c>
      <c r="C7713" s="317">
        <v>118.56</v>
      </c>
      <c r="D7713" s="317"/>
      <c r="E7713" s="1315">
        <v>0.8</v>
      </c>
      <c r="F7713" s="317"/>
      <c r="G7713" s="317">
        <v>7</v>
      </c>
      <c r="H7713" s="857">
        <f>C7713*E7713</f>
        <v>94.848000000000013</v>
      </c>
      <c r="I7713" s="1508"/>
      <c r="J7713" s="1509"/>
      <c r="K7713" s="1509"/>
      <c r="L7713" s="1509"/>
      <c r="M7713" s="1509"/>
      <c r="N7713" s="1510"/>
    </row>
    <row r="7714" spans="1:14">
      <c r="A7714" s="1536"/>
      <c r="B7714" s="921" t="s">
        <v>3455</v>
      </c>
      <c r="C7714" s="317">
        <v>141.12</v>
      </c>
      <c r="D7714" s="317"/>
      <c r="E7714" s="1315">
        <v>0.8</v>
      </c>
      <c r="F7714" s="317"/>
      <c r="G7714" s="317">
        <v>8</v>
      </c>
      <c r="H7714" s="857">
        <f>C7714*E7714</f>
        <v>112.89600000000002</v>
      </c>
      <c r="I7714" s="1508"/>
      <c r="J7714" s="1509"/>
      <c r="K7714" s="1509"/>
      <c r="L7714" s="1509"/>
      <c r="M7714" s="1509"/>
      <c r="N7714" s="1510"/>
    </row>
    <row r="7715" spans="1:14">
      <c r="A7715" s="1536"/>
      <c r="B7715" s="959" t="s">
        <v>3456</v>
      </c>
      <c r="C7715" s="317"/>
      <c r="D7715" s="317"/>
      <c r="E7715" s="1315"/>
      <c r="F7715" s="317"/>
      <c r="G7715" s="317"/>
      <c r="H7715" s="857"/>
      <c r="I7715" s="1508"/>
      <c r="J7715" s="1509"/>
      <c r="K7715" s="1509"/>
      <c r="L7715" s="1509"/>
      <c r="M7715" s="1509"/>
      <c r="N7715" s="1510"/>
    </row>
    <row r="7716" spans="1:14">
      <c r="A7716" s="1536"/>
      <c r="B7716" s="921" t="s">
        <v>3213</v>
      </c>
      <c r="C7716" s="317">
        <v>170.28</v>
      </c>
      <c r="D7716" s="317"/>
      <c r="E7716" s="1315"/>
      <c r="F7716" s="317"/>
      <c r="G7716" s="317">
        <v>11</v>
      </c>
      <c r="H7716" s="857">
        <f>C7716*E7716</f>
        <v>0</v>
      </c>
      <c r="I7716" s="1508"/>
      <c r="J7716" s="1509"/>
      <c r="K7716" s="1509"/>
      <c r="L7716" s="1509"/>
      <c r="M7716" s="1509"/>
      <c r="N7716" s="1510"/>
    </row>
    <row r="7717" spans="1:14">
      <c r="A7717" s="1537"/>
      <c r="B7717" s="1034" t="s">
        <v>3455</v>
      </c>
      <c r="C7717" s="1021">
        <v>80.040000000000006</v>
      </c>
      <c r="D7717" s="1021"/>
      <c r="E7717" s="1368"/>
      <c r="F7717" s="1021"/>
      <c r="G7717" s="1021">
        <v>4</v>
      </c>
      <c r="H7717" s="1035">
        <v>0</v>
      </c>
      <c r="I7717" s="1508"/>
      <c r="J7717" s="1509"/>
      <c r="K7717" s="1509"/>
      <c r="L7717" s="1509"/>
      <c r="M7717" s="1509"/>
      <c r="N7717" s="1510"/>
    </row>
    <row r="7718" spans="1:14" ht="25.15" customHeight="1">
      <c r="A7718" s="1536" t="s">
        <v>3620</v>
      </c>
      <c r="B7718" s="959" t="s">
        <v>3454</v>
      </c>
      <c r="C7718" s="317"/>
      <c r="D7718" s="317"/>
      <c r="E7718" s="1315"/>
      <c r="F7718" s="317"/>
      <c r="G7718" s="317"/>
      <c r="H7718" s="857"/>
      <c r="I7718" s="1508"/>
      <c r="J7718" s="1509"/>
      <c r="K7718" s="1509"/>
      <c r="L7718" s="1509"/>
      <c r="M7718" s="1509"/>
      <c r="N7718" s="1510"/>
    </row>
    <row r="7719" spans="1:14">
      <c r="A7719" s="1536"/>
      <c r="B7719" s="921" t="s">
        <v>3213</v>
      </c>
      <c r="C7719" s="317">
        <v>118.56</v>
      </c>
      <c r="D7719" s="317"/>
      <c r="E7719" s="1315">
        <v>0.2</v>
      </c>
      <c r="F7719" s="317"/>
      <c r="G7719" s="317">
        <v>7</v>
      </c>
      <c r="H7719" s="857">
        <f>C7719*E7719</f>
        <v>23.712000000000003</v>
      </c>
      <c r="I7719" s="1508"/>
      <c r="J7719" s="1509"/>
      <c r="K7719" s="1509"/>
      <c r="L7719" s="1509"/>
      <c r="M7719" s="1509"/>
      <c r="N7719" s="1510"/>
    </row>
    <row r="7720" spans="1:14">
      <c r="A7720" s="1536"/>
      <c r="B7720" s="921" t="s">
        <v>3455</v>
      </c>
      <c r="C7720" s="317">
        <v>141.12</v>
      </c>
      <c r="D7720" s="317"/>
      <c r="E7720" s="1315">
        <v>0.2</v>
      </c>
      <c r="F7720" s="317"/>
      <c r="G7720" s="317">
        <v>8</v>
      </c>
      <c r="H7720" s="857">
        <f>C7720*E7720</f>
        <v>28.224000000000004</v>
      </c>
      <c r="I7720" s="1508"/>
      <c r="J7720" s="1509"/>
      <c r="K7720" s="1509"/>
      <c r="L7720" s="1509"/>
      <c r="M7720" s="1509"/>
      <c r="N7720" s="1510"/>
    </row>
    <row r="7721" spans="1:14">
      <c r="A7721" s="1536"/>
      <c r="B7721" s="959" t="s">
        <v>3456</v>
      </c>
      <c r="C7721" s="317"/>
      <c r="D7721" s="317"/>
      <c r="E7721" s="1315"/>
      <c r="F7721" s="317"/>
      <c r="G7721" s="317"/>
      <c r="H7721" s="857"/>
      <c r="I7721" s="1508"/>
      <c r="J7721" s="1509"/>
      <c r="K7721" s="1509"/>
      <c r="L7721" s="1509"/>
      <c r="M7721" s="1509"/>
      <c r="N7721" s="1510"/>
    </row>
    <row r="7722" spans="1:14">
      <c r="A7722" s="1536"/>
      <c r="B7722" s="921" t="s">
        <v>3213</v>
      </c>
      <c r="C7722" s="317">
        <v>170.28</v>
      </c>
      <c r="D7722" s="317"/>
      <c r="E7722" s="1315">
        <v>0.2</v>
      </c>
      <c r="F7722" s="317"/>
      <c r="G7722" s="317">
        <v>11</v>
      </c>
      <c r="H7722" s="857">
        <f>C7722*E7722</f>
        <v>34.056000000000004</v>
      </c>
      <c r="I7722" s="1508"/>
      <c r="J7722" s="1509"/>
      <c r="K7722" s="1509"/>
      <c r="L7722" s="1509"/>
      <c r="M7722" s="1509"/>
      <c r="N7722" s="1510"/>
    </row>
    <row r="7723" spans="1:14">
      <c r="A7723" s="1537"/>
      <c r="B7723" s="921" t="s">
        <v>3455</v>
      </c>
      <c r="C7723" s="317">
        <v>80.040000000000006</v>
      </c>
      <c r="D7723" s="317"/>
      <c r="E7723" s="1315"/>
      <c r="F7723" s="317"/>
      <c r="G7723" s="317">
        <v>4</v>
      </c>
      <c r="H7723" s="857">
        <v>0</v>
      </c>
      <c r="I7723" s="1508"/>
      <c r="J7723" s="1509"/>
      <c r="K7723" s="1509"/>
      <c r="L7723" s="1509"/>
      <c r="M7723" s="1509"/>
      <c r="N7723" s="1510"/>
    </row>
    <row r="7724" spans="1:14">
      <c r="A7724" s="1227" t="s">
        <v>3937</v>
      </c>
      <c r="B7724" s="1241" t="s">
        <v>3956</v>
      </c>
      <c r="C7724" s="237">
        <v>10.199999999999999</v>
      </c>
      <c r="D7724" s="237"/>
      <c r="E7724" s="1369"/>
      <c r="F7724" s="237"/>
      <c r="G7724" s="237"/>
      <c r="H7724" s="1242">
        <v>10.199999999999999</v>
      </c>
      <c r="I7724" s="1508"/>
      <c r="J7724" s="1509"/>
      <c r="K7724" s="1509"/>
      <c r="L7724" s="1509"/>
      <c r="M7724" s="1509"/>
      <c r="N7724" s="1510"/>
    </row>
    <row r="7725" spans="1:14">
      <c r="A7725" s="1519" t="s">
        <v>2218</v>
      </c>
      <c r="B7725" s="1517"/>
      <c r="C7725" s="1517"/>
      <c r="D7725" s="1517"/>
      <c r="E7725" s="1517"/>
      <c r="F7725" s="1517"/>
      <c r="G7725" s="1518"/>
      <c r="H7725" s="271">
        <f>SUM(H7706:H7724)</f>
        <v>520.20000000000005</v>
      </c>
      <c r="I7725" s="1508"/>
      <c r="J7725" s="1509"/>
      <c r="K7725" s="1509"/>
      <c r="L7725" s="1509"/>
      <c r="M7725" s="1509"/>
      <c r="N7725" s="1510"/>
    </row>
    <row r="7726" spans="1:14">
      <c r="A7726" s="1519" t="s">
        <v>2219</v>
      </c>
      <c r="B7726" s="1517"/>
      <c r="C7726" s="1517"/>
      <c r="D7726" s="1517"/>
      <c r="E7726" s="1517"/>
      <c r="F7726" s="1517"/>
      <c r="G7726" s="1518"/>
      <c r="H7726" s="325">
        <f>SUM(H7706:H7723)</f>
        <v>510</v>
      </c>
      <c r="I7726" s="1508"/>
      <c r="J7726" s="1509"/>
      <c r="K7726" s="1509"/>
      <c r="L7726" s="1509"/>
      <c r="M7726" s="1509"/>
      <c r="N7726" s="1510"/>
    </row>
    <row r="7727" spans="1:14" ht="15.75" thickBot="1">
      <c r="A7727" s="1520" t="s">
        <v>2220</v>
      </c>
      <c r="B7727" s="1521"/>
      <c r="C7727" s="1521"/>
      <c r="D7727" s="1521"/>
      <c r="E7727" s="1521"/>
      <c r="F7727" s="1521"/>
      <c r="G7727" s="1522"/>
      <c r="H7727" s="216">
        <f>H7725-H7726</f>
        <v>10.200000000000045</v>
      </c>
      <c r="I7727" s="1511"/>
      <c r="J7727" s="1512"/>
      <c r="K7727" s="1512"/>
      <c r="L7727" s="1512"/>
      <c r="M7727" s="1512"/>
      <c r="N7727" s="1513"/>
    </row>
    <row r="7728" spans="1:14" ht="15.75" thickBot="1"/>
    <row r="7729" spans="1:14">
      <c r="A7729" s="1084" t="s">
        <v>3458</v>
      </c>
      <c r="B7729" s="1494" t="s">
        <v>1925</v>
      </c>
      <c r="C7729" s="1495"/>
      <c r="D7729" s="1495"/>
      <c r="E7729" s="1495"/>
      <c r="F7729" s="1495"/>
      <c r="G7729" s="1495"/>
      <c r="H7729" s="1495"/>
      <c r="I7729" s="1495"/>
      <c r="J7729" s="1496"/>
      <c r="K7729" s="196" t="s">
        <v>28</v>
      </c>
      <c r="L7729" s="1497">
        <f>'27ª MEDIÇÃO '!F593</f>
        <v>19</v>
      </c>
      <c r="M7729" s="1498"/>
      <c r="N7729" s="197">
        <f>L7729-H7738</f>
        <v>0</v>
      </c>
    </row>
    <row r="7730" spans="1:14">
      <c r="A7730" s="1499"/>
      <c r="B7730" s="1500"/>
      <c r="C7730" s="366"/>
      <c r="D7730" s="367"/>
      <c r="E7730" s="1320"/>
      <c r="F7730" s="367"/>
      <c r="G7730" s="367"/>
      <c r="H7730" s="1503" t="s">
        <v>476</v>
      </c>
      <c r="I7730" s="1505"/>
      <c r="J7730" s="1506"/>
      <c r="K7730" s="1506"/>
      <c r="L7730" s="1506"/>
      <c r="M7730" s="1506"/>
      <c r="N7730" s="1507"/>
    </row>
    <row r="7731" spans="1:14" ht="30">
      <c r="A7731" s="1501"/>
      <c r="B7731" s="1502"/>
      <c r="C7731" s="97" t="s">
        <v>3031</v>
      </c>
      <c r="D7731" s="97" t="s">
        <v>3214</v>
      </c>
      <c r="E7731" s="97" t="s">
        <v>3457</v>
      </c>
      <c r="F7731" s="574"/>
      <c r="G7731" s="97" t="s">
        <v>3048</v>
      </c>
      <c r="H7731" s="1504"/>
      <c r="I7731" s="1508"/>
      <c r="J7731" s="1509"/>
      <c r="K7731" s="1509"/>
      <c r="L7731" s="1509"/>
      <c r="M7731" s="1509"/>
      <c r="N7731" s="1510"/>
    </row>
    <row r="7732" spans="1:14">
      <c r="A7732" s="1536" t="s">
        <v>3428</v>
      </c>
      <c r="B7732" s="959" t="s">
        <v>3456</v>
      </c>
      <c r="C7732" s="317"/>
      <c r="D7732" s="317"/>
      <c r="E7732" s="1315"/>
      <c r="F7732" s="317"/>
      <c r="G7732" s="317"/>
      <c r="H7732" s="857"/>
      <c r="I7732" s="1508"/>
      <c r="J7732" s="1509"/>
      <c r="K7732" s="1509"/>
      <c r="L7732" s="1509"/>
      <c r="M7732" s="1509"/>
      <c r="N7732" s="1510"/>
    </row>
    <row r="7733" spans="1:14">
      <c r="A7733" s="1536"/>
      <c r="B7733" s="921" t="s">
        <v>3459</v>
      </c>
      <c r="C7733" s="317">
        <v>19</v>
      </c>
      <c r="D7733" s="317"/>
      <c r="E7733" s="1315">
        <v>0.8</v>
      </c>
      <c r="F7733" s="317"/>
      <c r="G7733" s="317">
        <v>1</v>
      </c>
      <c r="H7733" s="857">
        <f>C7733*E7733</f>
        <v>15.200000000000001</v>
      </c>
      <c r="I7733" s="1508"/>
      <c r="J7733" s="1509"/>
      <c r="K7733" s="1509"/>
      <c r="L7733" s="1509"/>
      <c r="M7733" s="1509"/>
      <c r="N7733" s="1510"/>
    </row>
    <row r="7734" spans="1:14">
      <c r="A7734" s="1537"/>
      <c r="B7734" s="1034"/>
      <c r="C7734" s="1021"/>
      <c r="D7734" s="1021"/>
      <c r="E7734" s="1368"/>
      <c r="F7734" s="1021"/>
      <c r="G7734" s="1021"/>
      <c r="H7734" s="1035"/>
      <c r="I7734" s="1508"/>
      <c r="J7734" s="1509"/>
      <c r="K7734" s="1509"/>
      <c r="L7734" s="1509"/>
      <c r="M7734" s="1509"/>
      <c r="N7734" s="1510"/>
    </row>
    <row r="7735" spans="1:14" ht="25.15" customHeight="1">
      <c r="A7735" s="1536" t="s">
        <v>3620</v>
      </c>
      <c r="B7735" s="959" t="s">
        <v>3456</v>
      </c>
      <c r="C7735" s="317"/>
      <c r="D7735" s="317"/>
      <c r="E7735" s="1315"/>
      <c r="F7735" s="317"/>
      <c r="G7735" s="317"/>
      <c r="H7735" s="857"/>
      <c r="I7735" s="1508"/>
      <c r="J7735" s="1509"/>
      <c r="K7735" s="1509"/>
      <c r="L7735" s="1509"/>
      <c r="M7735" s="1509"/>
      <c r="N7735" s="1510"/>
    </row>
    <row r="7736" spans="1:14">
      <c r="A7736" s="1536"/>
      <c r="B7736" s="921" t="s">
        <v>3459</v>
      </c>
      <c r="C7736" s="317">
        <v>19</v>
      </c>
      <c r="D7736" s="317"/>
      <c r="E7736" s="1315">
        <v>0.2</v>
      </c>
      <c r="F7736" s="317"/>
      <c r="G7736" s="317">
        <v>1</v>
      </c>
      <c r="H7736" s="857">
        <f>C7736*E7736</f>
        <v>3.8000000000000003</v>
      </c>
      <c r="I7736" s="1508"/>
      <c r="J7736" s="1509"/>
      <c r="K7736" s="1509"/>
      <c r="L7736" s="1509"/>
      <c r="M7736" s="1509"/>
      <c r="N7736" s="1510"/>
    </row>
    <row r="7737" spans="1:14">
      <c r="A7737" s="1537"/>
      <c r="B7737" s="921"/>
      <c r="C7737" s="317"/>
      <c r="D7737" s="317"/>
      <c r="E7737" s="1315"/>
      <c r="F7737" s="317"/>
      <c r="G7737" s="317"/>
      <c r="H7737" s="857"/>
      <c r="I7737" s="1508"/>
      <c r="J7737" s="1509"/>
      <c r="K7737" s="1509"/>
      <c r="L7737" s="1509"/>
      <c r="M7737" s="1509"/>
      <c r="N7737" s="1510"/>
    </row>
    <row r="7738" spans="1:14">
      <c r="A7738" s="1519" t="s">
        <v>2218</v>
      </c>
      <c r="B7738" s="1517"/>
      <c r="C7738" s="1517"/>
      <c r="D7738" s="1517"/>
      <c r="E7738" s="1517"/>
      <c r="F7738" s="1517"/>
      <c r="G7738" s="1518"/>
      <c r="H7738" s="271">
        <f>SUM(H7732:H7737)</f>
        <v>19</v>
      </c>
      <c r="I7738" s="1508"/>
      <c r="J7738" s="1509"/>
      <c r="K7738" s="1509"/>
      <c r="L7738" s="1509"/>
      <c r="M7738" s="1509"/>
      <c r="N7738" s="1510"/>
    </row>
    <row r="7739" spans="1:14">
      <c r="A7739" s="1519" t="s">
        <v>2219</v>
      </c>
      <c r="B7739" s="1517"/>
      <c r="C7739" s="1517"/>
      <c r="D7739" s="1517"/>
      <c r="E7739" s="1517"/>
      <c r="F7739" s="1517"/>
      <c r="G7739" s="1518"/>
      <c r="H7739" s="325">
        <f>SUM(H7732:H7734)</f>
        <v>15.200000000000001</v>
      </c>
      <c r="I7739" s="1508"/>
      <c r="J7739" s="1509"/>
      <c r="K7739" s="1509"/>
      <c r="L7739" s="1509"/>
      <c r="M7739" s="1509"/>
      <c r="N7739" s="1510"/>
    </row>
    <row r="7740" spans="1:14" ht="15.75" thickBot="1">
      <c r="A7740" s="1520" t="s">
        <v>2220</v>
      </c>
      <c r="B7740" s="1521"/>
      <c r="C7740" s="1521"/>
      <c r="D7740" s="1521"/>
      <c r="E7740" s="1521"/>
      <c r="F7740" s="1521"/>
      <c r="G7740" s="1522"/>
      <c r="H7740" s="216">
        <f>H7738-H7739</f>
        <v>3.7999999999999989</v>
      </c>
      <c r="I7740" s="1511"/>
      <c r="J7740" s="1512"/>
      <c r="K7740" s="1512"/>
      <c r="L7740" s="1512"/>
      <c r="M7740" s="1512"/>
      <c r="N7740" s="1513"/>
    </row>
    <row r="7741" spans="1:14" ht="15.75" thickBot="1"/>
    <row r="7742" spans="1:14">
      <c r="A7742" s="1084" t="s">
        <v>3460</v>
      </c>
      <c r="B7742" s="1494" t="s">
        <v>1928</v>
      </c>
      <c r="C7742" s="1495"/>
      <c r="D7742" s="1495"/>
      <c r="E7742" s="1495"/>
      <c r="F7742" s="1495"/>
      <c r="G7742" s="1495"/>
      <c r="H7742" s="1495"/>
      <c r="I7742" s="1495"/>
      <c r="J7742" s="1496"/>
      <c r="K7742" s="196" t="s">
        <v>28</v>
      </c>
      <c r="L7742" s="1497">
        <f>'27ª MEDIÇÃO '!F594</f>
        <v>41</v>
      </c>
      <c r="M7742" s="1498"/>
      <c r="N7742" s="197">
        <f>L7742-H7763</f>
        <v>0</v>
      </c>
    </row>
    <row r="7743" spans="1:14">
      <c r="A7743" s="1499"/>
      <c r="B7743" s="1500"/>
      <c r="C7743" s="366"/>
      <c r="D7743" s="367"/>
      <c r="E7743" s="1320"/>
      <c r="F7743" s="367"/>
      <c r="G7743" s="367"/>
      <c r="H7743" s="1503" t="s">
        <v>476</v>
      </c>
      <c r="I7743" s="1505"/>
      <c r="J7743" s="1506"/>
      <c r="K7743" s="1506"/>
      <c r="L7743" s="1506"/>
      <c r="M7743" s="1506"/>
      <c r="N7743" s="1507"/>
    </row>
    <row r="7744" spans="1:14" ht="30">
      <c r="A7744" s="1501"/>
      <c r="B7744" s="1502"/>
      <c r="C7744" s="97" t="s">
        <v>3031</v>
      </c>
      <c r="D7744" s="97" t="s">
        <v>3214</v>
      </c>
      <c r="E7744" s="97" t="s">
        <v>3457</v>
      </c>
      <c r="F7744" s="574"/>
      <c r="G7744" s="97" t="s">
        <v>3048</v>
      </c>
      <c r="H7744" s="1504"/>
      <c r="I7744" s="1508"/>
      <c r="J7744" s="1509"/>
      <c r="K7744" s="1509"/>
      <c r="L7744" s="1509"/>
      <c r="M7744" s="1509"/>
      <c r="N7744" s="1510"/>
    </row>
    <row r="7745" spans="1:14">
      <c r="A7745" s="1536" t="s">
        <v>3428</v>
      </c>
      <c r="B7745" s="959" t="s">
        <v>3454</v>
      </c>
      <c r="C7745" s="317"/>
      <c r="D7745" s="317"/>
      <c r="E7745" s="1315"/>
      <c r="F7745" s="317"/>
      <c r="G7745" s="317"/>
      <c r="H7745" s="857"/>
      <c r="I7745" s="1508"/>
      <c r="J7745" s="1509"/>
      <c r="K7745" s="1509"/>
      <c r="L7745" s="1509"/>
      <c r="M7745" s="1509"/>
      <c r="N7745" s="1510"/>
    </row>
    <row r="7746" spans="1:14">
      <c r="A7746" s="1536"/>
      <c r="B7746" s="921" t="s">
        <v>3461</v>
      </c>
      <c r="C7746" s="317">
        <v>14.69</v>
      </c>
      <c r="D7746" s="317"/>
      <c r="E7746" s="1315"/>
      <c r="F7746" s="317"/>
      <c r="G7746" s="317">
        <v>1</v>
      </c>
      <c r="H7746" s="857">
        <f>C7746*E7746</f>
        <v>0</v>
      </c>
      <c r="I7746" s="1508"/>
      <c r="J7746" s="1509"/>
      <c r="K7746" s="1509"/>
      <c r="L7746" s="1509"/>
      <c r="M7746" s="1509"/>
      <c r="N7746" s="1510"/>
    </row>
    <row r="7747" spans="1:14">
      <c r="A7747" s="1536"/>
      <c r="B7747" s="921" t="s">
        <v>3462</v>
      </c>
      <c r="C7747" s="317">
        <v>17.850000000000001</v>
      </c>
      <c r="D7747" s="317"/>
      <c r="E7747" s="1315"/>
      <c r="F7747" s="317"/>
      <c r="G7747" s="317">
        <v>1</v>
      </c>
      <c r="H7747" s="857">
        <f>C7747*E7747</f>
        <v>0</v>
      </c>
      <c r="I7747" s="1508"/>
      <c r="J7747" s="1509"/>
      <c r="K7747" s="1509"/>
      <c r="L7747" s="1509"/>
      <c r="M7747" s="1509"/>
      <c r="N7747" s="1510"/>
    </row>
    <row r="7748" spans="1:14">
      <c r="A7748" s="1536"/>
      <c r="B7748" s="959" t="s">
        <v>3456</v>
      </c>
      <c r="C7748" s="317"/>
      <c r="D7748" s="317"/>
      <c r="E7748" s="1315"/>
      <c r="F7748" s="317"/>
      <c r="G7748" s="317"/>
      <c r="H7748" s="857"/>
      <c r="I7748" s="1508"/>
      <c r="J7748" s="1509"/>
      <c r="K7748" s="1509"/>
      <c r="L7748" s="1509"/>
      <c r="M7748" s="1509"/>
      <c r="N7748" s="1510"/>
    </row>
    <row r="7749" spans="1:14">
      <c r="A7749" s="1536"/>
      <c r="B7749" s="921" t="s">
        <v>3461</v>
      </c>
      <c r="C7749" s="317">
        <v>8.4600000000000009</v>
      </c>
      <c r="D7749" s="317"/>
      <c r="E7749" s="1315">
        <v>0.8</v>
      </c>
      <c r="F7749" s="317"/>
      <c r="G7749" s="317">
        <v>1</v>
      </c>
      <c r="H7749" s="857">
        <f>C7749*E7749</f>
        <v>6.7680000000000007</v>
      </c>
      <c r="I7749" s="1508"/>
      <c r="J7749" s="1509"/>
      <c r="K7749" s="1509"/>
      <c r="L7749" s="1509"/>
      <c r="M7749" s="1509"/>
      <c r="N7749" s="1510"/>
    </row>
    <row r="7750" spans="1:14">
      <c r="A7750" s="1537"/>
      <c r="B7750" s="1034"/>
      <c r="C7750" s="1021"/>
      <c r="D7750" s="1021"/>
      <c r="E7750" s="1368"/>
      <c r="F7750" s="1021"/>
      <c r="G7750" s="1021"/>
      <c r="H7750" s="1035"/>
      <c r="I7750" s="1508"/>
      <c r="J7750" s="1509"/>
      <c r="K7750" s="1509"/>
      <c r="L7750" s="1509"/>
      <c r="M7750" s="1509"/>
      <c r="N7750" s="1510"/>
    </row>
    <row r="7751" spans="1:14" ht="21" customHeight="1">
      <c r="A7751" s="1536" t="s">
        <v>3465</v>
      </c>
      <c r="B7751" s="959" t="s">
        <v>3454</v>
      </c>
      <c r="C7751" s="317"/>
      <c r="D7751" s="317"/>
      <c r="E7751" s="1315"/>
      <c r="F7751" s="317"/>
      <c r="G7751" s="317"/>
      <c r="H7751" s="857"/>
      <c r="I7751" s="1508"/>
      <c r="J7751" s="1509"/>
      <c r="K7751" s="1509"/>
      <c r="L7751" s="1509"/>
      <c r="M7751" s="1509"/>
      <c r="N7751" s="1510"/>
    </row>
    <row r="7752" spans="1:14" ht="25.15" customHeight="1">
      <c r="A7752" s="1536"/>
      <c r="B7752" s="921" t="s">
        <v>3461</v>
      </c>
      <c r="C7752" s="317">
        <v>14.69</v>
      </c>
      <c r="D7752" s="317"/>
      <c r="E7752" s="1315">
        <v>0.8</v>
      </c>
      <c r="F7752" s="317"/>
      <c r="G7752" s="317">
        <v>1</v>
      </c>
      <c r="H7752" s="857">
        <f>C7752*E7752</f>
        <v>11.752000000000001</v>
      </c>
      <c r="I7752" s="1508"/>
      <c r="J7752" s="1509"/>
      <c r="K7752" s="1509"/>
      <c r="L7752" s="1509"/>
      <c r="M7752" s="1509"/>
      <c r="N7752" s="1510"/>
    </row>
    <row r="7753" spans="1:14">
      <c r="A7753" s="1536"/>
      <c r="B7753" s="921" t="s">
        <v>3462</v>
      </c>
      <c r="C7753" s="317">
        <v>17.850000000000001</v>
      </c>
      <c r="D7753" s="317"/>
      <c r="E7753" s="1315">
        <v>0.8</v>
      </c>
      <c r="F7753" s="317"/>
      <c r="G7753" s="317">
        <v>1</v>
      </c>
      <c r="H7753" s="857">
        <f>C7753*E7753</f>
        <v>14.280000000000001</v>
      </c>
      <c r="I7753" s="1508"/>
      <c r="J7753" s="1509"/>
      <c r="K7753" s="1509"/>
      <c r="L7753" s="1509"/>
      <c r="M7753" s="1509"/>
      <c r="N7753" s="1510"/>
    </row>
    <row r="7754" spans="1:14">
      <c r="A7754" s="1536"/>
      <c r="B7754" s="959" t="s">
        <v>3456</v>
      </c>
      <c r="C7754" s="317"/>
      <c r="D7754" s="317"/>
      <c r="E7754" s="1315"/>
      <c r="F7754" s="317"/>
      <c r="G7754" s="317"/>
      <c r="H7754" s="857"/>
      <c r="I7754" s="1508"/>
      <c r="J7754" s="1509"/>
      <c r="K7754" s="1509"/>
      <c r="L7754" s="1509"/>
      <c r="M7754" s="1509"/>
      <c r="N7754" s="1510"/>
    </row>
    <row r="7755" spans="1:14">
      <c r="A7755" s="1536"/>
      <c r="B7755" s="921" t="s">
        <v>3461</v>
      </c>
      <c r="C7755" s="317">
        <v>8.4600000000000009</v>
      </c>
      <c r="D7755" s="317"/>
      <c r="E7755" s="1315"/>
      <c r="F7755" s="317"/>
      <c r="G7755" s="317">
        <v>1</v>
      </c>
      <c r="H7755" s="857">
        <f>C7755*E7755</f>
        <v>0</v>
      </c>
      <c r="I7755" s="1508"/>
      <c r="J7755" s="1509"/>
      <c r="K7755" s="1509"/>
      <c r="L7755" s="1509"/>
      <c r="M7755" s="1509"/>
      <c r="N7755" s="1510"/>
    </row>
    <row r="7756" spans="1:14">
      <c r="A7756" s="1537"/>
      <c r="B7756" s="1034"/>
      <c r="C7756" s="1021"/>
      <c r="D7756" s="1021"/>
      <c r="E7756" s="1368"/>
      <c r="F7756" s="1021"/>
      <c r="G7756" s="1021"/>
      <c r="H7756" s="1035"/>
      <c r="I7756" s="1508"/>
      <c r="J7756" s="1509"/>
      <c r="K7756" s="1509"/>
      <c r="L7756" s="1509"/>
      <c r="M7756" s="1509"/>
      <c r="N7756" s="1510"/>
    </row>
    <row r="7757" spans="1:14">
      <c r="A7757" s="1536" t="s">
        <v>3620</v>
      </c>
      <c r="B7757" s="959" t="s">
        <v>3454</v>
      </c>
      <c r="C7757" s="317"/>
      <c r="D7757" s="317"/>
      <c r="E7757" s="1315"/>
      <c r="F7757" s="317"/>
      <c r="G7757" s="317"/>
      <c r="H7757" s="857"/>
      <c r="I7757" s="1508"/>
      <c r="J7757" s="1509"/>
      <c r="K7757" s="1509"/>
      <c r="L7757" s="1509"/>
      <c r="M7757" s="1509"/>
      <c r="N7757" s="1510"/>
    </row>
    <row r="7758" spans="1:14">
      <c r="A7758" s="1536"/>
      <c r="B7758" s="921" t="s">
        <v>3461</v>
      </c>
      <c r="C7758" s="317">
        <v>14.69</v>
      </c>
      <c r="D7758" s="317"/>
      <c r="E7758" s="1315">
        <v>0.2</v>
      </c>
      <c r="F7758" s="317"/>
      <c r="G7758" s="317">
        <v>1</v>
      </c>
      <c r="H7758" s="857">
        <f>C7758*E7758</f>
        <v>2.9380000000000002</v>
      </c>
      <c r="I7758" s="1508"/>
      <c r="J7758" s="1509"/>
      <c r="K7758" s="1509"/>
      <c r="L7758" s="1509"/>
      <c r="M7758" s="1509"/>
      <c r="N7758" s="1510"/>
    </row>
    <row r="7759" spans="1:14">
      <c r="A7759" s="1536"/>
      <c r="B7759" s="921" t="s">
        <v>3462</v>
      </c>
      <c r="C7759" s="317">
        <v>17.850000000000001</v>
      </c>
      <c r="D7759" s="317"/>
      <c r="E7759" s="1315">
        <v>0.2</v>
      </c>
      <c r="F7759" s="317"/>
      <c r="G7759" s="317">
        <v>1</v>
      </c>
      <c r="H7759" s="857">
        <f>C7759*E7759</f>
        <v>3.5700000000000003</v>
      </c>
      <c r="I7759" s="1508"/>
      <c r="J7759" s="1509"/>
      <c r="K7759" s="1509"/>
      <c r="L7759" s="1509"/>
      <c r="M7759" s="1509"/>
      <c r="N7759" s="1510"/>
    </row>
    <row r="7760" spans="1:14">
      <c r="A7760" s="1536"/>
      <c r="B7760" s="959" t="s">
        <v>3456</v>
      </c>
      <c r="C7760" s="317"/>
      <c r="D7760" s="317"/>
      <c r="E7760" s="1315"/>
      <c r="F7760" s="317"/>
      <c r="G7760" s="317"/>
      <c r="H7760" s="857"/>
      <c r="I7760" s="1508"/>
      <c r="J7760" s="1509"/>
      <c r="K7760" s="1509"/>
      <c r="L7760" s="1509"/>
      <c r="M7760" s="1509"/>
      <c r="N7760" s="1510"/>
    </row>
    <row r="7761" spans="1:14">
      <c r="A7761" s="1536"/>
      <c r="B7761" s="921" t="s">
        <v>3461</v>
      </c>
      <c r="C7761" s="317">
        <v>8.4600000000000009</v>
      </c>
      <c r="D7761" s="317"/>
      <c r="E7761" s="1315">
        <v>0.2</v>
      </c>
      <c r="F7761" s="317"/>
      <c r="G7761" s="317">
        <v>1</v>
      </c>
      <c r="H7761" s="857">
        <f>C7761*E7761</f>
        <v>1.6920000000000002</v>
      </c>
      <c r="I7761" s="1508"/>
      <c r="J7761" s="1509"/>
      <c r="K7761" s="1509"/>
      <c r="L7761" s="1509"/>
      <c r="M7761" s="1509"/>
      <c r="N7761" s="1510"/>
    </row>
    <row r="7762" spans="1:14">
      <c r="A7762" s="1537"/>
      <c r="B7762" s="921"/>
      <c r="C7762" s="317"/>
      <c r="D7762" s="317"/>
      <c r="E7762" s="1315"/>
      <c r="F7762" s="317"/>
      <c r="G7762" s="317"/>
      <c r="H7762" s="857"/>
      <c r="I7762" s="1508"/>
      <c r="J7762" s="1509"/>
      <c r="K7762" s="1509"/>
      <c r="L7762" s="1509"/>
      <c r="M7762" s="1509"/>
      <c r="N7762" s="1510"/>
    </row>
    <row r="7763" spans="1:14">
      <c r="A7763" s="1519" t="s">
        <v>2218</v>
      </c>
      <c r="B7763" s="1517"/>
      <c r="C7763" s="1517"/>
      <c r="D7763" s="1517"/>
      <c r="E7763" s="1517"/>
      <c r="F7763" s="1517"/>
      <c r="G7763" s="1518"/>
      <c r="H7763" s="271">
        <f>SUM(H7745:H7762)</f>
        <v>41.000000000000007</v>
      </c>
      <c r="I7763" s="1508"/>
      <c r="J7763" s="1509"/>
      <c r="K7763" s="1509"/>
      <c r="L7763" s="1509"/>
      <c r="M7763" s="1509"/>
      <c r="N7763" s="1510"/>
    </row>
    <row r="7764" spans="1:14" ht="25.15" customHeight="1">
      <c r="A7764" s="1519" t="s">
        <v>2219</v>
      </c>
      <c r="B7764" s="1517"/>
      <c r="C7764" s="1517"/>
      <c r="D7764" s="1517"/>
      <c r="E7764" s="1517"/>
      <c r="F7764" s="1517"/>
      <c r="G7764" s="1518"/>
      <c r="H7764" s="325">
        <f>SUM(H7745:H7756)</f>
        <v>32.800000000000004</v>
      </c>
      <c r="I7764" s="1508"/>
      <c r="J7764" s="1509"/>
      <c r="K7764" s="1509"/>
      <c r="L7764" s="1509"/>
      <c r="M7764" s="1509"/>
      <c r="N7764" s="1510"/>
    </row>
    <row r="7765" spans="1:14" ht="15.75" thickBot="1">
      <c r="A7765" s="1520" t="s">
        <v>2220</v>
      </c>
      <c r="B7765" s="1521"/>
      <c r="C7765" s="1521"/>
      <c r="D7765" s="1521"/>
      <c r="E7765" s="1521"/>
      <c r="F7765" s="1521"/>
      <c r="G7765" s="1522"/>
      <c r="H7765" s="216">
        <f>H7763-H7764</f>
        <v>8.2000000000000028</v>
      </c>
      <c r="I7765" s="1511"/>
      <c r="J7765" s="1512"/>
      <c r="K7765" s="1512"/>
      <c r="L7765" s="1512"/>
      <c r="M7765" s="1512"/>
      <c r="N7765" s="1513"/>
    </row>
    <row r="7767" spans="1:14" ht="15.75" thickBot="1">
      <c r="A7767" s="1129">
        <v>1802</v>
      </c>
      <c r="B7767" s="1614" t="s">
        <v>3669</v>
      </c>
      <c r="C7767" s="1615"/>
      <c r="D7767" s="1615"/>
      <c r="E7767" s="1615"/>
      <c r="F7767" s="1615"/>
      <c r="G7767" s="1615"/>
      <c r="H7767" s="1615"/>
      <c r="I7767" s="1615"/>
      <c r="J7767" s="1615"/>
      <c r="K7767" s="1615"/>
      <c r="L7767" s="1615"/>
      <c r="M7767" s="1615"/>
      <c r="N7767" s="1616"/>
    </row>
    <row r="7768" spans="1:14" ht="25.5" customHeight="1">
      <c r="A7768" s="1084" t="s">
        <v>3957</v>
      </c>
      <c r="B7768" s="1494" t="s">
        <v>1933</v>
      </c>
      <c r="C7768" s="1495"/>
      <c r="D7768" s="1495"/>
      <c r="E7768" s="1495"/>
      <c r="F7768" s="1495"/>
      <c r="G7768" s="1495"/>
      <c r="H7768" s="1495"/>
      <c r="I7768" s="1495"/>
      <c r="J7768" s="1496"/>
      <c r="K7768" s="196" t="s">
        <v>28</v>
      </c>
      <c r="L7768" s="1497">
        <v>18</v>
      </c>
      <c r="M7768" s="1498"/>
      <c r="N7768" s="197">
        <f>L7768-H7774</f>
        <v>0</v>
      </c>
    </row>
    <row r="7769" spans="1:14">
      <c r="A7769" s="1499"/>
      <c r="B7769" s="1500"/>
      <c r="C7769" s="366"/>
      <c r="D7769" s="367"/>
      <c r="E7769" s="1320"/>
      <c r="F7769" s="367"/>
      <c r="G7769" s="367"/>
      <c r="H7769" s="1503" t="s">
        <v>476</v>
      </c>
      <c r="I7769" s="1505"/>
      <c r="J7769" s="1506"/>
      <c r="K7769" s="1506"/>
      <c r="L7769" s="1506"/>
      <c r="M7769" s="1506"/>
      <c r="N7769" s="1507"/>
    </row>
    <row r="7770" spans="1:14" ht="30">
      <c r="A7770" s="1501"/>
      <c r="B7770" s="1502"/>
      <c r="C7770" s="97" t="s">
        <v>3031</v>
      </c>
      <c r="D7770" s="97" t="s">
        <v>3214</v>
      </c>
      <c r="E7770" s="97" t="s">
        <v>3457</v>
      </c>
      <c r="F7770" s="574"/>
      <c r="G7770" s="97" t="s">
        <v>3048</v>
      </c>
      <c r="H7770" s="1504"/>
      <c r="I7770" s="1508"/>
      <c r="J7770" s="1509"/>
      <c r="K7770" s="1509"/>
      <c r="L7770" s="1509"/>
      <c r="M7770" s="1509"/>
      <c r="N7770" s="1510"/>
    </row>
    <row r="7771" spans="1:14">
      <c r="A7771" s="1536" t="s">
        <v>3937</v>
      </c>
      <c r="B7771" s="959"/>
      <c r="C7771" s="317"/>
      <c r="D7771" s="317"/>
      <c r="E7771" s="1315"/>
      <c r="F7771" s="317"/>
      <c r="G7771" s="317"/>
      <c r="H7771" s="857"/>
      <c r="I7771" s="1508"/>
      <c r="J7771" s="1509"/>
      <c r="K7771" s="1509"/>
      <c r="L7771" s="1509"/>
      <c r="M7771" s="1509"/>
      <c r="N7771" s="1510"/>
    </row>
    <row r="7772" spans="1:14">
      <c r="A7772" s="1536"/>
      <c r="B7772" s="921" t="s">
        <v>2929</v>
      </c>
      <c r="C7772" s="317"/>
      <c r="D7772" s="317"/>
      <c r="E7772" s="1315"/>
      <c r="F7772" s="317"/>
      <c r="G7772" s="317">
        <v>8</v>
      </c>
      <c r="H7772" s="857">
        <f>G7772</f>
        <v>8</v>
      </c>
      <c r="I7772" s="1508"/>
      <c r="J7772" s="1509"/>
      <c r="K7772" s="1509"/>
      <c r="L7772" s="1509"/>
      <c r="M7772" s="1509"/>
      <c r="N7772" s="1510"/>
    </row>
    <row r="7773" spans="1:14">
      <c r="A7773" s="1537"/>
      <c r="B7773" s="921" t="s">
        <v>2727</v>
      </c>
      <c r="C7773" s="317"/>
      <c r="D7773" s="317"/>
      <c r="E7773" s="1315"/>
      <c r="F7773" s="317"/>
      <c r="G7773" s="317">
        <v>10</v>
      </c>
      <c r="H7773" s="857">
        <f>G7773</f>
        <v>10</v>
      </c>
      <c r="I7773" s="1508"/>
      <c r="J7773" s="1509"/>
      <c r="K7773" s="1509"/>
      <c r="L7773" s="1509"/>
      <c r="M7773" s="1509"/>
      <c r="N7773" s="1510"/>
    </row>
    <row r="7774" spans="1:14">
      <c r="A7774" s="1519" t="s">
        <v>2218</v>
      </c>
      <c r="B7774" s="1517"/>
      <c r="C7774" s="1517"/>
      <c r="D7774" s="1517"/>
      <c r="E7774" s="1517"/>
      <c r="F7774" s="1517"/>
      <c r="G7774" s="1518"/>
      <c r="H7774" s="271">
        <f>SUM(H7771:H7773)</f>
        <v>18</v>
      </c>
      <c r="I7774" s="1508"/>
      <c r="J7774" s="1509"/>
      <c r="K7774" s="1509"/>
      <c r="L7774" s="1509"/>
      <c r="M7774" s="1509"/>
      <c r="N7774" s="1510"/>
    </row>
    <row r="7775" spans="1:14">
      <c r="A7775" s="1519" t="s">
        <v>2219</v>
      </c>
      <c r="B7775" s="1517"/>
      <c r="C7775" s="1517"/>
      <c r="D7775" s="1517"/>
      <c r="E7775" s="1517"/>
      <c r="F7775" s="1517"/>
      <c r="G7775" s="1518"/>
      <c r="H7775" s="325">
        <f>SUM(H7771)</f>
        <v>0</v>
      </c>
      <c r="I7775" s="1508"/>
      <c r="J7775" s="1509"/>
      <c r="K7775" s="1509"/>
      <c r="L7775" s="1509"/>
      <c r="M7775" s="1509"/>
      <c r="N7775" s="1510"/>
    </row>
    <row r="7776" spans="1:14" ht="21" customHeight="1" thickBot="1">
      <c r="A7776" s="1520" t="s">
        <v>2220</v>
      </c>
      <c r="B7776" s="1521"/>
      <c r="C7776" s="1521"/>
      <c r="D7776" s="1521"/>
      <c r="E7776" s="1521"/>
      <c r="F7776" s="1521"/>
      <c r="G7776" s="1522"/>
      <c r="H7776" s="216">
        <f>H7774-H7775</f>
        <v>18</v>
      </c>
      <c r="I7776" s="1511"/>
      <c r="J7776" s="1512"/>
      <c r="K7776" s="1512"/>
      <c r="L7776" s="1512"/>
      <c r="M7776" s="1512"/>
      <c r="N7776" s="1513"/>
    </row>
    <row r="7777" spans="1:14" ht="21" customHeight="1" thickBot="1"/>
    <row r="7778" spans="1:14" ht="38.25" customHeight="1">
      <c r="A7778" s="1084" t="s">
        <v>3958</v>
      </c>
      <c r="B7778" s="1494" t="s">
        <v>1936</v>
      </c>
      <c r="C7778" s="1495"/>
      <c r="D7778" s="1495"/>
      <c r="E7778" s="1495"/>
      <c r="F7778" s="1495"/>
      <c r="G7778" s="1495"/>
      <c r="H7778" s="1495"/>
      <c r="I7778" s="1495"/>
      <c r="J7778" s="1496"/>
      <c r="K7778" s="196" t="s">
        <v>28</v>
      </c>
      <c r="L7778" s="1497">
        <v>12</v>
      </c>
      <c r="M7778" s="1498"/>
      <c r="N7778" s="197">
        <f>L7778-H7784</f>
        <v>0</v>
      </c>
    </row>
    <row r="7779" spans="1:14">
      <c r="A7779" s="1499"/>
      <c r="B7779" s="1500"/>
      <c r="C7779" s="366"/>
      <c r="D7779" s="367"/>
      <c r="E7779" s="1320"/>
      <c r="F7779" s="367"/>
      <c r="G7779" s="367"/>
      <c r="H7779" s="1503" t="s">
        <v>476</v>
      </c>
      <c r="I7779" s="1505"/>
      <c r="J7779" s="1506"/>
      <c r="K7779" s="1506"/>
      <c r="L7779" s="1506"/>
      <c r="M7779" s="1506"/>
      <c r="N7779" s="1507"/>
    </row>
    <row r="7780" spans="1:14" ht="30">
      <c r="A7780" s="1501"/>
      <c r="B7780" s="1502"/>
      <c r="C7780" s="97" t="s">
        <v>3031</v>
      </c>
      <c r="D7780" s="97" t="s">
        <v>3214</v>
      </c>
      <c r="E7780" s="97" t="s">
        <v>3457</v>
      </c>
      <c r="F7780" s="574"/>
      <c r="G7780" s="97" t="s">
        <v>3048</v>
      </c>
      <c r="H7780" s="1504"/>
      <c r="I7780" s="1508"/>
      <c r="J7780" s="1509"/>
      <c r="K7780" s="1509"/>
      <c r="L7780" s="1509"/>
      <c r="M7780" s="1509"/>
      <c r="N7780" s="1510"/>
    </row>
    <row r="7781" spans="1:14">
      <c r="A7781" s="1536" t="s">
        <v>3937</v>
      </c>
      <c r="B7781" s="959"/>
      <c r="C7781" s="317"/>
      <c r="D7781" s="317"/>
      <c r="E7781" s="1315"/>
      <c r="F7781" s="317"/>
      <c r="G7781" s="317"/>
      <c r="H7781" s="857"/>
      <c r="I7781" s="1508"/>
      <c r="J7781" s="1509"/>
      <c r="K7781" s="1509"/>
      <c r="L7781" s="1509"/>
      <c r="M7781" s="1509"/>
      <c r="N7781" s="1510"/>
    </row>
    <row r="7782" spans="1:14">
      <c r="A7782" s="1536"/>
      <c r="B7782" s="921" t="s">
        <v>2929</v>
      </c>
      <c r="C7782" s="317"/>
      <c r="D7782" s="317"/>
      <c r="E7782" s="1315"/>
      <c r="F7782" s="317"/>
      <c r="G7782" s="317">
        <v>3</v>
      </c>
      <c r="H7782" s="857">
        <f>G7782</f>
        <v>3</v>
      </c>
      <c r="I7782" s="1508"/>
      <c r="J7782" s="1509"/>
      <c r="K7782" s="1509"/>
      <c r="L7782" s="1509"/>
      <c r="M7782" s="1509"/>
      <c r="N7782" s="1510"/>
    </row>
    <row r="7783" spans="1:14">
      <c r="A7783" s="1537"/>
      <c r="B7783" s="921" t="s">
        <v>2727</v>
      </c>
      <c r="C7783" s="317"/>
      <c r="D7783" s="317"/>
      <c r="E7783" s="1315"/>
      <c r="F7783" s="317"/>
      <c r="G7783" s="317">
        <v>9</v>
      </c>
      <c r="H7783" s="857">
        <f>G7783</f>
        <v>9</v>
      </c>
      <c r="I7783" s="1508"/>
      <c r="J7783" s="1509"/>
      <c r="K7783" s="1509"/>
      <c r="L7783" s="1509"/>
      <c r="M7783" s="1509"/>
      <c r="N7783" s="1510"/>
    </row>
    <row r="7784" spans="1:14">
      <c r="A7784" s="1519" t="s">
        <v>2218</v>
      </c>
      <c r="B7784" s="1517"/>
      <c r="C7784" s="1517"/>
      <c r="D7784" s="1517"/>
      <c r="E7784" s="1517"/>
      <c r="F7784" s="1517"/>
      <c r="G7784" s="1518"/>
      <c r="H7784" s="271">
        <f>SUM(H7781:H7783)</f>
        <v>12</v>
      </c>
      <c r="I7784" s="1508"/>
      <c r="J7784" s="1509"/>
      <c r="K7784" s="1509"/>
      <c r="L7784" s="1509"/>
      <c r="M7784" s="1509"/>
      <c r="N7784" s="1510"/>
    </row>
    <row r="7785" spans="1:14">
      <c r="A7785" s="1519" t="s">
        <v>2219</v>
      </c>
      <c r="B7785" s="1517"/>
      <c r="C7785" s="1517"/>
      <c r="D7785" s="1517"/>
      <c r="E7785" s="1517"/>
      <c r="F7785" s="1517"/>
      <c r="G7785" s="1518"/>
      <c r="H7785" s="325">
        <f>SUM(H7781)</f>
        <v>0</v>
      </c>
      <c r="I7785" s="1508"/>
      <c r="J7785" s="1509"/>
      <c r="K7785" s="1509"/>
      <c r="L7785" s="1509"/>
      <c r="M7785" s="1509"/>
      <c r="N7785" s="1510"/>
    </row>
    <row r="7786" spans="1:14" ht="21" customHeight="1" thickBot="1">
      <c r="A7786" s="1520" t="s">
        <v>2220</v>
      </c>
      <c r="B7786" s="1521"/>
      <c r="C7786" s="1521"/>
      <c r="D7786" s="1521"/>
      <c r="E7786" s="1521"/>
      <c r="F7786" s="1521"/>
      <c r="G7786" s="1522"/>
      <c r="H7786" s="216">
        <f>H7784-H7785</f>
        <v>12</v>
      </c>
      <c r="I7786" s="1511"/>
      <c r="J7786" s="1512"/>
      <c r="K7786" s="1512"/>
      <c r="L7786" s="1512"/>
      <c r="M7786" s="1512"/>
      <c r="N7786" s="1513"/>
    </row>
    <row r="7787" spans="1:14" ht="21" customHeight="1" thickBot="1"/>
    <row r="7788" spans="1:14" ht="32.25" customHeight="1">
      <c r="A7788" s="1084" t="s">
        <v>3959</v>
      </c>
      <c r="B7788" s="1494" t="s">
        <v>1939</v>
      </c>
      <c r="C7788" s="1495"/>
      <c r="D7788" s="1495"/>
      <c r="E7788" s="1495"/>
      <c r="F7788" s="1495"/>
      <c r="G7788" s="1495"/>
      <c r="H7788" s="1495"/>
      <c r="I7788" s="1495"/>
      <c r="J7788" s="1496"/>
      <c r="K7788" s="196" t="s">
        <v>28</v>
      </c>
      <c r="L7788" s="1497">
        <v>1</v>
      </c>
      <c r="M7788" s="1498"/>
      <c r="N7788" s="197">
        <f>L7788-H7794</f>
        <v>0</v>
      </c>
    </row>
    <row r="7789" spans="1:14">
      <c r="A7789" s="1499"/>
      <c r="B7789" s="1500"/>
      <c r="C7789" s="366"/>
      <c r="D7789" s="367"/>
      <c r="E7789" s="1320"/>
      <c r="F7789" s="367"/>
      <c r="G7789" s="367"/>
      <c r="H7789" s="1503" t="s">
        <v>476</v>
      </c>
      <c r="I7789" s="1617" t="s">
        <v>3975</v>
      </c>
      <c r="J7789" s="1618"/>
      <c r="K7789" s="1618"/>
      <c r="L7789" s="1618"/>
      <c r="M7789" s="1618"/>
      <c r="N7789" s="1619"/>
    </row>
    <row r="7790" spans="1:14" ht="30">
      <c r="A7790" s="1501"/>
      <c r="B7790" s="1502"/>
      <c r="C7790" s="97" t="s">
        <v>3031</v>
      </c>
      <c r="D7790" s="97" t="s">
        <v>3214</v>
      </c>
      <c r="E7790" s="97" t="s">
        <v>3457</v>
      </c>
      <c r="F7790" s="574"/>
      <c r="G7790" s="97" t="s">
        <v>3048</v>
      </c>
      <c r="H7790" s="1504"/>
      <c r="I7790" s="1620"/>
      <c r="J7790" s="1621"/>
      <c r="K7790" s="1621"/>
      <c r="L7790" s="1621"/>
      <c r="M7790" s="1621"/>
      <c r="N7790" s="1622"/>
    </row>
    <row r="7791" spans="1:14">
      <c r="A7791" s="1536" t="s">
        <v>3937</v>
      </c>
      <c r="B7791" s="959"/>
      <c r="C7791" s="317"/>
      <c r="D7791" s="317"/>
      <c r="E7791" s="1315"/>
      <c r="F7791" s="317"/>
      <c r="G7791" s="317"/>
      <c r="H7791" s="857"/>
      <c r="I7791" s="1620"/>
      <c r="J7791" s="1621"/>
      <c r="K7791" s="1621"/>
      <c r="L7791" s="1621"/>
      <c r="M7791" s="1621"/>
      <c r="N7791" s="1622"/>
    </row>
    <row r="7792" spans="1:14">
      <c r="A7792" s="1536"/>
      <c r="B7792" s="921" t="s">
        <v>2929</v>
      </c>
      <c r="C7792" s="317"/>
      <c r="D7792" s="317"/>
      <c r="E7792" s="1315"/>
      <c r="F7792" s="317"/>
      <c r="G7792" s="317">
        <v>1</v>
      </c>
      <c r="H7792" s="857">
        <f>G7792</f>
        <v>1</v>
      </c>
      <c r="I7792" s="1620"/>
      <c r="J7792" s="1621"/>
      <c r="K7792" s="1621"/>
      <c r="L7792" s="1621"/>
      <c r="M7792" s="1621"/>
      <c r="N7792" s="1622"/>
    </row>
    <row r="7793" spans="1:14">
      <c r="A7793" s="1537"/>
      <c r="B7793" s="921"/>
      <c r="C7793" s="317"/>
      <c r="D7793" s="317"/>
      <c r="E7793" s="1315"/>
      <c r="F7793" s="317"/>
      <c r="G7793" s="317"/>
      <c r="H7793" s="857"/>
      <c r="I7793" s="1620"/>
      <c r="J7793" s="1621"/>
      <c r="K7793" s="1621"/>
      <c r="L7793" s="1621"/>
      <c r="M7793" s="1621"/>
      <c r="N7793" s="1622"/>
    </row>
    <row r="7794" spans="1:14">
      <c r="A7794" s="1519" t="s">
        <v>2218</v>
      </c>
      <c r="B7794" s="1517"/>
      <c r="C7794" s="1517"/>
      <c r="D7794" s="1517"/>
      <c r="E7794" s="1517"/>
      <c r="F7794" s="1517"/>
      <c r="G7794" s="1518"/>
      <c r="H7794" s="271">
        <f>SUM(H7791:H7793)</f>
        <v>1</v>
      </c>
      <c r="I7794" s="1620"/>
      <c r="J7794" s="1621"/>
      <c r="K7794" s="1621"/>
      <c r="L7794" s="1621"/>
      <c r="M7794" s="1621"/>
      <c r="N7794" s="1622"/>
    </row>
    <row r="7795" spans="1:14">
      <c r="A7795" s="1519" t="s">
        <v>2219</v>
      </c>
      <c r="B7795" s="1517"/>
      <c r="C7795" s="1517"/>
      <c r="D7795" s="1517"/>
      <c r="E7795" s="1517"/>
      <c r="F7795" s="1517"/>
      <c r="G7795" s="1518"/>
      <c r="H7795" s="325">
        <f>SUM(H7791)</f>
        <v>0</v>
      </c>
      <c r="I7795" s="1620"/>
      <c r="J7795" s="1621"/>
      <c r="K7795" s="1621"/>
      <c r="L7795" s="1621"/>
      <c r="M7795" s="1621"/>
      <c r="N7795" s="1622"/>
    </row>
    <row r="7796" spans="1:14" ht="21" customHeight="1" thickBot="1">
      <c r="A7796" s="1520" t="s">
        <v>2220</v>
      </c>
      <c r="B7796" s="1521"/>
      <c r="C7796" s="1521"/>
      <c r="D7796" s="1521"/>
      <c r="E7796" s="1521"/>
      <c r="F7796" s="1521"/>
      <c r="G7796" s="1522"/>
      <c r="H7796" s="216">
        <f>H7794-H7795</f>
        <v>1</v>
      </c>
      <c r="I7796" s="1623"/>
      <c r="J7796" s="1624"/>
      <c r="K7796" s="1624"/>
      <c r="L7796" s="1624"/>
      <c r="M7796" s="1624"/>
      <c r="N7796" s="1625"/>
    </row>
    <row r="7797" spans="1:14" ht="21" customHeight="1" thickBot="1"/>
    <row r="7798" spans="1:14" ht="32.25" customHeight="1">
      <c r="A7798" s="1084" t="s">
        <v>3670</v>
      </c>
      <c r="B7798" s="1494" t="s">
        <v>3671</v>
      </c>
      <c r="C7798" s="1495"/>
      <c r="D7798" s="1495"/>
      <c r="E7798" s="1495"/>
      <c r="F7798" s="1495"/>
      <c r="G7798" s="1495"/>
      <c r="H7798" s="1495"/>
      <c r="I7798" s="1495"/>
      <c r="J7798" s="1496"/>
      <c r="K7798" s="196" t="s">
        <v>28</v>
      </c>
      <c r="L7798" s="1497">
        <f>'27ª MEDIÇÃO '!F599</f>
        <v>2</v>
      </c>
      <c r="M7798" s="1498"/>
      <c r="N7798" s="197">
        <f>L7798-H7805</f>
        <v>0</v>
      </c>
    </row>
    <row r="7799" spans="1:14">
      <c r="A7799" s="1499"/>
      <c r="B7799" s="1500"/>
      <c r="C7799" s="366"/>
      <c r="D7799" s="367"/>
      <c r="E7799" s="1320"/>
      <c r="F7799" s="367"/>
      <c r="G7799" s="367"/>
      <c r="H7799" s="1503" t="s">
        <v>476</v>
      </c>
      <c r="I7799" s="1505"/>
      <c r="J7799" s="1506"/>
      <c r="K7799" s="1506"/>
      <c r="L7799" s="1506"/>
      <c r="M7799" s="1506"/>
      <c r="N7799" s="1507"/>
    </row>
    <row r="7800" spans="1:14" ht="30">
      <c r="A7800" s="1501"/>
      <c r="B7800" s="1502"/>
      <c r="C7800" s="97" t="s">
        <v>3031</v>
      </c>
      <c r="D7800" s="97" t="s">
        <v>3214</v>
      </c>
      <c r="E7800" s="97" t="s">
        <v>3457</v>
      </c>
      <c r="F7800" s="574"/>
      <c r="G7800" s="97" t="s">
        <v>3048</v>
      </c>
      <c r="H7800" s="1504"/>
      <c r="I7800" s="1508"/>
      <c r="J7800" s="1509"/>
      <c r="K7800" s="1509"/>
      <c r="L7800" s="1509"/>
      <c r="M7800" s="1509"/>
      <c r="N7800" s="1510"/>
    </row>
    <row r="7801" spans="1:14">
      <c r="A7801" s="1532" t="s">
        <v>3620</v>
      </c>
      <c r="B7801" s="959" t="s">
        <v>3454</v>
      </c>
      <c r="C7801" s="317"/>
      <c r="D7801" s="317"/>
      <c r="E7801" s="1315"/>
      <c r="F7801" s="317"/>
      <c r="G7801" s="317"/>
      <c r="H7801" s="857"/>
      <c r="I7801" s="1508"/>
      <c r="J7801" s="1509"/>
      <c r="K7801" s="1509"/>
      <c r="L7801" s="1509"/>
      <c r="M7801" s="1509"/>
      <c r="N7801" s="1510"/>
    </row>
    <row r="7802" spans="1:14">
      <c r="A7802" s="1527"/>
      <c r="B7802" s="921" t="s">
        <v>3672</v>
      </c>
      <c r="C7802" s="317"/>
      <c r="D7802" s="317"/>
      <c r="E7802" s="1315"/>
      <c r="F7802" s="317"/>
      <c r="G7802" s="317">
        <v>1</v>
      </c>
      <c r="H7802" s="857">
        <f>G7802</f>
        <v>1</v>
      </c>
      <c r="I7802" s="1508"/>
      <c r="J7802" s="1509"/>
      <c r="K7802" s="1509"/>
      <c r="L7802" s="1509"/>
      <c r="M7802" s="1509"/>
      <c r="N7802" s="1510"/>
    </row>
    <row r="7803" spans="1:14">
      <c r="A7803" s="1097" t="s">
        <v>3937</v>
      </c>
      <c r="B7803" s="921" t="s">
        <v>2929</v>
      </c>
      <c r="C7803" s="317"/>
      <c r="D7803" s="317"/>
      <c r="E7803" s="1315"/>
      <c r="F7803" s="317"/>
      <c r="G7803" s="317">
        <v>1</v>
      </c>
      <c r="H7803" s="857">
        <v>1</v>
      </c>
      <c r="I7803" s="1508"/>
      <c r="J7803" s="1509"/>
      <c r="K7803" s="1509"/>
      <c r="L7803" s="1509"/>
      <c r="M7803" s="1509"/>
      <c r="N7803" s="1510"/>
    </row>
    <row r="7804" spans="1:14">
      <c r="A7804" s="1243"/>
      <c r="B7804" s="921"/>
      <c r="C7804" s="317"/>
      <c r="D7804" s="317"/>
      <c r="E7804" s="1315"/>
      <c r="F7804" s="317"/>
      <c r="G7804" s="317"/>
      <c r="H7804" s="857"/>
      <c r="I7804" s="1508"/>
      <c r="J7804" s="1509"/>
      <c r="K7804" s="1509"/>
      <c r="L7804" s="1509"/>
      <c r="M7804" s="1509"/>
      <c r="N7804" s="1510"/>
    </row>
    <row r="7805" spans="1:14">
      <c r="A7805" s="1519" t="s">
        <v>2218</v>
      </c>
      <c r="B7805" s="1517"/>
      <c r="C7805" s="1517"/>
      <c r="D7805" s="1517"/>
      <c r="E7805" s="1517"/>
      <c r="F7805" s="1517"/>
      <c r="G7805" s="1518"/>
      <c r="H7805" s="271">
        <f>SUM(H7801:H7804)</f>
        <v>2</v>
      </c>
      <c r="I7805" s="1508"/>
      <c r="J7805" s="1509"/>
      <c r="K7805" s="1509"/>
      <c r="L7805" s="1509"/>
      <c r="M7805" s="1509"/>
      <c r="N7805" s="1510"/>
    </row>
    <row r="7806" spans="1:14">
      <c r="A7806" s="1519" t="s">
        <v>2219</v>
      </c>
      <c r="B7806" s="1517"/>
      <c r="C7806" s="1517"/>
      <c r="D7806" s="1517"/>
      <c r="E7806" s="1517"/>
      <c r="F7806" s="1517"/>
      <c r="G7806" s="1518"/>
      <c r="H7806" s="325">
        <f>SUM(H7801)</f>
        <v>0</v>
      </c>
      <c r="I7806" s="1508"/>
      <c r="J7806" s="1509"/>
      <c r="K7806" s="1509"/>
      <c r="L7806" s="1509"/>
      <c r="M7806" s="1509"/>
      <c r="N7806" s="1510"/>
    </row>
    <row r="7807" spans="1:14" ht="21" customHeight="1" thickBot="1">
      <c r="A7807" s="1520" t="s">
        <v>2220</v>
      </c>
      <c r="B7807" s="1521"/>
      <c r="C7807" s="1521"/>
      <c r="D7807" s="1521"/>
      <c r="E7807" s="1521"/>
      <c r="F7807" s="1521"/>
      <c r="G7807" s="1522"/>
      <c r="H7807" s="216">
        <f>H7805-H7806</f>
        <v>2</v>
      </c>
      <c r="I7807" s="1511"/>
      <c r="J7807" s="1512"/>
      <c r="K7807" s="1512"/>
      <c r="L7807" s="1512"/>
      <c r="M7807" s="1512"/>
      <c r="N7807" s="1513"/>
    </row>
    <row r="7808" spans="1:14" ht="21" customHeight="1" thickBot="1"/>
    <row r="7809" spans="1:14" ht="32.25" customHeight="1">
      <c r="A7809" s="1084" t="s">
        <v>3960</v>
      </c>
      <c r="B7809" s="1494" t="s">
        <v>1945</v>
      </c>
      <c r="C7809" s="1495"/>
      <c r="D7809" s="1495"/>
      <c r="E7809" s="1495"/>
      <c r="F7809" s="1495"/>
      <c r="G7809" s="1495"/>
      <c r="H7809" s="1495"/>
      <c r="I7809" s="1495"/>
      <c r="J7809" s="1496"/>
      <c r="K7809" s="196" t="s">
        <v>28</v>
      </c>
      <c r="L7809" s="1497">
        <v>1</v>
      </c>
      <c r="M7809" s="1498"/>
      <c r="N7809" s="197">
        <f>L7809-H7815</f>
        <v>0</v>
      </c>
    </row>
    <row r="7810" spans="1:14">
      <c r="A7810" s="1499"/>
      <c r="B7810" s="1500"/>
      <c r="C7810" s="366"/>
      <c r="D7810" s="367"/>
      <c r="E7810" s="1320"/>
      <c r="F7810" s="367"/>
      <c r="G7810" s="367"/>
      <c r="H7810" s="1503" t="s">
        <v>476</v>
      </c>
      <c r="I7810" s="1505"/>
      <c r="J7810" s="1506"/>
      <c r="K7810" s="1506"/>
      <c r="L7810" s="1506"/>
      <c r="M7810" s="1506"/>
      <c r="N7810" s="1507"/>
    </row>
    <row r="7811" spans="1:14" ht="30">
      <c r="A7811" s="1501"/>
      <c r="B7811" s="1502"/>
      <c r="C7811" s="97" t="s">
        <v>3031</v>
      </c>
      <c r="D7811" s="97" t="s">
        <v>3214</v>
      </c>
      <c r="E7811" s="97" t="s">
        <v>3457</v>
      </c>
      <c r="F7811" s="574"/>
      <c r="G7811" s="97" t="s">
        <v>3048</v>
      </c>
      <c r="H7811" s="1504"/>
      <c r="I7811" s="1508"/>
      <c r="J7811" s="1509"/>
      <c r="K7811" s="1509"/>
      <c r="L7811" s="1509"/>
      <c r="M7811" s="1509"/>
      <c r="N7811" s="1510"/>
    </row>
    <row r="7812" spans="1:14">
      <c r="A7812" s="1536" t="s">
        <v>3937</v>
      </c>
      <c r="B7812" s="959"/>
      <c r="C7812" s="317"/>
      <c r="D7812" s="317"/>
      <c r="E7812" s="1315"/>
      <c r="F7812" s="317"/>
      <c r="G7812" s="317"/>
      <c r="H7812" s="857"/>
      <c r="I7812" s="1508"/>
      <c r="J7812" s="1509"/>
      <c r="K7812" s="1509"/>
      <c r="L7812" s="1509"/>
      <c r="M7812" s="1509"/>
      <c r="N7812" s="1510"/>
    </row>
    <row r="7813" spans="1:14">
      <c r="A7813" s="1536"/>
      <c r="B7813" s="921" t="s">
        <v>3524</v>
      </c>
      <c r="C7813" s="317"/>
      <c r="D7813" s="317"/>
      <c r="E7813" s="1315"/>
      <c r="F7813" s="317"/>
      <c r="G7813" s="317">
        <v>1</v>
      </c>
      <c r="H7813" s="857">
        <f>G7813</f>
        <v>1</v>
      </c>
      <c r="I7813" s="1508"/>
      <c r="J7813" s="1509"/>
      <c r="K7813" s="1509"/>
      <c r="L7813" s="1509"/>
      <c r="M7813" s="1509"/>
      <c r="N7813" s="1510"/>
    </row>
    <row r="7814" spans="1:14">
      <c r="A7814" s="1537"/>
      <c r="B7814" s="921"/>
      <c r="C7814" s="317"/>
      <c r="D7814" s="317"/>
      <c r="E7814" s="1315"/>
      <c r="F7814" s="317"/>
      <c r="G7814" s="317"/>
      <c r="H7814" s="857"/>
      <c r="I7814" s="1508"/>
      <c r="J7814" s="1509"/>
      <c r="K7814" s="1509"/>
      <c r="L7814" s="1509"/>
      <c r="M7814" s="1509"/>
      <c r="N7814" s="1510"/>
    </row>
    <row r="7815" spans="1:14">
      <c r="A7815" s="1519" t="s">
        <v>2218</v>
      </c>
      <c r="B7815" s="1517"/>
      <c r="C7815" s="1517"/>
      <c r="D7815" s="1517"/>
      <c r="E7815" s="1517"/>
      <c r="F7815" s="1517"/>
      <c r="G7815" s="1518"/>
      <c r="H7815" s="271">
        <f>SUM(H7812:H7814)</f>
        <v>1</v>
      </c>
      <c r="I7815" s="1508"/>
      <c r="J7815" s="1509"/>
      <c r="K7815" s="1509"/>
      <c r="L7815" s="1509"/>
      <c r="M7815" s="1509"/>
      <c r="N7815" s="1510"/>
    </row>
    <row r="7816" spans="1:14">
      <c r="A7816" s="1519" t="s">
        <v>2219</v>
      </c>
      <c r="B7816" s="1517"/>
      <c r="C7816" s="1517"/>
      <c r="D7816" s="1517"/>
      <c r="E7816" s="1517"/>
      <c r="F7816" s="1517"/>
      <c r="G7816" s="1518"/>
      <c r="H7816" s="325">
        <f>SUM(H7812)</f>
        <v>0</v>
      </c>
      <c r="I7816" s="1508"/>
      <c r="J7816" s="1509"/>
      <c r="K7816" s="1509"/>
      <c r="L7816" s="1509"/>
      <c r="M7816" s="1509"/>
      <c r="N7816" s="1510"/>
    </row>
    <row r="7817" spans="1:14" ht="21" customHeight="1" thickBot="1">
      <c r="A7817" s="1520" t="s">
        <v>2220</v>
      </c>
      <c r="B7817" s="1521"/>
      <c r="C7817" s="1521"/>
      <c r="D7817" s="1521"/>
      <c r="E7817" s="1521"/>
      <c r="F7817" s="1521"/>
      <c r="G7817" s="1522"/>
      <c r="H7817" s="216">
        <f>H7815-H7816</f>
        <v>1</v>
      </c>
      <c r="I7817" s="1511"/>
      <c r="J7817" s="1512"/>
      <c r="K7817" s="1512"/>
      <c r="L7817" s="1512"/>
      <c r="M7817" s="1512"/>
      <c r="N7817" s="1513"/>
    </row>
    <row r="7818" spans="1:14" ht="21" customHeight="1"/>
    <row r="7819" spans="1:14" ht="25.15" customHeight="1" thickBot="1">
      <c r="A7819" s="1129">
        <v>1803</v>
      </c>
      <c r="B7819" s="1614" t="s">
        <v>1947</v>
      </c>
      <c r="C7819" s="1615"/>
      <c r="D7819" s="1615"/>
      <c r="E7819" s="1615"/>
      <c r="F7819" s="1615"/>
      <c r="G7819" s="1615"/>
      <c r="H7819" s="1615"/>
      <c r="I7819" s="1615"/>
      <c r="J7819" s="1615"/>
      <c r="K7819" s="1615"/>
      <c r="L7819" s="1615"/>
      <c r="M7819" s="1615"/>
      <c r="N7819" s="1616"/>
    </row>
    <row r="7820" spans="1:14" ht="24" customHeight="1">
      <c r="A7820" s="1084" t="s">
        <v>4049</v>
      </c>
      <c r="B7820" s="1494" t="str">
        <f>'27ª MEDIÇÃO '!C602</f>
        <v>Instalação de unidade evaporadora 9.000Btu's - tipo: hiwall, exclusive circuitos frigorígenos</v>
      </c>
      <c r="C7820" s="1495"/>
      <c r="D7820" s="1495"/>
      <c r="E7820" s="1495"/>
      <c r="F7820" s="1495"/>
      <c r="G7820" s="1495"/>
      <c r="H7820" s="1495"/>
      <c r="I7820" s="1495"/>
      <c r="J7820" s="1496"/>
      <c r="K7820" s="196" t="s">
        <v>28</v>
      </c>
      <c r="L7820" s="1497">
        <f>'27ª MEDIÇÃO '!F602</f>
        <v>18</v>
      </c>
      <c r="M7820" s="1498"/>
      <c r="N7820" s="197">
        <f>L7820-H7849</f>
        <v>0</v>
      </c>
    </row>
    <row r="7821" spans="1:14">
      <c r="A7821" s="1499"/>
      <c r="B7821" s="1500"/>
      <c r="C7821" s="366"/>
      <c r="D7821" s="367"/>
      <c r="E7821" s="1320"/>
      <c r="F7821" s="367"/>
      <c r="G7821" s="367"/>
      <c r="H7821" s="1503" t="s">
        <v>476</v>
      </c>
      <c r="I7821" s="1505"/>
      <c r="J7821" s="1506"/>
      <c r="K7821" s="1506"/>
      <c r="L7821" s="1506"/>
      <c r="M7821" s="1506"/>
      <c r="N7821" s="1507"/>
    </row>
    <row r="7822" spans="1:14" ht="15.6" customHeight="1">
      <c r="A7822" s="1501"/>
      <c r="B7822" s="1502"/>
      <c r="C7822" s="97" t="s">
        <v>3031</v>
      </c>
      <c r="D7822" s="97" t="s">
        <v>3214</v>
      </c>
      <c r="E7822" s="97" t="s">
        <v>3457</v>
      </c>
      <c r="F7822" s="1387"/>
      <c r="G7822" s="97" t="s">
        <v>3048</v>
      </c>
      <c r="H7822" s="1504"/>
      <c r="I7822" s="1508"/>
      <c r="J7822" s="1509"/>
      <c r="K7822" s="1509"/>
      <c r="L7822" s="1509"/>
      <c r="M7822" s="1509"/>
      <c r="N7822" s="1510"/>
    </row>
    <row r="7823" spans="1:14" ht="15.6" customHeight="1">
      <c r="A7823" s="1532" t="s">
        <v>4003</v>
      </c>
      <c r="B7823" s="959" t="s">
        <v>2727</v>
      </c>
      <c r="C7823" s="317"/>
      <c r="D7823" s="317"/>
      <c r="E7823" s="1315"/>
      <c r="F7823" s="317"/>
      <c r="G7823" s="317"/>
      <c r="H7823" s="857"/>
      <c r="I7823" s="1508"/>
      <c r="J7823" s="1509"/>
      <c r="K7823" s="1509"/>
      <c r="L7823" s="1509"/>
      <c r="M7823" s="1509"/>
      <c r="N7823" s="1510"/>
    </row>
    <row r="7824" spans="1:14" ht="15.6" customHeight="1">
      <c r="A7824" s="1527"/>
      <c r="B7824" s="926" t="s">
        <v>4050</v>
      </c>
      <c r="C7824" s="317"/>
      <c r="D7824" s="317"/>
      <c r="E7824" s="1315"/>
      <c r="F7824" s="317"/>
      <c r="G7824" s="317">
        <v>1</v>
      </c>
      <c r="H7824" s="857">
        <f>G7824</f>
        <v>1</v>
      </c>
      <c r="I7824" s="1508"/>
      <c r="J7824" s="1509"/>
      <c r="K7824" s="1509"/>
      <c r="L7824" s="1509"/>
      <c r="M7824" s="1509"/>
      <c r="N7824" s="1510"/>
    </row>
    <row r="7825" spans="1:14" ht="15.6" customHeight="1">
      <c r="A7825" s="1527"/>
      <c r="B7825" s="926" t="s">
        <v>2776</v>
      </c>
      <c r="C7825" s="317"/>
      <c r="D7825" s="317"/>
      <c r="E7825" s="1315"/>
      <c r="F7825" s="317"/>
      <c r="G7825" s="317">
        <v>1</v>
      </c>
      <c r="H7825" s="857">
        <f t="shared" ref="H7825:H7829" si="148">G7825</f>
        <v>1</v>
      </c>
      <c r="I7825" s="1508"/>
      <c r="J7825" s="1509"/>
      <c r="K7825" s="1509"/>
      <c r="L7825" s="1509"/>
      <c r="M7825" s="1509"/>
      <c r="N7825" s="1510"/>
    </row>
    <row r="7826" spans="1:14" ht="15.6" customHeight="1">
      <c r="A7826" s="1527"/>
      <c r="B7826" s="926" t="s">
        <v>2953</v>
      </c>
      <c r="C7826" s="317"/>
      <c r="D7826" s="317"/>
      <c r="E7826" s="1315"/>
      <c r="F7826" s="317"/>
      <c r="G7826" s="317">
        <v>1</v>
      </c>
      <c r="H7826" s="857">
        <f t="shared" si="148"/>
        <v>1</v>
      </c>
      <c r="I7826" s="1508"/>
      <c r="J7826" s="1509"/>
      <c r="K7826" s="1509"/>
      <c r="L7826" s="1509"/>
      <c r="M7826" s="1509"/>
      <c r="N7826" s="1510"/>
    </row>
    <row r="7827" spans="1:14" ht="15.6" customHeight="1">
      <c r="A7827" s="1527"/>
      <c r="B7827" s="926" t="s">
        <v>2234</v>
      </c>
      <c r="C7827" s="317"/>
      <c r="D7827" s="317"/>
      <c r="E7827" s="1315"/>
      <c r="F7827" s="317"/>
      <c r="G7827" s="317">
        <v>1</v>
      </c>
      <c r="H7827" s="857">
        <f t="shared" si="148"/>
        <v>1</v>
      </c>
      <c r="I7827" s="1508"/>
      <c r="J7827" s="1509"/>
      <c r="K7827" s="1509"/>
      <c r="L7827" s="1509"/>
      <c r="M7827" s="1509"/>
      <c r="N7827" s="1510"/>
    </row>
    <row r="7828" spans="1:14" ht="15.6" customHeight="1">
      <c r="A7828" s="1527"/>
      <c r="B7828" s="926" t="s">
        <v>2967</v>
      </c>
      <c r="C7828" s="317"/>
      <c r="D7828" s="317"/>
      <c r="E7828" s="1315"/>
      <c r="F7828" s="317"/>
      <c r="G7828" s="317">
        <v>1</v>
      </c>
      <c r="H7828" s="857">
        <f t="shared" si="148"/>
        <v>1</v>
      </c>
      <c r="I7828" s="1508"/>
      <c r="J7828" s="1509"/>
      <c r="K7828" s="1509"/>
      <c r="L7828" s="1509"/>
      <c r="M7828" s="1509"/>
      <c r="N7828" s="1510"/>
    </row>
    <row r="7829" spans="1:14" ht="15.6" customHeight="1">
      <c r="A7829" s="1527"/>
      <c r="B7829" s="926" t="s">
        <v>2968</v>
      </c>
      <c r="C7829" s="317"/>
      <c r="D7829" s="317"/>
      <c r="E7829" s="1315"/>
      <c r="F7829" s="317"/>
      <c r="G7829" s="317">
        <v>1</v>
      </c>
      <c r="H7829" s="857">
        <f t="shared" si="148"/>
        <v>1</v>
      </c>
      <c r="I7829" s="1508"/>
      <c r="J7829" s="1509"/>
      <c r="K7829" s="1509"/>
      <c r="L7829" s="1509"/>
      <c r="M7829" s="1509"/>
      <c r="N7829" s="1510"/>
    </row>
    <row r="7830" spans="1:14" ht="15.6" customHeight="1">
      <c r="A7830" s="1527"/>
      <c r="B7830" s="926"/>
      <c r="C7830" s="317"/>
      <c r="D7830" s="317"/>
      <c r="E7830" s="1315"/>
      <c r="F7830" s="317"/>
      <c r="G7830" s="317"/>
      <c r="H7830" s="857"/>
      <c r="I7830" s="1508"/>
      <c r="J7830" s="1509"/>
      <c r="K7830" s="1509"/>
      <c r="L7830" s="1509"/>
      <c r="M7830" s="1509"/>
      <c r="N7830" s="1510"/>
    </row>
    <row r="7831" spans="1:14" ht="15.6" customHeight="1">
      <c r="A7831" s="1527"/>
      <c r="B7831" s="959" t="s">
        <v>2929</v>
      </c>
      <c r="C7831" s="317"/>
      <c r="D7831" s="317"/>
      <c r="E7831" s="1315"/>
      <c r="F7831" s="317"/>
      <c r="G7831" s="317"/>
      <c r="H7831" s="857"/>
      <c r="I7831" s="1508"/>
      <c r="J7831" s="1509"/>
      <c r="K7831" s="1509"/>
      <c r="L7831" s="1509"/>
      <c r="M7831" s="1509"/>
      <c r="N7831" s="1510"/>
    </row>
    <row r="7832" spans="1:14" ht="15.6" customHeight="1">
      <c r="A7832" s="1527"/>
      <c r="B7832" s="926" t="s">
        <v>2989</v>
      </c>
      <c r="C7832" s="317"/>
      <c r="D7832" s="317"/>
      <c r="E7832" s="1315"/>
      <c r="F7832" s="317"/>
      <c r="G7832" s="317">
        <v>1</v>
      </c>
      <c r="H7832" s="857">
        <f>G7832</f>
        <v>1</v>
      </c>
      <c r="I7832" s="1508"/>
      <c r="J7832" s="1509"/>
      <c r="K7832" s="1509"/>
      <c r="L7832" s="1509"/>
      <c r="M7832" s="1509"/>
      <c r="N7832" s="1510"/>
    </row>
    <row r="7833" spans="1:14" ht="15.6" customHeight="1">
      <c r="A7833" s="1527"/>
      <c r="B7833" s="926" t="s">
        <v>2988</v>
      </c>
      <c r="C7833" s="317"/>
      <c r="D7833" s="317"/>
      <c r="E7833" s="1315"/>
      <c r="F7833" s="317"/>
      <c r="G7833" s="317">
        <v>1</v>
      </c>
      <c r="H7833" s="857">
        <f t="shared" ref="H7833:H7848" si="149">G7833</f>
        <v>1</v>
      </c>
      <c r="I7833" s="1508"/>
      <c r="J7833" s="1509"/>
      <c r="K7833" s="1509"/>
      <c r="L7833" s="1509"/>
      <c r="M7833" s="1509"/>
      <c r="N7833" s="1510"/>
    </row>
    <row r="7834" spans="1:14" ht="15.6" customHeight="1">
      <c r="A7834" s="1527"/>
      <c r="B7834" s="926" t="s">
        <v>3574</v>
      </c>
      <c r="C7834" s="317"/>
      <c r="D7834" s="317"/>
      <c r="E7834" s="1315"/>
      <c r="F7834" s="317"/>
      <c r="G7834" s="317">
        <v>1</v>
      </c>
      <c r="H7834" s="857">
        <f t="shared" si="149"/>
        <v>1</v>
      </c>
      <c r="I7834" s="1508"/>
      <c r="J7834" s="1509"/>
      <c r="K7834" s="1509"/>
      <c r="L7834" s="1509"/>
      <c r="M7834" s="1509"/>
      <c r="N7834" s="1510"/>
    </row>
    <row r="7835" spans="1:14" ht="15.6" customHeight="1">
      <c r="A7835" s="1527"/>
      <c r="B7835" s="926" t="s">
        <v>4132</v>
      </c>
      <c r="C7835" s="317"/>
      <c r="D7835" s="317"/>
      <c r="E7835" s="1315"/>
      <c r="F7835" s="317"/>
      <c r="G7835" s="317">
        <v>1</v>
      </c>
      <c r="H7835" s="857">
        <f t="shared" si="149"/>
        <v>1</v>
      </c>
      <c r="I7835" s="1508"/>
      <c r="J7835" s="1509"/>
      <c r="K7835" s="1509"/>
      <c r="L7835" s="1509"/>
      <c r="M7835" s="1509"/>
      <c r="N7835" s="1510"/>
    </row>
    <row r="7836" spans="1:14" ht="15.6" customHeight="1">
      <c r="A7836" s="1527"/>
      <c r="B7836" s="926" t="s">
        <v>3575</v>
      </c>
      <c r="C7836" s="317"/>
      <c r="D7836" s="317"/>
      <c r="E7836" s="1315"/>
      <c r="F7836" s="317"/>
      <c r="G7836" s="317">
        <v>1</v>
      </c>
      <c r="H7836" s="857">
        <f t="shared" si="149"/>
        <v>1</v>
      </c>
      <c r="I7836" s="1508"/>
      <c r="J7836" s="1509"/>
      <c r="K7836" s="1509"/>
      <c r="L7836" s="1509"/>
      <c r="M7836" s="1509"/>
      <c r="N7836" s="1510"/>
    </row>
    <row r="7837" spans="1:14" ht="15.6" customHeight="1">
      <c r="A7837" s="1527"/>
      <c r="B7837" s="926" t="s">
        <v>4051</v>
      </c>
      <c r="C7837" s="317"/>
      <c r="D7837" s="317"/>
      <c r="E7837" s="1315"/>
      <c r="F7837" s="317"/>
      <c r="G7837" s="317">
        <v>1</v>
      </c>
      <c r="H7837" s="857">
        <f t="shared" si="149"/>
        <v>1</v>
      </c>
      <c r="I7837" s="1508"/>
      <c r="J7837" s="1509"/>
      <c r="K7837" s="1509"/>
      <c r="L7837" s="1509"/>
      <c r="M7837" s="1509"/>
      <c r="N7837" s="1510"/>
    </row>
    <row r="7838" spans="1:14" ht="15.6" customHeight="1">
      <c r="A7838" s="1527"/>
      <c r="B7838" s="926" t="s">
        <v>4052</v>
      </c>
      <c r="C7838" s="317"/>
      <c r="D7838" s="317"/>
      <c r="E7838" s="1315"/>
      <c r="F7838" s="317"/>
      <c r="G7838" s="317">
        <v>1</v>
      </c>
      <c r="H7838" s="857">
        <f t="shared" si="149"/>
        <v>1</v>
      </c>
      <c r="I7838" s="1508"/>
      <c r="J7838" s="1509"/>
      <c r="K7838" s="1509"/>
      <c r="L7838" s="1509"/>
      <c r="M7838" s="1509"/>
      <c r="N7838" s="1510"/>
    </row>
    <row r="7839" spans="1:14" ht="15.6" customHeight="1">
      <c r="A7839" s="1527"/>
      <c r="B7839" s="926" t="s">
        <v>4053</v>
      </c>
      <c r="C7839" s="317"/>
      <c r="D7839" s="317"/>
      <c r="E7839" s="1315"/>
      <c r="F7839" s="317"/>
      <c r="G7839" s="317">
        <v>1</v>
      </c>
      <c r="H7839" s="857">
        <f t="shared" si="149"/>
        <v>1</v>
      </c>
      <c r="I7839" s="1508"/>
      <c r="J7839" s="1509"/>
      <c r="K7839" s="1509"/>
      <c r="L7839" s="1509"/>
      <c r="M7839" s="1509"/>
      <c r="N7839" s="1510"/>
    </row>
    <row r="7840" spans="1:14" ht="15.6" customHeight="1">
      <c r="A7840" s="1527"/>
      <c r="B7840" s="921" t="s">
        <v>4054</v>
      </c>
      <c r="C7840" s="317"/>
      <c r="D7840" s="317"/>
      <c r="E7840" s="1315"/>
      <c r="F7840" s="317"/>
      <c r="G7840" s="317">
        <v>1</v>
      </c>
      <c r="H7840" s="857">
        <f t="shared" si="149"/>
        <v>1</v>
      </c>
      <c r="I7840" s="1508"/>
      <c r="J7840" s="1509"/>
      <c r="K7840" s="1509"/>
      <c r="L7840" s="1509"/>
      <c r="M7840" s="1509"/>
      <c r="N7840" s="1510"/>
    </row>
    <row r="7841" spans="1:14" ht="15.6" customHeight="1">
      <c r="A7841" s="1527"/>
      <c r="B7841" s="921" t="s">
        <v>4055</v>
      </c>
      <c r="C7841" s="317"/>
      <c r="D7841" s="317"/>
      <c r="E7841" s="1315"/>
      <c r="F7841" s="317"/>
      <c r="G7841" s="317">
        <v>1</v>
      </c>
      <c r="H7841" s="857">
        <f t="shared" si="149"/>
        <v>1</v>
      </c>
      <c r="I7841" s="1508"/>
      <c r="J7841" s="1509"/>
      <c r="K7841" s="1509"/>
      <c r="L7841" s="1509"/>
      <c r="M7841" s="1509"/>
      <c r="N7841" s="1510"/>
    </row>
    <row r="7842" spans="1:14" ht="15.6" customHeight="1">
      <c r="A7842" s="1527"/>
      <c r="B7842" s="921" t="s">
        <v>4056</v>
      </c>
      <c r="C7842" s="317"/>
      <c r="D7842" s="317"/>
      <c r="E7842" s="1315"/>
      <c r="F7842" s="317"/>
      <c r="G7842" s="317">
        <v>1</v>
      </c>
      <c r="H7842" s="857">
        <v>1</v>
      </c>
      <c r="I7842" s="1508"/>
      <c r="J7842" s="1509"/>
      <c r="K7842" s="1509"/>
      <c r="L7842" s="1509"/>
      <c r="M7842" s="1509"/>
      <c r="N7842" s="1510"/>
    </row>
    <row r="7843" spans="1:14" ht="15.6" customHeight="1">
      <c r="A7843" s="1527" t="s">
        <v>4080</v>
      </c>
      <c r="B7843" s="921"/>
      <c r="C7843" s="317"/>
      <c r="D7843" s="317"/>
      <c r="E7843" s="1315"/>
      <c r="F7843" s="317"/>
      <c r="G7843" s="317"/>
      <c r="H7843" s="857"/>
      <c r="I7843" s="1508"/>
      <c r="J7843" s="1509"/>
      <c r="K7843" s="1509"/>
      <c r="L7843" s="1509"/>
      <c r="M7843" s="1509"/>
      <c r="N7843" s="1510"/>
    </row>
    <row r="7844" spans="1:14" ht="15.6" customHeight="1">
      <c r="A7844" s="1527"/>
      <c r="B7844" s="959" t="s">
        <v>2727</v>
      </c>
      <c r="C7844" s="317"/>
      <c r="D7844" s="317"/>
      <c r="E7844" s="1315"/>
      <c r="F7844" s="317"/>
      <c r="G7844" s="317"/>
      <c r="H7844" s="857"/>
      <c r="I7844" s="1508"/>
      <c r="J7844" s="1509"/>
      <c r="K7844" s="1509"/>
      <c r="L7844" s="1509"/>
      <c r="M7844" s="1509"/>
      <c r="N7844" s="1510"/>
    </row>
    <row r="7845" spans="1:14" ht="15.6" customHeight="1">
      <c r="A7845" s="1527"/>
      <c r="B7845" s="926" t="s">
        <v>2974</v>
      </c>
      <c r="C7845" s="317"/>
      <c r="D7845" s="317"/>
      <c r="E7845" s="1315"/>
      <c r="F7845" s="317"/>
      <c r="G7845" s="317">
        <v>1</v>
      </c>
      <c r="H7845" s="857">
        <v>1</v>
      </c>
      <c r="I7845" s="1508"/>
      <c r="J7845" s="1509"/>
      <c r="K7845" s="1509"/>
      <c r="L7845" s="1509"/>
      <c r="M7845" s="1509"/>
      <c r="N7845" s="1510"/>
    </row>
    <row r="7846" spans="1:14" ht="15.6" customHeight="1">
      <c r="A7846" s="1527"/>
      <c r="B7846" s="926"/>
      <c r="C7846" s="317"/>
      <c r="D7846" s="317"/>
      <c r="E7846" s="1315"/>
      <c r="F7846" s="317"/>
      <c r="G7846" s="317"/>
      <c r="H7846" s="857"/>
      <c r="I7846" s="1508"/>
      <c r="J7846" s="1509"/>
      <c r="K7846" s="1509"/>
      <c r="L7846" s="1509"/>
      <c r="M7846" s="1509"/>
      <c r="N7846" s="1510"/>
    </row>
    <row r="7847" spans="1:14" ht="15.6" customHeight="1">
      <c r="A7847" s="1527"/>
      <c r="B7847" s="921"/>
      <c r="C7847" s="317"/>
      <c r="D7847" s="317"/>
      <c r="E7847" s="1315"/>
      <c r="F7847" s="317"/>
      <c r="G7847" s="317"/>
      <c r="H7847" s="857"/>
      <c r="I7847" s="1508"/>
      <c r="J7847" s="1509"/>
      <c r="K7847" s="1509"/>
      <c r="L7847" s="1509"/>
      <c r="M7847" s="1509"/>
      <c r="N7847" s="1510"/>
    </row>
    <row r="7848" spans="1:14" ht="15.6" customHeight="1">
      <c r="A7848" s="1528"/>
      <c r="B7848" s="921"/>
      <c r="C7848" s="317"/>
      <c r="D7848" s="317"/>
      <c r="E7848" s="1315"/>
      <c r="F7848" s="317"/>
      <c r="G7848" s="317"/>
      <c r="H7848" s="857">
        <f t="shared" si="149"/>
        <v>0</v>
      </c>
      <c r="I7848" s="1508"/>
      <c r="J7848" s="1509"/>
      <c r="K7848" s="1509"/>
      <c r="L7848" s="1509"/>
      <c r="M7848" s="1509"/>
      <c r="N7848" s="1510"/>
    </row>
    <row r="7849" spans="1:14" ht="15.6" customHeight="1">
      <c r="A7849" s="1519" t="s">
        <v>2218</v>
      </c>
      <c r="B7849" s="1517"/>
      <c r="C7849" s="1517"/>
      <c r="D7849" s="1517"/>
      <c r="E7849" s="1517"/>
      <c r="F7849" s="1517"/>
      <c r="G7849" s="1518"/>
      <c r="H7849" s="271">
        <f>SUM(H7823:H7848)</f>
        <v>18</v>
      </c>
      <c r="I7849" s="1508"/>
      <c r="J7849" s="1509"/>
      <c r="K7849" s="1509"/>
      <c r="L7849" s="1509"/>
      <c r="M7849" s="1509"/>
      <c r="N7849" s="1510"/>
    </row>
    <row r="7850" spans="1:14" ht="15.6" customHeight="1">
      <c r="A7850" s="1519" t="s">
        <v>2219</v>
      </c>
      <c r="B7850" s="1517"/>
      <c r="C7850" s="1517"/>
      <c r="D7850" s="1517"/>
      <c r="E7850" s="1517"/>
      <c r="F7850" s="1517"/>
      <c r="G7850" s="1518"/>
      <c r="H7850" s="325">
        <f>SUM(H7824:H7843)</f>
        <v>17</v>
      </c>
      <c r="I7850" s="1508"/>
      <c r="J7850" s="1509"/>
      <c r="K7850" s="1509"/>
      <c r="L7850" s="1509"/>
      <c r="M7850" s="1509"/>
      <c r="N7850" s="1510"/>
    </row>
    <row r="7851" spans="1:14" ht="15.6" customHeight="1" thickBot="1">
      <c r="A7851" s="1520" t="s">
        <v>2220</v>
      </c>
      <c r="B7851" s="1521"/>
      <c r="C7851" s="1521"/>
      <c r="D7851" s="1521"/>
      <c r="E7851" s="1521"/>
      <c r="F7851" s="1521"/>
      <c r="G7851" s="1522"/>
      <c r="H7851" s="216">
        <f>H7849-H7850</f>
        <v>1</v>
      </c>
      <c r="I7851" s="1511"/>
      <c r="J7851" s="1512"/>
      <c r="K7851" s="1512"/>
      <c r="L7851" s="1512"/>
      <c r="M7851" s="1512"/>
      <c r="N7851" s="1513"/>
    </row>
    <row r="7852" spans="1:14" ht="15.6" customHeight="1" thickBot="1"/>
    <row r="7853" spans="1:14" ht="24" customHeight="1">
      <c r="A7853" s="1084" t="s">
        <v>4057</v>
      </c>
      <c r="B7853" s="1494" t="str">
        <f>'27ª MEDIÇÃO '!C603</f>
        <v>Instalação de unidade evaporadora 12.000Btu's - tipo: hiwall, exclusive circuitos frigorígenos</v>
      </c>
      <c r="C7853" s="1495"/>
      <c r="D7853" s="1495"/>
      <c r="E7853" s="1495"/>
      <c r="F7853" s="1495"/>
      <c r="G7853" s="1495"/>
      <c r="H7853" s="1495"/>
      <c r="I7853" s="1495"/>
      <c r="J7853" s="1496"/>
      <c r="K7853" s="196" t="s">
        <v>28</v>
      </c>
      <c r="L7853" s="1497">
        <f>'27ª MEDIÇÃO '!F603</f>
        <v>12</v>
      </c>
      <c r="M7853" s="1498"/>
      <c r="N7853" s="197">
        <f>L7853-H7876</f>
        <v>0</v>
      </c>
    </row>
    <row r="7854" spans="1:14">
      <c r="A7854" s="1499"/>
      <c r="B7854" s="1500"/>
      <c r="C7854" s="366"/>
      <c r="D7854" s="367"/>
      <c r="E7854" s="1320"/>
      <c r="F7854" s="367"/>
      <c r="G7854" s="367"/>
      <c r="H7854" s="1503" t="s">
        <v>476</v>
      </c>
      <c r="I7854" s="1505"/>
      <c r="J7854" s="1506"/>
      <c r="K7854" s="1506"/>
      <c r="L7854" s="1506"/>
      <c r="M7854" s="1506"/>
      <c r="N7854" s="1507"/>
    </row>
    <row r="7855" spans="1:14" ht="15.6" customHeight="1">
      <c r="A7855" s="1501"/>
      <c r="B7855" s="1502"/>
      <c r="C7855" s="97" t="s">
        <v>3031</v>
      </c>
      <c r="D7855" s="97" t="s">
        <v>3214</v>
      </c>
      <c r="E7855" s="97" t="s">
        <v>3457</v>
      </c>
      <c r="F7855" s="1387"/>
      <c r="G7855" s="97" t="s">
        <v>3048</v>
      </c>
      <c r="H7855" s="1504"/>
      <c r="I7855" s="1508"/>
      <c r="J7855" s="1509"/>
      <c r="K7855" s="1509"/>
      <c r="L7855" s="1509"/>
      <c r="M7855" s="1509"/>
      <c r="N7855" s="1510"/>
    </row>
    <row r="7856" spans="1:14" ht="15.6" customHeight="1">
      <c r="A7856" s="1532" t="s">
        <v>4003</v>
      </c>
      <c r="B7856" s="959" t="s">
        <v>2727</v>
      </c>
      <c r="C7856" s="317"/>
      <c r="D7856" s="317"/>
      <c r="E7856" s="1315"/>
      <c r="F7856" s="317"/>
      <c r="G7856" s="317"/>
      <c r="H7856" s="857"/>
      <c r="I7856" s="1508"/>
      <c r="J7856" s="1509"/>
      <c r="K7856" s="1509"/>
      <c r="L7856" s="1509"/>
      <c r="M7856" s="1509"/>
      <c r="N7856" s="1510"/>
    </row>
    <row r="7857" spans="1:14" ht="15.6" customHeight="1">
      <c r="A7857" s="1527"/>
      <c r="B7857" s="926" t="s">
        <v>2974</v>
      </c>
      <c r="C7857" s="317"/>
      <c r="D7857" s="317"/>
      <c r="E7857" s="1315"/>
      <c r="F7857" s="317"/>
      <c r="G7857" s="317">
        <v>1</v>
      </c>
      <c r="H7857" s="857">
        <f>G7857</f>
        <v>1</v>
      </c>
      <c r="I7857" s="1508"/>
      <c r="J7857" s="1509"/>
      <c r="K7857" s="1509"/>
      <c r="L7857" s="1509"/>
      <c r="M7857" s="1509"/>
      <c r="N7857" s="1510"/>
    </row>
    <row r="7858" spans="1:14" ht="15.6" customHeight="1">
      <c r="A7858" s="1527"/>
      <c r="B7858" s="926" t="s">
        <v>2952</v>
      </c>
      <c r="C7858" s="317"/>
      <c r="D7858" s="317"/>
      <c r="E7858" s="1315"/>
      <c r="F7858" s="317"/>
      <c r="G7858" s="317">
        <v>1</v>
      </c>
      <c r="H7858" s="857">
        <f t="shared" ref="H7858:H7862" si="150">G7858</f>
        <v>1</v>
      </c>
      <c r="I7858" s="1508"/>
      <c r="J7858" s="1509"/>
      <c r="K7858" s="1509"/>
      <c r="L7858" s="1509"/>
      <c r="M7858" s="1509"/>
      <c r="N7858" s="1510"/>
    </row>
    <row r="7859" spans="1:14" ht="15.6" customHeight="1">
      <c r="A7859" s="1527"/>
      <c r="B7859" s="926" t="s">
        <v>4059</v>
      </c>
      <c r="C7859" s="317"/>
      <c r="D7859" s="317"/>
      <c r="E7859" s="1315"/>
      <c r="F7859" s="317"/>
      <c r="G7859" s="317">
        <v>1</v>
      </c>
      <c r="H7859" s="857">
        <f t="shared" si="150"/>
        <v>1</v>
      </c>
      <c r="I7859" s="1508"/>
      <c r="J7859" s="1509"/>
      <c r="K7859" s="1509"/>
      <c r="L7859" s="1509"/>
      <c r="M7859" s="1509"/>
      <c r="N7859" s="1510"/>
    </row>
    <row r="7860" spans="1:14" ht="15.6" customHeight="1">
      <c r="A7860" s="1527"/>
      <c r="B7860" s="926" t="s">
        <v>4058</v>
      </c>
      <c r="C7860" s="317"/>
      <c r="D7860" s="317"/>
      <c r="E7860" s="1315"/>
      <c r="F7860" s="317"/>
      <c r="G7860" s="317">
        <v>1</v>
      </c>
      <c r="H7860" s="857">
        <f t="shared" si="150"/>
        <v>1</v>
      </c>
      <c r="I7860" s="1508"/>
      <c r="J7860" s="1509"/>
      <c r="K7860" s="1509"/>
      <c r="L7860" s="1509"/>
      <c r="M7860" s="1509"/>
      <c r="N7860" s="1510"/>
    </row>
    <row r="7861" spans="1:14" ht="15.6" customHeight="1">
      <c r="A7861" s="1527"/>
      <c r="B7861" s="926" t="s">
        <v>4060</v>
      </c>
      <c r="C7861" s="317"/>
      <c r="D7861" s="317"/>
      <c r="E7861" s="1315"/>
      <c r="F7861" s="317"/>
      <c r="G7861" s="317">
        <v>1</v>
      </c>
      <c r="H7861" s="857">
        <f t="shared" si="150"/>
        <v>1</v>
      </c>
      <c r="I7861" s="1508"/>
      <c r="J7861" s="1509"/>
      <c r="K7861" s="1509"/>
      <c r="L7861" s="1509"/>
      <c r="M7861" s="1509"/>
      <c r="N7861" s="1510"/>
    </row>
    <row r="7862" spans="1:14" ht="15.6" customHeight="1">
      <c r="A7862" s="1527"/>
      <c r="B7862" s="926" t="s">
        <v>2969</v>
      </c>
      <c r="C7862" s="317"/>
      <c r="D7862" s="317"/>
      <c r="E7862" s="1315"/>
      <c r="F7862" s="317"/>
      <c r="G7862" s="317">
        <v>1</v>
      </c>
      <c r="H7862" s="857">
        <f t="shared" si="150"/>
        <v>1</v>
      </c>
      <c r="I7862" s="1508"/>
      <c r="J7862" s="1509"/>
      <c r="K7862" s="1509"/>
      <c r="L7862" s="1509"/>
      <c r="M7862" s="1509"/>
      <c r="N7862" s="1510"/>
    </row>
    <row r="7863" spans="1:14" ht="15.6" customHeight="1">
      <c r="A7863" s="1527"/>
      <c r="B7863" s="926"/>
      <c r="C7863" s="317"/>
      <c r="D7863" s="317"/>
      <c r="E7863" s="1315"/>
      <c r="F7863" s="317"/>
      <c r="G7863" s="317"/>
      <c r="H7863" s="857"/>
      <c r="I7863" s="1508"/>
      <c r="J7863" s="1509"/>
      <c r="K7863" s="1509"/>
      <c r="L7863" s="1509"/>
      <c r="M7863" s="1509"/>
      <c r="N7863" s="1510"/>
    </row>
    <row r="7864" spans="1:14" ht="15.6" customHeight="1">
      <c r="A7864" s="1527"/>
      <c r="B7864" s="959" t="s">
        <v>2929</v>
      </c>
      <c r="C7864" s="317"/>
      <c r="D7864" s="317"/>
      <c r="E7864" s="1315"/>
      <c r="F7864" s="317"/>
      <c r="G7864" s="317"/>
      <c r="H7864" s="857"/>
      <c r="I7864" s="1508"/>
      <c r="J7864" s="1509"/>
      <c r="K7864" s="1509"/>
      <c r="L7864" s="1509"/>
      <c r="M7864" s="1509"/>
      <c r="N7864" s="1510"/>
    </row>
    <row r="7865" spans="1:14" ht="15.6" customHeight="1">
      <c r="A7865" s="1527"/>
      <c r="B7865" s="926" t="s">
        <v>2982</v>
      </c>
      <c r="C7865" s="317"/>
      <c r="D7865" s="317"/>
      <c r="E7865" s="1315"/>
      <c r="F7865" s="317"/>
      <c r="G7865" s="317">
        <v>1</v>
      </c>
      <c r="H7865" s="857">
        <f>G7865</f>
        <v>1</v>
      </c>
      <c r="I7865" s="1508"/>
      <c r="J7865" s="1509"/>
      <c r="K7865" s="1509"/>
      <c r="L7865" s="1509"/>
      <c r="M7865" s="1509"/>
      <c r="N7865" s="1510"/>
    </row>
    <row r="7866" spans="1:14" ht="15.6" customHeight="1">
      <c r="A7866" s="1527"/>
      <c r="B7866" s="926" t="s">
        <v>2342</v>
      </c>
      <c r="C7866" s="317"/>
      <c r="D7866" s="317"/>
      <c r="E7866" s="1315"/>
      <c r="F7866" s="317"/>
      <c r="G7866" s="317">
        <v>1</v>
      </c>
      <c r="H7866" s="857">
        <f t="shared" ref="H7866:H7868" si="151">G7866</f>
        <v>1</v>
      </c>
      <c r="I7866" s="1508"/>
      <c r="J7866" s="1509"/>
      <c r="K7866" s="1509"/>
      <c r="L7866" s="1509"/>
      <c r="M7866" s="1509"/>
      <c r="N7866" s="1510"/>
    </row>
    <row r="7867" spans="1:14" ht="15.6" customHeight="1">
      <c r="A7867" s="1527"/>
      <c r="B7867" s="926" t="s">
        <v>2432</v>
      </c>
      <c r="C7867" s="317"/>
      <c r="D7867" s="317"/>
      <c r="E7867" s="1315"/>
      <c r="F7867" s="317"/>
      <c r="G7867" s="317">
        <v>1</v>
      </c>
      <c r="H7867" s="857">
        <f t="shared" si="151"/>
        <v>1</v>
      </c>
      <c r="I7867" s="1508"/>
      <c r="J7867" s="1509"/>
      <c r="K7867" s="1509"/>
      <c r="L7867" s="1509"/>
      <c r="M7867" s="1509"/>
      <c r="N7867" s="1510"/>
    </row>
    <row r="7868" spans="1:14" ht="15.6" customHeight="1">
      <c r="A7868" s="1527"/>
      <c r="B7868" s="926" t="s">
        <v>2231</v>
      </c>
      <c r="C7868" s="317"/>
      <c r="D7868" s="317"/>
      <c r="E7868" s="1315"/>
      <c r="F7868" s="317"/>
      <c r="G7868" s="317">
        <v>1</v>
      </c>
      <c r="H7868" s="857">
        <f t="shared" si="151"/>
        <v>1</v>
      </c>
      <c r="I7868" s="1508"/>
      <c r="J7868" s="1509"/>
      <c r="K7868" s="1509"/>
      <c r="L7868" s="1509"/>
      <c r="M7868" s="1509"/>
      <c r="N7868" s="1510"/>
    </row>
    <row r="7869" spans="1:14" ht="15.6" customHeight="1">
      <c r="A7869" s="1527" t="s">
        <v>4080</v>
      </c>
      <c r="B7869" s="926"/>
      <c r="C7869" s="317"/>
      <c r="D7869" s="317"/>
      <c r="E7869" s="1315"/>
      <c r="F7869" s="317"/>
      <c r="G7869" s="317"/>
      <c r="H7869" s="857"/>
      <c r="I7869" s="1508"/>
      <c r="J7869" s="1509"/>
      <c r="K7869" s="1509"/>
      <c r="L7869" s="1509"/>
      <c r="M7869" s="1509"/>
      <c r="N7869" s="1510"/>
    </row>
    <row r="7870" spans="1:14" ht="15.6" customHeight="1">
      <c r="A7870" s="1527"/>
      <c r="B7870" s="959" t="s">
        <v>2727</v>
      </c>
      <c r="C7870" s="317"/>
      <c r="D7870" s="317"/>
      <c r="E7870" s="1315"/>
      <c r="F7870" s="317"/>
      <c r="G7870" s="317"/>
      <c r="H7870" s="857"/>
      <c r="I7870" s="1508"/>
      <c r="J7870" s="1509"/>
      <c r="K7870" s="1509"/>
      <c r="L7870" s="1509"/>
      <c r="M7870" s="1509"/>
      <c r="N7870" s="1510"/>
    </row>
    <row r="7871" spans="1:14" ht="15.6" customHeight="1">
      <c r="A7871" s="1527"/>
      <c r="B7871" s="926" t="s">
        <v>4133</v>
      </c>
      <c r="C7871" s="317"/>
      <c r="D7871" s="317"/>
      <c r="E7871" s="1315"/>
      <c r="F7871" s="317"/>
      <c r="G7871" s="317">
        <v>1</v>
      </c>
      <c r="H7871" s="857">
        <v>1</v>
      </c>
      <c r="I7871" s="1508"/>
      <c r="J7871" s="1509"/>
      <c r="K7871" s="1509"/>
      <c r="L7871" s="1509"/>
      <c r="M7871" s="1509"/>
      <c r="N7871" s="1510"/>
    </row>
    <row r="7872" spans="1:14" ht="15.6" customHeight="1">
      <c r="A7872" s="1527"/>
      <c r="B7872" s="926" t="s">
        <v>2231</v>
      </c>
      <c r="C7872" s="317"/>
      <c r="D7872" s="317"/>
      <c r="E7872" s="1315"/>
      <c r="F7872" s="317"/>
      <c r="G7872" s="317">
        <v>1</v>
      </c>
      <c r="H7872" s="857">
        <v>1</v>
      </c>
      <c r="I7872" s="1508"/>
      <c r="J7872" s="1509"/>
      <c r="K7872" s="1509"/>
      <c r="L7872" s="1509"/>
      <c r="M7872" s="1509"/>
      <c r="N7872" s="1510"/>
    </row>
    <row r="7873" spans="1:14" ht="15.6" customHeight="1">
      <c r="A7873" s="1527"/>
      <c r="B7873" s="921"/>
      <c r="C7873" s="317"/>
      <c r="D7873" s="317"/>
      <c r="E7873" s="1315"/>
      <c r="F7873" s="317"/>
      <c r="G7873" s="317"/>
      <c r="H7873" s="857"/>
      <c r="I7873" s="1508"/>
      <c r="J7873" s="1509"/>
      <c r="K7873" s="1509"/>
      <c r="L7873" s="1509"/>
      <c r="M7873" s="1509"/>
      <c r="N7873" s="1510"/>
    </row>
    <row r="7874" spans="1:14" ht="15.6" customHeight="1">
      <c r="A7874" s="1527"/>
      <c r="B7874" s="921"/>
      <c r="C7874" s="317"/>
      <c r="D7874" s="317"/>
      <c r="E7874" s="1315"/>
      <c r="F7874" s="317"/>
      <c r="G7874" s="317"/>
      <c r="H7874" s="857"/>
      <c r="I7874" s="1508"/>
      <c r="J7874" s="1509"/>
      <c r="K7874" s="1509"/>
      <c r="L7874" s="1509"/>
      <c r="M7874" s="1509"/>
      <c r="N7874" s="1510"/>
    </row>
    <row r="7875" spans="1:14" ht="15.6" customHeight="1">
      <c r="A7875" s="1528"/>
      <c r="B7875" s="921"/>
      <c r="C7875" s="317"/>
      <c r="D7875" s="317"/>
      <c r="E7875" s="1315"/>
      <c r="F7875" s="317"/>
      <c r="G7875" s="317"/>
      <c r="H7875" s="857"/>
      <c r="I7875" s="1508"/>
      <c r="J7875" s="1509"/>
      <c r="K7875" s="1509"/>
      <c r="L7875" s="1509"/>
      <c r="M7875" s="1509"/>
      <c r="N7875" s="1510"/>
    </row>
    <row r="7876" spans="1:14" ht="15.6" customHeight="1">
      <c r="A7876" s="1519" t="s">
        <v>2218</v>
      </c>
      <c r="B7876" s="1517"/>
      <c r="C7876" s="1517"/>
      <c r="D7876" s="1517"/>
      <c r="E7876" s="1517"/>
      <c r="F7876" s="1517"/>
      <c r="G7876" s="1518"/>
      <c r="H7876" s="271">
        <f>SUM(H7856:H7875)</f>
        <v>12</v>
      </c>
      <c r="I7876" s="1508"/>
      <c r="J7876" s="1509"/>
      <c r="K7876" s="1509"/>
      <c r="L7876" s="1509"/>
      <c r="M7876" s="1509"/>
      <c r="N7876" s="1510"/>
    </row>
    <row r="7877" spans="1:14" ht="15.6" customHeight="1">
      <c r="A7877" s="1519" t="s">
        <v>2219</v>
      </c>
      <c r="B7877" s="1517"/>
      <c r="C7877" s="1517"/>
      <c r="D7877" s="1517"/>
      <c r="E7877" s="1517"/>
      <c r="F7877" s="1517"/>
      <c r="G7877" s="1518"/>
      <c r="H7877" s="325">
        <f>SUM(H7857:H7868)</f>
        <v>10</v>
      </c>
      <c r="I7877" s="1508"/>
      <c r="J7877" s="1509"/>
      <c r="K7877" s="1509"/>
      <c r="L7877" s="1509"/>
      <c r="M7877" s="1509"/>
      <c r="N7877" s="1510"/>
    </row>
    <row r="7878" spans="1:14" ht="15.6" customHeight="1" thickBot="1">
      <c r="A7878" s="1520" t="s">
        <v>2220</v>
      </c>
      <c r="B7878" s="1521"/>
      <c r="C7878" s="1521"/>
      <c r="D7878" s="1521"/>
      <c r="E7878" s="1521"/>
      <c r="F7878" s="1521"/>
      <c r="G7878" s="1522"/>
      <c r="H7878" s="216">
        <f>H7876-H7877</f>
        <v>2</v>
      </c>
      <c r="I7878" s="1511"/>
      <c r="J7878" s="1512"/>
      <c r="K7878" s="1512"/>
      <c r="L7878" s="1512"/>
      <c r="M7878" s="1512"/>
      <c r="N7878" s="1513"/>
    </row>
    <row r="7879" spans="1:14" ht="15.6" customHeight="1" thickBot="1"/>
    <row r="7880" spans="1:14" ht="24" customHeight="1">
      <c r="A7880" s="1084" t="s">
        <v>4061</v>
      </c>
      <c r="B7880" s="1494" t="str">
        <f>'27ª MEDIÇÃO '!C604</f>
        <v>Instalação de unidade evaporadora 18.000Btu's - tipo: hiwall, exclusive circuitos frigorígenos</v>
      </c>
      <c r="C7880" s="1495"/>
      <c r="D7880" s="1495"/>
      <c r="E7880" s="1495"/>
      <c r="F7880" s="1495"/>
      <c r="G7880" s="1495"/>
      <c r="H7880" s="1495"/>
      <c r="I7880" s="1495"/>
      <c r="J7880" s="1496"/>
      <c r="K7880" s="196" t="s">
        <v>28</v>
      </c>
      <c r="L7880" s="1497">
        <f>'27ª MEDIÇÃO '!F604</f>
        <v>1</v>
      </c>
      <c r="M7880" s="1498"/>
      <c r="N7880" s="197">
        <f>L7880-H7885</f>
        <v>0</v>
      </c>
    </row>
    <row r="7881" spans="1:14">
      <c r="A7881" s="1499"/>
      <c r="B7881" s="1500"/>
      <c r="C7881" s="366"/>
      <c r="D7881" s="367"/>
      <c r="E7881" s="1320"/>
      <c r="F7881" s="367"/>
      <c r="G7881" s="367"/>
      <c r="H7881" s="1503" t="s">
        <v>476</v>
      </c>
      <c r="I7881" s="1505"/>
      <c r="J7881" s="1506"/>
      <c r="K7881" s="1506"/>
      <c r="L7881" s="1506"/>
      <c r="M7881" s="1506"/>
      <c r="N7881" s="1507"/>
    </row>
    <row r="7882" spans="1:14" ht="15.6" customHeight="1">
      <c r="A7882" s="1501"/>
      <c r="B7882" s="1502"/>
      <c r="C7882" s="97" t="s">
        <v>3031</v>
      </c>
      <c r="D7882" s="97" t="s">
        <v>3214</v>
      </c>
      <c r="E7882" s="97" t="s">
        <v>3457</v>
      </c>
      <c r="F7882" s="1387"/>
      <c r="G7882" s="97" t="s">
        <v>3048</v>
      </c>
      <c r="H7882" s="1504"/>
      <c r="I7882" s="1508"/>
      <c r="J7882" s="1509"/>
      <c r="K7882" s="1509"/>
      <c r="L7882" s="1509"/>
      <c r="M7882" s="1509"/>
      <c r="N7882" s="1510"/>
    </row>
    <row r="7883" spans="1:14" ht="15.6" customHeight="1">
      <c r="A7883" s="1536" t="s">
        <v>4003</v>
      </c>
      <c r="B7883" s="959" t="s">
        <v>2727</v>
      </c>
      <c r="C7883" s="317"/>
      <c r="D7883" s="317"/>
      <c r="E7883" s="1315"/>
      <c r="F7883" s="317"/>
      <c r="G7883" s="317"/>
      <c r="H7883" s="857"/>
      <c r="I7883" s="1508"/>
      <c r="J7883" s="1509"/>
      <c r="K7883" s="1509"/>
      <c r="L7883" s="1509"/>
      <c r="M7883" s="1509"/>
      <c r="N7883" s="1510"/>
    </row>
    <row r="7884" spans="1:14" ht="15.6" customHeight="1">
      <c r="A7884" s="1536"/>
      <c r="B7884" s="926" t="s">
        <v>3265</v>
      </c>
      <c r="C7884" s="317"/>
      <c r="D7884" s="317"/>
      <c r="E7884" s="1315"/>
      <c r="F7884" s="317"/>
      <c r="G7884" s="317">
        <v>1</v>
      </c>
      <c r="H7884" s="857">
        <f>G7884</f>
        <v>1</v>
      </c>
      <c r="I7884" s="1508"/>
      <c r="J7884" s="1509"/>
      <c r="K7884" s="1509"/>
      <c r="L7884" s="1509"/>
      <c r="M7884" s="1509"/>
      <c r="N7884" s="1510"/>
    </row>
    <row r="7885" spans="1:14" ht="15.6" customHeight="1">
      <c r="A7885" s="1519" t="s">
        <v>2218</v>
      </c>
      <c r="B7885" s="1517"/>
      <c r="C7885" s="1517"/>
      <c r="D7885" s="1517"/>
      <c r="E7885" s="1517"/>
      <c r="F7885" s="1517"/>
      <c r="G7885" s="1518"/>
      <c r="H7885" s="271">
        <f>SUM(H7883:H7884)</f>
        <v>1</v>
      </c>
      <c r="I7885" s="1508"/>
      <c r="J7885" s="1509"/>
      <c r="K7885" s="1509"/>
      <c r="L7885" s="1509"/>
      <c r="M7885" s="1509"/>
      <c r="N7885" s="1510"/>
    </row>
    <row r="7886" spans="1:14" ht="15.6" customHeight="1">
      <c r="A7886" s="1519" t="s">
        <v>2219</v>
      </c>
      <c r="B7886" s="1517"/>
      <c r="C7886" s="1517"/>
      <c r="D7886" s="1517"/>
      <c r="E7886" s="1517"/>
      <c r="F7886" s="1517"/>
      <c r="G7886" s="1518"/>
      <c r="H7886" s="325">
        <f>SUM(H7883)</f>
        <v>0</v>
      </c>
      <c r="I7886" s="1508"/>
      <c r="J7886" s="1509"/>
      <c r="K7886" s="1509"/>
      <c r="L7886" s="1509"/>
      <c r="M7886" s="1509"/>
      <c r="N7886" s="1510"/>
    </row>
    <row r="7887" spans="1:14" ht="15.6" customHeight="1" thickBot="1">
      <c r="A7887" s="1520" t="s">
        <v>2220</v>
      </c>
      <c r="B7887" s="1521"/>
      <c r="C7887" s="1521"/>
      <c r="D7887" s="1521"/>
      <c r="E7887" s="1521"/>
      <c r="F7887" s="1521"/>
      <c r="G7887" s="1522"/>
      <c r="H7887" s="216">
        <f>H7885-H7886</f>
        <v>1</v>
      </c>
      <c r="I7887" s="1511"/>
      <c r="J7887" s="1512"/>
      <c r="K7887" s="1512"/>
      <c r="L7887" s="1512"/>
      <c r="M7887" s="1512"/>
      <c r="N7887" s="1513"/>
    </row>
    <row r="7888" spans="1:14" ht="15.6" customHeight="1" thickBot="1"/>
    <row r="7889" spans="1:14" ht="24" customHeight="1">
      <c r="A7889" s="1084" t="s">
        <v>3673</v>
      </c>
      <c r="B7889" s="1494" t="s">
        <v>3671</v>
      </c>
      <c r="C7889" s="1495"/>
      <c r="D7889" s="1495"/>
      <c r="E7889" s="1495"/>
      <c r="F7889" s="1495"/>
      <c r="G7889" s="1495"/>
      <c r="H7889" s="1495"/>
      <c r="I7889" s="1495"/>
      <c r="J7889" s="1496"/>
      <c r="K7889" s="196" t="s">
        <v>28</v>
      </c>
      <c r="L7889" s="1497">
        <f>'27ª MEDIÇÃO '!F605</f>
        <v>2</v>
      </c>
      <c r="M7889" s="1498"/>
      <c r="N7889" s="197">
        <f>L7889-H7898</f>
        <v>0</v>
      </c>
    </row>
    <row r="7890" spans="1:14">
      <c r="A7890" s="1499"/>
      <c r="B7890" s="1500"/>
      <c r="C7890" s="366"/>
      <c r="D7890" s="367"/>
      <c r="E7890" s="1320"/>
      <c r="F7890" s="367"/>
      <c r="G7890" s="367"/>
      <c r="H7890" s="1503" t="s">
        <v>476</v>
      </c>
      <c r="I7890" s="1505"/>
      <c r="J7890" s="1506"/>
      <c r="K7890" s="1506"/>
      <c r="L7890" s="1506"/>
      <c r="M7890" s="1506"/>
      <c r="N7890" s="1507"/>
    </row>
    <row r="7891" spans="1:14" ht="15.6" customHeight="1">
      <c r="A7891" s="1501"/>
      <c r="B7891" s="1502"/>
      <c r="C7891" s="97" t="s">
        <v>3031</v>
      </c>
      <c r="D7891" s="97" t="s">
        <v>3214</v>
      </c>
      <c r="E7891" s="97" t="s">
        <v>3457</v>
      </c>
      <c r="F7891" s="1387"/>
      <c r="G7891" s="97" t="s">
        <v>3048</v>
      </c>
      <c r="H7891" s="1504"/>
      <c r="I7891" s="1508"/>
      <c r="J7891" s="1509"/>
      <c r="K7891" s="1509"/>
      <c r="L7891" s="1509"/>
      <c r="M7891" s="1509"/>
      <c r="N7891" s="1510"/>
    </row>
    <row r="7892" spans="1:14" ht="15.6" customHeight="1">
      <c r="A7892" s="1532" t="s">
        <v>3620</v>
      </c>
      <c r="B7892" s="959" t="s">
        <v>2727</v>
      </c>
      <c r="C7892" s="317"/>
      <c r="D7892" s="317"/>
      <c r="E7892" s="1315"/>
      <c r="F7892" s="317"/>
      <c r="G7892" s="317"/>
      <c r="H7892" s="857"/>
      <c r="I7892" s="1508"/>
      <c r="J7892" s="1509"/>
      <c r="K7892" s="1509"/>
      <c r="L7892" s="1509"/>
      <c r="M7892" s="1509"/>
      <c r="N7892" s="1510"/>
    </row>
    <row r="7893" spans="1:14" ht="15.6" customHeight="1">
      <c r="A7893" s="1527"/>
      <c r="B7893" s="921" t="s">
        <v>3672</v>
      </c>
      <c r="C7893" s="317"/>
      <c r="D7893" s="317"/>
      <c r="E7893" s="1315"/>
      <c r="F7893" s="317"/>
      <c r="G7893" s="317">
        <v>1</v>
      </c>
      <c r="H7893" s="857">
        <f>G7893</f>
        <v>1</v>
      </c>
      <c r="I7893" s="1508"/>
      <c r="J7893" s="1509"/>
      <c r="K7893" s="1509"/>
      <c r="L7893" s="1509"/>
      <c r="M7893" s="1509"/>
      <c r="N7893" s="1510"/>
    </row>
    <row r="7894" spans="1:14" ht="15.6" customHeight="1">
      <c r="A7894" s="1527"/>
      <c r="B7894" s="921"/>
      <c r="C7894" s="317"/>
      <c r="D7894" s="317"/>
      <c r="E7894" s="1315"/>
      <c r="F7894" s="317"/>
      <c r="G7894" s="317"/>
      <c r="H7894" s="857"/>
      <c r="I7894" s="1508"/>
      <c r="J7894" s="1509"/>
      <c r="K7894" s="1509"/>
      <c r="L7894" s="1509"/>
      <c r="M7894" s="1509"/>
      <c r="N7894" s="1510"/>
    </row>
    <row r="7895" spans="1:14" ht="15.6" customHeight="1">
      <c r="A7895" s="1532" t="s">
        <v>4003</v>
      </c>
      <c r="B7895" s="959" t="s">
        <v>2929</v>
      </c>
      <c r="C7895" s="317"/>
      <c r="D7895" s="317"/>
      <c r="E7895" s="1315"/>
      <c r="F7895" s="317"/>
      <c r="G7895" s="317"/>
      <c r="H7895" s="857"/>
      <c r="I7895" s="1508"/>
      <c r="J7895" s="1509"/>
      <c r="K7895" s="1509"/>
      <c r="L7895" s="1509"/>
      <c r="M7895" s="1509"/>
      <c r="N7895" s="1510"/>
    </row>
    <row r="7896" spans="1:14" ht="15.6" customHeight="1">
      <c r="A7896" s="1527"/>
      <c r="B7896" s="921" t="s">
        <v>2422</v>
      </c>
      <c r="C7896" s="317"/>
      <c r="D7896" s="317"/>
      <c r="E7896" s="1315"/>
      <c r="F7896" s="317"/>
      <c r="G7896" s="317">
        <v>1</v>
      </c>
      <c r="H7896" s="857">
        <f>G7896</f>
        <v>1</v>
      </c>
      <c r="I7896" s="1508"/>
      <c r="J7896" s="1509"/>
      <c r="K7896" s="1509"/>
      <c r="L7896" s="1509"/>
      <c r="M7896" s="1509"/>
      <c r="N7896" s="1510"/>
    </row>
    <row r="7897" spans="1:14" ht="15.6" customHeight="1">
      <c r="A7897" s="1527"/>
      <c r="B7897" s="921"/>
      <c r="C7897" s="317"/>
      <c r="D7897" s="317"/>
      <c r="E7897" s="1315"/>
      <c r="F7897" s="317"/>
      <c r="G7897" s="317"/>
      <c r="H7897" s="857"/>
      <c r="I7897" s="1508"/>
      <c r="J7897" s="1509"/>
      <c r="K7897" s="1509"/>
      <c r="L7897" s="1509"/>
      <c r="M7897" s="1509"/>
      <c r="N7897" s="1510"/>
    </row>
    <row r="7898" spans="1:14" ht="15.6" customHeight="1">
      <c r="A7898" s="1519" t="s">
        <v>2218</v>
      </c>
      <c r="B7898" s="1517"/>
      <c r="C7898" s="1517"/>
      <c r="D7898" s="1517"/>
      <c r="E7898" s="1517"/>
      <c r="F7898" s="1517"/>
      <c r="G7898" s="1518"/>
      <c r="H7898" s="271">
        <f>SUM(H7892:H7897)</f>
        <v>2</v>
      </c>
      <c r="I7898" s="1508"/>
      <c r="J7898" s="1509"/>
      <c r="K7898" s="1509"/>
      <c r="L7898" s="1509"/>
      <c r="M7898" s="1509"/>
      <c r="N7898" s="1510"/>
    </row>
    <row r="7899" spans="1:14" ht="15.6" customHeight="1">
      <c r="A7899" s="1519" t="s">
        <v>2219</v>
      </c>
      <c r="B7899" s="1517"/>
      <c r="C7899" s="1517"/>
      <c r="D7899" s="1517"/>
      <c r="E7899" s="1517"/>
      <c r="F7899" s="1517"/>
      <c r="G7899" s="1518"/>
      <c r="H7899" s="325">
        <f>SUM(H7893)</f>
        <v>1</v>
      </c>
      <c r="I7899" s="1508"/>
      <c r="J7899" s="1509"/>
      <c r="K7899" s="1509"/>
      <c r="L7899" s="1509"/>
      <c r="M7899" s="1509"/>
      <c r="N7899" s="1510"/>
    </row>
    <row r="7900" spans="1:14" ht="15.6" customHeight="1" thickBot="1">
      <c r="A7900" s="1520" t="s">
        <v>2220</v>
      </c>
      <c r="B7900" s="1521"/>
      <c r="C7900" s="1521"/>
      <c r="D7900" s="1521"/>
      <c r="E7900" s="1521"/>
      <c r="F7900" s="1521"/>
      <c r="G7900" s="1522"/>
      <c r="H7900" s="216">
        <f>H7898-H7899</f>
        <v>1</v>
      </c>
      <c r="I7900" s="1511"/>
      <c r="J7900" s="1512"/>
      <c r="K7900" s="1512"/>
      <c r="L7900" s="1512"/>
      <c r="M7900" s="1512"/>
      <c r="N7900" s="1513"/>
    </row>
    <row r="7901" spans="1:14" ht="15.6" customHeight="1" thickBot="1"/>
    <row r="7902" spans="1:14" ht="24" customHeight="1">
      <c r="A7902" s="1084" t="s">
        <v>4134</v>
      </c>
      <c r="B7902" s="1494" t="str">
        <f>'27ª MEDIÇÃO '!C606</f>
        <v>Instalação de unidade evaporadora 24.000Btu's - tipo: hiwall, exclusive circuitos frigorígenos</v>
      </c>
      <c r="C7902" s="1495"/>
      <c r="D7902" s="1495"/>
      <c r="E7902" s="1495"/>
      <c r="F7902" s="1495"/>
      <c r="G7902" s="1495"/>
      <c r="H7902" s="1495"/>
      <c r="I7902" s="1495"/>
      <c r="J7902" s="1496"/>
      <c r="K7902" s="196" t="s">
        <v>28</v>
      </c>
      <c r="L7902" s="1497">
        <f>'27ª MEDIÇÃO '!F606</f>
        <v>1</v>
      </c>
      <c r="M7902" s="1498"/>
      <c r="N7902" s="197">
        <f>L7902-H7908</f>
        <v>0</v>
      </c>
    </row>
    <row r="7903" spans="1:14">
      <c r="A7903" s="1499"/>
      <c r="B7903" s="1500"/>
      <c r="C7903" s="366"/>
      <c r="D7903" s="367"/>
      <c r="E7903" s="1320"/>
      <c r="F7903" s="367"/>
      <c r="G7903" s="367"/>
      <c r="H7903" s="1503" t="s">
        <v>476</v>
      </c>
      <c r="I7903" s="1505"/>
      <c r="J7903" s="1506"/>
      <c r="K7903" s="1506"/>
      <c r="L7903" s="1506"/>
      <c r="M7903" s="1506"/>
      <c r="N7903" s="1507"/>
    </row>
    <row r="7904" spans="1:14" ht="15.6" customHeight="1">
      <c r="A7904" s="1501"/>
      <c r="B7904" s="1502"/>
      <c r="C7904" s="97" t="s">
        <v>3031</v>
      </c>
      <c r="D7904" s="97" t="s">
        <v>3214</v>
      </c>
      <c r="E7904" s="97" t="s">
        <v>3457</v>
      </c>
      <c r="F7904" s="1387"/>
      <c r="G7904" s="97" t="s">
        <v>3048</v>
      </c>
      <c r="H7904" s="1504"/>
      <c r="I7904" s="1508"/>
      <c r="J7904" s="1509"/>
      <c r="K7904" s="1509"/>
      <c r="L7904" s="1509"/>
      <c r="M7904" s="1509"/>
      <c r="N7904" s="1510"/>
    </row>
    <row r="7905" spans="1:14" ht="15.6" customHeight="1">
      <c r="A7905" s="1532" t="s">
        <v>4080</v>
      </c>
      <c r="B7905" s="959" t="s">
        <v>2727</v>
      </c>
      <c r="C7905" s="317"/>
      <c r="D7905" s="317"/>
      <c r="E7905" s="1315"/>
      <c r="F7905" s="317"/>
      <c r="G7905" s="317"/>
      <c r="H7905" s="857"/>
      <c r="I7905" s="1508"/>
      <c r="J7905" s="1509"/>
      <c r="K7905" s="1509"/>
      <c r="L7905" s="1509"/>
      <c r="M7905" s="1509"/>
      <c r="N7905" s="1510"/>
    </row>
    <row r="7906" spans="1:14" ht="15.6" customHeight="1">
      <c r="A7906" s="1527"/>
      <c r="B7906" s="921" t="s">
        <v>3390</v>
      </c>
      <c r="C7906" s="317"/>
      <c r="D7906" s="317"/>
      <c r="E7906" s="1315"/>
      <c r="F7906" s="317"/>
      <c r="G7906" s="317">
        <v>1</v>
      </c>
      <c r="H7906" s="857">
        <f>G7906</f>
        <v>1</v>
      </c>
      <c r="I7906" s="1508"/>
      <c r="J7906" s="1509"/>
      <c r="K7906" s="1509"/>
      <c r="L7906" s="1509"/>
      <c r="M7906" s="1509"/>
      <c r="N7906" s="1510"/>
    </row>
    <row r="7907" spans="1:14" ht="15.6" customHeight="1">
      <c r="A7907" s="1527"/>
      <c r="B7907" s="921"/>
      <c r="C7907" s="317"/>
      <c r="D7907" s="317"/>
      <c r="E7907" s="1315"/>
      <c r="F7907" s="317"/>
      <c r="G7907" s="317"/>
      <c r="H7907" s="857"/>
      <c r="I7907" s="1508"/>
      <c r="J7907" s="1509"/>
      <c r="K7907" s="1509"/>
      <c r="L7907" s="1509"/>
      <c r="M7907" s="1509"/>
      <c r="N7907" s="1510"/>
    </row>
    <row r="7908" spans="1:14" ht="15.6" customHeight="1">
      <c r="A7908" s="1519" t="s">
        <v>2218</v>
      </c>
      <c r="B7908" s="1517"/>
      <c r="C7908" s="1517"/>
      <c r="D7908" s="1517"/>
      <c r="E7908" s="1517"/>
      <c r="F7908" s="1517"/>
      <c r="G7908" s="1518"/>
      <c r="H7908" s="271">
        <f>SUM(H7905:H7907)</f>
        <v>1</v>
      </c>
      <c r="I7908" s="1508"/>
      <c r="J7908" s="1509"/>
      <c r="K7908" s="1509"/>
      <c r="L7908" s="1509"/>
      <c r="M7908" s="1509"/>
      <c r="N7908" s="1510"/>
    </row>
    <row r="7909" spans="1:14" ht="15.6" customHeight="1">
      <c r="A7909" s="1519" t="s">
        <v>2219</v>
      </c>
      <c r="B7909" s="1517"/>
      <c r="C7909" s="1517"/>
      <c r="D7909" s="1517"/>
      <c r="E7909" s="1517"/>
      <c r="F7909" s="1517"/>
      <c r="G7909" s="1518"/>
      <c r="H7909" s="325">
        <v>0</v>
      </c>
      <c r="I7909" s="1508"/>
      <c r="J7909" s="1509"/>
      <c r="K7909" s="1509"/>
      <c r="L7909" s="1509"/>
      <c r="M7909" s="1509"/>
      <c r="N7909" s="1510"/>
    </row>
    <row r="7910" spans="1:14" ht="15.6" customHeight="1" thickBot="1">
      <c r="A7910" s="1520" t="s">
        <v>2220</v>
      </c>
      <c r="B7910" s="1521"/>
      <c r="C7910" s="1521"/>
      <c r="D7910" s="1521"/>
      <c r="E7910" s="1521"/>
      <c r="F7910" s="1521"/>
      <c r="G7910" s="1522"/>
      <c r="H7910" s="216">
        <f>H7908-H7909</f>
        <v>1</v>
      </c>
      <c r="I7910" s="1511"/>
      <c r="J7910" s="1512"/>
      <c r="K7910" s="1512"/>
      <c r="L7910" s="1512"/>
      <c r="M7910" s="1512"/>
      <c r="N7910" s="1513"/>
    </row>
    <row r="7911" spans="1:14" ht="15.6" customHeight="1"/>
    <row r="7912" spans="1:14" ht="25.15" customHeight="1" thickBot="1">
      <c r="A7912" s="1129" t="str">
        <f>'27ª MEDIÇÃO '!A607</f>
        <v>'1804</v>
      </c>
      <c r="B7912" s="1614" t="s">
        <v>1964</v>
      </c>
      <c r="C7912" s="1615"/>
      <c r="D7912" s="1615"/>
      <c r="E7912" s="1615"/>
      <c r="F7912" s="1615"/>
      <c r="G7912" s="1615"/>
      <c r="H7912" s="1615"/>
      <c r="I7912" s="1615"/>
      <c r="J7912" s="1615"/>
      <c r="K7912" s="1615"/>
      <c r="L7912" s="1615"/>
      <c r="M7912" s="1615"/>
      <c r="N7912" s="1616"/>
    </row>
    <row r="7913" spans="1:14" ht="24" customHeight="1">
      <c r="A7913" s="1084" t="s">
        <v>4062</v>
      </c>
      <c r="B7913" s="1494" t="str">
        <f>'27ª MEDIÇÃO '!C608</f>
        <v>Instalação de unidade condensadora 9.000Btu/h, exclusive circuitos frigorígenos, isolamento, suportes, gás refrigerante e acessórios</v>
      </c>
      <c r="C7913" s="1495"/>
      <c r="D7913" s="1495"/>
      <c r="E7913" s="1495"/>
      <c r="F7913" s="1495"/>
      <c r="G7913" s="1495"/>
      <c r="H7913" s="1495"/>
      <c r="I7913" s="1495"/>
      <c r="J7913" s="1496"/>
      <c r="K7913" s="196" t="s">
        <v>28</v>
      </c>
      <c r="L7913" s="1497">
        <f>'27ª MEDIÇÃO '!F608</f>
        <v>18</v>
      </c>
      <c r="M7913" s="1498"/>
      <c r="N7913" s="197">
        <f>L7913-H7940</f>
        <v>0</v>
      </c>
    </row>
    <row r="7914" spans="1:14">
      <c r="A7914" s="1499"/>
      <c r="B7914" s="1500"/>
      <c r="C7914" s="366"/>
      <c r="D7914" s="367"/>
      <c r="E7914" s="1320"/>
      <c r="F7914" s="367"/>
      <c r="G7914" s="367"/>
      <c r="H7914" s="1503" t="s">
        <v>476</v>
      </c>
      <c r="I7914" s="1505"/>
      <c r="J7914" s="1506"/>
      <c r="K7914" s="1506"/>
      <c r="L7914" s="1506"/>
      <c r="M7914" s="1506"/>
      <c r="N7914" s="1507"/>
    </row>
    <row r="7915" spans="1:14" ht="15.6" customHeight="1">
      <c r="A7915" s="1501"/>
      <c r="B7915" s="1502"/>
      <c r="C7915" s="97" t="s">
        <v>3031</v>
      </c>
      <c r="D7915" s="97" t="s">
        <v>3214</v>
      </c>
      <c r="E7915" s="97" t="s">
        <v>3457</v>
      </c>
      <c r="F7915" s="1387"/>
      <c r="G7915" s="97" t="s">
        <v>3048</v>
      </c>
      <c r="H7915" s="1504"/>
      <c r="I7915" s="1508"/>
      <c r="J7915" s="1509"/>
      <c r="K7915" s="1509"/>
      <c r="L7915" s="1509"/>
      <c r="M7915" s="1509"/>
      <c r="N7915" s="1510"/>
    </row>
    <row r="7916" spans="1:14" ht="15.6" customHeight="1">
      <c r="A7916" s="1532" t="s">
        <v>4003</v>
      </c>
      <c r="B7916" s="959" t="s">
        <v>2727</v>
      </c>
      <c r="C7916" s="317"/>
      <c r="D7916" s="317"/>
      <c r="E7916" s="1315"/>
      <c r="F7916" s="317"/>
      <c r="G7916" s="317"/>
      <c r="H7916" s="857"/>
      <c r="I7916" s="1508"/>
      <c r="J7916" s="1509"/>
      <c r="K7916" s="1509"/>
      <c r="L7916" s="1509"/>
      <c r="M7916" s="1509"/>
      <c r="N7916" s="1510"/>
    </row>
    <row r="7917" spans="1:14" ht="15.6" customHeight="1">
      <c r="A7917" s="1527"/>
      <c r="B7917" s="926" t="s">
        <v>4050</v>
      </c>
      <c r="C7917" s="317"/>
      <c r="D7917" s="317"/>
      <c r="E7917" s="1315"/>
      <c r="F7917" s="317"/>
      <c r="G7917" s="317">
        <v>1</v>
      </c>
      <c r="H7917" s="857">
        <f>G7917</f>
        <v>1</v>
      </c>
      <c r="I7917" s="1508"/>
      <c r="J7917" s="1509"/>
      <c r="K7917" s="1509"/>
      <c r="L7917" s="1509"/>
      <c r="M7917" s="1509"/>
      <c r="N7917" s="1510"/>
    </row>
    <row r="7918" spans="1:14" ht="15.6" customHeight="1">
      <c r="A7918" s="1527"/>
      <c r="B7918" s="926" t="s">
        <v>2776</v>
      </c>
      <c r="C7918" s="317"/>
      <c r="D7918" s="317"/>
      <c r="E7918" s="1315"/>
      <c r="F7918" s="317"/>
      <c r="G7918" s="317">
        <v>1</v>
      </c>
      <c r="H7918" s="857">
        <f t="shared" ref="H7918:H7922" si="152">G7918</f>
        <v>1</v>
      </c>
      <c r="I7918" s="1508"/>
      <c r="J7918" s="1509"/>
      <c r="K7918" s="1509"/>
      <c r="L7918" s="1509"/>
      <c r="M7918" s="1509"/>
      <c r="N7918" s="1510"/>
    </row>
    <row r="7919" spans="1:14" ht="15.6" customHeight="1">
      <c r="A7919" s="1527"/>
      <c r="B7919" s="926" t="s">
        <v>2953</v>
      </c>
      <c r="C7919" s="317"/>
      <c r="D7919" s="317"/>
      <c r="E7919" s="1315"/>
      <c r="F7919" s="317"/>
      <c r="G7919" s="317">
        <v>1</v>
      </c>
      <c r="H7919" s="857">
        <f t="shared" si="152"/>
        <v>1</v>
      </c>
      <c r="I7919" s="1508"/>
      <c r="J7919" s="1509"/>
      <c r="K7919" s="1509"/>
      <c r="L7919" s="1509"/>
      <c r="M7919" s="1509"/>
      <c r="N7919" s="1510"/>
    </row>
    <row r="7920" spans="1:14" ht="15.6" customHeight="1">
      <c r="A7920" s="1527"/>
      <c r="B7920" s="926" t="s">
        <v>2234</v>
      </c>
      <c r="C7920" s="317"/>
      <c r="D7920" s="317"/>
      <c r="E7920" s="1315"/>
      <c r="F7920" s="317"/>
      <c r="G7920" s="317">
        <v>1</v>
      </c>
      <c r="H7920" s="857">
        <f t="shared" si="152"/>
        <v>1</v>
      </c>
      <c r="I7920" s="1508"/>
      <c r="J7920" s="1509"/>
      <c r="K7920" s="1509"/>
      <c r="L7920" s="1509"/>
      <c r="M7920" s="1509"/>
      <c r="N7920" s="1510"/>
    </row>
    <row r="7921" spans="1:14" ht="15.6" customHeight="1">
      <c r="A7921" s="1527"/>
      <c r="B7921" s="926" t="s">
        <v>2967</v>
      </c>
      <c r="C7921" s="317"/>
      <c r="D7921" s="317"/>
      <c r="E7921" s="1315"/>
      <c r="F7921" s="317"/>
      <c r="G7921" s="317">
        <v>1</v>
      </c>
      <c r="H7921" s="857">
        <f t="shared" si="152"/>
        <v>1</v>
      </c>
      <c r="I7921" s="1508"/>
      <c r="J7921" s="1509"/>
      <c r="K7921" s="1509"/>
      <c r="L7921" s="1509"/>
      <c r="M7921" s="1509"/>
      <c r="N7921" s="1510"/>
    </row>
    <row r="7922" spans="1:14" ht="15.6" customHeight="1">
      <c r="A7922" s="1527"/>
      <c r="B7922" s="926" t="s">
        <v>2968</v>
      </c>
      <c r="C7922" s="317"/>
      <c r="D7922" s="317"/>
      <c r="E7922" s="1315"/>
      <c r="F7922" s="317"/>
      <c r="G7922" s="317">
        <v>1</v>
      </c>
      <c r="H7922" s="857">
        <f t="shared" si="152"/>
        <v>1</v>
      </c>
      <c r="I7922" s="1508"/>
      <c r="J7922" s="1509"/>
      <c r="K7922" s="1509"/>
      <c r="L7922" s="1509"/>
      <c r="M7922" s="1509"/>
      <c r="N7922" s="1510"/>
    </row>
    <row r="7923" spans="1:14" ht="15.6" customHeight="1">
      <c r="A7923" s="1527"/>
      <c r="B7923" s="926"/>
      <c r="C7923" s="317"/>
      <c r="D7923" s="317"/>
      <c r="E7923" s="1315"/>
      <c r="F7923" s="317"/>
      <c r="G7923" s="317"/>
      <c r="H7923" s="857"/>
      <c r="I7923" s="1508"/>
      <c r="J7923" s="1509"/>
      <c r="K7923" s="1509"/>
      <c r="L7923" s="1509"/>
      <c r="M7923" s="1509"/>
      <c r="N7923" s="1510"/>
    </row>
    <row r="7924" spans="1:14" ht="15.6" customHeight="1">
      <c r="A7924" s="1527"/>
      <c r="B7924" s="959" t="s">
        <v>2929</v>
      </c>
      <c r="C7924" s="317"/>
      <c r="D7924" s="317"/>
      <c r="E7924" s="1315"/>
      <c r="F7924" s="317"/>
      <c r="G7924" s="317"/>
      <c r="H7924" s="857"/>
      <c r="I7924" s="1508"/>
      <c r="J7924" s="1509"/>
      <c r="K7924" s="1509"/>
      <c r="L7924" s="1509"/>
      <c r="M7924" s="1509"/>
      <c r="N7924" s="1510"/>
    </row>
    <row r="7925" spans="1:14" ht="15.6" customHeight="1">
      <c r="A7925" s="1527"/>
      <c r="B7925" s="926" t="s">
        <v>2989</v>
      </c>
      <c r="C7925" s="317"/>
      <c r="D7925" s="317"/>
      <c r="E7925" s="1315"/>
      <c r="F7925" s="317"/>
      <c r="G7925" s="317">
        <v>1</v>
      </c>
      <c r="H7925" s="857">
        <f>G7925</f>
        <v>1</v>
      </c>
      <c r="I7925" s="1508"/>
      <c r="J7925" s="1509"/>
      <c r="K7925" s="1509"/>
      <c r="L7925" s="1509"/>
      <c r="M7925" s="1509"/>
      <c r="N7925" s="1510"/>
    </row>
    <row r="7926" spans="1:14" ht="15.6" customHeight="1">
      <c r="A7926" s="1527"/>
      <c r="B7926" s="926" t="s">
        <v>2988</v>
      </c>
      <c r="C7926" s="317"/>
      <c r="D7926" s="317"/>
      <c r="E7926" s="1315"/>
      <c r="F7926" s="317"/>
      <c r="G7926" s="317">
        <v>1</v>
      </c>
      <c r="H7926" s="857">
        <f t="shared" ref="H7926:H7934" si="153">G7926</f>
        <v>1</v>
      </c>
      <c r="I7926" s="1508"/>
      <c r="J7926" s="1509"/>
      <c r="K7926" s="1509"/>
      <c r="L7926" s="1509"/>
      <c r="M7926" s="1509"/>
      <c r="N7926" s="1510"/>
    </row>
    <row r="7927" spans="1:14" ht="15.6" customHeight="1">
      <c r="A7927" s="1527"/>
      <c r="B7927" s="926" t="s">
        <v>3574</v>
      </c>
      <c r="C7927" s="317"/>
      <c r="D7927" s="317"/>
      <c r="E7927" s="1315"/>
      <c r="F7927" s="317"/>
      <c r="G7927" s="317">
        <v>1</v>
      </c>
      <c r="H7927" s="857">
        <f t="shared" si="153"/>
        <v>1</v>
      </c>
      <c r="I7927" s="1508"/>
      <c r="J7927" s="1509"/>
      <c r="K7927" s="1509"/>
      <c r="L7927" s="1509"/>
      <c r="M7927" s="1509"/>
      <c r="N7927" s="1510"/>
    </row>
    <row r="7928" spans="1:14" ht="15.6" customHeight="1">
      <c r="A7928" s="1527"/>
      <c r="B7928" s="926" t="s">
        <v>2231</v>
      </c>
      <c r="C7928" s="317"/>
      <c r="D7928" s="317"/>
      <c r="E7928" s="1315"/>
      <c r="F7928" s="317"/>
      <c r="G7928" s="317">
        <v>1</v>
      </c>
      <c r="H7928" s="857">
        <f t="shared" si="153"/>
        <v>1</v>
      </c>
      <c r="I7928" s="1508"/>
      <c r="J7928" s="1509"/>
      <c r="K7928" s="1509"/>
      <c r="L7928" s="1509"/>
      <c r="M7928" s="1509"/>
      <c r="N7928" s="1510"/>
    </row>
    <row r="7929" spans="1:14" ht="15.6" customHeight="1">
      <c r="A7929" s="1527"/>
      <c r="B7929" s="926" t="s">
        <v>3575</v>
      </c>
      <c r="C7929" s="317"/>
      <c r="D7929" s="317"/>
      <c r="E7929" s="1315"/>
      <c r="F7929" s="317"/>
      <c r="G7929" s="317">
        <v>1</v>
      </c>
      <c r="H7929" s="857">
        <f t="shared" si="153"/>
        <v>1</v>
      </c>
      <c r="I7929" s="1508"/>
      <c r="J7929" s="1509"/>
      <c r="K7929" s="1509"/>
      <c r="L7929" s="1509"/>
      <c r="M7929" s="1509"/>
      <c r="N7929" s="1510"/>
    </row>
    <row r="7930" spans="1:14" ht="15.6" customHeight="1">
      <c r="A7930" s="1527"/>
      <c r="B7930" s="926" t="s">
        <v>4051</v>
      </c>
      <c r="C7930" s="317"/>
      <c r="D7930" s="317"/>
      <c r="E7930" s="1315"/>
      <c r="F7930" s="317"/>
      <c r="G7930" s="317">
        <v>1</v>
      </c>
      <c r="H7930" s="857">
        <f t="shared" si="153"/>
        <v>1</v>
      </c>
      <c r="I7930" s="1508"/>
      <c r="J7930" s="1509"/>
      <c r="K7930" s="1509"/>
      <c r="L7930" s="1509"/>
      <c r="M7930" s="1509"/>
      <c r="N7930" s="1510"/>
    </row>
    <row r="7931" spans="1:14" ht="15.6" customHeight="1">
      <c r="A7931" s="1527"/>
      <c r="B7931" s="926" t="s">
        <v>4052</v>
      </c>
      <c r="C7931" s="317"/>
      <c r="D7931" s="317"/>
      <c r="E7931" s="1315"/>
      <c r="F7931" s="317"/>
      <c r="G7931" s="317">
        <v>1</v>
      </c>
      <c r="H7931" s="857">
        <f t="shared" si="153"/>
        <v>1</v>
      </c>
      <c r="I7931" s="1508"/>
      <c r="J7931" s="1509"/>
      <c r="K7931" s="1509"/>
      <c r="L7931" s="1509"/>
      <c r="M7931" s="1509"/>
      <c r="N7931" s="1510"/>
    </row>
    <row r="7932" spans="1:14" ht="15.6" customHeight="1">
      <c r="A7932" s="1527"/>
      <c r="B7932" s="926" t="s">
        <v>4053</v>
      </c>
      <c r="C7932" s="317"/>
      <c r="D7932" s="317"/>
      <c r="E7932" s="1315"/>
      <c r="F7932" s="317"/>
      <c r="G7932" s="317">
        <v>1</v>
      </c>
      <c r="H7932" s="857">
        <f t="shared" si="153"/>
        <v>1</v>
      </c>
      <c r="I7932" s="1508"/>
      <c r="J7932" s="1509"/>
      <c r="K7932" s="1509"/>
      <c r="L7932" s="1509"/>
      <c r="M7932" s="1509"/>
      <c r="N7932" s="1510"/>
    </row>
    <row r="7933" spans="1:14" ht="15.6" customHeight="1">
      <c r="A7933" s="1527"/>
      <c r="B7933" s="921" t="s">
        <v>4054</v>
      </c>
      <c r="C7933" s="317"/>
      <c r="D7933" s="317"/>
      <c r="E7933" s="1315"/>
      <c r="F7933" s="317"/>
      <c r="G7933" s="317">
        <v>1</v>
      </c>
      <c r="H7933" s="857">
        <f t="shared" si="153"/>
        <v>1</v>
      </c>
      <c r="I7933" s="1508"/>
      <c r="J7933" s="1509"/>
      <c r="K7933" s="1509"/>
      <c r="L7933" s="1509"/>
      <c r="M7933" s="1509"/>
      <c r="N7933" s="1510"/>
    </row>
    <row r="7934" spans="1:14" ht="15.6" customHeight="1">
      <c r="A7934" s="1527"/>
      <c r="B7934" s="921" t="s">
        <v>4055</v>
      </c>
      <c r="C7934" s="317"/>
      <c r="D7934" s="317"/>
      <c r="E7934" s="1315"/>
      <c r="F7934" s="317"/>
      <c r="G7934" s="317">
        <v>1</v>
      </c>
      <c r="H7934" s="857">
        <f t="shared" si="153"/>
        <v>1</v>
      </c>
      <c r="I7934" s="1508"/>
      <c r="J7934" s="1509"/>
      <c r="K7934" s="1509"/>
      <c r="L7934" s="1509"/>
      <c r="M7934" s="1509"/>
      <c r="N7934" s="1510"/>
    </row>
    <row r="7935" spans="1:14" ht="15.6" customHeight="1">
      <c r="A7935" s="1527"/>
      <c r="B7935" s="921" t="s">
        <v>4056</v>
      </c>
      <c r="C7935" s="317"/>
      <c r="D7935" s="317"/>
      <c r="E7935" s="1315"/>
      <c r="F7935" s="317"/>
      <c r="G7935" s="317">
        <v>1</v>
      </c>
      <c r="H7935" s="857">
        <v>1</v>
      </c>
      <c r="I7935" s="1508"/>
      <c r="J7935" s="1509"/>
      <c r="K7935" s="1509"/>
      <c r="L7935" s="1509"/>
      <c r="M7935" s="1509"/>
      <c r="N7935" s="1510"/>
    </row>
    <row r="7936" spans="1:14" ht="15.6" customHeight="1">
      <c r="A7936" s="1527" t="s">
        <v>4080</v>
      </c>
      <c r="B7936" s="921"/>
      <c r="C7936" s="317"/>
      <c r="D7936" s="317"/>
      <c r="E7936" s="1315"/>
      <c r="F7936" s="317"/>
      <c r="G7936" s="317"/>
      <c r="H7936" s="857"/>
      <c r="I7936" s="1508"/>
      <c r="J7936" s="1509"/>
      <c r="K7936" s="1509"/>
      <c r="L7936" s="1509"/>
      <c r="M7936" s="1509"/>
      <c r="N7936" s="1510"/>
    </row>
    <row r="7937" spans="1:14" ht="15.6" customHeight="1">
      <c r="A7937" s="1527"/>
      <c r="B7937" s="959" t="s">
        <v>2727</v>
      </c>
      <c r="C7937" s="317"/>
      <c r="D7937" s="317"/>
      <c r="E7937" s="1315"/>
      <c r="F7937" s="317"/>
      <c r="G7937" s="317"/>
      <c r="H7937" s="857"/>
      <c r="I7937" s="1508"/>
      <c r="J7937" s="1509"/>
      <c r="K7937" s="1509"/>
      <c r="L7937" s="1509"/>
      <c r="M7937" s="1509"/>
      <c r="N7937" s="1510"/>
    </row>
    <row r="7938" spans="1:14" ht="15.6" customHeight="1">
      <c r="A7938" s="1527"/>
      <c r="B7938" s="926" t="s">
        <v>2974</v>
      </c>
      <c r="C7938" s="317"/>
      <c r="D7938" s="317"/>
      <c r="E7938" s="1315"/>
      <c r="F7938" s="317"/>
      <c r="G7938" s="317">
        <v>1</v>
      </c>
      <c r="H7938" s="857">
        <v>1</v>
      </c>
      <c r="I7938" s="1508"/>
      <c r="J7938" s="1509"/>
      <c r="K7938" s="1509"/>
      <c r="L7938" s="1509"/>
      <c r="M7938" s="1509"/>
      <c r="N7938" s="1510"/>
    </row>
    <row r="7939" spans="1:14" ht="15.6" customHeight="1">
      <c r="A7939" s="1528"/>
      <c r="B7939" s="921"/>
      <c r="C7939" s="317"/>
      <c r="D7939" s="317"/>
      <c r="E7939" s="1315"/>
      <c r="F7939" s="317"/>
      <c r="G7939" s="317"/>
      <c r="H7939" s="857"/>
      <c r="I7939" s="1508"/>
      <c r="J7939" s="1509"/>
      <c r="K7939" s="1509"/>
      <c r="L7939" s="1509"/>
      <c r="M7939" s="1509"/>
      <c r="N7939" s="1510"/>
    </row>
    <row r="7940" spans="1:14" ht="15.6" customHeight="1">
      <c r="A7940" s="1519" t="s">
        <v>2218</v>
      </c>
      <c r="B7940" s="1517"/>
      <c r="C7940" s="1517"/>
      <c r="D7940" s="1517"/>
      <c r="E7940" s="1517"/>
      <c r="F7940" s="1517"/>
      <c r="G7940" s="1518"/>
      <c r="H7940" s="271">
        <f>SUM(H7916:H7939)</f>
        <v>18</v>
      </c>
      <c r="I7940" s="1508"/>
      <c r="J7940" s="1509"/>
      <c r="K7940" s="1509"/>
      <c r="L7940" s="1509"/>
      <c r="M7940" s="1509"/>
      <c r="N7940" s="1510"/>
    </row>
    <row r="7941" spans="1:14" ht="15.6" customHeight="1">
      <c r="A7941" s="1519" t="s">
        <v>2219</v>
      </c>
      <c r="B7941" s="1517"/>
      <c r="C7941" s="1517"/>
      <c r="D7941" s="1517"/>
      <c r="E7941" s="1517"/>
      <c r="F7941" s="1517"/>
      <c r="G7941" s="1518"/>
      <c r="H7941" s="325">
        <f>SUM(H7917:H7935)</f>
        <v>17</v>
      </c>
      <c r="I7941" s="1508"/>
      <c r="J7941" s="1509"/>
      <c r="K7941" s="1509"/>
      <c r="L7941" s="1509"/>
      <c r="M7941" s="1509"/>
      <c r="N7941" s="1510"/>
    </row>
    <row r="7942" spans="1:14" ht="15.6" customHeight="1" thickBot="1">
      <c r="A7942" s="1520" t="s">
        <v>2220</v>
      </c>
      <c r="B7942" s="1521"/>
      <c r="C7942" s="1521"/>
      <c r="D7942" s="1521"/>
      <c r="E7942" s="1521"/>
      <c r="F7942" s="1521"/>
      <c r="G7942" s="1522"/>
      <c r="H7942" s="216">
        <f>H7940-H7941</f>
        <v>1</v>
      </c>
      <c r="I7942" s="1511"/>
      <c r="J7942" s="1512"/>
      <c r="K7942" s="1512"/>
      <c r="L7942" s="1512"/>
      <c r="M7942" s="1512"/>
      <c r="N7942" s="1513"/>
    </row>
    <row r="7943" spans="1:14" ht="15.6" customHeight="1" thickBot="1"/>
    <row r="7944" spans="1:14" ht="24" customHeight="1">
      <c r="A7944" s="1084" t="s">
        <v>4063</v>
      </c>
      <c r="B7944" s="1494" t="str">
        <f>'27ª MEDIÇÃO '!C609</f>
        <v>Instalação de unidade condensadora 12.000Btu/h, exclusive circuitos frigorígenos, isolamento, suportes, gás refrigerante e acessórios</v>
      </c>
      <c r="C7944" s="1495"/>
      <c r="D7944" s="1495"/>
      <c r="E7944" s="1495"/>
      <c r="F7944" s="1495"/>
      <c r="G7944" s="1495"/>
      <c r="H7944" s="1495"/>
      <c r="I7944" s="1495"/>
      <c r="J7944" s="1496"/>
      <c r="K7944" s="196" t="s">
        <v>28</v>
      </c>
      <c r="L7944" s="1497">
        <f>'27ª MEDIÇÃO '!F609</f>
        <v>12</v>
      </c>
      <c r="M7944" s="1498"/>
      <c r="N7944" s="197">
        <f>L7944-H7967</f>
        <v>0</v>
      </c>
    </row>
    <row r="7945" spans="1:14">
      <c r="A7945" s="1499"/>
      <c r="B7945" s="1500"/>
      <c r="C7945" s="366"/>
      <c r="D7945" s="367"/>
      <c r="E7945" s="1320"/>
      <c r="F7945" s="367"/>
      <c r="G7945" s="367"/>
      <c r="H7945" s="1503" t="s">
        <v>476</v>
      </c>
      <c r="I7945" s="1505"/>
      <c r="J7945" s="1506"/>
      <c r="K7945" s="1506"/>
      <c r="L7945" s="1506"/>
      <c r="M7945" s="1506"/>
      <c r="N7945" s="1507"/>
    </row>
    <row r="7946" spans="1:14" ht="15.6" customHeight="1">
      <c r="A7946" s="1501"/>
      <c r="B7946" s="1502"/>
      <c r="C7946" s="97" t="s">
        <v>3031</v>
      </c>
      <c r="D7946" s="97" t="s">
        <v>3214</v>
      </c>
      <c r="E7946" s="97" t="s">
        <v>3457</v>
      </c>
      <c r="F7946" s="1387"/>
      <c r="G7946" s="97" t="s">
        <v>3048</v>
      </c>
      <c r="H7946" s="1504"/>
      <c r="I7946" s="1508"/>
      <c r="J7946" s="1509"/>
      <c r="K7946" s="1509"/>
      <c r="L7946" s="1509"/>
      <c r="M7946" s="1509"/>
      <c r="N7946" s="1510"/>
    </row>
    <row r="7947" spans="1:14" ht="15.6" customHeight="1">
      <c r="A7947" s="1532" t="s">
        <v>4003</v>
      </c>
      <c r="B7947" s="959" t="s">
        <v>2727</v>
      </c>
      <c r="C7947" s="317"/>
      <c r="D7947" s="317"/>
      <c r="E7947" s="1315"/>
      <c r="F7947" s="317"/>
      <c r="G7947" s="317"/>
      <c r="H7947" s="857"/>
      <c r="I7947" s="1508"/>
      <c r="J7947" s="1509"/>
      <c r="K7947" s="1509"/>
      <c r="L7947" s="1509"/>
      <c r="M7947" s="1509"/>
      <c r="N7947" s="1510"/>
    </row>
    <row r="7948" spans="1:14" ht="15.6" customHeight="1">
      <c r="A7948" s="1527"/>
      <c r="B7948" s="926" t="s">
        <v>2974</v>
      </c>
      <c r="C7948" s="317"/>
      <c r="D7948" s="317"/>
      <c r="E7948" s="1315"/>
      <c r="F7948" s="317"/>
      <c r="G7948" s="317">
        <v>1</v>
      </c>
      <c r="H7948" s="857">
        <f>G7948</f>
        <v>1</v>
      </c>
      <c r="I7948" s="1508"/>
      <c r="J7948" s="1509"/>
      <c r="K7948" s="1509"/>
      <c r="L7948" s="1509"/>
      <c r="M7948" s="1509"/>
      <c r="N7948" s="1510"/>
    </row>
    <row r="7949" spans="1:14" ht="15.6" customHeight="1">
      <c r="A7949" s="1527"/>
      <c r="B7949" s="926" t="s">
        <v>2952</v>
      </c>
      <c r="C7949" s="317"/>
      <c r="D7949" s="317"/>
      <c r="E7949" s="1315"/>
      <c r="F7949" s="317"/>
      <c r="G7949" s="317">
        <v>1</v>
      </c>
      <c r="H7949" s="857">
        <f t="shared" ref="H7949:H7953" si="154">G7949</f>
        <v>1</v>
      </c>
      <c r="I7949" s="1508"/>
      <c r="J7949" s="1509"/>
      <c r="K7949" s="1509"/>
      <c r="L7949" s="1509"/>
      <c r="M7949" s="1509"/>
      <c r="N7949" s="1510"/>
    </row>
    <row r="7950" spans="1:14" ht="15.6" customHeight="1">
      <c r="A7950" s="1527"/>
      <c r="B7950" s="926" t="s">
        <v>4059</v>
      </c>
      <c r="C7950" s="317"/>
      <c r="D7950" s="317"/>
      <c r="E7950" s="1315"/>
      <c r="F7950" s="317"/>
      <c r="G7950" s="317">
        <v>1</v>
      </c>
      <c r="H7950" s="857">
        <f t="shared" si="154"/>
        <v>1</v>
      </c>
      <c r="I7950" s="1508"/>
      <c r="J7950" s="1509"/>
      <c r="K7950" s="1509"/>
      <c r="L7950" s="1509"/>
      <c r="M7950" s="1509"/>
      <c r="N7950" s="1510"/>
    </row>
    <row r="7951" spans="1:14" ht="15.6" customHeight="1">
      <c r="A7951" s="1527"/>
      <c r="B7951" s="926" t="s">
        <v>4058</v>
      </c>
      <c r="C7951" s="317"/>
      <c r="D7951" s="317"/>
      <c r="E7951" s="1315"/>
      <c r="F7951" s="317"/>
      <c r="G7951" s="317">
        <v>1</v>
      </c>
      <c r="H7951" s="857">
        <f t="shared" si="154"/>
        <v>1</v>
      </c>
      <c r="I7951" s="1508"/>
      <c r="J7951" s="1509"/>
      <c r="K7951" s="1509"/>
      <c r="L7951" s="1509"/>
      <c r="M7951" s="1509"/>
      <c r="N7951" s="1510"/>
    </row>
    <row r="7952" spans="1:14" ht="15.6" customHeight="1">
      <c r="A7952" s="1527"/>
      <c r="B7952" s="926" t="s">
        <v>4060</v>
      </c>
      <c r="C7952" s="317"/>
      <c r="D7952" s="317"/>
      <c r="E7952" s="1315"/>
      <c r="F7952" s="317"/>
      <c r="G7952" s="317">
        <v>1</v>
      </c>
      <c r="H7952" s="857">
        <f t="shared" si="154"/>
        <v>1</v>
      </c>
      <c r="I7952" s="1508"/>
      <c r="J7952" s="1509"/>
      <c r="K7952" s="1509"/>
      <c r="L7952" s="1509"/>
      <c r="M7952" s="1509"/>
      <c r="N7952" s="1510"/>
    </row>
    <row r="7953" spans="1:14" ht="15.6" customHeight="1">
      <c r="A7953" s="1527"/>
      <c r="B7953" s="926" t="s">
        <v>2969</v>
      </c>
      <c r="C7953" s="317"/>
      <c r="D7953" s="317"/>
      <c r="E7953" s="1315"/>
      <c r="F7953" s="317"/>
      <c r="G7953" s="317">
        <v>1</v>
      </c>
      <c r="H7953" s="857">
        <f t="shared" si="154"/>
        <v>1</v>
      </c>
      <c r="I7953" s="1508"/>
      <c r="J7953" s="1509"/>
      <c r="K7953" s="1509"/>
      <c r="L7953" s="1509"/>
      <c r="M7953" s="1509"/>
      <c r="N7953" s="1510"/>
    </row>
    <row r="7954" spans="1:14" ht="15.6" customHeight="1">
      <c r="A7954" s="1527"/>
      <c r="B7954" s="926"/>
      <c r="C7954" s="317"/>
      <c r="D7954" s="317"/>
      <c r="E7954" s="1315"/>
      <c r="F7954" s="317"/>
      <c r="G7954" s="317"/>
      <c r="H7954" s="857"/>
      <c r="I7954" s="1508"/>
      <c r="J7954" s="1509"/>
      <c r="K7954" s="1509"/>
      <c r="L7954" s="1509"/>
      <c r="M7954" s="1509"/>
      <c r="N7954" s="1510"/>
    </row>
    <row r="7955" spans="1:14" ht="15.6" customHeight="1">
      <c r="A7955" s="1527"/>
      <c r="B7955" s="959" t="s">
        <v>2929</v>
      </c>
      <c r="C7955" s="317"/>
      <c r="D7955" s="317"/>
      <c r="E7955" s="1315"/>
      <c r="F7955" s="317"/>
      <c r="G7955" s="317"/>
      <c r="H7955" s="857"/>
      <c r="I7955" s="1508"/>
      <c r="J7955" s="1509"/>
      <c r="K7955" s="1509"/>
      <c r="L7955" s="1509"/>
      <c r="M7955" s="1509"/>
      <c r="N7955" s="1510"/>
    </row>
    <row r="7956" spans="1:14" ht="15.6" customHeight="1">
      <c r="A7956" s="1527"/>
      <c r="B7956" s="926" t="s">
        <v>2982</v>
      </c>
      <c r="C7956" s="317"/>
      <c r="D7956" s="317"/>
      <c r="E7956" s="1315"/>
      <c r="F7956" s="317"/>
      <c r="G7956" s="317">
        <v>1</v>
      </c>
      <c r="H7956" s="857">
        <f>G7956</f>
        <v>1</v>
      </c>
      <c r="I7956" s="1508"/>
      <c r="J7956" s="1509"/>
      <c r="K7956" s="1509"/>
      <c r="L7956" s="1509"/>
      <c r="M7956" s="1509"/>
      <c r="N7956" s="1510"/>
    </row>
    <row r="7957" spans="1:14" ht="15.6" customHeight="1">
      <c r="A7957" s="1527"/>
      <c r="B7957" s="926" t="s">
        <v>2342</v>
      </c>
      <c r="C7957" s="317"/>
      <c r="D7957" s="317"/>
      <c r="E7957" s="1315"/>
      <c r="F7957" s="317"/>
      <c r="G7957" s="317">
        <v>1</v>
      </c>
      <c r="H7957" s="857">
        <f t="shared" ref="H7957:H7959" si="155">G7957</f>
        <v>1</v>
      </c>
      <c r="I7957" s="1508"/>
      <c r="J7957" s="1509"/>
      <c r="K7957" s="1509"/>
      <c r="L7957" s="1509"/>
      <c r="M7957" s="1509"/>
      <c r="N7957" s="1510"/>
    </row>
    <row r="7958" spans="1:14" ht="15.6" customHeight="1">
      <c r="A7958" s="1527"/>
      <c r="B7958" s="926" t="s">
        <v>2432</v>
      </c>
      <c r="C7958" s="317"/>
      <c r="D7958" s="317"/>
      <c r="E7958" s="1315"/>
      <c r="F7958" s="317"/>
      <c r="G7958" s="317">
        <v>1</v>
      </c>
      <c r="H7958" s="857">
        <f t="shared" si="155"/>
        <v>1</v>
      </c>
      <c r="I7958" s="1508"/>
      <c r="J7958" s="1509"/>
      <c r="K7958" s="1509"/>
      <c r="L7958" s="1509"/>
      <c r="M7958" s="1509"/>
      <c r="N7958" s="1510"/>
    </row>
    <row r="7959" spans="1:14" ht="15.6" customHeight="1">
      <c r="A7959" s="1527"/>
      <c r="B7959" s="926" t="s">
        <v>2231</v>
      </c>
      <c r="C7959" s="317"/>
      <c r="D7959" s="317"/>
      <c r="E7959" s="1315"/>
      <c r="F7959" s="317"/>
      <c r="G7959" s="317">
        <v>1</v>
      </c>
      <c r="H7959" s="857">
        <f t="shared" si="155"/>
        <v>1</v>
      </c>
      <c r="I7959" s="1508"/>
      <c r="J7959" s="1509"/>
      <c r="K7959" s="1509"/>
      <c r="L7959" s="1509"/>
      <c r="M7959" s="1509"/>
      <c r="N7959" s="1510"/>
    </row>
    <row r="7960" spans="1:14" ht="15.6" customHeight="1">
      <c r="A7960" s="1527" t="s">
        <v>4080</v>
      </c>
      <c r="B7960" s="926"/>
      <c r="C7960" s="317"/>
      <c r="D7960" s="317"/>
      <c r="E7960" s="1315"/>
      <c r="F7960" s="317"/>
      <c r="G7960" s="317"/>
      <c r="H7960" s="857"/>
      <c r="I7960" s="1508"/>
      <c r="J7960" s="1509"/>
      <c r="K7960" s="1509"/>
      <c r="L7960" s="1509"/>
      <c r="M7960" s="1509"/>
      <c r="N7960" s="1510"/>
    </row>
    <row r="7961" spans="1:14" ht="15.6" customHeight="1">
      <c r="A7961" s="1527"/>
      <c r="B7961" s="959" t="s">
        <v>2727</v>
      </c>
      <c r="C7961" s="317"/>
      <c r="D7961" s="317"/>
      <c r="E7961" s="1315"/>
      <c r="F7961" s="317"/>
      <c r="G7961" s="317"/>
      <c r="H7961" s="857"/>
      <c r="I7961" s="1508"/>
      <c r="J7961" s="1509"/>
      <c r="K7961" s="1509"/>
      <c r="L7961" s="1509"/>
      <c r="M7961" s="1509"/>
      <c r="N7961" s="1510"/>
    </row>
    <row r="7962" spans="1:14" ht="15.6" customHeight="1">
      <c r="A7962" s="1527"/>
      <c r="B7962" s="926" t="s">
        <v>4133</v>
      </c>
      <c r="C7962" s="317"/>
      <c r="D7962" s="317"/>
      <c r="E7962" s="1315"/>
      <c r="F7962" s="317"/>
      <c r="G7962" s="317">
        <v>1</v>
      </c>
      <c r="H7962" s="857">
        <v>1</v>
      </c>
      <c r="I7962" s="1508"/>
      <c r="J7962" s="1509"/>
      <c r="K7962" s="1509"/>
      <c r="L7962" s="1509"/>
      <c r="M7962" s="1509"/>
      <c r="N7962" s="1510"/>
    </row>
    <row r="7963" spans="1:14" ht="15.6" customHeight="1">
      <c r="A7963" s="1527"/>
      <c r="B7963" s="926" t="s">
        <v>2231</v>
      </c>
      <c r="C7963" s="317"/>
      <c r="D7963" s="317"/>
      <c r="E7963" s="1315"/>
      <c r="F7963" s="317"/>
      <c r="G7963" s="317">
        <v>1</v>
      </c>
      <c r="H7963" s="857">
        <v>1</v>
      </c>
      <c r="I7963" s="1508"/>
      <c r="J7963" s="1509"/>
      <c r="K7963" s="1509"/>
      <c r="L7963" s="1509"/>
      <c r="M7963" s="1509"/>
      <c r="N7963" s="1510"/>
    </row>
    <row r="7964" spans="1:14" ht="15.6" customHeight="1">
      <c r="A7964" s="1527"/>
      <c r="B7964" s="921"/>
      <c r="C7964" s="317"/>
      <c r="D7964" s="317"/>
      <c r="E7964" s="1315"/>
      <c r="F7964" s="317"/>
      <c r="G7964" s="317"/>
      <c r="H7964" s="857"/>
      <c r="I7964" s="1508"/>
      <c r="J7964" s="1509"/>
      <c r="K7964" s="1509"/>
      <c r="L7964" s="1509"/>
      <c r="M7964" s="1509"/>
      <c r="N7964" s="1510"/>
    </row>
    <row r="7965" spans="1:14" ht="15.6" customHeight="1">
      <c r="A7965" s="1527"/>
      <c r="B7965" s="921"/>
      <c r="C7965" s="317"/>
      <c r="D7965" s="317"/>
      <c r="E7965" s="1315"/>
      <c r="F7965" s="317"/>
      <c r="G7965" s="317"/>
      <c r="H7965" s="857"/>
      <c r="I7965" s="1508"/>
      <c r="J7965" s="1509"/>
      <c r="K7965" s="1509"/>
      <c r="L7965" s="1509"/>
      <c r="M7965" s="1509"/>
      <c r="N7965" s="1510"/>
    </row>
    <row r="7966" spans="1:14" ht="15.6" customHeight="1">
      <c r="A7966" s="1528"/>
      <c r="B7966" s="921"/>
      <c r="C7966" s="317"/>
      <c r="D7966" s="317"/>
      <c r="E7966" s="1315"/>
      <c r="F7966" s="317"/>
      <c r="G7966" s="317"/>
      <c r="H7966" s="857"/>
      <c r="I7966" s="1508"/>
      <c r="J7966" s="1509"/>
      <c r="K7966" s="1509"/>
      <c r="L7966" s="1509"/>
      <c r="M7966" s="1509"/>
      <c r="N7966" s="1510"/>
    </row>
    <row r="7967" spans="1:14" ht="15.6" customHeight="1">
      <c r="A7967" s="1519" t="s">
        <v>2218</v>
      </c>
      <c r="B7967" s="1517"/>
      <c r="C7967" s="1517"/>
      <c r="D7967" s="1517"/>
      <c r="E7967" s="1517"/>
      <c r="F7967" s="1517"/>
      <c r="G7967" s="1518"/>
      <c r="H7967" s="271">
        <f>SUM(H7947:H7966)</f>
        <v>12</v>
      </c>
      <c r="I7967" s="1508"/>
      <c r="J7967" s="1509"/>
      <c r="K7967" s="1509"/>
      <c r="L7967" s="1509"/>
      <c r="M7967" s="1509"/>
      <c r="N7967" s="1510"/>
    </row>
    <row r="7968" spans="1:14" ht="15.6" customHeight="1">
      <c r="A7968" s="1519" t="s">
        <v>2219</v>
      </c>
      <c r="B7968" s="1517"/>
      <c r="C7968" s="1517"/>
      <c r="D7968" s="1517"/>
      <c r="E7968" s="1517"/>
      <c r="F7968" s="1517"/>
      <c r="G7968" s="1518"/>
      <c r="H7968" s="325">
        <f>SUM(H7947:H7959)</f>
        <v>10</v>
      </c>
      <c r="I7968" s="1508"/>
      <c r="J7968" s="1509"/>
      <c r="K7968" s="1509"/>
      <c r="L7968" s="1509"/>
      <c r="M7968" s="1509"/>
      <c r="N7968" s="1510"/>
    </row>
    <row r="7969" spans="1:14" ht="15.6" customHeight="1" thickBot="1">
      <c r="A7969" s="1520" t="s">
        <v>2220</v>
      </c>
      <c r="B7969" s="1521"/>
      <c r="C7969" s="1521"/>
      <c r="D7969" s="1521"/>
      <c r="E7969" s="1521"/>
      <c r="F7969" s="1521"/>
      <c r="G7969" s="1522"/>
      <c r="H7969" s="216">
        <f>H7967-H7968</f>
        <v>2</v>
      </c>
      <c r="I7969" s="1511"/>
      <c r="J7969" s="1512"/>
      <c r="K7969" s="1512"/>
      <c r="L7969" s="1512"/>
      <c r="M7969" s="1512"/>
      <c r="N7969" s="1513"/>
    </row>
    <row r="7970" spans="1:14" ht="15.6" customHeight="1" thickBot="1"/>
    <row r="7971" spans="1:14" ht="24" customHeight="1">
      <c r="A7971" s="1084" t="s">
        <v>4064</v>
      </c>
      <c r="B7971" s="1494" t="str">
        <f>'27ª MEDIÇÃO '!C610</f>
        <v>Instalação de unidade condensadora 18.000Btu/h, exclusive circuitos frigorígenos, isolamento, suportes, gás refrigerante e acessórios</v>
      </c>
      <c r="C7971" s="1495"/>
      <c r="D7971" s="1495"/>
      <c r="E7971" s="1495"/>
      <c r="F7971" s="1495"/>
      <c r="G7971" s="1495"/>
      <c r="H7971" s="1495"/>
      <c r="I7971" s="1495"/>
      <c r="J7971" s="1496"/>
      <c r="K7971" s="196" t="s">
        <v>28</v>
      </c>
      <c r="L7971" s="1497">
        <f>'27ª MEDIÇÃO '!F610</f>
        <v>1</v>
      </c>
      <c r="M7971" s="1498"/>
      <c r="N7971" s="197">
        <f>L7971-H7976</f>
        <v>0</v>
      </c>
    </row>
    <row r="7972" spans="1:14">
      <c r="A7972" s="1499"/>
      <c r="B7972" s="1500"/>
      <c r="C7972" s="366"/>
      <c r="D7972" s="367"/>
      <c r="E7972" s="1320"/>
      <c r="F7972" s="367"/>
      <c r="G7972" s="367"/>
      <c r="H7972" s="1503" t="s">
        <v>476</v>
      </c>
      <c r="I7972" s="1505"/>
      <c r="J7972" s="1506"/>
      <c r="K7972" s="1506"/>
      <c r="L7972" s="1506"/>
      <c r="M7972" s="1506"/>
      <c r="N7972" s="1507"/>
    </row>
    <row r="7973" spans="1:14" ht="15.6" customHeight="1">
      <c r="A7973" s="1501"/>
      <c r="B7973" s="1502"/>
      <c r="C7973" s="97" t="s">
        <v>3031</v>
      </c>
      <c r="D7973" s="97" t="s">
        <v>3214</v>
      </c>
      <c r="E7973" s="97" t="s">
        <v>3457</v>
      </c>
      <c r="F7973" s="1387"/>
      <c r="G7973" s="97" t="s">
        <v>3048</v>
      </c>
      <c r="H7973" s="1504"/>
      <c r="I7973" s="1508"/>
      <c r="J7973" s="1509"/>
      <c r="K7973" s="1509"/>
      <c r="L7973" s="1509"/>
      <c r="M7973" s="1509"/>
      <c r="N7973" s="1510"/>
    </row>
    <row r="7974" spans="1:14" ht="15.6" customHeight="1">
      <c r="A7974" s="1536" t="s">
        <v>4003</v>
      </c>
      <c r="B7974" s="959" t="s">
        <v>2727</v>
      </c>
      <c r="C7974" s="317"/>
      <c r="D7974" s="317"/>
      <c r="E7974" s="1315"/>
      <c r="F7974" s="317"/>
      <c r="G7974" s="317"/>
      <c r="H7974" s="857"/>
      <c r="I7974" s="1508"/>
      <c r="J7974" s="1509"/>
      <c r="K7974" s="1509"/>
      <c r="L7974" s="1509"/>
      <c r="M7974" s="1509"/>
      <c r="N7974" s="1510"/>
    </row>
    <row r="7975" spans="1:14" ht="15.6" customHeight="1">
      <c r="A7975" s="1536"/>
      <c r="B7975" s="926" t="s">
        <v>3265</v>
      </c>
      <c r="C7975" s="317"/>
      <c r="D7975" s="317"/>
      <c r="E7975" s="1315"/>
      <c r="F7975" s="317"/>
      <c r="G7975" s="317">
        <v>1</v>
      </c>
      <c r="H7975" s="857">
        <f>G7975</f>
        <v>1</v>
      </c>
      <c r="I7975" s="1508"/>
      <c r="J7975" s="1509"/>
      <c r="K7975" s="1509"/>
      <c r="L7975" s="1509"/>
      <c r="M7975" s="1509"/>
      <c r="N7975" s="1510"/>
    </row>
    <row r="7976" spans="1:14" ht="15.6" customHeight="1">
      <c r="A7976" s="1519" t="s">
        <v>2218</v>
      </c>
      <c r="B7976" s="1517"/>
      <c r="C7976" s="1517"/>
      <c r="D7976" s="1517"/>
      <c r="E7976" s="1517"/>
      <c r="F7976" s="1517"/>
      <c r="G7976" s="1518"/>
      <c r="H7976" s="271">
        <f>SUM(H7974:H7975)</f>
        <v>1</v>
      </c>
      <c r="I7976" s="1508"/>
      <c r="J7976" s="1509"/>
      <c r="K7976" s="1509"/>
      <c r="L7976" s="1509"/>
      <c r="M7976" s="1509"/>
      <c r="N7976" s="1510"/>
    </row>
    <row r="7977" spans="1:14" ht="15.6" customHeight="1">
      <c r="A7977" s="1519" t="s">
        <v>2219</v>
      </c>
      <c r="B7977" s="1517"/>
      <c r="C7977" s="1517"/>
      <c r="D7977" s="1517"/>
      <c r="E7977" s="1517"/>
      <c r="F7977" s="1517"/>
      <c r="G7977" s="1518"/>
      <c r="H7977" s="325">
        <f>SUM(H7974)</f>
        <v>0</v>
      </c>
      <c r="I7977" s="1508"/>
      <c r="J7977" s="1509"/>
      <c r="K7977" s="1509"/>
      <c r="L7977" s="1509"/>
      <c r="M7977" s="1509"/>
      <c r="N7977" s="1510"/>
    </row>
    <row r="7978" spans="1:14" ht="15.6" customHeight="1" thickBot="1">
      <c r="A7978" s="1520" t="s">
        <v>2220</v>
      </c>
      <c r="B7978" s="1521"/>
      <c r="C7978" s="1521"/>
      <c r="D7978" s="1521"/>
      <c r="E7978" s="1521"/>
      <c r="F7978" s="1521"/>
      <c r="G7978" s="1522"/>
      <c r="H7978" s="216">
        <f>H7976-H7977</f>
        <v>1</v>
      </c>
      <c r="I7978" s="1511"/>
      <c r="J7978" s="1512"/>
      <c r="K7978" s="1512"/>
      <c r="L7978" s="1512"/>
      <c r="M7978" s="1512"/>
      <c r="N7978" s="1513"/>
    </row>
    <row r="7979" spans="1:14" ht="15.6" customHeight="1" thickBot="1"/>
    <row r="7980" spans="1:14" ht="24" customHeight="1">
      <c r="A7980" s="1084" t="s">
        <v>3674</v>
      </c>
      <c r="B7980" s="1494" t="str">
        <f>'27ª MEDIÇÃO '!C611</f>
        <v>Instalação de unidade condensadora 24.000Btu/h, exclusive circuitos frigorígenos, isolamento, suportes, gás refrigerante e acessórios</v>
      </c>
      <c r="C7980" s="1495"/>
      <c r="D7980" s="1495"/>
      <c r="E7980" s="1495"/>
      <c r="F7980" s="1495"/>
      <c r="G7980" s="1495"/>
      <c r="H7980" s="1495"/>
      <c r="I7980" s="1495"/>
      <c r="J7980" s="1496"/>
      <c r="K7980" s="196" t="s">
        <v>28</v>
      </c>
      <c r="L7980" s="1497">
        <f>'27ª MEDIÇÃO '!F611</f>
        <v>2</v>
      </c>
      <c r="M7980" s="1498"/>
      <c r="N7980" s="197">
        <f>L7980-H7989</f>
        <v>0</v>
      </c>
    </row>
    <row r="7981" spans="1:14">
      <c r="A7981" s="1499"/>
      <c r="B7981" s="1500"/>
      <c r="C7981" s="366"/>
      <c r="D7981" s="367"/>
      <c r="E7981" s="1320"/>
      <c r="F7981" s="367"/>
      <c r="G7981" s="367"/>
      <c r="H7981" s="1503" t="s">
        <v>476</v>
      </c>
      <c r="I7981" s="1505"/>
      <c r="J7981" s="1506"/>
      <c r="K7981" s="1506"/>
      <c r="L7981" s="1506"/>
      <c r="M7981" s="1506"/>
      <c r="N7981" s="1507"/>
    </row>
    <row r="7982" spans="1:14" ht="15.6" customHeight="1">
      <c r="A7982" s="1501"/>
      <c r="B7982" s="1502"/>
      <c r="C7982" s="97" t="s">
        <v>3031</v>
      </c>
      <c r="D7982" s="97" t="s">
        <v>3214</v>
      </c>
      <c r="E7982" s="97" t="s">
        <v>3457</v>
      </c>
      <c r="F7982" s="1387"/>
      <c r="G7982" s="97" t="s">
        <v>3048</v>
      </c>
      <c r="H7982" s="1504"/>
      <c r="I7982" s="1508"/>
      <c r="J7982" s="1509"/>
      <c r="K7982" s="1509"/>
      <c r="L7982" s="1509"/>
      <c r="M7982" s="1509"/>
      <c r="N7982" s="1510"/>
    </row>
    <row r="7983" spans="1:14" ht="15.6" customHeight="1">
      <c r="A7983" s="1536" t="s">
        <v>4003</v>
      </c>
      <c r="B7983" s="959" t="s">
        <v>2727</v>
      </c>
      <c r="C7983" s="317"/>
      <c r="D7983" s="317"/>
      <c r="E7983" s="1315"/>
      <c r="F7983" s="317"/>
      <c r="G7983" s="317"/>
      <c r="H7983" s="857"/>
      <c r="I7983" s="1508"/>
      <c r="J7983" s="1509"/>
      <c r="K7983" s="1509"/>
      <c r="L7983" s="1509"/>
      <c r="M7983" s="1509"/>
      <c r="N7983" s="1510"/>
    </row>
    <row r="7984" spans="1:14" ht="15.6" customHeight="1">
      <c r="A7984" s="1536"/>
      <c r="B7984" s="921" t="s">
        <v>3672</v>
      </c>
      <c r="C7984" s="317"/>
      <c r="D7984" s="317"/>
      <c r="E7984" s="1315"/>
      <c r="F7984" s="317"/>
      <c r="G7984" s="317">
        <v>1</v>
      </c>
      <c r="H7984" s="857">
        <f>G7984</f>
        <v>1</v>
      </c>
      <c r="I7984" s="1508"/>
      <c r="J7984" s="1509"/>
      <c r="K7984" s="1509"/>
      <c r="L7984" s="1509"/>
      <c r="M7984" s="1509"/>
      <c r="N7984" s="1510"/>
    </row>
    <row r="7985" spans="1:14" ht="15.6" customHeight="1">
      <c r="A7985" s="1536"/>
      <c r="B7985" s="921"/>
      <c r="C7985" s="317"/>
      <c r="D7985" s="317"/>
      <c r="E7985" s="1315"/>
      <c r="F7985" s="317"/>
      <c r="G7985" s="317"/>
      <c r="H7985" s="857"/>
      <c r="I7985" s="1508"/>
      <c r="J7985" s="1509"/>
      <c r="K7985" s="1509"/>
      <c r="L7985" s="1509"/>
      <c r="M7985" s="1509"/>
      <c r="N7985" s="1510"/>
    </row>
    <row r="7986" spans="1:14" ht="15.6" customHeight="1">
      <c r="A7986" s="1536"/>
      <c r="B7986" s="959" t="s">
        <v>2929</v>
      </c>
      <c r="C7986" s="317"/>
      <c r="D7986" s="317"/>
      <c r="E7986" s="1315"/>
      <c r="F7986" s="317"/>
      <c r="G7986" s="317"/>
      <c r="H7986" s="857"/>
      <c r="I7986" s="1508"/>
      <c r="J7986" s="1509"/>
      <c r="K7986" s="1509"/>
      <c r="L7986" s="1509"/>
      <c r="M7986" s="1509"/>
      <c r="N7986" s="1510"/>
    </row>
    <row r="7987" spans="1:14" ht="15.6" customHeight="1">
      <c r="A7987" s="1536"/>
      <c r="B7987" s="921" t="s">
        <v>2422</v>
      </c>
      <c r="C7987" s="317"/>
      <c r="D7987" s="317"/>
      <c r="E7987" s="1315"/>
      <c r="F7987" s="317"/>
      <c r="G7987" s="317">
        <v>1</v>
      </c>
      <c r="H7987" s="857">
        <f>G7987</f>
        <v>1</v>
      </c>
      <c r="I7987" s="1508"/>
      <c r="J7987" s="1509"/>
      <c r="K7987" s="1509"/>
      <c r="L7987" s="1509"/>
      <c r="M7987" s="1509"/>
      <c r="N7987" s="1510"/>
    </row>
    <row r="7988" spans="1:14" ht="15.6" customHeight="1">
      <c r="A7988" s="1537"/>
      <c r="B7988" s="921"/>
      <c r="C7988" s="317"/>
      <c r="D7988" s="317"/>
      <c r="E7988" s="1315"/>
      <c r="F7988" s="317"/>
      <c r="G7988" s="317"/>
      <c r="H7988" s="857"/>
      <c r="I7988" s="1508"/>
      <c r="J7988" s="1509"/>
      <c r="K7988" s="1509"/>
      <c r="L7988" s="1509"/>
      <c r="M7988" s="1509"/>
      <c r="N7988" s="1510"/>
    </row>
    <row r="7989" spans="1:14" ht="15.6" customHeight="1">
      <c r="A7989" s="1519" t="s">
        <v>2218</v>
      </c>
      <c r="B7989" s="1517"/>
      <c r="C7989" s="1517"/>
      <c r="D7989" s="1517"/>
      <c r="E7989" s="1517"/>
      <c r="F7989" s="1517"/>
      <c r="G7989" s="1518"/>
      <c r="H7989" s="271">
        <f>SUM(H7983:H7988)</f>
        <v>2</v>
      </c>
      <c r="I7989" s="1508"/>
      <c r="J7989" s="1509"/>
      <c r="K7989" s="1509"/>
      <c r="L7989" s="1509"/>
      <c r="M7989" s="1509"/>
      <c r="N7989" s="1510"/>
    </row>
    <row r="7990" spans="1:14" ht="15.6" customHeight="1">
      <c r="A7990" s="1519" t="s">
        <v>2219</v>
      </c>
      <c r="B7990" s="1517"/>
      <c r="C7990" s="1517"/>
      <c r="D7990" s="1517"/>
      <c r="E7990" s="1517"/>
      <c r="F7990" s="1517"/>
      <c r="G7990" s="1518"/>
      <c r="H7990" s="325">
        <f>SUM(H7984)</f>
        <v>1</v>
      </c>
      <c r="I7990" s="1508"/>
      <c r="J7990" s="1509"/>
      <c r="K7990" s="1509"/>
      <c r="L7990" s="1509"/>
      <c r="M7990" s="1509"/>
      <c r="N7990" s="1510"/>
    </row>
    <row r="7991" spans="1:14" ht="15.6" customHeight="1" thickBot="1">
      <c r="A7991" s="1520" t="s">
        <v>2220</v>
      </c>
      <c r="B7991" s="1521"/>
      <c r="C7991" s="1521"/>
      <c r="D7991" s="1521"/>
      <c r="E7991" s="1521"/>
      <c r="F7991" s="1521"/>
      <c r="G7991" s="1522"/>
      <c r="H7991" s="216">
        <f>H7989-H7990</f>
        <v>1</v>
      </c>
      <c r="I7991" s="1511"/>
      <c r="J7991" s="1512"/>
      <c r="K7991" s="1512"/>
      <c r="L7991" s="1512"/>
      <c r="M7991" s="1512"/>
      <c r="N7991" s="1513"/>
    </row>
    <row r="7992" spans="1:14" ht="15.6" customHeight="1" thickBot="1"/>
    <row r="7993" spans="1:14" ht="26.25" customHeight="1">
      <c r="A7993" s="1084" t="s">
        <v>4135</v>
      </c>
      <c r="B7993" s="1494" t="str">
        <f>'27ª MEDIÇÃO '!C612</f>
        <v>Instalação de unidade condensadora 30.000Btu/h, exclusive circuitos frigorígenos, isolamento, suportes, gás refrigerante e acessórios</v>
      </c>
      <c r="C7993" s="1495"/>
      <c r="D7993" s="1495"/>
      <c r="E7993" s="1495"/>
      <c r="F7993" s="1495"/>
      <c r="G7993" s="1495"/>
      <c r="H7993" s="1495"/>
      <c r="I7993" s="1495"/>
      <c r="J7993" s="1496"/>
      <c r="K7993" s="196" t="s">
        <v>28</v>
      </c>
      <c r="L7993" s="1497">
        <f>'27ª MEDIÇÃO '!F612</f>
        <v>1</v>
      </c>
      <c r="M7993" s="1498"/>
      <c r="N7993" s="197">
        <f>L7993-H7999</f>
        <v>0</v>
      </c>
    </row>
    <row r="7994" spans="1:14" ht="15.6" customHeight="1">
      <c r="A7994" s="1499"/>
      <c r="B7994" s="1500"/>
      <c r="C7994" s="366"/>
      <c r="D7994" s="367"/>
      <c r="E7994" s="1320"/>
      <c r="F7994" s="367"/>
      <c r="G7994" s="367"/>
      <c r="H7994" s="1503" t="s">
        <v>476</v>
      </c>
      <c r="I7994" s="1505"/>
      <c r="J7994" s="1506"/>
      <c r="K7994" s="1506"/>
      <c r="L7994" s="1506"/>
      <c r="M7994" s="1506"/>
      <c r="N7994" s="1507"/>
    </row>
    <row r="7995" spans="1:14" ht="30">
      <c r="A7995" s="1501"/>
      <c r="B7995" s="1502"/>
      <c r="C7995" s="97" t="s">
        <v>3031</v>
      </c>
      <c r="D7995" s="97" t="s">
        <v>3214</v>
      </c>
      <c r="E7995" s="97" t="s">
        <v>3457</v>
      </c>
      <c r="F7995" s="574"/>
      <c r="G7995" s="97" t="s">
        <v>3048</v>
      </c>
      <c r="H7995" s="1504"/>
      <c r="I7995" s="1508"/>
      <c r="J7995" s="1509"/>
      <c r="K7995" s="1509"/>
      <c r="L7995" s="1509"/>
      <c r="M7995" s="1509"/>
      <c r="N7995" s="1510"/>
    </row>
    <row r="7996" spans="1:14">
      <c r="A7996" s="1536" t="s">
        <v>3620</v>
      </c>
      <c r="B7996" s="959" t="s">
        <v>3454</v>
      </c>
      <c r="C7996" s="317"/>
      <c r="D7996" s="317"/>
      <c r="E7996" s="1315"/>
      <c r="F7996" s="317"/>
      <c r="G7996" s="317"/>
      <c r="H7996" s="857"/>
      <c r="I7996" s="1508"/>
      <c r="J7996" s="1509"/>
      <c r="K7996" s="1509"/>
      <c r="L7996" s="1509"/>
      <c r="M7996" s="1509"/>
      <c r="N7996" s="1510"/>
    </row>
    <row r="7997" spans="1:14">
      <c r="A7997" s="1536"/>
      <c r="B7997" s="921" t="s">
        <v>4136</v>
      </c>
      <c r="C7997" s="317"/>
      <c r="D7997" s="317"/>
      <c r="E7997" s="1315"/>
      <c r="F7997" s="317"/>
      <c r="G7997" s="317">
        <v>1</v>
      </c>
      <c r="H7997" s="857">
        <f>G7997</f>
        <v>1</v>
      </c>
      <c r="I7997" s="1508"/>
      <c r="J7997" s="1509"/>
      <c r="K7997" s="1509"/>
      <c r="L7997" s="1509"/>
      <c r="M7997" s="1509"/>
      <c r="N7997" s="1510"/>
    </row>
    <row r="7998" spans="1:14">
      <c r="A7998" s="1537"/>
      <c r="B7998" s="921"/>
      <c r="C7998" s="317"/>
      <c r="D7998" s="317"/>
      <c r="E7998" s="1315"/>
      <c r="F7998" s="317"/>
      <c r="G7998" s="317"/>
      <c r="H7998" s="857"/>
      <c r="I7998" s="1508"/>
      <c r="J7998" s="1509"/>
      <c r="K7998" s="1509"/>
      <c r="L7998" s="1509"/>
      <c r="M7998" s="1509"/>
      <c r="N7998" s="1510"/>
    </row>
    <row r="7999" spans="1:14">
      <c r="A7999" s="1519" t="s">
        <v>2218</v>
      </c>
      <c r="B7999" s="1517"/>
      <c r="C7999" s="1517"/>
      <c r="D7999" s="1517"/>
      <c r="E7999" s="1517"/>
      <c r="F7999" s="1517"/>
      <c r="G7999" s="1518"/>
      <c r="H7999" s="271">
        <f>SUM(H7996:H7998)</f>
        <v>1</v>
      </c>
      <c r="I7999" s="1508"/>
      <c r="J7999" s="1509"/>
      <c r="K7999" s="1509"/>
      <c r="L7999" s="1509"/>
      <c r="M7999" s="1509"/>
      <c r="N7999" s="1510"/>
    </row>
    <row r="8000" spans="1:14">
      <c r="A8000" s="1519" t="s">
        <v>2219</v>
      </c>
      <c r="B8000" s="1517"/>
      <c r="C8000" s="1517"/>
      <c r="D8000" s="1517"/>
      <c r="E8000" s="1517"/>
      <c r="F8000" s="1517"/>
      <c r="G8000" s="1518"/>
      <c r="H8000" s="325">
        <f>SUM(H7996)</f>
        <v>0</v>
      </c>
      <c r="I8000" s="1508"/>
      <c r="J8000" s="1509"/>
      <c r="K8000" s="1509"/>
      <c r="L8000" s="1509"/>
      <c r="M8000" s="1509"/>
      <c r="N8000" s="1510"/>
    </row>
    <row r="8001" spans="1:14" ht="15.75" thickBot="1">
      <c r="A8001" s="1520" t="s">
        <v>2220</v>
      </c>
      <c r="B8001" s="1521"/>
      <c r="C8001" s="1521"/>
      <c r="D8001" s="1521"/>
      <c r="E8001" s="1521"/>
      <c r="F8001" s="1521"/>
      <c r="G8001" s="1522"/>
      <c r="H8001" s="216">
        <f>H7999-H8000</f>
        <v>1</v>
      </c>
      <c r="I8001" s="1511"/>
      <c r="J8001" s="1512"/>
      <c r="K8001" s="1512"/>
      <c r="L8001" s="1512"/>
      <c r="M8001" s="1512"/>
      <c r="N8001" s="1513"/>
    </row>
    <row r="8002" spans="1:14" ht="15.75" thickBot="1"/>
    <row r="8003" spans="1:14" ht="16.5" thickBot="1">
      <c r="A8003" s="1128">
        <v>1805</v>
      </c>
      <c r="B8003" s="1491" t="s">
        <v>3553</v>
      </c>
      <c r="C8003" s="1492"/>
      <c r="D8003" s="1492"/>
      <c r="E8003" s="1492"/>
      <c r="F8003" s="1492"/>
      <c r="G8003" s="1492"/>
      <c r="H8003" s="1492"/>
      <c r="I8003" s="1492"/>
      <c r="J8003" s="1492"/>
      <c r="K8003" s="1492"/>
      <c r="L8003" s="1492"/>
      <c r="M8003" s="1492"/>
      <c r="N8003" s="1493"/>
    </row>
    <row r="8004" spans="1:14" ht="23.25" customHeight="1">
      <c r="A8004" s="1084" t="s">
        <v>4065</v>
      </c>
      <c r="B8004" s="1494" t="s">
        <v>1984</v>
      </c>
      <c r="C8004" s="1495"/>
      <c r="D8004" s="1495"/>
      <c r="E8004" s="1495"/>
      <c r="F8004" s="1495"/>
      <c r="G8004" s="1495"/>
      <c r="H8004" s="1495"/>
      <c r="I8004" s="1495"/>
      <c r="J8004" s="1496"/>
      <c r="K8004" s="196" t="s">
        <v>28</v>
      </c>
      <c r="L8004" s="1497">
        <v>10</v>
      </c>
      <c r="M8004" s="1498"/>
      <c r="N8004" s="197">
        <f>L8004-H8010</f>
        <v>0</v>
      </c>
    </row>
    <row r="8005" spans="1:14">
      <c r="A8005" s="1499"/>
      <c r="B8005" s="1500"/>
      <c r="C8005" s="366"/>
      <c r="D8005" s="367"/>
      <c r="E8005" s="1320"/>
      <c r="F8005" s="367"/>
      <c r="G8005" s="367"/>
      <c r="H8005" s="1503" t="s">
        <v>476</v>
      </c>
      <c r="I8005" s="1505"/>
      <c r="J8005" s="1506"/>
      <c r="K8005" s="1506"/>
      <c r="L8005" s="1506"/>
      <c r="M8005" s="1506"/>
      <c r="N8005" s="1507"/>
    </row>
    <row r="8006" spans="1:14" ht="30">
      <c r="A8006" s="1501"/>
      <c r="B8006" s="1502"/>
      <c r="C8006" s="97" t="s">
        <v>44</v>
      </c>
      <c r="D8006" s="97" t="s">
        <v>3214</v>
      </c>
      <c r="E8006" s="97" t="s">
        <v>3457</v>
      </c>
      <c r="F8006" s="574"/>
      <c r="G8006" s="97" t="s">
        <v>3048</v>
      </c>
      <c r="H8006" s="1504"/>
      <c r="I8006" s="1508"/>
      <c r="J8006" s="1509"/>
      <c r="K8006" s="1509"/>
      <c r="L8006" s="1509"/>
      <c r="M8006" s="1509"/>
      <c r="N8006" s="1510"/>
    </row>
    <row r="8007" spans="1:14">
      <c r="A8007" s="1536" t="s">
        <v>4080</v>
      </c>
      <c r="B8007" s="959"/>
      <c r="C8007" s="317"/>
      <c r="D8007" s="317"/>
      <c r="E8007" s="1315"/>
      <c r="F8007" s="317"/>
      <c r="G8007" s="317"/>
      <c r="H8007" s="857"/>
      <c r="I8007" s="1508"/>
      <c r="J8007" s="1509"/>
      <c r="K8007" s="1509"/>
      <c r="L8007" s="1509"/>
      <c r="M8007" s="1509"/>
      <c r="N8007" s="1510"/>
    </row>
    <row r="8008" spans="1:14">
      <c r="A8008" s="1536"/>
      <c r="B8008" s="959" t="s">
        <v>4140</v>
      </c>
      <c r="C8008" s="317"/>
      <c r="D8008" s="317"/>
      <c r="E8008" s="1315"/>
      <c r="F8008" s="317"/>
      <c r="G8008" s="317">
        <v>10</v>
      </c>
      <c r="H8008" s="857">
        <f>G8008</f>
        <v>10</v>
      </c>
      <c r="I8008" s="1508"/>
      <c r="J8008" s="1509"/>
      <c r="K8008" s="1509"/>
      <c r="L8008" s="1509"/>
      <c r="M8008" s="1509"/>
      <c r="N8008" s="1510"/>
    </row>
    <row r="8009" spans="1:14">
      <c r="A8009" s="1537"/>
      <c r="B8009" s="921"/>
      <c r="C8009" s="317"/>
      <c r="D8009" s="317"/>
      <c r="E8009" s="1315"/>
      <c r="F8009" s="317"/>
      <c r="G8009" s="317"/>
      <c r="H8009" s="857"/>
      <c r="I8009" s="1508"/>
      <c r="J8009" s="1509"/>
      <c r="K8009" s="1509"/>
      <c r="L8009" s="1509"/>
      <c r="M8009" s="1509"/>
      <c r="N8009" s="1510"/>
    </row>
    <row r="8010" spans="1:14">
      <c r="A8010" s="1519" t="s">
        <v>2218</v>
      </c>
      <c r="B8010" s="1517"/>
      <c r="C8010" s="1517"/>
      <c r="D8010" s="1517"/>
      <c r="E8010" s="1517"/>
      <c r="F8010" s="1517"/>
      <c r="G8010" s="1518"/>
      <c r="H8010" s="271">
        <f>SUM(H8007:H8009)</f>
        <v>10</v>
      </c>
      <c r="I8010" s="1508"/>
      <c r="J8010" s="1509"/>
      <c r="K8010" s="1509"/>
      <c r="L8010" s="1509"/>
      <c r="M8010" s="1509"/>
      <c r="N8010" s="1510"/>
    </row>
    <row r="8011" spans="1:14">
      <c r="A8011" s="1519" t="s">
        <v>2219</v>
      </c>
      <c r="B8011" s="1517"/>
      <c r="C8011" s="1517"/>
      <c r="D8011" s="1517"/>
      <c r="E8011" s="1517"/>
      <c r="F8011" s="1517"/>
      <c r="G8011" s="1518"/>
      <c r="H8011" s="325">
        <f>SUM(H8005:H8006)</f>
        <v>0</v>
      </c>
      <c r="I8011" s="1508"/>
      <c r="J8011" s="1509"/>
      <c r="K8011" s="1509"/>
      <c r="L8011" s="1509"/>
      <c r="M8011" s="1509"/>
      <c r="N8011" s="1510"/>
    </row>
    <row r="8012" spans="1:14" ht="15.75" thickBot="1">
      <c r="A8012" s="1520" t="s">
        <v>2220</v>
      </c>
      <c r="B8012" s="1521"/>
      <c r="C8012" s="1521"/>
      <c r="D8012" s="1521"/>
      <c r="E8012" s="1521"/>
      <c r="F8012" s="1521"/>
      <c r="G8012" s="1522"/>
      <c r="H8012" s="216">
        <f>H8010-H8011</f>
        <v>10</v>
      </c>
      <c r="I8012" s="1511"/>
      <c r="J8012" s="1512"/>
      <c r="K8012" s="1512"/>
      <c r="L8012" s="1512"/>
      <c r="M8012" s="1512"/>
      <c r="N8012" s="1513"/>
    </row>
    <row r="8013" spans="1:14" ht="15.75" thickBot="1">
      <c r="A8013" s="1130"/>
      <c r="B8013" s="898"/>
      <c r="C8013" s="898"/>
      <c r="D8013" s="970"/>
      <c r="E8013" s="1363"/>
      <c r="F8013" s="898"/>
      <c r="G8013" s="898"/>
      <c r="H8013" s="969"/>
      <c r="I8013" s="279"/>
      <c r="J8013" s="279"/>
      <c r="K8013" s="279"/>
      <c r="L8013" s="279"/>
      <c r="M8013" s="279"/>
      <c r="N8013" s="441"/>
    </row>
    <row r="8014" spans="1:14">
      <c r="A8014" s="1084" t="s">
        <v>3675</v>
      </c>
      <c r="B8014" s="1494" t="s">
        <v>3676</v>
      </c>
      <c r="C8014" s="1495"/>
      <c r="D8014" s="1495"/>
      <c r="E8014" s="1495"/>
      <c r="F8014" s="1495"/>
      <c r="G8014" s="1495"/>
      <c r="H8014" s="1495"/>
      <c r="I8014" s="1495"/>
      <c r="J8014" s="1496"/>
      <c r="K8014" s="196" t="s">
        <v>28</v>
      </c>
      <c r="L8014" s="1497">
        <f>'27ª MEDIÇÃO '!F615</f>
        <v>2</v>
      </c>
      <c r="M8014" s="1498"/>
      <c r="N8014" s="197">
        <f>L8014-H8020</f>
        <v>0</v>
      </c>
    </row>
    <row r="8015" spans="1:14">
      <c r="A8015" s="1499"/>
      <c r="B8015" s="1500"/>
      <c r="C8015" s="366"/>
      <c r="D8015" s="367"/>
      <c r="E8015" s="1320"/>
      <c r="F8015" s="367"/>
      <c r="G8015" s="367"/>
      <c r="H8015" s="1503" t="s">
        <v>476</v>
      </c>
      <c r="I8015" s="1505"/>
      <c r="J8015" s="1506"/>
      <c r="K8015" s="1506"/>
      <c r="L8015" s="1506"/>
      <c r="M8015" s="1506"/>
      <c r="N8015" s="1507"/>
    </row>
    <row r="8016" spans="1:14" ht="30">
      <c r="A8016" s="1501"/>
      <c r="B8016" s="1502"/>
      <c r="C8016" s="97" t="s">
        <v>44</v>
      </c>
      <c r="D8016" s="97" t="s">
        <v>3214</v>
      </c>
      <c r="E8016" s="97" t="s">
        <v>3457</v>
      </c>
      <c r="F8016" s="574"/>
      <c r="G8016" s="97" t="s">
        <v>3048</v>
      </c>
      <c r="H8016" s="1504"/>
      <c r="I8016" s="1508"/>
      <c r="J8016" s="1509"/>
      <c r="K8016" s="1509"/>
      <c r="L8016" s="1509"/>
      <c r="M8016" s="1509"/>
      <c r="N8016" s="1510"/>
    </row>
    <row r="8017" spans="1:14">
      <c r="A8017" s="1536" t="s">
        <v>3620</v>
      </c>
      <c r="B8017" s="959" t="s">
        <v>3454</v>
      </c>
      <c r="C8017" s="317"/>
      <c r="D8017" s="317"/>
      <c r="E8017" s="1315"/>
      <c r="F8017" s="317"/>
      <c r="G8017" s="317">
        <v>1</v>
      </c>
      <c r="H8017" s="857">
        <f>G8017</f>
        <v>1</v>
      </c>
      <c r="I8017" s="1508"/>
      <c r="J8017" s="1509"/>
      <c r="K8017" s="1509"/>
      <c r="L8017" s="1509"/>
      <c r="M8017" s="1509"/>
      <c r="N8017" s="1510"/>
    </row>
    <row r="8018" spans="1:14">
      <c r="A8018" s="1536"/>
      <c r="B8018" s="959" t="s">
        <v>3456</v>
      </c>
      <c r="C8018" s="317"/>
      <c r="D8018" s="317"/>
      <c r="E8018" s="1315"/>
      <c r="F8018" s="317"/>
      <c r="G8018" s="317">
        <v>1</v>
      </c>
      <c r="H8018" s="857">
        <f>G8018</f>
        <v>1</v>
      </c>
      <c r="I8018" s="1508"/>
      <c r="J8018" s="1509"/>
      <c r="K8018" s="1509"/>
      <c r="L8018" s="1509"/>
      <c r="M8018" s="1509"/>
      <c r="N8018" s="1510"/>
    </row>
    <row r="8019" spans="1:14">
      <c r="A8019" s="1537"/>
      <c r="B8019" s="921"/>
      <c r="C8019" s="317"/>
      <c r="D8019" s="317"/>
      <c r="E8019" s="1315"/>
      <c r="F8019" s="317"/>
      <c r="G8019" s="317"/>
      <c r="H8019" s="857"/>
      <c r="I8019" s="1508"/>
      <c r="J8019" s="1509"/>
      <c r="K8019" s="1509"/>
      <c r="L8019" s="1509"/>
      <c r="M8019" s="1509"/>
      <c r="N8019" s="1510"/>
    </row>
    <row r="8020" spans="1:14" ht="15.6" customHeight="1">
      <c r="A8020" s="1519" t="s">
        <v>2218</v>
      </c>
      <c r="B8020" s="1517"/>
      <c r="C8020" s="1517"/>
      <c r="D8020" s="1517"/>
      <c r="E8020" s="1517"/>
      <c r="F8020" s="1517"/>
      <c r="G8020" s="1518"/>
      <c r="H8020" s="271">
        <f>SUM(H8017:H8019)</f>
        <v>2</v>
      </c>
      <c r="I8020" s="1508"/>
      <c r="J8020" s="1509"/>
      <c r="K8020" s="1509"/>
      <c r="L8020" s="1509"/>
      <c r="M8020" s="1509"/>
      <c r="N8020" s="1510"/>
    </row>
    <row r="8021" spans="1:14">
      <c r="A8021" s="1519" t="s">
        <v>2219</v>
      </c>
      <c r="B8021" s="1517"/>
      <c r="C8021" s="1517"/>
      <c r="D8021" s="1517"/>
      <c r="E8021" s="1517"/>
      <c r="F8021" s="1517"/>
      <c r="G8021" s="1518"/>
      <c r="H8021" s="325">
        <f>SUM(H8015:H8016)</f>
        <v>0</v>
      </c>
      <c r="I8021" s="1508"/>
      <c r="J8021" s="1509"/>
      <c r="K8021" s="1509"/>
      <c r="L8021" s="1509"/>
      <c r="M8021" s="1509"/>
      <c r="N8021" s="1510"/>
    </row>
    <row r="8022" spans="1:14" ht="15.75" thickBot="1">
      <c r="A8022" s="1520" t="s">
        <v>2220</v>
      </c>
      <c r="B8022" s="1521"/>
      <c r="C8022" s="1521"/>
      <c r="D8022" s="1521"/>
      <c r="E8022" s="1521"/>
      <c r="F8022" s="1521"/>
      <c r="G8022" s="1522"/>
      <c r="H8022" s="216">
        <f>H8020-H8021</f>
        <v>2</v>
      </c>
      <c r="I8022" s="1511"/>
      <c r="J8022" s="1512"/>
      <c r="K8022" s="1512"/>
      <c r="L8022" s="1512"/>
      <c r="M8022" s="1512"/>
      <c r="N8022" s="1513"/>
    </row>
    <row r="8023" spans="1:14" ht="15.75" thickBot="1">
      <c r="A8023" s="1130"/>
      <c r="B8023" s="898"/>
      <c r="C8023" s="898"/>
      <c r="D8023" s="970"/>
      <c r="E8023" s="1363"/>
      <c r="F8023" s="898"/>
      <c r="G8023" s="898"/>
      <c r="H8023" s="969"/>
      <c r="I8023" s="279"/>
      <c r="J8023" s="279"/>
      <c r="K8023" s="279"/>
      <c r="L8023" s="279"/>
      <c r="M8023" s="279"/>
      <c r="N8023" s="441"/>
    </row>
    <row r="8024" spans="1:14" ht="15.6" customHeight="1">
      <c r="A8024" s="1084" t="s">
        <v>3677</v>
      </c>
      <c r="B8024" s="1494" t="s">
        <v>3678</v>
      </c>
      <c r="C8024" s="1495"/>
      <c r="D8024" s="1495"/>
      <c r="E8024" s="1495"/>
      <c r="F8024" s="1495"/>
      <c r="G8024" s="1495"/>
      <c r="H8024" s="1495"/>
      <c r="I8024" s="1495"/>
      <c r="J8024" s="1496"/>
      <c r="K8024" s="196" t="s">
        <v>28</v>
      </c>
      <c r="L8024" s="1497">
        <f>'27ª MEDIÇÃO '!F616</f>
        <v>2</v>
      </c>
      <c r="M8024" s="1498"/>
      <c r="N8024" s="197">
        <f>L8024-H8030</f>
        <v>0</v>
      </c>
    </row>
    <row r="8025" spans="1:14" ht="15.6" customHeight="1">
      <c r="A8025" s="1499"/>
      <c r="B8025" s="1500"/>
      <c r="C8025" s="366"/>
      <c r="D8025" s="367"/>
      <c r="E8025" s="1320"/>
      <c r="F8025" s="367"/>
      <c r="G8025" s="367"/>
      <c r="H8025" s="1503" t="s">
        <v>476</v>
      </c>
      <c r="I8025" s="1505"/>
      <c r="J8025" s="1506"/>
      <c r="K8025" s="1506"/>
      <c r="L8025" s="1506"/>
      <c r="M8025" s="1506"/>
      <c r="N8025" s="1507"/>
    </row>
    <row r="8026" spans="1:14" ht="15.6" customHeight="1">
      <c r="A8026" s="1501"/>
      <c r="B8026" s="1502"/>
      <c r="C8026" s="97" t="s">
        <v>44</v>
      </c>
      <c r="D8026" s="97" t="s">
        <v>3214</v>
      </c>
      <c r="E8026" s="97" t="s">
        <v>3457</v>
      </c>
      <c r="F8026" s="574"/>
      <c r="G8026" s="97" t="s">
        <v>3048</v>
      </c>
      <c r="H8026" s="1504"/>
      <c r="I8026" s="1508"/>
      <c r="J8026" s="1509"/>
      <c r="K8026" s="1509"/>
      <c r="L8026" s="1509"/>
      <c r="M8026" s="1509"/>
      <c r="N8026" s="1510"/>
    </row>
    <row r="8027" spans="1:14" ht="15.6" customHeight="1">
      <c r="A8027" s="1536" t="s">
        <v>3620</v>
      </c>
      <c r="B8027" s="959" t="s">
        <v>3454</v>
      </c>
      <c r="C8027" s="317"/>
      <c r="D8027" s="317"/>
      <c r="E8027" s="1315"/>
      <c r="F8027" s="317"/>
      <c r="G8027" s="317">
        <v>1</v>
      </c>
      <c r="H8027" s="857">
        <f>G8027</f>
        <v>1</v>
      </c>
      <c r="I8027" s="1508"/>
      <c r="J8027" s="1509"/>
      <c r="K8027" s="1509"/>
      <c r="L8027" s="1509"/>
      <c r="M8027" s="1509"/>
      <c r="N8027" s="1510"/>
    </row>
    <row r="8028" spans="1:14" ht="15.6" customHeight="1">
      <c r="A8028" s="1536"/>
      <c r="B8028" s="959" t="s">
        <v>3456</v>
      </c>
      <c r="C8028" s="317"/>
      <c r="D8028" s="317"/>
      <c r="E8028" s="1315"/>
      <c r="F8028" s="317"/>
      <c r="G8028" s="317">
        <v>1</v>
      </c>
      <c r="H8028" s="857">
        <f>G8028</f>
        <v>1</v>
      </c>
      <c r="I8028" s="1508"/>
      <c r="J8028" s="1509"/>
      <c r="K8028" s="1509"/>
      <c r="L8028" s="1509"/>
      <c r="M8028" s="1509"/>
      <c r="N8028" s="1510"/>
    </row>
    <row r="8029" spans="1:14" ht="15.6" customHeight="1">
      <c r="A8029" s="1537"/>
      <c r="B8029" s="921"/>
      <c r="C8029" s="317"/>
      <c r="D8029" s="317"/>
      <c r="E8029" s="1315"/>
      <c r="F8029" s="317"/>
      <c r="G8029" s="317"/>
      <c r="H8029" s="857"/>
      <c r="I8029" s="1508"/>
      <c r="J8029" s="1509"/>
      <c r="K8029" s="1509"/>
      <c r="L8029" s="1509"/>
      <c r="M8029" s="1509"/>
      <c r="N8029" s="1510"/>
    </row>
    <row r="8030" spans="1:14" ht="15.6" customHeight="1">
      <c r="A8030" s="1519" t="s">
        <v>2218</v>
      </c>
      <c r="B8030" s="1517"/>
      <c r="C8030" s="1517"/>
      <c r="D8030" s="1517"/>
      <c r="E8030" s="1517"/>
      <c r="F8030" s="1517"/>
      <c r="G8030" s="1518"/>
      <c r="H8030" s="271">
        <f>SUM(H8027:H8029)</f>
        <v>2</v>
      </c>
      <c r="I8030" s="1508"/>
      <c r="J8030" s="1509"/>
      <c r="K8030" s="1509"/>
      <c r="L8030" s="1509"/>
      <c r="M8030" s="1509"/>
      <c r="N8030" s="1510"/>
    </row>
    <row r="8031" spans="1:14" ht="15.6" customHeight="1">
      <c r="A8031" s="1519" t="s">
        <v>2219</v>
      </c>
      <c r="B8031" s="1517"/>
      <c r="C8031" s="1517"/>
      <c r="D8031" s="1517"/>
      <c r="E8031" s="1517"/>
      <c r="F8031" s="1517"/>
      <c r="G8031" s="1518"/>
      <c r="H8031" s="325">
        <f>SUM(H8025:H8026)</f>
        <v>0</v>
      </c>
      <c r="I8031" s="1508"/>
      <c r="J8031" s="1509"/>
      <c r="K8031" s="1509"/>
      <c r="L8031" s="1509"/>
      <c r="M8031" s="1509"/>
      <c r="N8031" s="1510"/>
    </row>
    <row r="8032" spans="1:14" ht="15.6" customHeight="1" thickBot="1">
      <c r="A8032" s="1520" t="s">
        <v>2220</v>
      </c>
      <c r="B8032" s="1521"/>
      <c r="C8032" s="1521"/>
      <c r="D8032" s="1521"/>
      <c r="E8032" s="1521"/>
      <c r="F8032" s="1521"/>
      <c r="G8032" s="1522"/>
      <c r="H8032" s="216">
        <f>H8030-H8031</f>
        <v>2</v>
      </c>
      <c r="I8032" s="1511"/>
      <c r="J8032" s="1512"/>
      <c r="K8032" s="1512"/>
      <c r="L8032" s="1512"/>
      <c r="M8032" s="1512"/>
      <c r="N8032" s="1513"/>
    </row>
    <row r="8033" spans="1:14" ht="15.6" customHeight="1" thickBot="1">
      <c r="A8033" s="1130"/>
      <c r="B8033" s="898"/>
      <c r="C8033" s="898"/>
      <c r="D8033" s="970"/>
      <c r="E8033" s="1363"/>
      <c r="F8033" s="898"/>
      <c r="G8033" s="898"/>
      <c r="H8033" s="969"/>
      <c r="I8033" s="279"/>
      <c r="J8033" s="279"/>
      <c r="K8033" s="279"/>
      <c r="L8033" s="279"/>
      <c r="M8033" s="279"/>
      <c r="N8033" s="441"/>
    </row>
    <row r="8034" spans="1:14" ht="15.6" customHeight="1">
      <c r="A8034" s="1084" t="s">
        <v>3611</v>
      </c>
      <c r="B8034" s="1494" t="s">
        <v>1993</v>
      </c>
      <c r="C8034" s="1495"/>
      <c r="D8034" s="1495"/>
      <c r="E8034" s="1495"/>
      <c r="F8034" s="1495"/>
      <c r="G8034" s="1495"/>
      <c r="H8034" s="1495"/>
      <c r="I8034" s="1495"/>
      <c r="J8034" s="1496"/>
      <c r="K8034" s="196" t="s">
        <v>28</v>
      </c>
      <c r="L8034" s="1497">
        <f>'27ª MEDIÇÃO '!F617</f>
        <v>51</v>
      </c>
      <c r="M8034" s="1498"/>
      <c r="N8034" s="197">
        <f>L8034-H8046</f>
        <v>0</v>
      </c>
    </row>
    <row r="8035" spans="1:14" ht="15.6" customHeight="1">
      <c r="A8035" s="1499"/>
      <c r="B8035" s="1500"/>
      <c r="C8035" s="366"/>
      <c r="D8035" s="367"/>
      <c r="E8035" s="1320"/>
      <c r="F8035" s="367"/>
      <c r="G8035" s="367"/>
      <c r="H8035" s="1503" t="s">
        <v>476</v>
      </c>
      <c r="I8035" s="1505"/>
      <c r="J8035" s="1506"/>
      <c r="K8035" s="1506"/>
      <c r="L8035" s="1506"/>
      <c r="M8035" s="1506"/>
      <c r="N8035" s="1507"/>
    </row>
    <row r="8036" spans="1:14" ht="15.6" customHeight="1">
      <c r="A8036" s="1501"/>
      <c r="B8036" s="1502"/>
      <c r="C8036" s="97" t="s">
        <v>44</v>
      </c>
      <c r="D8036" s="97" t="s">
        <v>3214</v>
      </c>
      <c r="E8036" s="97" t="s">
        <v>3457</v>
      </c>
      <c r="F8036" s="574"/>
      <c r="G8036" s="97" t="s">
        <v>3048</v>
      </c>
      <c r="H8036" s="1504"/>
      <c r="I8036" s="1508"/>
      <c r="J8036" s="1509"/>
      <c r="K8036" s="1509"/>
      <c r="L8036" s="1509"/>
      <c r="M8036" s="1509"/>
      <c r="N8036" s="1510"/>
    </row>
    <row r="8037" spans="1:14" ht="15.6" customHeight="1">
      <c r="A8037" s="1536" t="s">
        <v>3569</v>
      </c>
      <c r="B8037" s="959" t="s">
        <v>3454</v>
      </c>
      <c r="C8037" s="317">
        <v>21</v>
      </c>
      <c r="D8037" s="317"/>
      <c r="E8037" s="1315">
        <v>0.6</v>
      </c>
      <c r="F8037" s="317"/>
      <c r="G8037" s="317"/>
      <c r="H8037" s="857">
        <f>C8037*E8037</f>
        <v>12.6</v>
      </c>
      <c r="I8037" s="1508"/>
      <c r="J8037" s="1509"/>
      <c r="K8037" s="1509"/>
      <c r="L8037" s="1509"/>
      <c r="M8037" s="1509"/>
      <c r="N8037" s="1510"/>
    </row>
    <row r="8038" spans="1:14" ht="15.6" customHeight="1">
      <c r="A8038" s="1536"/>
      <c r="B8038" s="959" t="s">
        <v>3456</v>
      </c>
      <c r="C8038" s="317">
        <v>30</v>
      </c>
      <c r="D8038" s="317"/>
      <c r="E8038" s="1315">
        <v>0.6</v>
      </c>
      <c r="F8038" s="317"/>
      <c r="G8038" s="317"/>
      <c r="H8038" s="857">
        <f>C8038*E8038</f>
        <v>18</v>
      </c>
      <c r="I8038" s="1508"/>
      <c r="J8038" s="1509"/>
      <c r="K8038" s="1509"/>
      <c r="L8038" s="1509"/>
      <c r="M8038" s="1509"/>
      <c r="N8038" s="1510"/>
    </row>
    <row r="8039" spans="1:14" ht="15.6" customHeight="1">
      <c r="A8039" s="1537"/>
      <c r="B8039" s="921"/>
      <c r="C8039" s="317"/>
      <c r="D8039" s="317"/>
      <c r="E8039" s="1315"/>
      <c r="F8039" s="317"/>
      <c r="G8039" s="317"/>
      <c r="H8039" s="857"/>
      <c r="I8039" s="1508"/>
      <c r="J8039" s="1509"/>
      <c r="K8039" s="1509"/>
      <c r="L8039" s="1509"/>
      <c r="M8039" s="1509"/>
      <c r="N8039" s="1510"/>
    </row>
    <row r="8040" spans="1:14" ht="15.6" customHeight="1">
      <c r="A8040" s="1536" t="s">
        <v>3620</v>
      </c>
      <c r="B8040" s="959" t="s">
        <v>3454</v>
      </c>
      <c r="C8040" s="317">
        <v>21</v>
      </c>
      <c r="D8040" s="317"/>
      <c r="E8040" s="1315">
        <v>0.2</v>
      </c>
      <c r="F8040" s="317"/>
      <c r="G8040" s="317"/>
      <c r="H8040" s="857">
        <f>C8040*E8040</f>
        <v>4.2</v>
      </c>
      <c r="I8040" s="1508"/>
      <c r="J8040" s="1509"/>
      <c r="K8040" s="1509"/>
      <c r="L8040" s="1509"/>
      <c r="M8040" s="1509"/>
      <c r="N8040" s="1510"/>
    </row>
    <row r="8041" spans="1:14" ht="15.6" customHeight="1">
      <c r="A8041" s="1536"/>
      <c r="B8041" s="959" t="s">
        <v>3456</v>
      </c>
      <c r="C8041" s="317">
        <v>30</v>
      </c>
      <c r="D8041" s="317"/>
      <c r="E8041" s="1315">
        <v>0.2</v>
      </c>
      <c r="F8041" s="317"/>
      <c r="G8041" s="317"/>
      <c r="H8041" s="857">
        <f>C8041*E8041</f>
        <v>6</v>
      </c>
      <c r="I8041" s="1508"/>
      <c r="J8041" s="1509"/>
      <c r="K8041" s="1509"/>
      <c r="L8041" s="1509"/>
      <c r="M8041" s="1509"/>
      <c r="N8041" s="1510"/>
    </row>
    <row r="8042" spans="1:14" ht="15.6" customHeight="1">
      <c r="A8042" s="1537"/>
      <c r="B8042" s="921"/>
      <c r="C8042" s="317"/>
      <c r="D8042" s="317"/>
      <c r="E8042" s="1315"/>
      <c r="F8042" s="317"/>
      <c r="G8042" s="317"/>
      <c r="H8042" s="857"/>
      <c r="I8042" s="1508"/>
      <c r="J8042" s="1509"/>
      <c r="K8042" s="1509"/>
      <c r="L8042" s="1509"/>
      <c r="M8042" s="1509"/>
      <c r="N8042" s="1510"/>
    </row>
    <row r="8043" spans="1:14" ht="15.6" customHeight="1">
      <c r="A8043" s="1536" t="s">
        <v>3892</v>
      </c>
      <c r="B8043" s="959" t="s">
        <v>3454</v>
      </c>
      <c r="C8043" s="317">
        <v>21</v>
      </c>
      <c r="D8043" s="317"/>
      <c r="E8043" s="1315">
        <v>0.2</v>
      </c>
      <c r="F8043" s="317"/>
      <c r="G8043" s="317"/>
      <c r="H8043" s="857">
        <f>C8043*E8043</f>
        <v>4.2</v>
      </c>
      <c r="I8043" s="1508"/>
      <c r="J8043" s="1509"/>
      <c r="K8043" s="1509"/>
      <c r="L8043" s="1509"/>
      <c r="M8043" s="1509"/>
      <c r="N8043" s="1510"/>
    </row>
    <row r="8044" spans="1:14" ht="15.6" customHeight="1">
      <c r="A8044" s="1536"/>
      <c r="B8044" s="959" t="s">
        <v>3456</v>
      </c>
      <c r="C8044" s="317">
        <v>30</v>
      </c>
      <c r="D8044" s="317"/>
      <c r="E8044" s="1315">
        <v>0.2</v>
      </c>
      <c r="F8044" s="317"/>
      <c r="G8044" s="317"/>
      <c r="H8044" s="857">
        <f>C8044*E8044</f>
        <v>6</v>
      </c>
      <c r="I8044" s="1508"/>
      <c r="J8044" s="1509"/>
      <c r="K8044" s="1509"/>
      <c r="L8044" s="1509"/>
      <c r="M8044" s="1509"/>
      <c r="N8044" s="1510"/>
    </row>
    <row r="8045" spans="1:14" ht="15.6" customHeight="1">
      <c r="A8045" s="1537"/>
      <c r="B8045" s="921"/>
      <c r="C8045" s="317"/>
      <c r="D8045" s="317"/>
      <c r="E8045" s="1315"/>
      <c r="F8045" s="317"/>
      <c r="G8045" s="317"/>
      <c r="H8045" s="857"/>
      <c r="I8045" s="1508"/>
      <c r="J8045" s="1509"/>
      <c r="K8045" s="1509"/>
      <c r="L8045" s="1509"/>
      <c r="M8045" s="1509"/>
      <c r="N8045" s="1510"/>
    </row>
    <row r="8046" spans="1:14">
      <c r="A8046" s="1519" t="s">
        <v>2218</v>
      </c>
      <c r="B8046" s="1517"/>
      <c r="C8046" s="1517"/>
      <c r="D8046" s="1517"/>
      <c r="E8046" s="1517"/>
      <c r="F8046" s="1517"/>
      <c r="G8046" s="1518"/>
      <c r="H8046" s="271">
        <f>SUM(H8037:H8044)</f>
        <v>51.000000000000007</v>
      </c>
      <c r="I8046" s="1508"/>
      <c r="J8046" s="1509"/>
      <c r="K8046" s="1509"/>
      <c r="L8046" s="1509"/>
      <c r="M8046" s="1509"/>
      <c r="N8046" s="1510"/>
    </row>
    <row r="8047" spans="1:14">
      <c r="A8047" s="1519" t="s">
        <v>2219</v>
      </c>
      <c r="B8047" s="1517"/>
      <c r="C8047" s="1517"/>
      <c r="D8047" s="1517"/>
      <c r="E8047" s="1517"/>
      <c r="F8047" s="1517"/>
      <c r="G8047" s="1518"/>
      <c r="H8047" s="325">
        <f>SUM(H8035:H8042)</f>
        <v>40.800000000000004</v>
      </c>
      <c r="I8047" s="1508"/>
      <c r="J8047" s="1509"/>
      <c r="K8047" s="1509"/>
      <c r="L8047" s="1509"/>
      <c r="M8047" s="1509"/>
      <c r="N8047" s="1510"/>
    </row>
    <row r="8048" spans="1:14" ht="15.75" thickBot="1">
      <c r="A8048" s="1520" t="s">
        <v>2220</v>
      </c>
      <c r="B8048" s="1521"/>
      <c r="C8048" s="1521"/>
      <c r="D8048" s="1521"/>
      <c r="E8048" s="1521"/>
      <c r="F8048" s="1521"/>
      <c r="G8048" s="1522"/>
      <c r="H8048" s="216">
        <f>H8046-H8047</f>
        <v>10.200000000000003</v>
      </c>
      <c r="I8048" s="1511"/>
      <c r="J8048" s="1512"/>
      <c r="K8048" s="1512"/>
      <c r="L8048" s="1512"/>
      <c r="M8048" s="1512"/>
      <c r="N8048" s="1513"/>
    </row>
    <row r="8049" spans="1:14" ht="15.75" thickBot="1">
      <c r="A8049" s="1130"/>
      <c r="B8049" s="898"/>
      <c r="C8049" s="898"/>
      <c r="D8049" s="970"/>
      <c r="E8049" s="1363"/>
      <c r="F8049" s="898"/>
      <c r="G8049" s="898"/>
      <c r="H8049" s="969"/>
      <c r="I8049" s="279"/>
      <c r="J8049" s="279"/>
      <c r="K8049" s="279"/>
      <c r="L8049" s="279"/>
      <c r="M8049" s="279"/>
      <c r="N8049" s="441"/>
    </row>
    <row r="8050" spans="1:14">
      <c r="A8050" s="1084" t="s">
        <v>3612</v>
      </c>
      <c r="B8050" s="1494" t="s">
        <v>1996</v>
      </c>
      <c r="C8050" s="1495"/>
      <c r="D8050" s="1495"/>
      <c r="E8050" s="1495"/>
      <c r="F8050" s="1495"/>
      <c r="G8050" s="1495"/>
      <c r="H8050" s="1495"/>
      <c r="I8050" s="1495"/>
      <c r="J8050" s="1496"/>
      <c r="K8050" s="196" t="s">
        <v>28</v>
      </c>
      <c r="L8050" s="1497">
        <f>'27ª MEDIÇÃO '!F618</f>
        <v>16</v>
      </c>
      <c r="M8050" s="1498"/>
      <c r="N8050" s="197">
        <f>L8050-H8062</f>
        <v>0</v>
      </c>
    </row>
    <row r="8051" spans="1:14">
      <c r="A8051" s="1499"/>
      <c r="B8051" s="1500"/>
      <c r="C8051" s="366"/>
      <c r="D8051" s="367"/>
      <c r="E8051" s="1320"/>
      <c r="F8051" s="367"/>
      <c r="G8051" s="367"/>
      <c r="H8051" s="1503" t="s">
        <v>476</v>
      </c>
      <c r="I8051" s="1505"/>
      <c r="J8051" s="1506"/>
      <c r="K8051" s="1506"/>
      <c r="L8051" s="1506"/>
      <c r="M8051" s="1506"/>
      <c r="N8051" s="1507"/>
    </row>
    <row r="8052" spans="1:14" ht="30">
      <c r="A8052" s="1501"/>
      <c r="B8052" s="1502"/>
      <c r="C8052" s="97" t="s">
        <v>44</v>
      </c>
      <c r="D8052" s="97" t="s">
        <v>3214</v>
      </c>
      <c r="E8052" s="97" t="s">
        <v>3457</v>
      </c>
      <c r="F8052" s="574"/>
      <c r="G8052" s="97" t="s">
        <v>3048</v>
      </c>
      <c r="H8052" s="1504"/>
      <c r="I8052" s="1508"/>
      <c r="J8052" s="1509"/>
      <c r="K8052" s="1509"/>
      <c r="L8052" s="1509"/>
      <c r="M8052" s="1509"/>
      <c r="N8052" s="1510"/>
    </row>
    <row r="8053" spans="1:14">
      <c r="A8053" s="1536" t="s">
        <v>3569</v>
      </c>
      <c r="B8053" s="959" t="s">
        <v>3454</v>
      </c>
      <c r="C8053" s="317">
        <v>7</v>
      </c>
      <c r="D8053" s="317"/>
      <c r="E8053" s="1315">
        <v>0.6</v>
      </c>
      <c r="F8053" s="317"/>
      <c r="G8053" s="317"/>
      <c r="H8053" s="857">
        <f>C8053*E8053</f>
        <v>4.2</v>
      </c>
      <c r="I8053" s="1508"/>
      <c r="J8053" s="1509"/>
      <c r="K8053" s="1509"/>
      <c r="L8053" s="1509"/>
      <c r="M8053" s="1509"/>
      <c r="N8053" s="1510"/>
    </row>
    <row r="8054" spans="1:14">
      <c r="A8054" s="1536"/>
      <c r="B8054" s="959" t="s">
        <v>3456</v>
      </c>
      <c r="C8054" s="317">
        <v>9</v>
      </c>
      <c r="D8054" s="317"/>
      <c r="E8054" s="1315">
        <v>0.6</v>
      </c>
      <c r="F8054" s="317"/>
      <c r="G8054" s="317"/>
      <c r="H8054" s="857">
        <f>C8054*E8054</f>
        <v>5.3999999999999995</v>
      </c>
      <c r="I8054" s="1508"/>
      <c r="J8054" s="1509"/>
      <c r="K8054" s="1509"/>
      <c r="L8054" s="1509"/>
      <c r="M8054" s="1509"/>
      <c r="N8054" s="1510"/>
    </row>
    <row r="8055" spans="1:14">
      <c r="A8055" s="1537"/>
      <c r="B8055" s="921"/>
      <c r="C8055" s="317"/>
      <c r="D8055" s="317"/>
      <c r="E8055" s="1315"/>
      <c r="F8055" s="317"/>
      <c r="G8055" s="317"/>
      <c r="H8055" s="857"/>
      <c r="I8055" s="1508"/>
      <c r="J8055" s="1509"/>
      <c r="K8055" s="1509"/>
      <c r="L8055" s="1509"/>
      <c r="M8055" s="1509"/>
      <c r="N8055" s="1510"/>
    </row>
    <row r="8056" spans="1:14">
      <c r="A8056" s="1536" t="s">
        <v>3620</v>
      </c>
      <c r="B8056" s="959" t="s">
        <v>3454</v>
      </c>
      <c r="C8056" s="317">
        <v>7</v>
      </c>
      <c r="D8056" s="317"/>
      <c r="E8056" s="1315">
        <v>0.2</v>
      </c>
      <c r="F8056" s="317"/>
      <c r="G8056" s="317"/>
      <c r="H8056" s="857">
        <f>C8056*E8056</f>
        <v>1.4000000000000001</v>
      </c>
      <c r="I8056" s="1508"/>
      <c r="J8056" s="1509"/>
      <c r="K8056" s="1509"/>
      <c r="L8056" s="1509"/>
      <c r="M8056" s="1509"/>
      <c r="N8056" s="1510"/>
    </row>
    <row r="8057" spans="1:14">
      <c r="A8057" s="1536"/>
      <c r="B8057" s="959" t="s">
        <v>3456</v>
      </c>
      <c r="C8057" s="317">
        <v>9</v>
      </c>
      <c r="D8057" s="317"/>
      <c r="E8057" s="1315">
        <v>0.2</v>
      </c>
      <c r="F8057" s="317"/>
      <c r="G8057" s="317"/>
      <c r="H8057" s="857">
        <f>C8057*E8057</f>
        <v>1.8</v>
      </c>
      <c r="I8057" s="1508"/>
      <c r="J8057" s="1509"/>
      <c r="K8057" s="1509"/>
      <c r="L8057" s="1509"/>
      <c r="M8057" s="1509"/>
      <c r="N8057" s="1510"/>
    </row>
    <row r="8058" spans="1:14">
      <c r="A8058" s="1537"/>
      <c r="B8058" s="921"/>
      <c r="C8058" s="317"/>
      <c r="D8058" s="317"/>
      <c r="E8058" s="1315"/>
      <c r="F8058" s="317"/>
      <c r="G8058" s="317"/>
      <c r="H8058" s="857"/>
      <c r="I8058" s="1508"/>
      <c r="J8058" s="1509"/>
      <c r="K8058" s="1509"/>
      <c r="L8058" s="1509"/>
      <c r="M8058" s="1509"/>
      <c r="N8058" s="1510"/>
    </row>
    <row r="8059" spans="1:14">
      <c r="A8059" s="1536" t="s">
        <v>3892</v>
      </c>
      <c r="B8059" s="959" t="s">
        <v>3454</v>
      </c>
      <c r="C8059" s="317">
        <v>7</v>
      </c>
      <c r="D8059" s="317"/>
      <c r="E8059" s="1315">
        <v>0.2</v>
      </c>
      <c r="F8059" s="317"/>
      <c r="G8059" s="317"/>
      <c r="H8059" s="857">
        <f>C8059*E8059</f>
        <v>1.4000000000000001</v>
      </c>
      <c r="I8059" s="1508"/>
      <c r="J8059" s="1509"/>
      <c r="K8059" s="1509"/>
      <c r="L8059" s="1509"/>
      <c r="M8059" s="1509"/>
      <c r="N8059" s="1510"/>
    </row>
    <row r="8060" spans="1:14">
      <c r="A8060" s="1536"/>
      <c r="B8060" s="959" t="s">
        <v>3456</v>
      </c>
      <c r="C8060" s="317">
        <v>9</v>
      </c>
      <c r="D8060" s="317"/>
      <c r="E8060" s="1315">
        <v>0.2</v>
      </c>
      <c r="F8060" s="317"/>
      <c r="G8060" s="317"/>
      <c r="H8060" s="857">
        <f>C8060*E8060</f>
        <v>1.8</v>
      </c>
      <c r="I8060" s="1508"/>
      <c r="J8060" s="1509"/>
      <c r="K8060" s="1509"/>
      <c r="L8060" s="1509"/>
      <c r="M8060" s="1509"/>
      <c r="N8060" s="1510"/>
    </row>
    <row r="8061" spans="1:14">
      <c r="A8061" s="1537"/>
      <c r="B8061" s="921"/>
      <c r="C8061" s="317"/>
      <c r="D8061" s="317"/>
      <c r="E8061" s="1315"/>
      <c r="F8061" s="317"/>
      <c r="G8061" s="317"/>
      <c r="H8061" s="857"/>
      <c r="I8061" s="1508"/>
      <c r="J8061" s="1509"/>
      <c r="K8061" s="1509"/>
      <c r="L8061" s="1509"/>
      <c r="M8061" s="1509"/>
      <c r="N8061" s="1510"/>
    </row>
    <row r="8062" spans="1:14" ht="15.6" customHeight="1">
      <c r="A8062" s="1519" t="s">
        <v>2218</v>
      </c>
      <c r="B8062" s="1517"/>
      <c r="C8062" s="1517"/>
      <c r="D8062" s="1517"/>
      <c r="E8062" s="1517"/>
      <c r="F8062" s="1517"/>
      <c r="G8062" s="1518"/>
      <c r="H8062" s="271">
        <f>SUM(H8053:H8060)</f>
        <v>16</v>
      </c>
      <c r="I8062" s="1508"/>
      <c r="J8062" s="1509"/>
      <c r="K8062" s="1509"/>
      <c r="L8062" s="1509"/>
      <c r="M8062" s="1509"/>
      <c r="N8062" s="1510"/>
    </row>
    <row r="8063" spans="1:14" ht="15.6" customHeight="1">
      <c r="A8063" s="1519" t="s">
        <v>2219</v>
      </c>
      <c r="B8063" s="1517"/>
      <c r="C8063" s="1517"/>
      <c r="D8063" s="1517"/>
      <c r="E8063" s="1517"/>
      <c r="F8063" s="1517"/>
      <c r="G8063" s="1518"/>
      <c r="H8063" s="325">
        <f>SUM(H8053:H8058)</f>
        <v>12.8</v>
      </c>
      <c r="I8063" s="1508"/>
      <c r="J8063" s="1509"/>
      <c r="K8063" s="1509"/>
      <c r="L8063" s="1509"/>
      <c r="M8063" s="1509"/>
      <c r="N8063" s="1510"/>
    </row>
    <row r="8064" spans="1:14" ht="15.6" customHeight="1" thickBot="1">
      <c r="A8064" s="1520" t="s">
        <v>2220</v>
      </c>
      <c r="B8064" s="1521"/>
      <c r="C8064" s="1521"/>
      <c r="D8064" s="1521"/>
      <c r="E8064" s="1521"/>
      <c r="F8064" s="1521"/>
      <c r="G8064" s="1522"/>
      <c r="H8064" s="216">
        <f>H8062-H8063</f>
        <v>3.1999999999999993</v>
      </c>
      <c r="I8064" s="1511"/>
      <c r="J8064" s="1512"/>
      <c r="K8064" s="1512"/>
      <c r="L8064" s="1512"/>
      <c r="M8064" s="1512"/>
      <c r="N8064" s="1513"/>
    </row>
    <row r="8065" spans="1:14" ht="15.6" customHeight="1" thickBot="1">
      <c r="A8065" s="1130"/>
      <c r="B8065" s="898"/>
      <c r="C8065" s="898"/>
      <c r="D8065" s="970"/>
      <c r="E8065" s="1363"/>
      <c r="F8065" s="898"/>
      <c r="G8065" s="898"/>
      <c r="H8065" s="969"/>
      <c r="I8065" s="279"/>
      <c r="J8065" s="279"/>
      <c r="K8065" s="279"/>
      <c r="L8065" s="279"/>
      <c r="M8065" s="279"/>
      <c r="N8065" s="441"/>
    </row>
    <row r="8066" spans="1:14" ht="15.6" customHeight="1">
      <c r="A8066" s="1084" t="s">
        <v>3613</v>
      </c>
      <c r="B8066" s="1494" t="s">
        <v>1998</v>
      </c>
      <c r="C8066" s="1495"/>
      <c r="D8066" s="1495"/>
      <c r="E8066" s="1495"/>
      <c r="F8066" s="1495"/>
      <c r="G8066" s="1495"/>
      <c r="H8066" s="1495"/>
      <c r="I8066" s="1495"/>
      <c r="J8066" s="1496"/>
      <c r="K8066" s="196" t="s">
        <v>28</v>
      </c>
      <c r="L8066" s="1497">
        <f>'27ª MEDIÇÃO '!F619</f>
        <v>40</v>
      </c>
      <c r="M8066" s="1498"/>
      <c r="N8066" s="197">
        <f>L8066-H8078</f>
        <v>0</v>
      </c>
    </row>
    <row r="8067" spans="1:14" ht="15.6" customHeight="1">
      <c r="A8067" s="1499"/>
      <c r="B8067" s="1500"/>
      <c r="C8067" s="366"/>
      <c r="D8067" s="367"/>
      <c r="E8067" s="1320"/>
      <c r="F8067" s="367"/>
      <c r="G8067" s="367"/>
      <c r="H8067" s="1503" t="s">
        <v>476</v>
      </c>
      <c r="I8067" s="1505"/>
      <c r="J8067" s="1506"/>
      <c r="K8067" s="1506"/>
      <c r="L8067" s="1506"/>
      <c r="M8067" s="1506"/>
      <c r="N8067" s="1507"/>
    </row>
    <row r="8068" spans="1:14" ht="15.6" customHeight="1">
      <c r="A8068" s="1501"/>
      <c r="B8068" s="1502"/>
      <c r="C8068" s="97" t="s">
        <v>44</v>
      </c>
      <c r="D8068" s="97" t="s">
        <v>3214</v>
      </c>
      <c r="E8068" s="97" t="s">
        <v>3457</v>
      </c>
      <c r="F8068" s="574"/>
      <c r="G8068" s="97" t="s">
        <v>3048</v>
      </c>
      <c r="H8068" s="1504"/>
      <c r="I8068" s="1508"/>
      <c r="J8068" s="1509"/>
      <c r="K8068" s="1509"/>
      <c r="L8068" s="1509"/>
      <c r="M8068" s="1509"/>
      <c r="N8068" s="1510"/>
    </row>
    <row r="8069" spans="1:14" ht="15.6" customHeight="1">
      <c r="A8069" s="1536" t="s">
        <v>3569</v>
      </c>
      <c r="B8069" s="959" t="s">
        <v>3454</v>
      </c>
      <c r="C8069" s="317">
        <v>15</v>
      </c>
      <c r="D8069" s="317"/>
      <c r="E8069" s="1315">
        <v>0.6</v>
      </c>
      <c r="F8069" s="317"/>
      <c r="G8069" s="317"/>
      <c r="H8069" s="857">
        <f>C8069*E8069</f>
        <v>9</v>
      </c>
      <c r="I8069" s="1508"/>
      <c r="J8069" s="1509"/>
      <c r="K8069" s="1509"/>
      <c r="L8069" s="1509"/>
      <c r="M8069" s="1509"/>
      <c r="N8069" s="1510"/>
    </row>
    <row r="8070" spans="1:14" ht="15.6" customHeight="1">
      <c r="A8070" s="1536"/>
      <c r="B8070" s="959" t="s">
        <v>3456</v>
      </c>
      <c r="C8070" s="317">
        <v>25</v>
      </c>
      <c r="D8070" s="317"/>
      <c r="E8070" s="1315">
        <v>0.6</v>
      </c>
      <c r="F8070" s="317"/>
      <c r="G8070" s="317"/>
      <c r="H8070" s="857">
        <f>C8070*E8070</f>
        <v>15</v>
      </c>
      <c r="I8070" s="1508"/>
      <c r="J8070" s="1509"/>
      <c r="K8070" s="1509"/>
      <c r="L8070" s="1509"/>
      <c r="M8070" s="1509"/>
      <c r="N8070" s="1510"/>
    </row>
    <row r="8071" spans="1:14" ht="15.6" customHeight="1">
      <c r="A8071" s="1537"/>
      <c r="B8071" s="921"/>
      <c r="C8071" s="317"/>
      <c r="D8071" s="317"/>
      <c r="E8071" s="1315"/>
      <c r="F8071" s="317"/>
      <c r="G8071" s="317"/>
      <c r="H8071" s="857"/>
      <c r="I8071" s="1508"/>
      <c r="J8071" s="1509"/>
      <c r="K8071" s="1509"/>
      <c r="L8071" s="1509"/>
      <c r="M8071" s="1509"/>
      <c r="N8071" s="1510"/>
    </row>
    <row r="8072" spans="1:14">
      <c r="A8072" s="1536" t="s">
        <v>3620</v>
      </c>
      <c r="B8072" s="959" t="s">
        <v>3454</v>
      </c>
      <c r="C8072" s="317">
        <v>15</v>
      </c>
      <c r="D8072" s="317"/>
      <c r="E8072" s="1315">
        <v>0.2</v>
      </c>
      <c r="F8072" s="317"/>
      <c r="G8072" s="317"/>
      <c r="H8072" s="857">
        <f>C8072*E8072</f>
        <v>3</v>
      </c>
      <c r="I8072" s="1508"/>
      <c r="J8072" s="1509"/>
      <c r="K8072" s="1509"/>
      <c r="L8072" s="1509"/>
      <c r="M8072" s="1509"/>
      <c r="N8072" s="1510"/>
    </row>
    <row r="8073" spans="1:14">
      <c r="A8073" s="1536"/>
      <c r="B8073" s="959" t="s">
        <v>3456</v>
      </c>
      <c r="C8073" s="317">
        <v>25</v>
      </c>
      <c r="D8073" s="317"/>
      <c r="E8073" s="1315">
        <v>0.2</v>
      </c>
      <c r="F8073" s="317"/>
      <c r="G8073" s="317"/>
      <c r="H8073" s="857">
        <f>C8073*E8073</f>
        <v>5</v>
      </c>
      <c r="I8073" s="1508"/>
      <c r="J8073" s="1509"/>
      <c r="K8073" s="1509"/>
      <c r="L8073" s="1509"/>
      <c r="M8073" s="1509"/>
      <c r="N8073" s="1510"/>
    </row>
    <row r="8074" spans="1:14">
      <c r="A8074" s="1537"/>
      <c r="B8074" s="921"/>
      <c r="C8074" s="317"/>
      <c r="D8074" s="317"/>
      <c r="E8074" s="1315"/>
      <c r="F8074" s="317"/>
      <c r="G8074" s="317"/>
      <c r="H8074" s="857"/>
      <c r="I8074" s="1508"/>
      <c r="J8074" s="1509"/>
      <c r="K8074" s="1509"/>
      <c r="L8074" s="1509"/>
      <c r="M8074" s="1509"/>
      <c r="N8074" s="1510"/>
    </row>
    <row r="8075" spans="1:14" ht="15.6" customHeight="1">
      <c r="A8075" s="1536" t="s">
        <v>3892</v>
      </c>
      <c r="B8075" s="959" t="s">
        <v>3454</v>
      </c>
      <c r="C8075" s="317">
        <v>15</v>
      </c>
      <c r="D8075" s="317"/>
      <c r="E8075" s="1315">
        <v>0.2</v>
      </c>
      <c r="F8075" s="317"/>
      <c r="G8075" s="317"/>
      <c r="H8075" s="857">
        <f>C8075*E8075</f>
        <v>3</v>
      </c>
      <c r="I8075" s="1508"/>
      <c r="J8075" s="1509"/>
      <c r="K8075" s="1509"/>
      <c r="L8075" s="1509"/>
      <c r="M8075" s="1509"/>
      <c r="N8075" s="1510"/>
    </row>
    <row r="8076" spans="1:14" ht="15.6" customHeight="1">
      <c r="A8076" s="1536"/>
      <c r="B8076" s="959" t="s">
        <v>3456</v>
      </c>
      <c r="C8076" s="317">
        <v>25</v>
      </c>
      <c r="D8076" s="317"/>
      <c r="E8076" s="1315">
        <v>0.2</v>
      </c>
      <c r="F8076" s="317"/>
      <c r="G8076" s="317"/>
      <c r="H8076" s="857">
        <f>C8076*E8076</f>
        <v>5</v>
      </c>
      <c r="I8076" s="1508"/>
      <c r="J8076" s="1509"/>
      <c r="K8076" s="1509"/>
      <c r="L8076" s="1509"/>
      <c r="M8076" s="1509"/>
      <c r="N8076" s="1510"/>
    </row>
    <row r="8077" spans="1:14" ht="15.6" customHeight="1">
      <c r="A8077" s="1537"/>
      <c r="B8077" s="921"/>
      <c r="C8077" s="317"/>
      <c r="D8077" s="317"/>
      <c r="E8077" s="1315"/>
      <c r="F8077" s="317"/>
      <c r="G8077" s="317"/>
      <c r="H8077" s="857"/>
      <c r="I8077" s="1508"/>
      <c r="J8077" s="1509"/>
      <c r="K8077" s="1509"/>
      <c r="L8077" s="1509"/>
      <c r="M8077" s="1509"/>
      <c r="N8077" s="1510"/>
    </row>
    <row r="8078" spans="1:14" ht="15.6" customHeight="1">
      <c r="A8078" s="1519" t="s">
        <v>2218</v>
      </c>
      <c r="B8078" s="1517"/>
      <c r="C8078" s="1517"/>
      <c r="D8078" s="1517"/>
      <c r="E8078" s="1517"/>
      <c r="F8078" s="1517"/>
      <c r="G8078" s="1518"/>
      <c r="H8078" s="271">
        <f>SUM(H8069:H8076)</f>
        <v>40</v>
      </c>
      <c r="I8078" s="1508"/>
      <c r="J8078" s="1509"/>
      <c r="K8078" s="1509"/>
      <c r="L8078" s="1509"/>
      <c r="M8078" s="1509"/>
      <c r="N8078" s="1510"/>
    </row>
    <row r="8079" spans="1:14" ht="15.6" customHeight="1">
      <c r="A8079" s="1519" t="s">
        <v>2219</v>
      </c>
      <c r="B8079" s="1517"/>
      <c r="C8079" s="1517"/>
      <c r="D8079" s="1517"/>
      <c r="E8079" s="1517"/>
      <c r="F8079" s="1517"/>
      <c r="G8079" s="1518"/>
      <c r="H8079" s="325">
        <f>SUM(H8069:H8073)</f>
        <v>32</v>
      </c>
      <c r="I8079" s="1508"/>
      <c r="J8079" s="1509"/>
      <c r="K8079" s="1509"/>
      <c r="L8079" s="1509"/>
      <c r="M8079" s="1509"/>
      <c r="N8079" s="1510"/>
    </row>
    <row r="8080" spans="1:14" ht="15.6" customHeight="1" thickBot="1">
      <c r="A8080" s="1520" t="s">
        <v>2220</v>
      </c>
      <c r="B8080" s="1521"/>
      <c r="C8080" s="1521"/>
      <c r="D8080" s="1521"/>
      <c r="E8080" s="1521"/>
      <c r="F8080" s="1521"/>
      <c r="G8080" s="1522"/>
      <c r="H8080" s="216">
        <f>H8078-H8079</f>
        <v>8</v>
      </c>
      <c r="I8080" s="1511"/>
      <c r="J8080" s="1512"/>
      <c r="K8080" s="1512"/>
      <c r="L8080" s="1512"/>
      <c r="M8080" s="1512"/>
      <c r="N8080" s="1513"/>
    </row>
    <row r="8081" spans="1:14" ht="15.6" customHeight="1" thickBot="1">
      <c r="A8081" s="1130"/>
      <c r="B8081" s="898"/>
      <c r="C8081" s="898"/>
      <c r="D8081" s="970"/>
      <c r="E8081" s="1363"/>
      <c r="F8081" s="898"/>
      <c r="G8081" s="898"/>
      <c r="H8081" s="969"/>
      <c r="I8081" s="279"/>
      <c r="J8081" s="279"/>
      <c r="K8081" s="279"/>
      <c r="L8081" s="279"/>
      <c r="M8081" s="279"/>
      <c r="N8081" s="441"/>
    </row>
    <row r="8082" spans="1:14">
      <c r="A8082" s="1084" t="s">
        <v>3935</v>
      </c>
      <c r="B8082" s="1494" t="s">
        <v>2001</v>
      </c>
      <c r="C8082" s="1495"/>
      <c r="D8082" s="1495"/>
      <c r="E8082" s="1495"/>
      <c r="F8082" s="1495"/>
      <c r="G8082" s="1495"/>
      <c r="H8082" s="1495"/>
      <c r="I8082" s="1495"/>
      <c r="J8082" s="1496"/>
      <c r="K8082" s="196" t="s">
        <v>28</v>
      </c>
      <c r="L8082" s="1497">
        <v>2</v>
      </c>
      <c r="M8082" s="1498"/>
      <c r="N8082" s="197">
        <f>L8082-H8088</f>
        <v>0</v>
      </c>
    </row>
    <row r="8083" spans="1:14">
      <c r="A8083" s="1499"/>
      <c r="B8083" s="1500"/>
      <c r="C8083" s="366"/>
      <c r="D8083" s="367"/>
      <c r="E8083" s="1320"/>
      <c r="F8083" s="367"/>
      <c r="G8083" s="367"/>
      <c r="H8083" s="1503" t="s">
        <v>476</v>
      </c>
      <c r="I8083" s="1505"/>
      <c r="J8083" s="1506"/>
      <c r="K8083" s="1506"/>
      <c r="L8083" s="1506"/>
      <c r="M8083" s="1506"/>
      <c r="N8083" s="1507"/>
    </row>
    <row r="8084" spans="1:14" ht="30">
      <c r="A8084" s="1501"/>
      <c r="B8084" s="1502"/>
      <c r="C8084" s="97" t="s">
        <v>44</v>
      </c>
      <c r="D8084" s="97" t="s">
        <v>3214</v>
      </c>
      <c r="E8084" s="97" t="s">
        <v>3457</v>
      </c>
      <c r="F8084" s="574"/>
      <c r="G8084" s="97" t="s">
        <v>3048</v>
      </c>
      <c r="H8084" s="1504"/>
      <c r="I8084" s="1508"/>
      <c r="J8084" s="1509"/>
      <c r="K8084" s="1509"/>
      <c r="L8084" s="1509"/>
      <c r="M8084" s="1509"/>
      <c r="N8084" s="1510"/>
    </row>
    <row r="8085" spans="1:14" hidden="1">
      <c r="A8085" s="1536" t="s">
        <v>3892</v>
      </c>
      <c r="B8085" s="959"/>
      <c r="C8085" s="317"/>
      <c r="D8085" s="317"/>
      <c r="E8085" s="1315"/>
      <c r="F8085" s="317"/>
      <c r="G8085" s="317"/>
      <c r="H8085" s="857"/>
      <c r="I8085" s="1508"/>
      <c r="J8085" s="1509"/>
      <c r="K8085" s="1509"/>
      <c r="L8085" s="1509"/>
      <c r="M8085" s="1509"/>
      <c r="N8085" s="1510"/>
    </row>
    <row r="8086" spans="1:14" hidden="1">
      <c r="A8086" s="1536"/>
      <c r="B8086" s="959" t="s">
        <v>3456</v>
      </c>
      <c r="C8086" s="317"/>
      <c r="D8086" s="317"/>
      <c r="E8086" s="1315"/>
      <c r="F8086" s="317"/>
      <c r="G8086" s="317">
        <v>2</v>
      </c>
      <c r="H8086" s="857">
        <v>2</v>
      </c>
      <c r="I8086" s="1508"/>
      <c r="J8086" s="1509"/>
      <c r="K8086" s="1509"/>
      <c r="L8086" s="1509"/>
      <c r="M8086" s="1509"/>
      <c r="N8086" s="1510"/>
    </row>
    <row r="8087" spans="1:14" hidden="1">
      <c r="A8087" s="1537"/>
      <c r="B8087" s="921"/>
      <c r="C8087" s="317"/>
      <c r="D8087" s="317"/>
      <c r="E8087" s="1315"/>
      <c r="F8087" s="317"/>
      <c r="G8087" s="317"/>
      <c r="H8087" s="857"/>
      <c r="I8087" s="1508"/>
      <c r="J8087" s="1509"/>
      <c r="K8087" s="1509"/>
      <c r="L8087" s="1509"/>
      <c r="M8087" s="1509"/>
      <c r="N8087" s="1510"/>
    </row>
    <row r="8088" spans="1:14" ht="15.6" hidden="1" customHeight="1">
      <c r="A8088" s="1519" t="s">
        <v>2218</v>
      </c>
      <c r="B8088" s="1517"/>
      <c r="C8088" s="1517"/>
      <c r="D8088" s="1517"/>
      <c r="E8088" s="1517"/>
      <c r="F8088" s="1517"/>
      <c r="G8088" s="1518"/>
      <c r="H8088" s="271">
        <f>SUM(H8085:H8086)</f>
        <v>2</v>
      </c>
      <c r="I8088" s="1508"/>
      <c r="J8088" s="1509"/>
      <c r="K8088" s="1509"/>
      <c r="L8088" s="1509"/>
      <c r="M8088" s="1509"/>
      <c r="N8088" s="1510"/>
    </row>
    <row r="8089" spans="1:14" ht="15.6" hidden="1" customHeight="1">
      <c r="A8089" s="1519" t="s">
        <v>2219</v>
      </c>
      <c r="B8089" s="1517"/>
      <c r="C8089" s="1517"/>
      <c r="D8089" s="1517"/>
      <c r="E8089" s="1517"/>
      <c r="F8089" s="1517"/>
      <c r="G8089" s="1518"/>
      <c r="H8089" s="325">
        <v>0</v>
      </c>
      <c r="I8089" s="1508"/>
      <c r="J8089" s="1509"/>
      <c r="K8089" s="1509"/>
      <c r="L8089" s="1509"/>
      <c r="M8089" s="1509"/>
      <c r="N8089" s="1510"/>
    </row>
    <row r="8090" spans="1:14" ht="15.6" hidden="1" customHeight="1">
      <c r="A8090" s="1520" t="s">
        <v>2220</v>
      </c>
      <c r="B8090" s="1521"/>
      <c r="C8090" s="1521"/>
      <c r="D8090" s="1521"/>
      <c r="E8090" s="1521"/>
      <c r="F8090" s="1521"/>
      <c r="G8090" s="1522"/>
      <c r="H8090" s="216">
        <f>H8088-H8089</f>
        <v>2</v>
      </c>
      <c r="I8090" s="1511"/>
      <c r="J8090" s="1512"/>
      <c r="K8090" s="1512"/>
      <c r="L8090" s="1512"/>
      <c r="M8090" s="1512"/>
      <c r="N8090" s="1513"/>
    </row>
    <row r="8091" spans="1:14" ht="15.6" customHeight="1" thickBot="1">
      <c r="A8091" s="1130"/>
      <c r="B8091" s="898"/>
      <c r="C8091" s="898"/>
      <c r="D8091" s="970"/>
      <c r="E8091" s="1363"/>
      <c r="F8091" s="898"/>
      <c r="G8091" s="898"/>
      <c r="H8091" s="969"/>
      <c r="I8091" s="279"/>
      <c r="J8091" s="279"/>
      <c r="K8091" s="279"/>
      <c r="L8091" s="279"/>
      <c r="M8091" s="279"/>
      <c r="N8091" s="441"/>
    </row>
    <row r="8092" spans="1:14" ht="15.6" customHeight="1">
      <c r="A8092" s="1084" t="s">
        <v>3936</v>
      </c>
      <c r="B8092" s="1494" t="s">
        <v>2004</v>
      </c>
      <c r="C8092" s="1495"/>
      <c r="D8092" s="1495"/>
      <c r="E8092" s="1495"/>
      <c r="F8092" s="1495"/>
      <c r="G8092" s="1495"/>
      <c r="H8092" s="1495"/>
      <c r="I8092" s="1495"/>
      <c r="J8092" s="1496"/>
      <c r="K8092" s="196" t="s">
        <v>28</v>
      </c>
      <c r="L8092" s="1497">
        <v>34</v>
      </c>
      <c r="M8092" s="1498"/>
      <c r="N8092" s="197">
        <f>L8092-H8104</f>
        <v>0</v>
      </c>
    </row>
    <row r="8093" spans="1:14" ht="15.6" customHeight="1">
      <c r="A8093" s="1499"/>
      <c r="B8093" s="1500"/>
      <c r="C8093" s="366"/>
      <c r="D8093" s="367"/>
      <c r="E8093" s="1320"/>
      <c r="F8093" s="367"/>
      <c r="G8093" s="367"/>
      <c r="H8093" s="1503" t="s">
        <v>476</v>
      </c>
      <c r="I8093" s="1505"/>
      <c r="J8093" s="1506"/>
      <c r="K8093" s="1506"/>
      <c r="L8093" s="1506"/>
      <c r="M8093" s="1506"/>
      <c r="N8093" s="1507"/>
    </row>
    <row r="8094" spans="1:14" ht="15.6" customHeight="1">
      <c r="A8094" s="1501"/>
      <c r="B8094" s="1502"/>
      <c r="C8094" s="97" t="s">
        <v>44</v>
      </c>
      <c r="D8094" s="97" t="s">
        <v>3214</v>
      </c>
      <c r="E8094" s="97" t="s">
        <v>3457</v>
      </c>
      <c r="F8094" s="574"/>
      <c r="G8094" s="97" t="s">
        <v>3048</v>
      </c>
      <c r="H8094" s="1504"/>
      <c r="I8094" s="1508"/>
      <c r="J8094" s="1509"/>
      <c r="K8094" s="1509"/>
      <c r="L8094" s="1509"/>
      <c r="M8094" s="1509"/>
      <c r="N8094" s="1510"/>
    </row>
    <row r="8095" spans="1:14" ht="15.6" customHeight="1">
      <c r="A8095" s="1536" t="s">
        <v>3569</v>
      </c>
      <c r="B8095" s="959" t="s">
        <v>3454</v>
      </c>
      <c r="C8095" s="317">
        <v>15</v>
      </c>
      <c r="D8095" s="317"/>
      <c r="E8095" s="1315">
        <v>0.6</v>
      </c>
      <c r="F8095" s="317"/>
      <c r="G8095" s="317"/>
      <c r="H8095" s="857">
        <f>C8095*E8095</f>
        <v>9</v>
      </c>
      <c r="I8095" s="1508"/>
      <c r="J8095" s="1509"/>
      <c r="K8095" s="1509"/>
      <c r="L8095" s="1509"/>
      <c r="M8095" s="1509"/>
      <c r="N8095" s="1510"/>
    </row>
    <row r="8096" spans="1:14" ht="15.6" customHeight="1">
      <c r="A8096" s="1536"/>
      <c r="B8096" s="959" t="s">
        <v>3456</v>
      </c>
      <c r="C8096" s="317">
        <v>25</v>
      </c>
      <c r="D8096" s="317"/>
      <c r="E8096" s="1315">
        <v>0.6</v>
      </c>
      <c r="F8096" s="317"/>
      <c r="G8096" s="317"/>
      <c r="H8096" s="857">
        <f>C8096*E8096</f>
        <v>15</v>
      </c>
      <c r="I8096" s="1508"/>
      <c r="J8096" s="1509"/>
      <c r="K8096" s="1509"/>
      <c r="L8096" s="1509"/>
      <c r="M8096" s="1509"/>
      <c r="N8096" s="1510"/>
    </row>
    <row r="8097" spans="1:14" ht="15.6" customHeight="1">
      <c r="A8097" s="1537"/>
      <c r="B8097" s="921"/>
      <c r="C8097" s="317"/>
      <c r="D8097" s="317"/>
      <c r="E8097" s="1315"/>
      <c r="F8097" s="317"/>
      <c r="G8097" s="317"/>
      <c r="H8097" s="857"/>
      <c r="I8097" s="1508"/>
      <c r="J8097" s="1509"/>
      <c r="K8097" s="1509"/>
      <c r="L8097" s="1509"/>
      <c r="M8097" s="1509"/>
      <c r="N8097" s="1510"/>
    </row>
    <row r="8098" spans="1:14" ht="15.6" customHeight="1">
      <c r="A8098" s="1536" t="s">
        <v>3620</v>
      </c>
      <c r="B8098" s="959" t="s">
        <v>3454</v>
      </c>
      <c r="C8098" s="317">
        <v>15</v>
      </c>
      <c r="D8098" s="317"/>
      <c r="E8098" s="1315">
        <v>0.2</v>
      </c>
      <c r="F8098" s="317"/>
      <c r="G8098" s="317"/>
      <c r="H8098" s="857">
        <f>C8098*E8098</f>
        <v>3</v>
      </c>
      <c r="I8098" s="1508"/>
      <c r="J8098" s="1509"/>
      <c r="K8098" s="1509"/>
      <c r="L8098" s="1509"/>
      <c r="M8098" s="1509"/>
      <c r="N8098" s="1510"/>
    </row>
    <row r="8099" spans="1:14" ht="15.6" customHeight="1">
      <c r="A8099" s="1536"/>
      <c r="B8099" s="959" t="s">
        <v>3456</v>
      </c>
      <c r="C8099" s="317">
        <v>25</v>
      </c>
      <c r="D8099" s="317"/>
      <c r="E8099" s="1315">
        <v>0.2</v>
      </c>
      <c r="F8099" s="317"/>
      <c r="G8099" s="317"/>
      <c r="H8099" s="857">
        <f>C8099*E8099</f>
        <v>5</v>
      </c>
      <c r="I8099" s="1508"/>
      <c r="J8099" s="1509"/>
      <c r="K8099" s="1509"/>
      <c r="L8099" s="1509"/>
      <c r="M8099" s="1509"/>
      <c r="N8099" s="1510"/>
    </row>
    <row r="8100" spans="1:14" ht="15.6" customHeight="1">
      <c r="A8100" s="1537"/>
      <c r="B8100" s="921"/>
      <c r="C8100" s="317"/>
      <c r="D8100" s="317"/>
      <c r="E8100" s="1315"/>
      <c r="F8100" s="317"/>
      <c r="G8100" s="317"/>
      <c r="H8100" s="857"/>
      <c r="I8100" s="1508"/>
      <c r="J8100" s="1509"/>
      <c r="K8100" s="1509"/>
      <c r="L8100" s="1509"/>
      <c r="M8100" s="1509"/>
      <c r="N8100" s="1510"/>
    </row>
    <row r="8101" spans="1:14" ht="15.6" customHeight="1">
      <c r="A8101" s="1536" t="s">
        <v>3892</v>
      </c>
      <c r="B8101" s="959" t="s">
        <v>3454</v>
      </c>
      <c r="C8101" s="317"/>
      <c r="D8101" s="317"/>
      <c r="E8101" s="1315"/>
      <c r="F8101" s="317"/>
      <c r="G8101" s="317"/>
      <c r="H8101" s="857">
        <v>21</v>
      </c>
      <c r="I8101" s="1508"/>
      <c r="J8101" s="1509"/>
      <c r="K8101" s="1509"/>
      <c r="L8101" s="1509"/>
      <c r="M8101" s="1509"/>
      <c r="N8101" s="1510"/>
    </row>
    <row r="8102" spans="1:14" ht="15.6" customHeight="1">
      <c r="A8102" s="1536"/>
      <c r="B8102" s="959" t="s">
        <v>3456</v>
      </c>
      <c r="C8102" s="317"/>
      <c r="D8102" s="317"/>
      <c r="E8102" s="1315"/>
      <c r="F8102" s="317"/>
      <c r="G8102" s="317"/>
      <c r="H8102" s="857">
        <v>13</v>
      </c>
      <c r="I8102" s="1508"/>
      <c r="J8102" s="1509"/>
      <c r="K8102" s="1509"/>
      <c r="L8102" s="1509"/>
      <c r="M8102" s="1509"/>
      <c r="N8102" s="1510"/>
    </row>
    <row r="8103" spans="1:14" ht="15.6" customHeight="1">
      <c r="A8103" s="1537"/>
      <c r="B8103" s="921"/>
      <c r="C8103" s="317"/>
      <c r="D8103" s="317"/>
      <c r="E8103" s="1315"/>
      <c r="F8103" s="317"/>
      <c r="G8103" s="317"/>
      <c r="H8103" s="857"/>
      <c r="I8103" s="1508"/>
      <c r="J8103" s="1509"/>
      <c r="K8103" s="1509"/>
      <c r="L8103" s="1509"/>
      <c r="M8103" s="1509"/>
      <c r="N8103" s="1510"/>
    </row>
    <row r="8104" spans="1:14" ht="15.6" customHeight="1">
      <c r="A8104" s="1519" t="s">
        <v>2218</v>
      </c>
      <c r="B8104" s="1517"/>
      <c r="C8104" s="1517"/>
      <c r="D8104" s="1517"/>
      <c r="E8104" s="1517"/>
      <c r="F8104" s="1517"/>
      <c r="G8104" s="1518"/>
      <c r="H8104" s="271">
        <f>SUM(H8101:H8102)</f>
        <v>34</v>
      </c>
      <c r="I8104" s="1508"/>
      <c r="J8104" s="1509"/>
      <c r="K8104" s="1509"/>
      <c r="L8104" s="1509"/>
      <c r="M8104" s="1509"/>
      <c r="N8104" s="1510"/>
    </row>
    <row r="8105" spans="1:14" ht="15.6" customHeight="1">
      <c r="A8105" s="1519" t="s">
        <v>2219</v>
      </c>
      <c r="B8105" s="1517"/>
      <c r="C8105" s="1517"/>
      <c r="D8105" s="1517"/>
      <c r="E8105" s="1517"/>
      <c r="F8105" s="1517"/>
      <c r="G8105" s="1518"/>
      <c r="H8105" s="325">
        <v>0</v>
      </c>
      <c r="I8105" s="1508"/>
      <c r="J8105" s="1509"/>
      <c r="K8105" s="1509"/>
      <c r="L8105" s="1509"/>
      <c r="M8105" s="1509"/>
      <c r="N8105" s="1510"/>
    </row>
    <row r="8106" spans="1:14" ht="15.6" customHeight="1" thickBot="1">
      <c r="A8106" s="1520" t="s">
        <v>2220</v>
      </c>
      <c r="B8106" s="1521"/>
      <c r="C8106" s="1521"/>
      <c r="D8106" s="1521"/>
      <c r="E8106" s="1521"/>
      <c r="F8106" s="1521"/>
      <c r="G8106" s="1522"/>
      <c r="H8106" s="216">
        <f>H8104-H8105</f>
        <v>34</v>
      </c>
      <c r="I8106" s="1511"/>
      <c r="J8106" s="1512"/>
      <c r="K8106" s="1512"/>
      <c r="L8106" s="1512"/>
      <c r="M8106" s="1512"/>
      <c r="N8106" s="1513"/>
    </row>
    <row r="8107" spans="1:14" ht="15.6" customHeight="1" thickBot="1">
      <c r="A8107" s="1130"/>
      <c r="B8107" s="898"/>
      <c r="C8107" s="898"/>
      <c r="D8107" s="970"/>
      <c r="E8107" s="1363"/>
      <c r="F8107" s="898"/>
      <c r="G8107" s="898"/>
      <c r="H8107" s="969"/>
      <c r="I8107" s="279"/>
      <c r="J8107" s="279"/>
      <c r="K8107" s="279"/>
      <c r="L8107" s="279"/>
      <c r="M8107" s="279"/>
      <c r="N8107" s="441"/>
    </row>
    <row r="8108" spans="1:14" ht="15.6" customHeight="1">
      <c r="A8108" s="1084" t="s">
        <v>3519</v>
      </c>
      <c r="B8108" s="1494" t="s">
        <v>2010</v>
      </c>
      <c r="C8108" s="1495"/>
      <c r="D8108" s="1495"/>
      <c r="E8108" s="1495"/>
      <c r="F8108" s="1495"/>
      <c r="G8108" s="1495"/>
      <c r="H8108" s="1495"/>
      <c r="I8108" s="1495"/>
      <c r="J8108" s="1496"/>
      <c r="K8108" s="196" t="s">
        <v>28</v>
      </c>
      <c r="L8108" s="1497">
        <f>'27ª MEDIÇÃO '!F623</f>
        <v>170</v>
      </c>
      <c r="M8108" s="1498"/>
      <c r="N8108" s="197">
        <f>L8108-H8120</f>
        <v>0</v>
      </c>
    </row>
    <row r="8109" spans="1:14">
      <c r="A8109" s="1499"/>
      <c r="B8109" s="1500"/>
      <c r="C8109" s="366"/>
      <c r="D8109" s="367"/>
      <c r="E8109" s="1320"/>
      <c r="F8109" s="367"/>
      <c r="G8109" s="367"/>
      <c r="H8109" s="1503" t="s">
        <v>476</v>
      </c>
      <c r="I8109" s="1505"/>
      <c r="J8109" s="1506"/>
      <c r="K8109" s="1506"/>
      <c r="L8109" s="1506"/>
      <c r="M8109" s="1506"/>
      <c r="N8109" s="1507"/>
    </row>
    <row r="8110" spans="1:14" ht="30">
      <c r="A8110" s="1501"/>
      <c r="B8110" s="1502"/>
      <c r="C8110" s="97" t="s">
        <v>746</v>
      </c>
      <c r="D8110" s="97" t="s">
        <v>3214</v>
      </c>
      <c r="E8110" s="97" t="s">
        <v>3457</v>
      </c>
      <c r="F8110" s="574"/>
      <c r="G8110" s="97" t="s">
        <v>3048</v>
      </c>
      <c r="H8110" s="1504"/>
      <c r="I8110" s="1508"/>
      <c r="J8110" s="1509"/>
      <c r="K8110" s="1509"/>
      <c r="L8110" s="1509"/>
      <c r="M8110" s="1509"/>
      <c r="N8110" s="1510"/>
    </row>
    <row r="8111" spans="1:14" ht="15.6" customHeight="1">
      <c r="A8111" s="1536" t="s">
        <v>3465</v>
      </c>
      <c r="B8111" s="959" t="s">
        <v>3454</v>
      </c>
      <c r="C8111" s="317">
        <v>90</v>
      </c>
      <c r="D8111" s="317"/>
      <c r="E8111" s="1315"/>
      <c r="F8111" s="317"/>
      <c r="G8111" s="317"/>
      <c r="H8111" s="857"/>
      <c r="I8111" s="1508"/>
      <c r="J8111" s="1509"/>
      <c r="K8111" s="1509"/>
      <c r="L8111" s="1509"/>
      <c r="M8111" s="1509"/>
      <c r="N8111" s="1510"/>
    </row>
    <row r="8112" spans="1:14">
      <c r="A8112" s="1536"/>
      <c r="B8112" s="959" t="s">
        <v>3456</v>
      </c>
      <c r="C8112" s="317">
        <v>80</v>
      </c>
      <c r="D8112" s="317"/>
      <c r="E8112" s="1315">
        <v>0.2</v>
      </c>
      <c r="F8112" s="317"/>
      <c r="G8112" s="317"/>
      <c r="H8112" s="857">
        <f>C8112*E8112</f>
        <v>16</v>
      </c>
      <c r="I8112" s="1508"/>
      <c r="J8112" s="1509"/>
      <c r="K8112" s="1509"/>
      <c r="L8112" s="1509"/>
      <c r="M8112" s="1509"/>
      <c r="N8112" s="1510"/>
    </row>
    <row r="8113" spans="1:14">
      <c r="A8113" s="1537"/>
      <c r="B8113" s="921"/>
      <c r="C8113" s="317"/>
      <c r="D8113" s="317"/>
      <c r="E8113" s="1315"/>
      <c r="F8113" s="317"/>
      <c r="G8113" s="317"/>
      <c r="H8113" s="857"/>
      <c r="I8113" s="1508"/>
      <c r="J8113" s="1509"/>
      <c r="K8113" s="1509"/>
      <c r="L8113" s="1509"/>
      <c r="M8113" s="1509"/>
      <c r="N8113" s="1510"/>
    </row>
    <row r="8114" spans="1:14" ht="15.6" customHeight="1">
      <c r="A8114" s="1536" t="s">
        <v>3521</v>
      </c>
      <c r="B8114" s="959" t="s">
        <v>3454</v>
      </c>
      <c r="C8114" s="317">
        <v>90</v>
      </c>
      <c r="D8114" s="317"/>
      <c r="E8114" s="1315">
        <v>0.9</v>
      </c>
      <c r="F8114" s="317"/>
      <c r="G8114" s="317"/>
      <c r="H8114" s="857">
        <f>C8114*E8114</f>
        <v>81</v>
      </c>
      <c r="I8114" s="1508"/>
      <c r="J8114" s="1509"/>
      <c r="K8114" s="1509"/>
      <c r="L8114" s="1509"/>
      <c r="M8114" s="1509"/>
      <c r="N8114" s="1510"/>
    </row>
    <row r="8115" spans="1:14" ht="15.6" customHeight="1">
      <c r="A8115" s="1536"/>
      <c r="B8115" s="959" t="s">
        <v>3456</v>
      </c>
      <c r="C8115" s="317">
        <v>80</v>
      </c>
      <c r="D8115" s="317"/>
      <c r="E8115" s="1315">
        <v>0.7</v>
      </c>
      <c r="F8115" s="317"/>
      <c r="G8115" s="317"/>
      <c r="H8115" s="857">
        <f>C8115*E8115</f>
        <v>56</v>
      </c>
      <c r="I8115" s="1508"/>
      <c r="J8115" s="1509"/>
      <c r="K8115" s="1509"/>
      <c r="L8115" s="1509"/>
      <c r="M8115" s="1509"/>
      <c r="N8115" s="1510"/>
    </row>
    <row r="8116" spans="1:14">
      <c r="A8116" s="1537"/>
      <c r="B8116" s="921"/>
      <c r="C8116" s="317"/>
      <c r="D8116" s="317"/>
      <c r="E8116" s="1315"/>
      <c r="F8116" s="317"/>
      <c r="G8116" s="317"/>
      <c r="H8116" s="857"/>
      <c r="I8116" s="1508"/>
      <c r="J8116" s="1509"/>
      <c r="K8116" s="1509"/>
      <c r="L8116" s="1509"/>
      <c r="M8116" s="1509"/>
      <c r="N8116" s="1510"/>
    </row>
    <row r="8117" spans="1:14">
      <c r="A8117" s="1536" t="s">
        <v>3620</v>
      </c>
      <c r="B8117" s="959" t="s">
        <v>3454</v>
      </c>
      <c r="C8117" s="317">
        <v>90</v>
      </c>
      <c r="D8117" s="317"/>
      <c r="E8117" s="1315">
        <v>0.1</v>
      </c>
      <c r="F8117" s="317"/>
      <c r="G8117" s="317"/>
      <c r="H8117" s="857">
        <f>C8117*E8117</f>
        <v>9</v>
      </c>
      <c r="I8117" s="1508"/>
      <c r="J8117" s="1509"/>
      <c r="K8117" s="1509"/>
      <c r="L8117" s="1509"/>
      <c r="M8117" s="1509"/>
      <c r="N8117" s="1510"/>
    </row>
    <row r="8118" spans="1:14">
      <c r="A8118" s="1536"/>
      <c r="B8118" s="959" t="s">
        <v>3456</v>
      </c>
      <c r="C8118" s="317">
        <v>80</v>
      </c>
      <c r="D8118" s="317"/>
      <c r="E8118" s="1315">
        <v>0.1</v>
      </c>
      <c r="F8118" s="317"/>
      <c r="G8118" s="317"/>
      <c r="H8118" s="857">
        <f>C8118*E8118</f>
        <v>8</v>
      </c>
      <c r="I8118" s="1508"/>
      <c r="J8118" s="1509"/>
      <c r="K8118" s="1509"/>
      <c r="L8118" s="1509"/>
      <c r="M8118" s="1509"/>
      <c r="N8118" s="1510"/>
    </row>
    <row r="8119" spans="1:14">
      <c r="A8119" s="1537"/>
      <c r="B8119" s="921"/>
      <c r="C8119" s="317"/>
      <c r="D8119" s="317"/>
      <c r="E8119" s="1315"/>
      <c r="F8119" s="317"/>
      <c r="G8119" s="317"/>
      <c r="H8119" s="857"/>
      <c r="I8119" s="1508"/>
      <c r="J8119" s="1509"/>
      <c r="K8119" s="1509"/>
      <c r="L8119" s="1509"/>
      <c r="M8119" s="1509"/>
      <c r="N8119" s="1510"/>
    </row>
    <row r="8120" spans="1:14">
      <c r="A8120" s="1519" t="s">
        <v>2218</v>
      </c>
      <c r="B8120" s="1517"/>
      <c r="C8120" s="1517"/>
      <c r="D8120" s="1517"/>
      <c r="E8120" s="1517"/>
      <c r="F8120" s="1517"/>
      <c r="G8120" s="1518"/>
      <c r="H8120" s="271">
        <f>SUM(H8111:H8119)</f>
        <v>170</v>
      </c>
      <c r="I8120" s="1508"/>
      <c r="J8120" s="1509"/>
      <c r="K8120" s="1509"/>
      <c r="L8120" s="1509"/>
      <c r="M8120" s="1509"/>
      <c r="N8120" s="1510"/>
    </row>
    <row r="8121" spans="1:14">
      <c r="A8121" s="1519" t="s">
        <v>2219</v>
      </c>
      <c r="B8121" s="1517"/>
      <c r="C8121" s="1517"/>
      <c r="D8121" s="1517"/>
      <c r="E8121" s="1517"/>
      <c r="F8121" s="1517"/>
      <c r="G8121" s="1518"/>
      <c r="H8121" s="325">
        <f>SUM(H8109:H8116)</f>
        <v>153</v>
      </c>
      <c r="I8121" s="1508"/>
      <c r="J8121" s="1509"/>
      <c r="K8121" s="1509"/>
      <c r="L8121" s="1509"/>
      <c r="M8121" s="1509"/>
      <c r="N8121" s="1510"/>
    </row>
    <row r="8122" spans="1:14" ht="15.75" thickBot="1">
      <c r="A8122" s="1520" t="s">
        <v>2220</v>
      </c>
      <c r="B8122" s="1521"/>
      <c r="C8122" s="1521"/>
      <c r="D8122" s="1521"/>
      <c r="E8122" s="1521"/>
      <c r="F8122" s="1521"/>
      <c r="G8122" s="1522"/>
      <c r="H8122" s="216">
        <f>H8120-H8121</f>
        <v>17</v>
      </c>
      <c r="I8122" s="1511"/>
      <c r="J8122" s="1512"/>
      <c r="K8122" s="1512"/>
      <c r="L8122" s="1512"/>
      <c r="M8122" s="1512"/>
      <c r="N8122" s="1513"/>
    </row>
    <row r="8123" spans="1:14" ht="15.75" thickBot="1">
      <c r="A8123" s="1130"/>
      <c r="B8123" s="898"/>
      <c r="C8123" s="898"/>
      <c r="D8123" s="970"/>
      <c r="E8123" s="1363"/>
      <c r="F8123" s="898"/>
      <c r="G8123" s="898"/>
      <c r="H8123" s="969"/>
      <c r="I8123" s="279"/>
      <c r="J8123" s="279"/>
      <c r="K8123" s="279"/>
      <c r="L8123" s="279"/>
      <c r="M8123" s="279"/>
      <c r="N8123" s="441"/>
    </row>
    <row r="8124" spans="1:14">
      <c r="A8124" s="1084" t="s">
        <v>3520</v>
      </c>
      <c r="B8124" s="1494" t="s">
        <v>2012</v>
      </c>
      <c r="C8124" s="1495"/>
      <c r="D8124" s="1495"/>
      <c r="E8124" s="1495"/>
      <c r="F8124" s="1495"/>
      <c r="G8124" s="1495"/>
      <c r="H8124" s="1495"/>
      <c r="I8124" s="1495"/>
      <c r="J8124" s="1496"/>
      <c r="K8124" s="196" t="s">
        <v>28</v>
      </c>
      <c r="L8124" s="1497">
        <f>'27ª MEDIÇÃO '!F624</f>
        <v>235</v>
      </c>
      <c r="M8124" s="1498"/>
      <c r="N8124" s="197">
        <f>L8124-H8136</f>
        <v>0</v>
      </c>
    </row>
    <row r="8125" spans="1:14">
      <c r="A8125" s="1499"/>
      <c r="B8125" s="1500"/>
      <c r="C8125" s="366"/>
      <c r="D8125" s="367"/>
      <c r="E8125" s="1320"/>
      <c r="F8125" s="367"/>
      <c r="G8125" s="367"/>
      <c r="H8125" s="1503" t="s">
        <v>476</v>
      </c>
      <c r="I8125" s="1505"/>
      <c r="J8125" s="1506"/>
      <c r="K8125" s="1506"/>
      <c r="L8125" s="1506"/>
      <c r="M8125" s="1506"/>
      <c r="N8125" s="1507"/>
    </row>
    <row r="8126" spans="1:14" ht="30">
      <c r="A8126" s="1501"/>
      <c r="B8126" s="1502"/>
      <c r="C8126" s="97" t="s">
        <v>746</v>
      </c>
      <c r="D8126" s="97" t="s">
        <v>3214</v>
      </c>
      <c r="E8126" s="97" t="s">
        <v>3457</v>
      </c>
      <c r="F8126" s="574"/>
      <c r="G8126" s="97" t="s">
        <v>3048</v>
      </c>
      <c r="H8126" s="1504"/>
      <c r="I8126" s="1508"/>
      <c r="J8126" s="1509"/>
      <c r="K8126" s="1509"/>
      <c r="L8126" s="1509"/>
      <c r="M8126" s="1509"/>
      <c r="N8126" s="1510"/>
    </row>
    <row r="8127" spans="1:14">
      <c r="A8127" s="1536" t="s">
        <v>3465</v>
      </c>
      <c r="B8127" s="959" t="s">
        <v>3454</v>
      </c>
      <c r="C8127" s="317">
        <v>125</v>
      </c>
      <c r="D8127" s="317"/>
      <c r="E8127" s="1315"/>
      <c r="F8127" s="317"/>
      <c r="G8127" s="317"/>
      <c r="H8127" s="857"/>
      <c r="I8127" s="1508"/>
      <c r="J8127" s="1509"/>
      <c r="K8127" s="1509"/>
      <c r="L8127" s="1509"/>
      <c r="M8127" s="1509"/>
      <c r="N8127" s="1510"/>
    </row>
    <row r="8128" spans="1:14">
      <c r="A8128" s="1536"/>
      <c r="B8128" s="959" t="s">
        <v>3456</v>
      </c>
      <c r="C8128" s="317">
        <v>110</v>
      </c>
      <c r="D8128" s="317"/>
      <c r="E8128" s="1315">
        <v>0.2</v>
      </c>
      <c r="F8128" s="317"/>
      <c r="G8128" s="317"/>
      <c r="H8128" s="857">
        <f>C8128*E8128</f>
        <v>22</v>
      </c>
      <c r="I8128" s="1508"/>
      <c r="J8128" s="1509"/>
      <c r="K8128" s="1509"/>
      <c r="L8128" s="1509"/>
      <c r="M8128" s="1509"/>
      <c r="N8128" s="1510"/>
    </row>
    <row r="8129" spans="1:14">
      <c r="A8129" s="1537"/>
      <c r="B8129" s="921"/>
      <c r="C8129" s="317"/>
      <c r="D8129" s="317"/>
      <c r="E8129" s="1315"/>
      <c r="F8129" s="317"/>
      <c r="G8129" s="317"/>
      <c r="H8129" s="857"/>
      <c r="I8129" s="1508"/>
      <c r="J8129" s="1509"/>
      <c r="K8129" s="1509"/>
      <c r="L8129" s="1509"/>
      <c r="M8129" s="1509"/>
      <c r="N8129" s="1510"/>
    </row>
    <row r="8130" spans="1:14">
      <c r="A8130" s="1536" t="s">
        <v>3521</v>
      </c>
      <c r="B8130" s="959" t="s">
        <v>3454</v>
      </c>
      <c r="C8130" s="317">
        <v>125</v>
      </c>
      <c r="D8130" s="317"/>
      <c r="E8130" s="1315">
        <v>0.9</v>
      </c>
      <c r="F8130" s="317"/>
      <c r="G8130" s="317"/>
      <c r="H8130" s="857">
        <f>C8130*E8130</f>
        <v>112.5</v>
      </c>
      <c r="I8130" s="1508"/>
      <c r="J8130" s="1509"/>
      <c r="K8130" s="1509"/>
      <c r="L8130" s="1509"/>
      <c r="M8130" s="1509"/>
      <c r="N8130" s="1510"/>
    </row>
    <row r="8131" spans="1:14">
      <c r="A8131" s="1536"/>
      <c r="B8131" s="959" t="s">
        <v>3456</v>
      </c>
      <c r="C8131" s="317">
        <v>110</v>
      </c>
      <c r="D8131" s="317"/>
      <c r="E8131" s="1315">
        <v>0.7</v>
      </c>
      <c r="F8131" s="317"/>
      <c r="G8131" s="317"/>
      <c r="H8131" s="857">
        <f>C8131*E8131</f>
        <v>77</v>
      </c>
      <c r="I8131" s="1508"/>
      <c r="J8131" s="1509"/>
      <c r="K8131" s="1509"/>
      <c r="L8131" s="1509"/>
      <c r="M8131" s="1509"/>
      <c r="N8131" s="1510"/>
    </row>
    <row r="8132" spans="1:14">
      <c r="A8132" s="1537"/>
      <c r="B8132" s="921"/>
      <c r="C8132" s="317"/>
      <c r="D8132" s="317"/>
      <c r="E8132" s="1315"/>
      <c r="F8132" s="317"/>
      <c r="G8132" s="317"/>
      <c r="H8132" s="857"/>
      <c r="I8132" s="1508"/>
      <c r="J8132" s="1509"/>
      <c r="K8132" s="1509"/>
      <c r="L8132" s="1509"/>
      <c r="M8132" s="1509"/>
      <c r="N8132" s="1510"/>
    </row>
    <row r="8133" spans="1:14">
      <c r="A8133" s="1536" t="s">
        <v>3620</v>
      </c>
      <c r="B8133" s="959" t="s">
        <v>3454</v>
      </c>
      <c r="C8133" s="317">
        <v>125</v>
      </c>
      <c r="D8133" s="317"/>
      <c r="E8133" s="1315">
        <v>0.1</v>
      </c>
      <c r="F8133" s="317"/>
      <c r="G8133" s="317"/>
      <c r="H8133" s="857">
        <f>C8133*E8133</f>
        <v>12.5</v>
      </c>
      <c r="I8133" s="1508"/>
      <c r="J8133" s="1509"/>
      <c r="K8133" s="1509"/>
      <c r="L8133" s="1509"/>
      <c r="M8133" s="1509"/>
      <c r="N8133" s="1510"/>
    </row>
    <row r="8134" spans="1:14">
      <c r="A8134" s="1536"/>
      <c r="B8134" s="959" t="s">
        <v>3456</v>
      </c>
      <c r="C8134" s="317">
        <v>110</v>
      </c>
      <c r="D8134" s="317"/>
      <c r="E8134" s="1315">
        <v>0.1</v>
      </c>
      <c r="F8134" s="317"/>
      <c r="G8134" s="317"/>
      <c r="H8134" s="857">
        <f>C8134*E8134</f>
        <v>11</v>
      </c>
      <c r="I8134" s="1508"/>
      <c r="J8134" s="1509"/>
      <c r="K8134" s="1509"/>
      <c r="L8134" s="1509"/>
      <c r="M8134" s="1509"/>
      <c r="N8134" s="1510"/>
    </row>
    <row r="8135" spans="1:14">
      <c r="A8135" s="1537"/>
      <c r="B8135" s="921"/>
      <c r="C8135" s="317"/>
      <c r="D8135" s="317"/>
      <c r="E8135" s="1315"/>
      <c r="F8135" s="317"/>
      <c r="G8135" s="317"/>
      <c r="H8135" s="857"/>
      <c r="I8135" s="1508"/>
      <c r="J8135" s="1509"/>
      <c r="K8135" s="1509"/>
      <c r="L8135" s="1509"/>
      <c r="M8135" s="1509"/>
      <c r="N8135" s="1510"/>
    </row>
    <row r="8136" spans="1:14">
      <c r="A8136" s="1519" t="s">
        <v>2218</v>
      </c>
      <c r="B8136" s="1517"/>
      <c r="C8136" s="1517"/>
      <c r="D8136" s="1517"/>
      <c r="E8136" s="1517"/>
      <c r="F8136" s="1517"/>
      <c r="G8136" s="1518"/>
      <c r="H8136" s="271">
        <f>SUM(H8127:H8135)</f>
        <v>235</v>
      </c>
      <c r="I8136" s="1508"/>
      <c r="J8136" s="1509"/>
      <c r="K8136" s="1509"/>
      <c r="L8136" s="1509"/>
      <c r="M8136" s="1509"/>
      <c r="N8136" s="1510"/>
    </row>
    <row r="8137" spans="1:14">
      <c r="A8137" s="1519" t="s">
        <v>2219</v>
      </c>
      <c r="B8137" s="1517"/>
      <c r="C8137" s="1517"/>
      <c r="D8137" s="1517"/>
      <c r="E8137" s="1517"/>
      <c r="F8137" s="1517"/>
      <c r="G8137" s="1518"/>
      <c r="H8137" s="325">
        <f>SUM(H8125:H8132)</f>
        <v>211.5</v>
      </c>
      <c r="I8137" s="1508"/>
      <c r="J8137" s="1509"/>
      <c r="K8137" s="1509"/>
      <c r="L8137" s="1509"/>
      <c r="M8137" s="1509"/>
      <c r="N8137" s="1510"/>
    </row>
    <row r="8138" spans="1:14" ht="15.75" thickBot="1">
      <c r="A8138" s="1520" t="s">
        <v>2220</v>
      </c>
      <c r="B8138" s="1521"/>
      <c r="C8138" s="1521"/>
      <c r="D8138" s="1521"/>
      <c r="E8138" s="1521"/>
      <c r="F8138" s="1521"/>
      <c r="G8138" s="1522"/>
      <c r="H8138" s="216">
        <f>H8136-H8137</f>
        <v>23.5</v>
      </c>
      <c r="I8138" s="1511"/>
      <c r="J8138" s="1512"/>
      <c r="K8138" s="1512"/>
      <c r="L8138" s="1512"/>
      <c r="M8138" s="1512"/>
      <c r="N8138" s="1513"/>
    </row>
    <row r="8139" spans="1:14">
      <c r="A8139" s="1130"/>
      <c r="B8139" s="898"/>
      <c r="C8139" s="898"/>
      <c r="D8139" s="970"/>
      <c r="E8139" s="1363"/>
      <c r="F8139" s="898"/>
      <c r="G8139" s="898"/>
      <c r="H8139" s="969"/>
      <c r="I8139" s="279"/>
      <c r="J8139" s="279"/>
      <c r="K8139" s="279"/>
      <c r="L8139" s="279"/>
      <c r="M8139" s="279"/>
      <c r="N8139" s="441"/>
    </row>
    <row r="8140" spans="1:14">
      <c r="A8140" s="1131">
        <v>1806</v>
      </c>
      <c r="B8140" s="1864" t="s">
        <v>677</v>
      </c>
      <c r="C8140" s="1865"/>
      <c r="D8140" s="1865"/>
      <c r="E8140" s="1865"/>
      <c r="F8140" s="1865"/>
      <c r="G8140" s="1865"/>
      <c r="H8140" s="1865"/>
      <c r="I8140" s="1865"/>
      <c r="J8140" s="1865"/>
      <c r="K8140" s="1865"/>
      <c r="L8140" s="1865"/>
      <c r="M8140" s="1865"/>
      <c r="N8140" s="1866"/>
    </row>
    <row r="8141" spans="1:14">
      <c r="A8141" s="1126" t="s">
        <v>3515</v>
      </c>
      <c r="B8141" s="1561" t="s">
        <v>2016</v>
      </c>
      <c r="C8141" s="1562"/>
      <c r="D8141" s="1562"/>
      <c r="E8141" s="1562"/>
      <c r="F8141" s="1562"/>
      <c r="G8141" s="1562"/>
      <c r="H8141" s="1562"/>
      <c r="I8141" s="1562"/>
      <c r="J8141" s="1563"/>
      <c r="K8141" s="264" t="s">
        <v>28</v>
      </c>
      <c r="L8141" s="1564">
        <f>'27ª MEDIÇÃO '!F626</f>
        <v>34</v>
      </c>
      <c r="M8141" s="1565"/>
      <c r="N8141" s="265">
        <f>L8141-H8149</f>
        <v>1</v>
      </c>
    </row>
    <row r="8142" spans="1:14">
      <c r="A8142" s="1499"/>
      <c r="B8142" s="1500"/>
      <c r="C8142" s="366"/>
      <c r="D8142" s="367"/>
      <c r="E8142" s="1320"/>
      <c r="F8142" s="367"/>
      <c r="G8142" s="367"/>
      <c r="H8142" s="1503" t="s">
        <v>476</v>
      </c>
      <c r="I8142" s="1505"/>
      <c r="J8142" s="1506"/>
      <c r="K8142" s="1506"/>
      <c r="L8142" s="1506"/>
      <c r="M8142" s="1506"/>
      <c r="N8142" s="1507"/>
    </row>
    <row r="8143" spans="1:14">
      <c r="A8143" s="1501"/>
      <c r="B8143" s="1502"/>
      <c r="C8143" s="97" t="s">
        <v>3031</v>
      </c>
      <c r="D8143" s="97"/>
      <c r="E8143" s="97"/>
      <c r="F8143" s="574"/>
      <c r="G8143" s="97" t="s">
        <v>3048</v>
      </c>
      <c r="H8143" s="1504"/>
      <c r="I8143" s="1508"/>
      <c r="J8143" s="1509"/>
      <c r="K8143" s="1509"/>
      <c r="L8143" s="1509"/>
      <c r="M8143" s="1509"/>
      <c r="N8143" s="1510"/>
    </row>
    <row r="8144" spans="1:14">
      <c r="A8144" s="1536" t="s">
        <v>3465</v>
      </c>
      <c r="B8144" s="686" t="s">
        <v>3209</v>
      </c>
      <c r="C8144" s="317">
        <v>1</v>
      </c>
      <c r="D8144" s="317"/>
      <c r="E8144" s="1315"/>
      <c r="F8144" s="574"/>
      <c r="G8144" s="317">
        <v>1</v>
      </c>
      <c r="H8144" s="857">
        <f>C8144</f>
        <v>1</v>
      </c>
      <c r="I8144" s="1508"/>
      <c r="J8144" s="1509"/>
      <c r="K8144" s="1509"/>
      <c r="L8144" s="1509"/>
      <c r="M8144" s="1509"/>
      <c r="N8144" s="1510"/>
    </row>
    <row r="8145" spans="1:14" ht="30" customHeight="1">
      <c r="A8145" s="1536"/>
      <c r="B8145" s="686" t="s">
        <v>3210</v>
      </c>
      <c r="C8145" s="317">
        <v>2</v>
      </c>
      <c r="D8145" s="317"/>
      <c r="E8145" s="1315"/>
      <c r="F8145" s="574"/>
      <c r="G8145" s="317">
        <v>2</v>
      </c>
      <c r="H8145" s="857">
        <f>C8145</f>
        <v>2</v>
      </c>
      <c r="I8145" s="1508"/>
      <c r="J8145" s="1509"/>
      <c r="K8145" s="1509"/>
      <c r="L8145" s="1509"/>
      <c r="M8145" s="1509"/>
      <c r="N8145" s="1510"/>
    </row>
    <row r="8146" spans="1:14">
      <c r="A8146" s="1536"/>
      <c r="B8146" s="686" t="s">
        <v>3211</v>
      </c>
      <c r="C8146" s="317">
        <v>1</v>
      </c>
      <c r="D8146" s="317"/>
      <c r="E8146" s="1315"/>
      <c r="F8146" s="574"/>
      <c r="G8146" s="317">
        <v>1</v>
      </c>
      <c r="H8146" s="857">
        <f>C8146</f>
        <v>1</v>
      </c>
      <c r="I8146" s="1508"/>
      <c r="J8146" s="1509"/>
      <c r="K8146" s="1509"/>
      <c r="L8146" s="1509"/>
      <c r="M8146" s="1509"/>
      <c r="N8146" s="1510"/>
    </row>
    <row r="8147" spans="1:14">
      <c r="A8147" s="1536"/>
      <c r="B8147" s="686" t="s">
        <v>3212</v>
      </c>
      <c r="C8147" s="317">
        <v>12</v>
      </c>
      <c r="D8147" s="317"/>
      <c r="E8147" s="1315"/>
      <c r="F8147" s="574"/>
      <c r="G8147" s="317">
        <v>12</v>
      </c>
      <c r="H8147" s="857">
        <f>C8147</f>
        <v>12</v>
      </c>
      <c r="I8147" s="1508"/>
      <c r="J8147" s="1509"/>
      <c r="K8147" s="1509"/>
      <c r="L8147" s="1509"/>
      <c r="M8147" s="1509"/>
      <c r="N8147" s="1510"/>
    </row>
    <row r="8148" spans="1:14">
      <c r="A8148" s="1537"/>
      <c r="B8148" s="686" t="s">
        <v>3213</v>
      </c>
      <c r="C8148" s="317">
        <v>17</v>
      </c>
      <c r="D8148" s="317"/>
      <c r="E8148" s="1315"/>
      <c r="F8148" s="574"/>
      <c r="G8148" s="317">
        <v>17</v>
      </c>
      <c r="H8148" s="857">
        <f>C8148</f>
        <v>17</v>
      </c>
      <c r="I8148" s="1508"/>
      <c r="J8148" s="1509"/>
      <c r="K8148" s="1509"/>
      <c r="L8148" s="1509"/>
      <c r="M8148" s="1509"/>
      <c r="N8148" s="1510"/>
    </row>
    <row r="8149" spans="1:14">
      <c r="A8149" s="1519" t="s">
        <v>2218</v>
      </c>
      <c r="B8149" s="1517"/>
      <c r="C8149" s="1517"/>
      <c r="D8149" s="1517"/>
      <c r="E8149" s="1517"/>
      <c r="F8149" s="1517"/>
      <c r="G8149" s="1518"/>
      <c r="H8149" s="271">
        <f>SUM(H8144:H8148)</f>
        <v>33</v>
      </c>
      <c r="I8149" s="1508"/>
      <c r="J8149" s="1509"/>
      <c r="K8149" s="1509"/>
      <c r="L8149" s="1509"/>
      <c r="M8149" s="1509"/>
      <c r="N8149" s="1510"/>
    </row>
    <row r="8150" spans="1:14">
      <c r="A8150" s="1519" t="s">
        <v>2219</v>
      </c>
      <c r="B8150" s="1517"/>
      <c r="C8150" s="1517"/>
      <c r="D8150" s="1517"/>
      <c r="E8150" s="1517"/>
      <c r="F8150" s="1517"/>
      <c r="G8150" s="1518"/>
      <c r="H8150" s="325">
        <v>0</v>
      </c>
      <c r="I8150" s="1508"/>
      <c r="J8150" s="1509"/>
      <c r="K8150" s="1509"/>
      <c r="L8150" s="1509"/>
      <c r="M8150" s="1509"/>
      <c r="N8150" s="1510"/>
    </row>
    <row r="8151" spans="1:14" ht="15.75" thickBot="1">
      <c r="A8151" s="1520" t="s">
        <v>2220</v>
      </c>
      <c r="B8151" s="1521"/>
      <c r="C8151" s="1521"/>
      <c r="D8151" s="1521"/>
      <c r="E8151" s="1521"/>
      <c r="F8151" s="1521"/>
      <c r="G8151" s="1522"/>
      <c r="H8151" s="216">
        <f>H8149-H8150</f>
        <v>33</v>
      </c>
      <c r="I8151" s="1511"/>
      <c r="J8151" s="1512"/>
      <c r="K8151" s="1512"/>
      <c r="L8151" s="1512"/>
      <c r="M8151" s="1512"/>
      <c r="N8151" s="1513"/>
    </row>
    <row r="8153" spans="1:14">
      <c r="A8153" s="1126" t="s">
        <v>3208</v>
      </c>
      <c r="B8153" s="1561" t="s">
        <v>2019</v>
      </c>
      <c r="C8153" s="1562"/>
      <c r="D8153" s="1562"/>
      <c r="E8153" s="1562"/>
      <c r="F8153" s="1562"/>
      <c r="G8153" s="1562"/>
      <c r="H8153" s="1562"/>
      <c r="I8153" s="1562"/>
      <c r="J8153" s="1563"/>
      <c r="K8153" s="264" t="s">
        <v>28</v>
      </c>
      <c r="L8153" s="1564">
        <f>'27ª MEDIÇÃO '!F627</f>
        <v>27.2</v>
      </c>
      <c r="M8153" s="1565"/>
      <c r="N8153" s="265">
        <f>L8153-H8161</f>
        <v>0.79999999999999716</v>
      </c>
    </row>
    <row r="8154" spans="1:14" ht="30" customHeight="1">
      <c r="A8154" s="1499"/>
      <c r="B8154" s="1500"/>
      <c r="C8154" s="366"/>
      <c r="D8154" s="367"/>
      <c r="E8154" s="1320"/>
      <c r="F8154" s="367"/>
      <c r="G8154" s="367"/>
      <c r="H8154" s="1503" t="s">
        <v>476</v>
      </c>
      <c r="I8154" s="1505"/>
      <c r="J8154" s="1506"/>
      <c r="K8154" s="1506"/>
      <c r="L8154" s="1506"/>
      <c r="M8154" s="1506"/>
      <c r="N8154" s="1507"/>
    </row>
    <row r="8155" spans="1:14" ht="30">
      <c r="A8155" s="1501"/>
      <c r="B8155" s="1502"/>
      <c r="C8155" s="97" t="s">
        <v>3031</v>
      </c>
      <c r="D8155" s="97" t="s">
        <v>3214</v>
      </c>
      <c r="E8155" s="97" t="s">
        <v>3215</v>
      </c>
      <c r="F8155" s="574"/>
      <c r="G8155" s="97" t="s">
        <v>3048</v>
      </c>
      <c r="H8155" s="1504"/>
      <c r="I8155" s="1508"/>
      <c r="J8155" s="1509"/>
      <c r="K8155" s="1509"/>
      <c r="L8155" s="1509"/>
      <c r="M8155" s="1509"/>
      <c r="N8155" s="1510"/>
    </row>
    <row r="8156" spans="1:14">
      <c r="A8156" s="1536"/>
      <c r="B8156" s="686" t="s">
        <v>3209</v>
      </c>
      <c r="C8156" s="317">
        <v>1</v>
      </c>
      <c r="D8156" s="317">
        <v>0.4</v>
      </c>
      <c r="E8156" s="1315">
        <v>2</v>
      </c>
      <c r="F8156" s="574"/>
      <c r="G8156" s="317">
        <v>1</v>
      </c>
      <c r="H8156" s="857">
        <f>C8156*D8156*E8156*G8156</f>
        <v>0.8</v>
      </c>
      <c r="I8156" s="1508"/>
      <c r="J8156" s="1509"/>
      <c r="K8156" s="1509"/>
      <c r="L8156" s="1509"/>
      <c r="M8156" s="1509"/>
      <c r="N8156" s="1510"/>
    </row>
    <row r="8157" spans="1:14" ht="26.25" customHeight="1">
      <c r="A8157" s="1536"/>
      <c r="B8157" s="686" t="s">
        <v>3210</v>
      </c>
      <c r="C8157" s="317">
        <v>1</v>
      </c>
      <c r="D8157" s="317">
        <v>0.4</v>
      </c>
      <c r="E8157" s="1315">
        <v>2</v>
      </c>
      <c r="F8157" s="574"/>
      <c r="G8157" s="317">
        <v>2</v>
      </c>
      <c r="H8157" s="857">
        <f>C8157*D8157*E8157*G8157</f>
        <v>1.6</v>
      </c>
      <c r="I8157" s="1508"/>
      <c r="J8157" s="1509"/>
      <c r="K8157" s="1509"/>
      <c r="L8157" s="1509"/>
      <c r="M8157" s="1509"/>
      <c r="N8157" s="1510"/>
    </row>
    <row r="8158" spans="1:14">
      <c r="A8158" s="1536"/>
      <c r="B8158" s="686" t="s">
        <v>3211</v>
      </c>
      <c r="C8158" s="317">
        <v>1</v>
      </c>
      <c r="D8158" s="317">
        <v>0.4</v>
      </c>
      <c r="E8158" s="1315">
        <v>2</v>
      </c>
      <c r="F8158" s="574"/>
      <c r="G8158" s="317">
        <v>1</v>
      </c>
      <c r="H8158" s="857">
        <f>C8158*D8158*E8158*G8158</f>
        <v>0.8</v>
      </c>
      <c r="I8158" s="1508"/>
      <c r="J8158" s="1509"/>
      <c r="K8158" s="1509"/>
      <c r="L8158" s="1509"/>
      <c r="M8158" s="1509"/>
      <c r="N8158" s="1510"/>
    </row>
    <row r="8159" spans="1:14">
      <c r="A8159" s="1536"/>
      <c r="B8159" s="686" t="s">
        <v>3212</v>
      </c>
      <c r="C8159" s="317">
        <v>1</v>
      </c>
      <c r="D8159" s="317">
        <v>0.4</v>
      </c>
      <c r="E8159" s="1315">
        <v>2</v>
      </c>
      <c r="F8159" s="574"/>
      <c r="G8159" s="317">
        <v>12</v>
      </c>
      <c r="H8159" s="857">
        <f>C8159*D8159*E8159*G8159</f>
        <v>9.6000000000000014</v>
      </c>
      <c r="I8159" s="1508"/>
      <c r="J8159" s="1509"/>
      <c r="K8159" s="1509"/>
      <c r="L8159" s="1509"/>
      <c r="M8159" s="1509"/>
      <c r="N8159" s="1510"/>
    </row>
    <row r="8160" spans="1:14">
      <c r="A8160" s="1537"/>
      <c r="B8160" s="686" t="s">
        <v>3213</v>
      </c>
      <c r="C8160" s="317">
        <v>1</v>
      </c>
      <c r="D8160" s="317">
        <v>0.4</v>
      </c>
      <c r="E8160" s="1315">
        <v>2</v>
      </c>
      <c r="F8160" s="574"/>
      <c r="G8160" s="317">
        <v>17</v>
      </c>
      <c r="H8160" s="857">
        <f>C8160*D8160*E8160*G8160</f>
        <v>13.600000000000001</v>
      </c>
      <c r="I8160" s="1508"/>
      <c r="J8160" s="1509"/>
      <c r="K8160" s="1509"/>
      <c r="L8160" s="1509"/>
      <c r="M8160" s="1509"/>
      <c r="N8160" s="1510"/>
    </row>
    <row r="8161" spans="1:14">
      <c r="A8161" s="1519" t="s">
        <v>2218</v>
      </c>
      <c r="B8161" s="1517"/>
      <c r="C8161" s="1517"/>
      <c r="D8161" s="1517"/>
      <c r="E8161" s="1517"/>
      <c r="F8161" s="1517"/>
      <c r="G8161" s="1518"/>
      <c r="H8161" s="271">
        <f>SUM(H8156:H8160)</f>
        <v>26.400000000000002</v>
      </c>
      <c r="I8161" s="1508"/>
      <c r="J8161" s="1509"/>
      <c r="K8161" s="1509"/>
      <c r="L8161" s="1509"/>
      <c r="M8161" s="1509"/>
      <c r="N8161" s="1510"/>
    </row>
    <row r="8162" spans="1:14">
      <c r="A8162" s="1519" t="s">
        <v>2219</v>
      </c>
      <c r="B8162" s="1517"/>
      <c r="C8162" s="1517"/>
      <c r="D8162" s="1517"/>
      <c r="E8162" s="1517"/>
      <c r="F8162" s="1517"/>
      <c r="G8162" s="1518"/>
      <c r="H8162" s="325">
        <v>0</v>
      </c>
      <c r="I8162" s="1508"/>
      <c r="J8162" s="1509"/>
      <c r="K8162" s="1509"/>
      <c r="L8162" s="1509"/>
      <c r="M8162" s="1509"/>
      <c r="N8162" s="1510"/>
    </row>
    <row r="8163" spans="1:14" ht="30" customHeight="1" thickBot="1">
      <c r="A8163" s="1520" t="s">
        <v>2220</v>
      </c>
      <c r="B8163" s="1521"/>
      <c r="C8163" s="1521"/>
      <c r="D8163" s="1521"/>
      <c r="E8163" s="1521"/>
      <c r="F8163" s="1521"/>
      <c r="G8163" s="1522"/>
      <c r="H8163" s="216">
        <f>H8161-H8162</f>
        <v>26.400000000000002</v>
      </c>
      <c r="I8163" s="1511"/>
      <c r="J8163" s="1512"/>
      <c r="K8163" s="1512"/>
      <c r="L8163" s="1512"/>
      <c r="M8163" s="1512"/>
      <c r="N8163" s="1513"/>
    </row>
    <row r="8164" spans="1:14" ht="15.75" thickBot="1"/>
    <row r="8165" spans="1:14" ht="15.75">
      <c r="A8165" s="1128">
        <v>19</v>
      </c>
      <c r="B8165" s="1491" t="s">
        <v>2021</v>
      </c>
      <c r="C8165" s="1492"/>
      <c r="D8165" s="1492"/>
      <c r="E8165" s="1492"/>
      <c r="F8165" s="1492"/>
      <c r="G8165" s="1492"/>
      <c r="H8165" s="1492"/>
      <c r="I8165" s="1492"/>
      <c r="J8165" s="1492"/>
      <c r="K8165" s="1492"/>
      <c r="L8165" s="1492"/>
      <c r="M8165" s="1492"/>
      <c r="N8165" s="1493"/>
    </row>
    <row r="8166" spans="1:14">
      <c r="A8166" s="1131">
        <v>1901</v>
      </c>
      <c r="B8166" s="1581" t="s">
        <v>3352</v>
      </c>
      <c r="C8166" s="1582"/>
      <c r="D8166" s="1582"/>
      <c r="E8166" s="1582"/>
      <c r="F8166" s="1582"/>
      <c r="G8166" s="1582"/>
      <c r="H8166" s="1582"/>
      <c r="I8166" s="1582"/>
      <c r="J8166" s="1582"/>
      <c r="K8166" s="1582"/>
      <c r="L8166" s="1582"/>
      <c r="M8166" s="1582"/>
      <c r="N8166" s="1583"/>
    </row>
    <row r="8167" spans="1:14">
      <c r="A8167" s="1126" t="s">
        <v>3353</v>
      </c>
      <c r="B8167" s="1561" t="s">
        <v>422</v>
      </c>
      <c r="C8167" s="1562"/>
      <c r="D8167" s="1562"/>
      <c r="E8167" s="1562"/>
      <c r="F8167" s="1562"/>
      <c r="G8167" s="1562"/>
      <c r="H8167" s="1562"/>
      <c r="I8167" s="1562"/>
      <c r="J8167" s="1563"/>
      <c r="K8167" s="264" t="s">
        <v>28</v>
      </c>
      <c r="L8167" s="1564">
        <f>'27ª MEDIÇÃO '!F630</f>
        <v>2613.98</v>
      </c>
      <c r="M8167" s="1565"/>
      <c r="N8167" s="265">
        <f>L8167-H8305</f>
        <v>-2.7999999992971425E-3</v>
      </c>
    </row>
    <row r="8168" spans="1:14">
      <c r="A8168" s="1501"/>
      <c r="B8168" s="1502"/>
      <c r="C8168" s="97"/>
      <c r="D8168" s="97" t="s">
        <v>3313</v>
      </c>
      <c r="E8168" s="97" t="s">
        <v>3355</v>
      </c>
      <c r="F8168" s="97" t="s">
        <v>2945</v>
      </c>
      <c r="G8168" s="97" t="s">
        <v>3048</v>
      </c>
      <c r="H8168" s="920" t="s">
        <v>2498</v>
      </c>
      <c r="I8168" s="1508"/>
      <c r="J8168" s="1509"/>
      <c r="K8168" s="1509"/>
      <c r="L8168" s="1509"/>
      <c r="M8168" s="1509"/>
      <c r="N8168" s="1510"/>
    </row>
    <row r="8169" spans="1:14">
      <c r="A8169" s="1536" t="s">
        <v>3354</v>
      </c>
      <c r="B8169" s="922" t="s">
        <v>2727</v>
      </c>
      <c r="C8169" s="923"/>
      <c r="D8169" s="923"/>
      <c r="E8169" s="1372"/>
      <c r="F8169" s="923"/>
      <c r="G8169" s="317"/>
      <c r="H8169" s="857"/>
      <c r="I8169" s="1508"/>
      <c r="J8169" s="1509"/>
      <c r="K8169" s="1509"/>
      <c r="L8169" s="1509"/>
      <c r="M8169" s="1509"/>
      <c r="N8169" s="1510"/>
    </row>
    <row r="8170" spans="1:14">
      <c r="A8170" s="1536"/>
      <c r="B8170" s="921" t="s">
        <v>3359</v>
      </c>
      <c r="C8170" s="317"/>
      <c r="D8170" s="317"/>
      <c r="E8170" s="1315">
        <v>24.64</v>
      </c>
      <c r="F8170" s="317">
        <v>3.15</v>
      </c>
      <c r="G8170" s="317"/>
      <c r="H8170" s="857">
        <f>(E8170*F8170)</f>
        <v>77.616</v>
      </c>
      <c r="I8170" s="1508"/>
      <c r="J8170" s="1509"/>
      <c r="K8170" s="1509"/>
      <c r="L8170" s="1509"/>
      <c r="M8170" s="1509"/>
      <c r="N8170" s="1510"/>
    </row>
    <row r="8171" spans="1:14">
      <c r="A8171" s="1536"/>
      <c r="B8171" s="924" t="s">
        <v>3053</v>
      </c>
      <c r="C8171" s="925" t="s">
        <v>2854</v>
      </c>
      <c r="D8171" s="925"/>
      <c r="E8171" s="1373">
        <v>0.8</v>
      </c>
      <c r="F8171" s="925">
        <v>0.6</v>
      </c>
      <c r="G8171" s="925">
        <v>2</v>
      </c>
      <c r="H8171" s="927">
        <f t="shared" ref="H8171:H8176" si="156">-(E8171*F8171*G8171)</f>
        <v>-0.96</v>
      </c>
      <c r="I8171" s="1508"/>
      <c r="J8171" s="1509"/>
      <c r="K8171" s="1509"/>
      <c r="L8171" s="1509"/>
      <c r="M8171" s="1509"/>
      <c r="N8171" s="1510"/>
    </row>
    <row r="8172" spans="1:14" ht="30" customHeight="1">
      <c r="A8172" s="1536"/>
      <c r="B8172" s="926"/>
      <c r="C8172" s="925" t="s">
        <v>2856</v>
      </c>
      <c r="D8172" s="925"/>
      <c r="E8172" s="1373">
        <v>2</v>
      </c>
      <c r="F8172" s="925">
        <v>0.8</v>
      </c>
      <c r="G8172" s="925">
        <v>2</v>
      </c>
      <c r="H8172" s="927">
        <f t="shared" si="156"/>
        <v>-3.2</v>
      </c>
      <c r="I8172" s="1508"/>
      <c r="J8172" s="1509"/>
      <c r="K8172" s="1509"/>
      <c r="L8172" s="1509"/>
      <c r="M8172" s="1509"/>
      <c r="N8172" s="1510"/>
    </row>
    <row r="8173" spans="1:14">
      <c r="A8173" s="1536"/>
      <c r="B8173" s="926"/>
      <c r="C8173" s="925" t="s">
        <v>3228</v>
      </c>
      <c r="D8173" s="925"/>
      <c r="E8173" s="1373">
        <v>3</v>
      </c>
      <c r="F8173" s="925">
        <v>0.8</v>
      </c>
      <c r="G8173" s="925">
        <v>1</v>
      </c>
      <c r="H8173" s="927">
        <f t="shared" si="156"/>
        <v>-2.4000000000000004</v>
      </c>
      <c r="I8173" s="1508"/>
      <c r="J8173" s="1509"/>
      <c r="K8173" s="1509"/>
      <c r="L8173" s="1509"/>
      <c r="M8173" s="1509"/>
      <c r="N8173" s="1510"/>
    </row>
    <row r="8174" spans="1:14">
      <c r="A8174" s="1536"/>
      <c r="B8174" s="926"/>
      <c r="C8174" s="925" t="s">
        <v>2855</v>
      </c>
      <c r="D8174" s="925"/>
      <c r="E8174" s="1373">
        <v>1.5</v>
      </c>
      <c r="F8174" s="925">
        <v>0.8</v>
      </c>
      <c r="G8174" s="925">
        <v>1</v>
      </c>
      <c r="H8174" s="927">
        <f t="shared" si="156"/>
        <v>-1.2000000000000002</v>
      </c>
      <c r="I8174" s="1508"/>
      <c r="J8174" s="1509"/>
      <c r="K8174" s="1509"/>
      <c r="L8174" s="1509"/>
      <c r="M8174" s="1509"/>
      <c r="N8174" s="1510"/>
    </row>
    <row r="8175" spans="1:14">
      <c r="A8175" s="1536"/>
      <c r="B8175" s="926"/>
      <c r="C8175" s="925" t="s">
        <v>3356</v>
      </c>
      <c r="D8175" s="925"/>
      <c r="E8175" s="1373">
        <v>1</v>
      </c>
      <c r="F8175" s="925">
        <v>2.1</v>
      </c>
      <c r="G8175" s="925">
        <v>1</v>
      </c>
      <c r="H8175" s="927">
        <f t="shared" si="156"/>
        <v>-2.1</v>
      </c>
      <c r="I8175" s="1508"/>
      <c r="J8175" s="1509"/>
      <c r="K8175" s="1509"/>
      <c r="L8175" s="1509"/>
      <c r="M8175" s="1509"/>
      <c r="N8175" s="1510"/>
    </row>
    <row r="8176" spans="1:14">
      <c r="A8176" s="1536"/>
      <c r="B8176" s="926"/>
      <c r="C8176" s="925" t="s">
        <v>3357</v>
      </c>
      <c r="D8176" s="925"/>
      <c r="E8176" s="1373">
        <v>1.5</v>
      </c>
      <c r="F8176" s="925">
        <v>2.1</v>
      </c>
      <c r="G8176" s="925">
        <v>1</v>
      </c>
      <c r="H8176" s="927">
        <f t="shared" si="156"/>
        <v>-3.1500000000000004</v>
      </c>
      <c r="I8176" s="1508"/>
      <c r="J8176" s="1509"/>
      <c r="K8176" s="1509"/>
      <c r="L8176" s="1509"/>
      <c r="M8176" s="1509"/>
      <c r="N8176" s="1510"/>
    </row>
    <row r="8177" spans="1:14">
      <c r="A8177" s="1536"/>
      <c r="B8177" s="921"/>
      <c r="C8177" s="925" t="s">
        <v>3358</v>
      </c>
      <c r="D8177" s="925"/>
      <c r="E8177" s="1373">
        <v>4</v>
      </c>
      <c r="F8177" s="925">
        <v>2.5</v>
      </c>
      <c r="G8177" s="925">
        <v>1</v>
      </c>
      <c r="H8177" s="927">
        <v>-8</v>
      </c>
      <c r="I8177" s="1508"/>
      <c r="J8177" s="1509"/>
      <c r="K8177" s="1509"/>
      <c r="L8177" s="1509"/>
      <c r="M8177" s="1509"/>
      <c r="N8177" s="1510"/>
    </row>
    <row r="8178" spans="1:14">
      <c r="A8178" s="1536"/>
      <c r="B8178" s="921" t="s">
        <v>3360</v>
      </c>
      <c r="C8178" s="317"/>
      <c r="D8178" s="317"/>
      <c r="E8178" s="1315">
        <v>13.76</v>
      </c>
      <c r="F8178" s="317">
        <v>1.38</v>
      </c>
      <c r="G8178" s="317"/>
      <c r="H8178" s="857">
        <f>(E8178*F8178)</f>
        <v>18.988799999999998</v>
      </c>
      <c r="I8178" s="1508"/>
      <c r="J8178" s="1509"/>
      <c r="K8178" s="1509"/>
      <c r="L8178" s="1509"/>
      <c r="M8178" s="1509"/>
      <c r="N8178" s="1510"/>
    </row>
    <row r="8179" spans="1:14">
      <c r="A8179" s="1536"/>
      <c r="B8179" s="921" t="s">
        <v>3095</v>
      </c>
      <c r="C8179" s="317"/>
      <c r="D8179" s="317"/>
      <c r="E8179" s="1315">
        <v>17.18</v>
      </c>
      <c r="F8179" s="317">
        <v>1.38</v>
      </c>
      <c r="G8179" s="317"/>
      <c r="H8179" s="857">
        <f>(E8179*F8179)</f>
        <v>23.708399999999997</v>
      </c>
      <c r="I8179" s="1508"/>
      <c r="J8179" s="1509"/>
      <c r="K8179" s="1509"/>
      <c r="L8179" s="1509"/>
      <c r="M8179" s="1509"/>
      <c r="N8179" s="1510"/>
    </row>
    <row r="8180" spans="1:14">
      <c r="A8180" s="1536"/>
      <c r="B8180" s="924" t="s">
        <v>3053</v>
      </c>
      <c r="C8180" s="925" t="s">
        <v>3357</v>
      </c>
      <c r="D8180" s="925"/>
      <c r="E8180" s="1373">
        <v>1.5</v>
      </c>
      <c r="F8180" s="925">
        <v>2.1</v>
      </c>
      <c r="G8180" s="925">
        <v>1</v>
      </c>
      <c r="H8180" s="927">
        <f>-(E8180*F8180*G8180)</f>
        <v>-3.1500000000000004</v>
      </c>
      <c r="I8180" s="1508"/>
      <c r="J8180" s="1509"/>
      <c r="K8180" s="1509"/>
      <c r="L8180" s="1509"/>
      <c r="M8180" s="1509"/>
      <c r="N8180" s="1510"/>
    </row>
    <row r="8181" spans="1:14" ht="30" customHeight="1">
      <c r="A8181" s="1536"/>
      <c r="B8181" s="921"/>
      <c r="C8181" s="925" t="s">
        <v>2856</v>
      </c>
      <c r="D8181" s="925"/>
      <c r="E8181" s="1373">
        <v>2</v>
      </c>
      <c r="F8181" s="925">
        <v>0.8</v>
      </c>
      <c r="G8181" s="925">
        <v>2</v>
      </c>
      <c r="H8181" s="927">
        <f>-(E8181*F8181*G8181)</f>
        <v>-3.2</v>
      </c>
      <c r="I8181" s="1508"/>
      <c r="J8181" s="1509"/>
      <c r="K8181" s="1509"/>
      <c r="L8181" s="1509"/>
      <c r="M8181" s="1509"/>
      <c r="N8181" s="1510"/>
    </row>
    <row r="8182" spans="1:14">
      <c r="A8182" s="1536"/>
      <c r="B8182" s="921"/>
      <c r="C8182" s="925" t="s">
        <v>2855</v>
      </c>
      <c r="D8182" s="925"/>
      <c r="E8182" s="1373">
        <v>1.5</v>
      </c>
      <c r="F8182" s="925">
        <v>0.8</v>
      </c>
      <c r="G8182" s="925">
        <v>1</v>
      </c>
      <c r="H8182" s="927">
        <f>-(E8182*F8182*G8182)</f>
        <v>-1.2000000000000002</v>
      </c>
      <c r="I8182" s="1508"/>
      <c r="J8182" s="1509"/>
      <c r="K8182" s="1509"/>
      <c r="L8182" s="1509"/>
      <c r="M8182" s="1509"/>
      <c r="N8182" s="1510"/>
    </row>
    <row r="8183" spans="1:14">
      <c r="A8183" s="1536"/>
      <c r="B8183" s="921" t="s">
        <v>2952</v>
      </c>
      <c r="C8183" s="925"/>
      <c r="D8183" s="925"/>
      <c r="E8183" s="1315">
        <v>13.38</v>
      </c>
      <c r="F8183" s="317">
        <v>2.5</v>
      </c>
      <c r="G8183" s="317"/>
      <c r="H8183" s="857">
        <f>(E8183*F8183)</f>
        <v>33.450000000000003</v>
      </c>
      <c r="I8183" s="1508"/>
      <c r="J8183" s="1509"/>
      <c r="K8183" s="1509"/>
      <c r="L8183" s="1509"/>
      <c r="M8183" s="1509"/>
      <c r="N8183" s="1510"/>
    </row>
    <row r="8184" spans="1:14">
      <c r="A8184" s="1536"/>
      <c r="B8184" s="924" t="s">
        <v>3053</v>
      </c>
      <c r="C8184" s="925" t="s">
        <v>3228</v>
      </c>
      <c r="D8184" s="925"/>
      <c r="E8184" s="1373">
        <v>3</v>
      </c>
      <c r="F8184" s="925">
        <v>0.8</v>
      </c>
      <c r="G8184" s="925">
        <v>1</v>
      </c>
      <c r="H8184" s="927">
        <f>-(E8184*F8184*G8184)</f>
        <v>-2.4000000000000004</v>
      </c>
      <c r="I8184" s="1508"/>
      <c r="J8184" s="1509"/>
      <c r="K8184" s="1509"/>
      <c r="L8184" s="1509"/>
      <c r="M8184" s="1509"/>
      <c r="N8184" s="1510"/>
    </row>
    <row r="8185" spans="1:14">
      <c r="A8185" s="1536"/>
      <c r="B8185" s="921"/>
      <c r="C8185" s="925" t="s">
        <v>3036</v>
      </c>
      <c r="D8185" s="925"/>
      <c r="E8185" s="1373">
        <v>0.8</v>
      </c>
      <c r="F8185" s="925">
        <v>2.1</v>
      </c>
      <c r="G8185" s="925">
        <v>1</v>
      </c>
      <c r="H8185" s="927">
        <f>-(E8185*F8185*G8185)</f>
        <v>-1.6800000000000002</v>
      </c>
      <c r="I8185" s="1508"/>
      <c r="J8185" s="1509"/>
      <c r="K8185" s="1509"/>
      <c r="L8185" s="1509"/>
      <c r="M8185" s="1509"/>
      <c r="N8185" s="1510"/>
    </row>
    <row r="8186" spans="1:14">
      <c r="A8186" s="1536"/>
      <c r="B8186" s="921" t="s">
        <v>2964</v>
      </c>
      <c r="C8186" s="317"/>
      <c r="D8186" s="317"/>
      <c r="E8186" s="1315">
        <v>11.35</v>
      </c>
      <c r="F8186" s="317">
        <v>2.9</v>
      </c>
      <c r="G8186" s="317"/>
      <c r="H8186" s="928">
        <f t="shared" ref="H8186:H8200" si="157">E8186*F8186</f>
        <v>32.914999999999999</v>
      </c>
      <c r="I8186" s="1508"/>
      <c r="J8186" s="1509"/>
      <c r="K8186" s="1509"/>
      <c r="L8186" s="1509"/>
      <c r="M8186" s="1509"/>
      <c r="N8186" s="1510"/>
    </row>
    <row r="8187" spans="1:14">
      <c r="A8187" s="1536"/>
      <c r="B8187" s="921"/>
      <c r="C8187" s="317"/>
      <c r="D8187" s="317"/>
      <c r="E8187" s="1315">
        <v>4.91</v>
      </c>
      <c r="F8187" s="317">
        <v>0.73</v>
      </c>
      <c r="G8187" s="317"/>
      <c r="H8187" s="928">
        <f t="shared" si="157"/>
        <v>3.5842999999999998</v>
      </c>
      <c r="I8187" s="1508"/>
      <c r="J8187" s="1509"/>
      <c r="K8187" s="1509"/>
      <c r="L8187" s="1509"/>
      <c r="M8187" s="1509"/>
      <c r="N8187" s="1510"/>
    </row>
    <row r="8188" spans="1:14">
      <c r="A8188" s="1536"/>
      <c r="B8188" s="921" t="s">
        <v>3361</v>
      </c>
      <c r="C8188" s="317"/>
      <c r="D8188" s="317"/>
      <c r="E8188" s="1315">
        <v>4.91</v>
      </c>
      <c r="F8188" s="317">
        <v>0.73</v>
      </c>
      <c r="G8188" s="317"/>
      <c r="H8188" s="928">
        <f t="shared" si="157"/>
        <v>3.5842999999999998</v>
      </c>
      <c r="I8188" s="1508"/>
      <c r="J8188" s="1509"/>
      <c r="K8188" s="1509"/>
      <c r="L8188" s="1509"/>
      <c r="M8188" s="1509"/>
      <c r="N8188" s="1510"/>
    </row>
    <row r="8189" spans="1:14">
      <c r="A8189" s="1536"/>
      <c r="B8189" s="921"/>
      <c r="C8189" s="317"/>
      <c r="D8189" s="317"/>
      <c r="E8189" s="1315">
        <v>13.35</v>
      </c>
      <c r="F8189" s="317">
        <v>2.9</v>
      </c>
      <c r="G8189" s="317"/>
      <c r="H8189" s="928">
        <f t="shared" si="157"/>
        <v>38.714999999999996</v>
      </c>
      <c r="I8189" s="1508"/>
      <c r="J8189" s="1509"/>
      <c r="K8189" s="1509"/>
      <c r="L8189" s="1509"/>
      <c r="M8189" s="1509"/>
      <c r="N8189" s="1510"/>
    </row>
    <row r="8190" spans="1:14" ht="30" customHeight="1">
      <c r="A8190" s="1536"/>
      <c r="B8190" s="921" t="s">
        <v>3362</v>
      </c>
      <c r="C8190" s="317"/>
      <c r="D8190" s="317"/>
      <c r="E8190" s="1315">
        <v>9.2200000000000006</v>
      </c>
      <c r="F8190" s="317">
        <v>2.9</v>
      </c>
      <c r="G8190" s="317"/>
      <c r="H8190" s="928">
        <f t="shared" si="157"/>
        <v>26.738</v>
      </c>
      <c r="I8190" s="1508"/>
      <c r="J8190" s="1509"/>
      <c r="K8190" s="1509"/>
      <c r="L8190" s="1509"/>
      <c r="M8190" s="1509"/>
      <c r="N8190" s="1510"/>
    </row>
    <row r="8191" spans="1:14">
      <c r="A8191" s="1536"/>
      <c r="B8191" s="921" t="s">
        <v>3104</v>
      </c>
      <c r="C8191" s="317"/>
      <c r="D8191" s="317"/>
      <c r="E8191" s="1315">
        <v>10.47</v>
      </c>
      <c r="F8191" s="317">
        <v>2.9</v>
      </c>
      <c r="G8191" s="317"/>
      <c r="H8191" s="928">
        <f t="shared" si="157"/>
        <v>30.363</v>
      </c>
      <c r="I8191" s="1508"/>
      <c r="J8191" s="1509"/>
      <c r="K8191" s="1509"/>
      <c r="L8191" s="1509"/>
      <c r="M8191" s="1509"/>
      <c r="N8191" s="1510"/>
    </row>
    <row r="8192" spans="1:14">
      <c r="A8192" s="1536"/>
      <c r="B8192" s="921"/>
      <c r="C8192" s="317"/>
      <c r="D8192" s="317"/>
      <c r="E8192" s="1374">
        <v>1</v>
      </c>
      <c r="F8192" s="929">
        <v>0.6</v>
      </c>
      <c r="G8192" s="929"/>
      <c r="H8192" s="930">
        <f t="shared" si="157"/>
        <v>0.6</v>
      </c>
      <c r="I8192" s="1508"/>
      <c r="J8192" s="1509"/>
      <c r="K8192" s="1509"/>
      <c r="L8192" s="1509"/>
      <c r="M8192" s="1509"/>
      <c r="N8192" s="1510"/>
    </row>
    <row r="8193" spans="1:14">
      <c r="A8193" s="1536"/>
      <c r="B8193" s="921"/>
      <c r="C8193" s="317"/>
      <c r="D8193" s="317"/>
      <c r="E8193" s="1374">
        <v>1.71</v>
      </c>
      <c r="F8193" s="929">
        <v>1.2</v>
      </c>
      <c r="G8193" s="929"/>
      <c r="H8193" s="930">
        <f t="shared" si="157"/>
        <v>2.052</v>
      </c>
      <c r="I8193" s="1508"/>
      <c r="J8193" s="1509"/>
      <c r="K8193" s="1509"/>
      <c r="L8193" s="1509"/>
      <c r="M8193" s="1509"/>
      <c r="N8193" s="1510"/>
    </row>
    <row r="8194" spans="1:14">
      <c r="A8194" s="1536"/>
      <c r="B8194" s="921" t="s">
        <v>2993</v>
      </c>
      <c r="C8194" s="317"/>
      <c r="D8194" s="317"/>
      <c r="E8194" s="1315">
        <v>7.98</v>
      </c>
      <c r="F8194" s="317">
        <v>2.9</v>
      </c>
      <c r="G8194" s="317"/>
      <c r="H8194" s="928">
        <f t="shared" si="157"/>
        <v>23.141999999999999</v>
      </c>
      <c r="I8194" s="1508"/>
      <c r="J8194" s="1509"/>
      <c r="K8194" s="1509"/>
      <c r="L8194" s="1509"/>
      <c r="M8194" s="1509"/>
      <c r="N8194" s="1510"/>
    </row>
    <row r="8195" spans="1:14">
      <c r="A8195" s="1536"/>
      <c r="B8195" s="921"/>
      <c r="C8195" s="317"/>
      <c r="D8195" s="317"/>
      <c r="E8195" s="1374">
        <v>1</v>
      </c>
      <c r="F8195" s="929">
        <v>0.6</v>
      </c>
      <c r="G8195" s="929"/>
      <c r="H8195" s="930">
        <f t="shared" si="157"/>
        <v>0.6</v>
      </c>
      <c r="I8195" s="1508"/>
      <c r="J8195" s="1509"/>
      <c r="K8195" s="1509"/>
      <c r="L8195" s="1509"/>
      <c r="M8195" s="1509"/>
      <c r="N8195" s="1510"/>
    </row>
    <row r="8196" spans="1:14">
      <c r="A8196" s="1536"/>
      <c r="B8196" s="921"/>
      <c r="C8196" s="317"/>
      <c r="D8196" s="317"/>
      <c r="E8196" s="1374">
        <v>1.71</v>
      </c>
      <c r="F8196" s="929">
        <v>1.2</v>
      </c>
      <c r="G8196" s="929"/>
      <c r="H8196" s="930">
        <f t="shared" si="157"/>
        <v>2.052</v>
      </c>
      <c r="I8196" s="1508"/>
      <c r="J8196" s="1509"/>
      <c r="K8196" s="1509"/>
      <c r="L8196" s="1509"/>
      <c r="M8196" s="1509"/>
      <c r="N8196" s="1510"/>
    </row>
    <row r="8197" spans="1:14">
      <c r="A8197" s="1536"/>
      <c r="B8197" s="921" t="s">
        <v>2994</v>
      </c>
      <c r="C8197" s="317"/>
      <c r="D8197" s="317"/>
      <c r="E8197" s="1315">
        <v>7.98</v>
      </c>
      <c r="F8197" s="317">
        <v>2.9</v>
      </c>
      <c r="G8197" s="317"/>
      <c r="H8197" s="928">
        <f t="shared" si="157"/>
        <v>23.141999999999999</v>
      </c>
      <c r="I8197" s="1508"/>
      <c r="J8197" s="1509"/>
      <c r="K8197" s="1509"/>
      <c r="L8197" s="1509"/>
      <c r="M8197" s="1509"/>
      <c r="N8197" s="1510"/>
    </row>
    <row r="8198" spans="1:14">
      <c r="A8198" s="1536"/>
      <c r="B8198" s="921"/>
      <c r="C8198" s="317"/>
      <c r="D8198" s="317"/>
      <c r="E8198" s="1374">
        <v>1</v>
      </c>
      <c r="F8198" s="929">
        <v>0.6</v>
      </c>
      <c r="G8198" s="929"/>
      <c r="H8198" s="930">
        <f t="shared" si="157"/>
        <v>0.6</v>
      </c>
      <c r="I8198" s="1508"/>
      <c r="J8198" s="1509"/>
      <c r="K8198" s="1509"/>
      <c r="L8198" s="1509"/>
      <c r="M8198" s="1509"/>
      <c r="N8198" s="1510"/>
    </row>
    <row r="8199" spans="1:14">
      <c r="A8199" s="1536"/>
      <c r="B8199" s="921"/>
      <c r="C8199" s="317"/>
      <c r="D8199" s="317"/>
      <c r="E8199" s="1374">
        <v>1.71</v>
      </c>
      <c r="F8199" s="929">
        <v>1.2</v>
      </c>
      <c r="G8199" s="929"/>
      <c r="H8199" s="930">
        <f t="shared" si="157"/>
        <v>2.052</v>
      </c>
      <c r="I8199" s="1508"/>
      <c r="J8199" s="1509"/>
      <c r="K8199" s="1509"/>
      <c r="L8199" s="1509"/>
      <c r="M8199" s="1509"/>
      <c r="N8199" s="1510"/>
    </row>
    <row r="8200" spans="1:14" ht="25.15" customHeight="1">
      <c r="A8200" s="1536"/>
      <c r="B8200" s="921" t="s">
        <v>2438</v>
      </c>
      <c r="C8200" s="317"/>
      <c r="D8200" s="317"/>
      <c r="E8200" s="1315">
        <v>13.07</v>
      </c>
      <c r="F8200" s="317">
        <v>2.9</v>
      </c>
      <c r="G8200" s="317"/>
      <c r="H8200" s="928">
        <f t="shared" si="157"/>
        <v>37.902999999999999</v>
      </c>
      <c r="I8200" s="1508"/>
      <c r="J8200" s="1509"/>
      <c r="K8200" s="1509"/>
      <c r="L8200" s="1509"/>
      <c r="M8200" s="1509"/>
      <c r="N8200" s="1510"/>
    </row>
    <row r="8201" spans="1:14">
      <c r="A8201" s="1536"/>
      <c r="B8201" s="924" t="s">
        <v>3053</v>
      </c>
      <c r="C8201" s="925" t="s">
        <v>3363</v>
      </c>
      <c r="D8201" s="925"/>
      <c r="E8201" s="1373">
        <v>1.5</v>
      </c>
      <c r="F8201" s="925">
        <v>2.5</v>
      </c>
      <c r="G8201" s="925">
        <v>1</v>
      </c>
      <c r="H8201" s="927">
        <f>-(E8201*F8201*G8201)</f>
        <v>-3.75</v>
      </c>
      <c r="I8201" s="1508"/>
      <c r="J8201" s="1509"/>
      <c r="K8201" s="1509"/>
      <c r="L8201" s="1509"/>
      <c r="M8201" s="1509"/>
      <c r="N8201" s="1510"/>
    </row>
    <row r="8202" spans="1:14">
      <c r="A8202" s="1536"/>
      <c r="B8202" s="921" t="s">
        <v>2953</v>
      </c>
      <c r="C8202" s="317"/>
      <c r="D8202" s="317"/>
      <c r="E8202" s="1315">
        <v>11.85</v>
      </c>
      <c r="F8202" s="317">
        <v>2.9</v>
      </c>
      <c r="G8202" s="317"/>
      <c r="H8202" s="928">
        <f>E8202*F8202</f>
        <v>34.364999999999995</v>
      </c>
      <c r="I8202" s="1508"/>
      <c r="J8202" s="1509"/>
      <c r="K8202" s="1509"/>
      <c r="L8202" s="1509"/>
      <c r="M8202" s="1509"/>
      <c r="N8202" s="1510"/>
    </row>
    <row r="8203" spans="1:14">
      <c r="A8203" s="1536"/>
      <c r="B8203" s="921" t="s">
        <v>2776</v>
      </c>
      <c r="C8203" s="317"/>
      <c r="D8203" s="317"/>
      <c r="E8203" s="1315">
        <v>12.95</v>
      </c>
      <c r="F8203" s="317">
        <v>2.9</v>
      </c>
      <c r="G8203" s="317"/>
      <c r="H8203" s="928">
        <f>E8203*F8203</f>
        <v>37.555</v>
      </c>
      <c r="I8203" s="1508"/>
      <c r="J8203" s="1509"/>
      <c r="K8203" s="1509"/>
      <c r="L8203" s="1509"/>
      <c r="M8203" s="1509"/>
      <c r="N8203" s="1510"/>
    </row>
    <row r="8204" spans="1:14">
      <c r="A8204" s="1536"/>
      <c r="B8204" s="944"/>
      <c r="C8204" s="789"/>
      <c r="D8204" s="789"/>
      <c r="E8204" s="1317"/>
      <c r="F8204" s="789"/>
      <c r="G8204" s="789"/>
      <c r="H8204" s="945"/>
      <c r="I8204" s="1508"/>
      <c r="J8204" s="1509"/>
      <c r="K8204" s="1509"/>
      <c r="L8204" s="1509"/>
      <c r="M8204" s="1509"/>
      <c r="N8204" s="1510"/>
    </row>
    <row r="8205" spans="1:14">
      <c r="A8205" s="1530" t="s">
        <v>3426</v>
      </c>
      <c r="B8205" s="946" t="s">
        <v>2727</v>
      </c>
      <c r="C8205" s="947"/>
      <c r="D8205" s="947"/>
      <c r="E8205" s="1375"/>
      <c r="F8205" s="947"/>
      <c r="G8205" s="948"/>
      <c r="H8205" s="949"/>
      <c r="I8205" s="1508"/>
      <c r="J8205" s="1509"/>
      <c r="K8205" s="1509"/>
      <c r="L8205" s="1509"/>
      <c r="M8205" s="1509"/>
      <c r="N8205" s="1510"/>
    </row>
    <row r="8206" spans="1:14">
      <c r="A8206" s="1531"/>
      <c r="B8206" s="921" t="s">
        <v>2844</v>
      </c>
      <c r="C8206" s="317"/>
      <c r="D8206" s="317"/>
      <c r="E8206" s="1315">
        <v>10.73</v>
      </c>
      <c r="F8206" s="317">
        <v>2.9</v>
      </c>
      <c r="G8206" s="317"/>
      <c r="H8206" s="950">
        <f>(E8206*F8206)</f>
        <v>31.117000000000001</v>
      </c>
      <c r="I8206" s="1508"/>
      <c r="J8206" s="1509"/>
      <c r="K8206" s="1509"/>
      <c r="L8206" s="1509"/>
      <c r="M8206" s="1509"/>
      <c r="N8206" s="1510"/>
    </row>
    <row r="8207" spans="1:14">
      <c r="A8207" s="1702"/>
      <c r="B8207" s="951"/>
      <c r="C8207" s="795"/>
      <c r="D8207" s="795"/>
      <c r="E8207" s="1318"/>
      <c r="F8207" s="795"/>
      <c r="G8207" s="795"/>
      <c r="H8207" s="952"/>
      <c r="I8207" s="1508"/>
      <c r="J8207" s="1509"/>
      <c r="K8207" s="1509"/>
      <c r="L8207" s="1509"/>
      <c r="M8207" s="1509"/>
      <c r="N8207" s="1510"/>
    </row>
    <row r="8208" spans="1:14">
      <c r="A8208" s="1710" t="s">
        <v>3463</v>
      </c>
      <c r="B8208" s="960"/>
      <c r="C8208" s="97"/>
      <c r="D8208" s="97" t="s">
        <v>3313</v>
      </c>
      <c r="E8208" s="97" t="s">
        <v>3355</v>
      </c>
      <c r="F8208" s="97" t="s">
        <v>2945</v>
      </c>
      <c r="G8208" s="97" t="s">
        <v>3048</v>
      </c>
      <c r="H8208" s="920" t="s">
        <v>2498</v>
      </c>
      <c r="I8208" s="1508"/>
      <c r="J8208" s="1509"/>
      <c r="K8208" s="1509"/>
      <c r="L8208" s="1509"/>
      <c r="M8208" s="1509"/>
      <c r="N8208" s="1510"/>
    </row>
    <row r="8209" spans="1:14">
      <c r="A8209" s="1536"/>
      <c r="B8209" s="922" t="s">
        <v>2929</v>
      </c>
      <c r="C8209" s="923"/>
      <c r="D8209" s="923"/>
      <c r="E8209" s="1372"/>
      <c r="F8209" s="923"/>
      <c r="G8209" s="317"/>
      <c r="H8209" s="857"/>
      <c r="I8209" s="1508"/>
      <c r="J8209" s="1509"/>
      <c r="K8209" s="1509"/>
      <c r="L8209" s="1509"/>
      <c r="M8209" s="1509"/>
      <c r="N8209" s="1510"/>
    </row>
    <row r="8210" spans="1:14">
      <c r="A8210" s="1536"/>
      <c r="B8210" s="921" t="s">
        <v>2978</v>
      </c>
      <c r="C8210" s="317"/>
      <c r="D8210" s="317"/>
      <c r="E8210" s="1315">
        <v>19.22</v>
      </c>
      <c r="F8210" s="317">
        <v>2.9</v>
      </c>
      <c r="G8210" s="317"/>
      <c r="H8210" s="857">
        <f>(E8210*F8210)</f>
        <v>55.737999999999992</v>
      </c>
      <c r="I8210" s="1508"/>
      <c r="J8210" s="1509"/>
      <c r="K8210" s="1509"/>
      <c r="L8210" s="1509"/>
      <c r="M8210" s="1509"/>
      <c r="N8210" s="1510"/>
    </row>
    <row r="8211" spans="1:14">
      <c r="A8211" s="1536"/>
      <c r="B8211" s="924" t="s">
        <v>3053</v>
      </c>
      <c r="C8211" s="925"/>
      <c r="D8211" s="925">
        <v>5.68</v>
      </c>
      <c r="E8211" s="1373"/>
      <c r="F8211" s="925"/>
      <c r="G8211" s="925"/>
      <c r="H8211" s="927">
        <f>-D8211</f>
        <v>-5.68</v>
      </c>
      <c r="I8211" s="1508"/>
      <c r="J8211" s="1509"/>
      <c r="K8211" s="1509"/>
      <c r="L8211" s="1509"/>
      <c r="M8211" s="1509"/>
      <c r="N8211" s="1510"/>
    </row>
    <row r="8212" spans="1:14">
      <c r="A8212" s="1536"/>
      <c r="B8212" s="921" t="s">
        <v>2979</v>
      </c>
      <c r="C8212" s="317"/>
      <c r="D8212" s="317"/>
      <c r="E8212" s="1315">
        <v>34.340000000000003</v>
      </c>
      <c r="F8212" s="317">
        <v>1.9</v>
      </c>
      <c r="G8212" s="317"/>
      <c r="H8212" s="857">
        <f t="shared" ref="H8212:H8237" si="158">(E8212*F8212)</f>
        <v>65.246000000000009</v>
      </c>
      <c r="I8212" s="1508"/>
      <c r="J8212" s="1509"/>
      <c r="K8212" s="1509"/>
      <c r="L8212" s="1509"/>
      <c r="M8212" s="1509"/>
      <c r="N8212" s="1510"/>
    </row>
    <row r="8213" spans="1:14">
      <c r="A8213" s="1536"/>
      <c r="B8213" s="921" t="s">
        <v>2231</v>
      </c>
      <c r="C8213" s="317"/>
      <c r="D8213" s="317"/>
      <c r="E8213" s="1315">
        <v>12.64</v>
      </c>
      <c r="F8213" s="317">
        <v>2.8</v>
      </c>
      <c r="G8213" s="317"/>
      <c r="H8213" s="857">
        <f t="shared" si="158"/>
        <v>35.391999999999996</v>
      </c>
      <c r="I8213" s="1508"/>
      <c r="J8213" s="1509"/>
      <c r="K8213" s="1509"/>
      <c r="L8213" s="1509"/>
      <c r="M8213" s="1509"/>
      <c r="N8213" s="1510"/>
    </row>
    <row r="8214" spans="1:14">
      <c r="A8214" s="1536"/>
      <c r="B8214" s="921" t="s">
        <v>2980</v>
      </c>
      <c r="C8214" s="317"/>
      <c r="D8214" s="317"/>
      <c r="E8214" s="1315">
        <v>12.8</v>
      </c>
      <c r="F8214" s="317">
        <v>2.9</v>
      </c>
      <c r="G8214" s="317"/>
      <c r="H8214" s="857">
        <f t="shared" si="158"/>
        <v>37.119999999999997</v>
      </c>
      <c r="I8214" s="1508"/>
      <c r="J8214" s="1509"/>
      <c r="K8214" s="1509"/>
      <c r="L8214" s="1509"/>
      <c r="M8214" s="1509"/>
      <c r="N8214" s="1510"/>
    </row>
    <row r="8215" spans="1:14">
      <c r="A8215" s="1536"/>
      <c r="B8215" s="924" t="s">
        <v>3053</v>
      </c>
      <c r="C8215" s="925"/>
      <c r="D8215" s="925">
        <v>2.83</v>
      </c>
      <c r="E8215" s="1373"/>
      <c r="F8215" s="925"/>
      <c r="G8215" s="925"/>
      <c r="H8215" s="927">
        <f>-D8215</f>
        <v>-2.83</v>
      </c>
      <c r="I8215" s="1508"/>
      <c r="J8215" s="1509"/>
      <c r="K8215" s="1509"/>
      <c r="L8215" s="1509"/>
      <c r="M8215" s="1509"/>
      <c r="N8215" s="1510"/>
    </row>
    <row r="8216" spans="1:14">
      <c r="A8216" s="1536"/>
      <c r="B8216" s="921" t="s">
        <v>2981</v>
      </c>
      <c r="C8216" s="317"/>
      <c r="D8216" s="317"/>
      <c r="E8216" s="1315">
        <v>13.4</v>
      </c>
      <c r="F8216" s="317">
        <v>2.9</v>
      </c>
      <c r="G8216" s="317"/>
      <c r="H8216" s="857">
        <f t="shared" si="158"/>
        <v>38.86</v>
      </c>
      <c r="I8216" s="1508"/>
      <c r="J8216" s="1509"/>
      <c r="K8216" s="1509"/>
      <c r="L8216" s="1509"/>
      <c r="M8216" s="1509"/>
      <c r="N8216" s="1510"/>
    </row>
    <row r="8217" spans="1:14">
      <c r="A8217" s="1536"/>
      <c r="B8217" s="924" t="s">
        <v>3053</v>
      </c>
      <c r="C8217" s="925"/>
      <c r="D8217" s="925">
        <v>2.83</v>
      </c>
      <c r="E8217" s="1373"/>
      <c r="F8217" s="925"/>
      <c r="G8217" s="925"/>
      <c r="H8217" s="927">
        <f>-D8217</f>
        <v>-2.83</v>
      </c>
      <c r="I8217" s="1508"/>
      <c r="J8217" s="1509"/>
      <c r="K8217" s="1509"/>
      <c r="L8217" s="1509"/>
      <c r="M8217" s="1509"/>
      <c r="N8217" s="1510"/>
    </row>
    <row r="8218" spans="1:14">
      <c r="A8218" s="1536"/>
      <c r="B8218" s="921" t="s">
        <v>2968</v>
      </c>
      <c r="C8218" s="317"/>
      <c r="D8218" s="317"/>
      <c r="E8218" s="1315">
        <v>13.4</v>
      </c>
      <c r="F8218" s="317">
        <v>2.9</v>
      </c>
      <c r="G8218" s="317"/>
      <c r="H8218" s="857">
        <f t="shared" si="158"/>
        <v>38.86</v>
      </c>
      <c r="I8218" s="1508"/>
      <c r="J8218" s="1509"/>
      <c r="K8218" s="1509"/>
      <c r="L8218" s="1509"/>
      <c r="M8218" s="1509"/>
      <c r="N8218" s="1510"/>
    </row>
    <row r="8219" spans="1:14" ht="30" customHeight="1">
      <c r="A8219" s="1536"/>
      <c r="B8219" s="924" t="s">
        <v>3053</v>
      </c>
      <c r="C8219" s="925"/>
      <c r="D8219" s="925">
        <v>2.83</v>
      </c>
      <c r="E8219" s="1373"/>
      <c r="F8219" s="925"/>
      <c r="G8219" s="925"/>
      <c r="H8219" s="927">
        <f>-D8219</f>
        <v>-2.83</v>
      </c>
      <c r="I8219" s="1508"/>
      <c r="J8219" s="1509"/>
      <c r="K8219" s="1509"/>
      <c r="L8219" s="1509"/>
      <c r="M8219" s="1509"/>
      <c r="N8219" s="1510"/>
    </row>
    <row r="8220" spans="1:14">
      <c r="A8220" s="1536"/>
      <c r="B8220" s="921" t="s">
        <v>2967</v>
      </c>
      <c r="C8220" s="317"/>
      <c r="D8220" s="317"/>
      <c r="E8220" s="1315">
        <v>13.4</v>
      </c>
      <c r="F8220" s="317">
        <v>2.9</v>
      </c>
      <c r="G8220" s="317"/>
      <c r="H8220" s="857">
        <f t="shared" si="158"/>
        <v>38.86</v>
      </c>
      <c r="I8220" s="1508"/>
      <c r="J8220" s="1509"/>
      <c r="K8220" s="1509"/>
      <c r="L8220" s="1509"/>
      <c r="M8220" s="1509"/>
      <c r="N8220" s="1510"/>
    </row>
    <row r="8221" spans="1:14">
      <c r="A8221" s="1536"/>
      <c r="B8221" s="924" t="s">
        <v>3053</v>
      </c>
      <c r="C8221" s="925"/>
      <c r="D8221" s="925">
        <v>2.83</v>
      </c>
      <c r="E8221" s="1373"/>
      <c r="F8221" s="925"/>
      <c r="G8221" s="925"/>
      <c r="H8221" s="927">
        <f>-D8221</f>
        <v>-2.83</v>
      </c>
      <c r="I8221" s="1508"/>
      <c r="J8221" s="1509"/>
      <c r="K8221" s="1509"/>
      <c r="L8221" s="1509"/>
      <c r="M8221" s="1509"/>
      <c r="N8221" s="1510"/>
    </row>
    <row r="8222" spans="1:14">
      <c r="A8222" s="1536"/>
      <c r="B8222" s="921" t="s">
        <v>2234</v>
      </c>
      <c r="C8222" s="317"/>
      <c r="D8222" s="317"/>
      <c r="E8222" s="1315">
        <v>14.91</v>
      </c>
      <c r="F8222" s="317">
        <v>2.9</v>
      </c>
      <c r="G8222" s="317"/>
      <c r="H8222" s="857">
        <f t="shared" si="158"/>
        <v>43.238999999999997</v>
      </c>
      <c r="I8222" s="1508"/>
      <c r="J8222" s="1509"/>
      <c r="K8222" s="1509"/>
      <c r="L8222" s="1509"/>
      <c r="M8222" s="1509"/>
      <c r="N8222" s="1510"/>
    </row>
    <row r="8223" spans="1:14">
      <c r="A8223" s="1536"/>
      <c r="B8223" s="924" t="s">
        <v>3053</v>
      </c>
      <c r="C8223" s="925"/>
      <c r="D8223" s="925">
        <v>2.94</v>
      </c>
      <c r="E8223" s="1373"/>
      <c r="F8223" s="925"/>
      <c r="G8223" s="925"/>
      <c r="H8223" s="927">
        <f>-D8223</f>
        <v>-2.94</v>
      </c>
      <c r="I8223" s="1508"/>
      <c r="J8223" s="1509"/>
      <c r="K8223" s="1509"/>
      <c r="L8223" s="1509"/>
      <c r="M8223" s="1509"/>
      <c r="N8223" s="1510"/>
    </row>
    <row r="8224" spans="1:14">
      <c r="A8224" s="1536"/>
      <c r="B8224" s="921" t="s">
        <v>2982</v>
      </c>
      <c r="C8224" s="317"/>
      <c r="D8224" s="317"/>
      <c r="E8224" s="1315">
        <v>15.55</v>
      </c>
      <c r="F8224" s="317">
        <v>2.9</v>
      </c>
      <c r="G8224" s="317"/>
      <c r="H8224" s="857">
        <f t="shared" si="158"/>
        <v>45.094999999999999</v>
      </c>
      <c r="I8224" s="1508"/>
      <c r="J8224" s="1509"/>
      <c r="K8224" s="1509"/>
      <c r="L8224" s="1509"/>
      <c r="M8224" s="1509"/>
      <c r="N8224" s="1510"/>
    </row>
    <row r="8225" spans="1:14">
      <c r="A8225" s="1536"/>
      <c r="B8225" s="924" t="s">
        <v>3053</v>
      </c>
      <c r="C8225" s="925"/>
      <c r="D8225" s="925">
        <v>2.94</v>
      </c>
      <c r="E8225" s="1373"/>
      <c r="F8225" s="925"/>
      <c r="G8225" s="925"/>
      <c r="H8225" s="927">
        <f>-D8225</f>
        <v>-2.94</v>
      </c>
      <c r="I8225" s="1508"/>
      <c r="J8225" s="1509"/>
      <c r="K8225" s="1509"/>
      <c r="L8225" s="1509"/>
      <c r="M8225" s="1509"/>
      <c r="N8225" s="1510"/>
    </row>
    <row r="8226" spans="1:14">
      <c r="A8226" s="1536"/>
      <c r="B8226" s="921" t="s">
        <v>2983</v>
      </c>
      <c r="C8226" s="317"/>
      <c r="D8226" s="317"/>
      <c r="E8226" s="1315">
        <v>49.9</v>
      </c>
      <c r="F8226" s="317">
        <v>1.9</v>
      </c>
      <c r="G8226" s="317"/>
      <c r="H8226" s="857">
        <f t="shared" si="158"/>
        <v>94.809999999999988</v>
      </c>
      <c r="I8226" s="1508"/>
      <c r="J8226" s="1509"/>
      <c r="K8226" s="1509"/>
      <c r="L8226" s="1509"/>
      <c r="M8226" s="1509"/>
      <c r="N8226" s="1510"/>
    </row>
    <row r="8227" spans="1:14">
      <c r="A8227" s="1536"/>
      <c r="B8227" s="921" t="s">
        <v>2984</v>
      </c>
      <c r="C8227" s="317"/>
      <c r="D8227" s="317"/>
      <c r="E8227" s="1315">
        <v>10.28</v>
      </c>
      <c r="F8227" s="317">
        <v>2.9</v>
      </c>
      <c r="G8227" s="317"/>
      <c r="H8227" s="857">
        <f t="shared" si="158"/>
        <v>29.811999999999998</v>
      </c>
      <c r="I8227" s="1508"/>
      <c r="J8227" s="1509"/>
      <c r="K8227" s="1509"/>
      <c r="L8227" s="1509"/>
      <c r="M8227" s="1509"/>
      <c r="N8227" s="1510"/>
    </row>
    <row r="8228" spans="1:14" ht="30" customHeight="1">
      <c r="A8228" s="1536"/>
      <c r="B8228" s="924" t="s">
        <v>3053</v>
      </c>
      <c r="C8228" s="925"/>
      <c r="D8228" s="925">
        <v>1.68</v>
      </c>
      <c r="E8228" s="1373"/>
      <c r="F8228" s="925"/>
      <c r="G8228" s="925"/>
      <c r="H8228" s="927">
        <f>-D8228</f>
        <v>-1.68</v>
      </c>
      <c r="I8228" s="1508"/>
      <c r="J8228" s="1509"/>
      <c r="K8228" s="1509"/>
      <c r="L8228" s="1509"/>
      <c r="M8228" s="1509"/>
      <c r="N8228" s="1510"/>
    </row>
    <row r="8229" spans="1:14">
      <c r="A8229" s="1536"/>
      <c r="B8229" s="921" t="s">
        <v>2985</v>
      </c>
      <c r="C8229" s="317"/>
      <c r="D8229" s="317"/>
      <c r="E8229" s="1315">
        <v>15.31</v>
      </c>
      <c r="F8229" s="317">
        <v>2.9</v>
      </c>
      <c r="G8229" s="317"/>
      <c r="H8229" s="857">
        <f t="shared" si="158"/>
        <v>44.399000000000001</v>
      </c>
      <c r="I8229" s="1508"/>
      <c r="J8229" s="1509"/>
      <c r="K8229" s="1509"/>
      <c r="L8229" s="1509"/>
      <c r="M8229" s="1509"/>
      <c r="N8229" s="1510"/>
    </row>
    <row r="8230" spans="1:14">
      <c r="A8230" s="1536"/>
      <c r="B8230" s="924" t="s">
        <v>3053</v>
      </c>
      <c r="C8230" s="925"/>
      <c r="D8230" s="925">
        <v>6.28</v>
      </c>
      <c r="E8230" s="1373"/>
      <c r="F8230" s="925"/>
      <c r="G8230" s="925"/>
      <c r="H8230" s="927">
        <f>-D8230</f>
        <v>-6.28</v>
      </c>
      <c r="I8230" s="1508"/>
      <c r="J8230" s="1509"/>
      <c r="K8230" s="1509"/>
      <c r="L8230" s="1509"/>
      <c r="M8230" s="1509"/>
      <c r="N8230" s="1510"/>
    </row>
    <row r="8231" spans="1:14" ht="30" customHeight="1">
      <c r="A8231" s="1536"/>
      <c r="B8231" s="921" t="s">
        <v>2986</v>
      </c>
      <c r="C8231" s="317"/>
      <c r="D8231" s="317"/>
      <c r="E8231" s="1315">
        <v>13.6</v>
      </c>
      <c r="F8231" s="317">
        <v>2.9</v>
      </c>
      <c r="G8231" s="317"/>
      <c r="H8231" s="857">
        <f t="shared" si="158"/>
        <v>39.44</v>
      </c>
      <c r="I8231" s="1508"/>
      <c r="J8231" s="1509"/>
      <c r="K8231" s="1509"/>
      <c r="L8231" s="1509"/>
      <c r="M8231" s="1509"/>
      <c r="N8231" s="1510"/>
    </row>
    <row r="8232" spans="1:14">
      <c r="A8232" s="1536"/>
      <c r="B8232" s="924" t="s">
        <v>3053</v>
      </c>
      <c r="C8232" s="925"/>
      <c r="D8232" s="925">
        <v>2.83</v>
      </c>
      <c r="E8232" s="1373"/>
      <c r="F8232" s="925"/>
      <c r="G8232" s="925"/>
      <c r="H8232" s="927">
        <f>-D8232</f>
        <v>-2.83</v>
      </c>
      <c r="I8232" s="1508"/>
      <c r="J8232" s="1509"/>
      <c r="K8232" s="1509"/>
      <c r="L8232" s="1509"/>
      <c r="M8232" s="1509"/>
      <c r="N8232" s="1510"/>
    </row>
    <row r="8233" spans="1:14">
      <c r="A8233" s="1536"/>
      <c r="B8233" s="921" t="s">
        <v>2987</v>
      </c>
      <c r="C8233" s="317"/>
      <c r="D8233" s="317"/>
      <c r="E8233" s="1315">
        <v>13.4</v>
      </c>
      <c r="F8233" s="317">
        <v>2.9</v>
      </c>
      <c r="G8233" s="317"/>
      <c r="H8233" s="857">
        <f t="shared" si="158"/>
        <v>38.86</v>
      </c>
      <c r="I8233" s="1508"/>
      <c r="J8233" s="1509"/>
      <c r="K8233" s="1509"/>
      <c r="L8233" s="1509"/>
      <c r="M8233" s="1509"/>
      <c r="N8233" s="1510"/>
    </row>
    <row r="8234" spans="1:14">
      <c r="A8234" s="1536"/>
      <c r="B8234" s="924" t="s">
        <v>3053</v>
      </c>
      <c r="C8234" s="925"/>
      <c r="D8234" s="925">
        <v>2.83</v>
      </c>
      <c r="E8234" s="1373"/>
      <c r="F8234" s="925"/>
      <c r="G8234" s="925"/>
      <c r="H8234" s="927">
        <f>-D8234</f>
        <v>-2.83</v>
      </c>
      <c r="I8234" s="1508"/>
      <c r="J8234" s="1509"/>
      <c r="K8234" s="1509"/>
      <c r="L8234" s="1509"/>
      <c r="M8234" s="1509"/>
      <c r="N8234" s="1510"/>
    </row>
    <row r="8235" spans="1:14">
      <c r="A8235" s="1536"/>
      <c r="B8235" s="921" t="s">
        <v>3464</v>
      </c>
      <c r="C8235" s="317"/>
      <c r="D8235" s="317"/>
      <c r="E8235" s="1315">
        <v>13.4</v>
      </c>
      <c r="F8235" s="317">
        <v>2.9</v>
      </c>
      <c r="G8235" s="317"/>
      <c r="H8235" s="857">
        <f t="shared" si="158"/>
        <v>38.86</v>
      </c>
      <c r="I8235" s="1508"/>
      <c r="J8235" s="1509"/>
      <c r="K8235" s="1509"/>
      <c r="L8235" s="1509"/>
      <c r="M8235" s="1509"/>
      <c r="N8235" s="1510"/>
    </row>
    <row r="8236" spans="1:14">
      <c r="A8236" s="1536"/>
      <c r="B8236" s="924" t="s">
        <v>3053</v>
      </c>
      <c r="C8236" s="925"/>
      <c r="D8236" s="925">
        <v>2.83</v>
      </c>
      <c r="E8236" s="1373"/>
      <c r="F8236" s="925"/>
      <c r="G8236" s="925"/>
      <c r="H8236" s="927">
        <f>-D8236</f>
        <v>-2.83</v>
      </c>
      <c r="I8236" s="1508"/>
      <c r="J8236" s="1509"/>
      <c r="K8236" s="1509"/>
      <c r="L8236" s="1509"/>
      <c r="M8236" s="1509"/>
      <c r="N8236" s="1510"/>
    </row>
    <row r="8237" spans="1:14">
      <c r="A8237" s="1536"/>
      <c r="B8237" s="921" t="s">
        <v>2989</v>
      </c>
      <c r="C8237" s="317"/>
      <c r="D8237" s="317"/>
      <c r="E8237" s="1315">
        <v>12.76</v>
      </c>
      <c r="F8237" s="317">
        <v>2.9</v>
      </c>
      <c r="G8237" s="317"/>
      <c r="H8237" s="857">
        <f t="shared" si="158"/>
        <v>37.003999999999998</v>
      </c>
      <c r="I8237" s="1508"/>
      <c r="J8237" s="1509"/>
      <c r="K8237" s="1509"/>
      <c r="L8237" s="1509"/>
      <c r="M8237" s="1509"/>
      <c r="N8237" s="1510"/>
    </row>
    <row r="8238" spans="1:14">
      <c r="A8238" s="1536"/>
      <c r="B8238" s="924" t="s">
        <v>3053</v>
      </c>
      <c r="C8238" s="925"/>
      <c r="D8238" s="925">
        <v>5.68</v>
      </c>
      <c r="E8238" s="1373"/>
      <c r="F8238" s="925"/>
      <c r="G8238" s="925"/>
      <c r="H8238" s="927">
        <f>-D8238</f>
        <v>-5.68</v>
      </c>
      <c r="I8238" s="1508"/>
      <c r="J8238" s="1509"/>
      <c r="K8238" s="1509"/>
      <c r="L8238" s="1509"/>
      <c r="M8238" s="1509"/>
      <c r="N8238" s="1510"/>
    </row>
    <row r="8239" spans="1:14">
      <c r="A8239" s="1537"/>
      <c r="B8239" s="944"/>
      <c r="C8239" s="789"/>
      <c r="D8239" s="789"/>
      <c r="E8239" s="1317"/>
      <c r="F8239" s="789"/>
      <c r="G8239" s="789"/>
      <c r="H8239" s="945"/>
      <c r="I8239" s="1508"/>
      <c r="J8239" s="1509"/>
      <c r="K8239" s="1509"/>
      <c r="L8239" s="1509"/>
      <c r="M8239" s="1509"/>
      <c r="N8239" s="1510"/>
    </row>
    <row r="8240" spans="1:14" ht="30" customHeight="1">
      <c r="A8240" s="1710" t="s">
        <v>3516</v>
      </c>
      <c r="B8240" s="960"/>
      <c r="C8240" s="97"/>
      <c r="D8240" s="97" t="s">
        <v>3313</v>
      </c>
      <c r="E8240" s="97" t="s">
        <v>3355</v>
      </c>
      <c r="F8240" s="97" t="s">
        <v>2945</v>
      </c>
      <c r="G8240" s="97" t="s">
        <v>3048</v>
      </c>
      <c r="H8240" s="920" t="s">
        <v>2498</v>
      </c>
      <c r="I8240" s="1508"/>
      <c r="J8240" s="1509"/>
      <c r="K8240" s="1509"/>
      <c r="L8240" s="1509"/>
      <c r="M8240" s="1509"/>
      <c r="N8240" s="1510"/>
    </row>
    <row r="8241" spans="1:14">
      <c r="A8241" s="1536"/>
      <c r="B8241" s="922" t="s">
        <v>2727</v>
      </c>
      <c r="C8241" s="923"/>
      <c r="D8241" s="923"/>
      <c r="E8241" s="1372"/>
      <c r="F8241" s="923"/>
      <c r="G8241" s="317"/>
      <c r="H8241" s="857"/>
      <c r="I8241" s="1508"/>
      <c r="J8241" s="1509"/>
      <c r="K8241" s="1509"/>
      <c r="L8241" s="1509"/>
      <c r="M8241" s="1509"/>
      <c r="N8241" s="1510"/>
    </row>
    <row r="8242" spans="1:14">
      <c r="A8242" s="1536"/>
      <c r="B8242" s="921" t="s">
        <v>3517</v>
      </c>
      <c r="C8242" s="317"/>
      <c r="D8242" s="317"/>
      <c r="E8242" s="1315">
        <v>33.83</v>
      </c>
      <c r="F8242" s="317">
        <v>2.9</v>
      </c>
      <c r="G8242" s="317"/>
      <c r="H8242" s="857">
        <f>(E8242*F8242)</f>
        <v>98.106999999999985</v>
      </c>
      <c r="I8242" s="1508"/>
      <c r="J8242" s="1509"/>
      <c r="K8242" s="1509"/>
      <c r="L8242" s="1509"/>
      <c r="M8242" s="1509"/>
      <c r="N8242" s="1510"/>
    </row>
    <row r="8243" spans="1:14">
      <c r="A8243" s="1536"/>
      <c r="B8243" s="921" t="s">
        <v>3518</v>
      </c>
      <c r="C8243" s="317"/>
      <c r="D8243" s="317"/>
      <c r="E8243" s="1315">
        <v>10.73</v>
      </c>
      <c r="F8243" s="317">
        <v>2.9</v>
      </c>
      <c r="G8243" s="317"/>
      <c r="H8243" s="857">
        <f t="shared" ref="H8243:H8259" si="159">(E8243*F8243)</f>
        <v>31.117000000000001</v>
      </c>
      <c r="I8243" s="1508"/>
      <c r="J8243" s="1509"/>
      <c r="K8243" s="1509"/>
      <c r="L8243" s="1509"/>
      <c r="M8243" s="1509"/>
      <c r="N8243" s="1510"/>
    </row>
    <row r="8244" spans="1:14">
      <c r="A8244" s="1536"/>
      <c r="B8244" s="921" t="s">
        <v>3386</v>
      </c>
      <c r="C8244" s="317"/>
      <c r="D8244" s="317"/>
      <c r="E8244" s="1315">
        <v>9.0500000000000007</v>
      </c>
      <c r="F8244" s="317">
        <v>2.9</v>
      </c>
      <c r="G8244" s="317"/>
      <c r="H8244" s="857">
        <f t="shared" si="159"/>
        <v>26.245000000000001</v>
      </c>
      <c r="I8244" s="1508"/>
      <c r="J8244" s="1509"/>
      <c r="K8244" s="1509"/>
      <c r="L8244" s="1509"/>
      <c r="M8244" s="1509"/>
      <c r="N8244" s="1510"/>
    </row>
    <row r="8245" spans="1:14">
      <c r="A8245" s="1536"/>
      <c r="B8245" s="921" t="s">
        <v>2234</v>
      </c>
      <c r="C8245" s="317"/>
      <c r="D8245" s="317"/>
      <c r="E8245" s="1315">
        <v>14.59</v>
      </c>
      <c r="F8245" s="317">
        <v>2.9</v>
      </c>
      <c r="G8245" s="317"/>
      <c r="H8245" s="857">
        <f t="shared" si="159"/>
        <v>42.311</v>
      </c>
      <c r="I8245" s="1508"/>
      <c r="J8245" s="1509"/>
      <c r="K8245" s="1509"/>
      <c r="L8245" s="1509"/>
      <c r="M8245" s="1509"/>
      <c r="N8245" s="1510"/>
    </row>
    <row r="8246" spans="1:14">
      <c r="A8246" s="1536"/>
      <c r="B8246" s="921" t="s">
        <v>2967</v>
      </c>
      <c r="C8246" s="317"/>
      <c r="D8246" s="317"/>
      <c r="E8246" s="1315">
        <v>13.5</v>
      </c>
      <c r="F8246" s="317">
        <v>2.9</v>
      </c>
      <c r="G8246" s="317"/>
      <c r="H8246" s="857">
        <f t="shared" si="159"/>
        <v>39.15</v>
      </c>
      <c r="I8246" s="1508"/>
      <c r="J8246" s="1509"/>
      <c r="K8246" s="1509"/>
      <c r="L8246" s="1509"/>
      <c r="M8246" s="1509"/>
      <c r="N8246" s="1510"/>
    </row>
    <row r="8247" spans="1:14">
      <c r="A8247" s="1536"/>
      <c r="B8247" s="921" t="s">
        <v>2968</v>
      </c>
      <c r="C8247" s="317"/>
      <c r="D8247" s="317"/>
      <c r="E8247" s="1315">
        <v>13.5</v>
      </c>
      <c r="F8247" s="317">
        <v>2.9</v>
      </c>
      <c r="G8247" s="317"/>
      <c r="H8247" s="857">
        <f t="shared" si="159"/>
        <v>39.15</v>
      </c>
      <c r="I8247" s="1508"/>
      <c r="J8247" s="1509"/>
      <c r="K8247" s="1509"/>
      <c r="L8247" s="1509"/>
      <c r="M8247" s="1509"/>
      <c r="N8247" s="1510"/>
    </row>
    <row r="8248" spans="1:14">
      <c r="A8248" s="1536"/>
      <c r="B8248" s="921" t="s">
        <v>2969</v>
      </c>
      <c r="C8248" s="317"/>
      <c r="D8248" s="317"/>
      <c r="E8248" s="1315">
        <v>14.16</v>
      </c>
      <c r="F8248" s="317">
        <v>2.9</v>
      </c>
      <c r="G8248" s="317"/>
      <c r="H8248" s="857">
        <f t="shared" si="159"/>
        <v>41.064</v>
      </c>
      <c r="I8248" s="1508"/>
      <c r="J8248" s="1509"/>
      <c r="K8248" s="1509"/>
      <c r="L8248" s="1509"/>
      <c r="M8248" s="1509"/>
      <c r="N8248" s="1510"/>
    </row>
    <row r="8249" spans="1:14" ht="30" customHeight="1">
      <c r="A8249" s="1536"/>
      <c r="B8249" s="921" t="s">
        <v>2970</v>
      </c>
      <c r="C8249" s="317"/>
      <c r="D8249" s="317"/>
      <c r="E8249" s="1315">
        <v>18.73</v>
      </c>
      <c r="F8249" s="317">
        <v>2.9</v>
      </c>
      <c r="G8249" s="317"/>
      <c r="H8249" s="857">
        <f t="shared" si="159"/>
        <v>54.317</v>
      </c>
      <c r="I8249" s="1508"/>
      <c r="J8249" s="1509"/>
      <c r="K8249" s="1509"/>
      <c r="L8249" s="1509"/>
      <c r="M8249" s="1509"/>
      <c r="N8249" s="1510"/>
    </row>
    <row r="8250" spans="1:14">
      <c r="A8250" s="1536"/>
      <c r="B8250" s="921" t="s">
        <v>2971</v>
      </c>
      <c r="C8250" s="317"/>
      <c r="D8250" s="317"/>
      <c r="E8250" s="1315">
        <v>18.77</v>
      </c>
      <c r="F8250" s="317">
        <v>2.9</v>
      </c>
      <c r="G8250" s="317"/>
      <c r="H8250" s="857">
        <f t="shared" si="159"/>
        <v>54.433</v>
      </c>
      <c r="I8250" s="1508"/>
      <c r="J8250" s="1509"/>
      <c r="K8250" s="1509"/>
      <c r="L8250" s="1509"/>
      <c r="M8250" s="1509"/>
      <c r="N8250" s="1510"/>
    </row>
    <row r="8251" spans="1:14">
      <c r="A8251" s="1536"/>
      <c r="B8251" s="921" t="s">
        <v>2972</v>
      </c>
      <c r="C8251" s="317"/>
      <c r="D8251" s="317"/>
      <c r="E8251" s="1315">
        <v>11.28</v>
      </c>
      <c r="F8251" s="317">
        <v>2.9</v>
      </c>
      <c r="G8251" s="317"/>
      <c r="H8251" s="857">
        <f t="shared" si="159"/>
        <v>32.711999999999996</v>
      </c>
      <c r="I8251" s="1508"/>
      <c r="J8251" s="1509"/>
      <c r="K8251" s="1509"/>
      <c r="L8251" s="1509"/>
      <c r="M8251" s="1509"/>
      <c r="N8251" s="1510"/>
    </row>
    <row r="8252" spans="1:14">
      <c r="A8252" s="1536"/>
      <c r="B8252" s="921" t="s">
        <v>2223</v>
      </c>
      <c r="C8252" s="317"/>
      <c r="D8252" s="317"/>
      <c r="E8252" s="1315">
        <v>13.22</v>
      </c>
      <c r="F8252" s="317">
        <v>2.9</v>
      </c>
      <c r="G8252" s="317"/>
      <c r="H8252" s="857">
        <f t="shared" si="159"/>
        <v>38.338000000000001</v>
      </c>
      <c r="I8252" s="1508"/>
      <c r="J8252" s="1509"/>
      <c r="K8252" s="1509"/>
      <c r="L8252" s="1509"/>
      <c r="M8252" s="1509"/>
      <c r="N8252" s="1510"/>
    </row>
    <row r="8253" spans="1:14">
      <c r="A8253" s="1536"/>
      <c r="B8253" s="921" t="s">
        <v>2973</v>
      </c>
      <c r="C8253" s="317"/>
      <c r="D8253" s="317"/>
      <c r="E8253" s="1315">
        <v>7.3</v>
      </c>
      <c r="F8253" s="317">
        <v>2.9</v>
      </c>
      <c r="G8253" s="317"/>
      <c r="H8253" s="857">
        <f t="shared" si="159"/>
        <v>21.169999999999998</v>
      </c>
      <c r="I8253" s="1508"/>
      <c r="J8253" s="1509"/>
      <c r="K8253" s="1509"/>
      <c r="L8253" s="1509"/>
      <c r="M8253" s="1509"/>
      <c r="N8253" s="1510"/>
    </row>
    <row r="8254" spans="1:14">
      <c r="A8254" s="1536"/>
      <c r="B8254" s="921" t="s">
        <v>2974</v>
      </c>
      <c r="C8254" s="317"/>
      <c r="D8254" s="317"/>
      <c r="E8254" s="1315">
        <v>17.55</v>
      </c>
      <c r="F8254" s="317">
        <v>2.9</v>
      </c>
      <c r="G8254" s="317"/>
      <c r="H8254" s="857">
        <f t="shared" si="159"/>
        <v>50.895000000000003</v>
      </c>
      <c r="I8254" s="1508"/>
      <c r="J8254" s="1509"/>
      <c r="K8254" s="1509"/>
      <c r="L8254" s="1509"/>
      <c r="M8254" s="1509"/>
      <c r="N8254" s="1510"/>
    </row>
    <row r="8255" spans="1:14">
      <c r="A8255" s="1536"/>
      <c r="B8255" s="921" t="s">
        <v>3430</v>
      </c>
      <c r="C8255" s="317"/>
      <c r="D8255" s="317"/>
      <c r="E8255" s="1315">
        <v>13.16</v>
      </c>
      <c r="F8255" s="317">
        <v>2.9</v>
      </c>
      <c r="G8255" s="317"/>
      <c r="H8255" s="857">
        <f t="shared" si="159"/>
        <v>38.164000000000001</v>
      </c>
      <c r="I8255" s="1508"/>
      <c r="J8255" s="1509"/>
      <c r="K8255" s="1509"/>
      <c r="L8255" s="1509"/>
      <c r="M8255" s="1509"/>
      <c r="N8255" s="1510"/>
    </row>
    <row r="8256" spans="1:14">
      <c r="A8256" s="1536"/>
      <c r="B8256" s="921" t="s">
        <v>2231</v>
      </c>
      <c r="C8256" s="317"/>
      <c r="D8256" s="317"/>
      <c r="E8256" s="1315">
        <v>8.0500000000000007</v>
      </c>
      <c r="F8256" s="317">
        <v>2.9</v>
      </c>
      <c r="G8256" s="317"/>
      <c r="H8256" s="857">
        <f t="shared" si="159"/>
        <v>23.345000000000002</v>
      </c>
      <c r="I8256" s="1508"/>
      <c r="J8256" s="1509"/>
      <c r="K8256" s="1509"/>
      <c r="L8256" s="1509"/>
      <c r="M8256" s="1509"/>
      <c r="N8256" s="1510"/>
    </row>
    <row r="8257" spans="1:14">
      <c r="A8257" s="1536"/>
      <c r="B8257" s="921" t="s">
        <v>2973</v>
      </c>
      <c r="C8257" s="317"/>
      <c r="D8257" s="317"/>
      <c r="E8257" s="1315">
        <v>8.67</v>
      </c>
      <c r="F8257" s="317">
        <v>2.9</v>
      </c>
      <c r="G8257" s="317"/>
      <c r="H8257" s="857">
        <f t="shared" si="159"/>
        <v>25.143000000000001</v>
      </c>
      <c r="I8257" s="1508"/>
      <c r="J8257" s="1509"/>
      <c r="K8257" s="1509"/>
      <c r="L8257" s="1509"/>
      <c r="M8257" s="1509"/>
      <c r="N8257" s="1510"/>
    </row>
    <row r="8258" spans="1:14" ht="30" customHeight="1">
      <c r="A8258" s="1536"/>
      <c r="B8258" s="921" t="s">
        <v>2976</v>
      </c>
      <c r="C8258" s="317"/>
      <c r="D8258" s="317"/>
      <c r="E8258" s="1315">
        <v>7.49</v>
      </c>
      <c r="F8258" s="317">
        <v>2.9</v>
      </c>
      <c r="G8258" s="317"/>
      <c r="H8258" s="857">
        <f t="shared" si="159"/>
        <v>21.721</v>
      </c>
      <c r="I8258" s="1508"/>
      <c r="J8258" s="1509"/>
      <c r="K8258" s="1509"/>
      <c r="L8258" s="1509"/>
      <c r="M8258" s="1509"/>
      <c r="N8258" s="1510"/>
    </row>
    <row r="8259" spans="1:14">
      <c r="A8259" s="1536"/>
      <c r="B8259" s="921" t="s">
        <v>3390</v>
      </c>
      <c r="C8259" s="317"/>
      <c r="D8259" s="317"/>
      <c r="E8259" s="1315">
        <v>39.43</v>
      </c>
      <c r="F8259" s="317">
        <v>2.9</v>
      </c>
      <c r="G8259" s="317"/>
      <c r="H8259" s="857">
        <f t="shared" si="159"/>
        <v>114.34699999999999</v>
      </c>
      <c r="I8259" s="1508"/>
      <c r="J8259" s="1509"/>
      <c r="K8259" s="1509"/>
      <c r="L8259" s="1509"/>
      <c r="M8259" s="1509"/>
      <c r="N8259" s="1510"/>
    </row>
    <row r="8260" spans="1:14">
      <c r="A8260" s="1537"/>
      <c r="B8260" s="944"/>
      <c r="C8260" s="789"/>
      <c r="D8260" s="789"/>
      <c r="E8260" s="1317"/>
      <c r="F8260" s="789"/>
      <c r="G8260" s="789"/>
      <c r="H8260" s="945"/>
      <c r="I8260" s="1508"/>
      <c r="J8260" s="1509"/>
      <c r="K8260" s="1509"/>
      <c r="L8260" s="1509"/>
      <c r="M8260" s="1509"/>
      <c r="N8260" s="1510"/>
    </row>
    <row r="8261" spans="1:14">
      <c r="A8261" s="1530" t="s">
        <v>3522</v>
      </c>
      <c r="B8261" s="946" t="s">
        <v>3365</v>
      </c>
      <c r="C8261" s="947"/>
      <c r="D8261" s="947"/>
      <c r="E8261" s="1375"/>
      <c r="F8261" s="947"/>
      <c r="G8261" s="948"/>
      <c r="H8261" s="949"/>
      <c r="I8261" s="1508"/>
      <c r="J8261" s="1509"/>
      <c r="K8261" s="1509"/>
      <c r="L8261" s="1509"/>
      <c r="M8261" s="1509"/>
      <c r="N8261" s="1510"/>
    </row>
    <row r="8262" spans="1:14">
      <c r="A8262" s="1531"/>
      <c r="B8262" s="921" t="s">
        <v>3554</v>
      </c>
      <c r="C8262" s="317"/>
      <c r="D8262" s="317"/>
      <c r="E8262" s="1315">
        <v>9.4</v>
      </c>
      <c r="F8262" s="317">
        <v>4.3600000000000003</v>
      </c>
      <c r="G8262" s="317"/>
      <c r="H8262" s="950">
        <f>(E8262*F8262)</f>
        <v>40.984000000000002</v>
      </c>
      <c r="I8262" s="1508"/>
      <c r="J8262" s="1509"/>
      <c r="K8262" s="1509"/>
      <c r="L8262" s="1509"/>
      <c r="M8262" s="1509"/>
      <c r="N8262" s="1510"/>
    </row>
    <row r="8263" spans="1:14">
      <c r="A8263" s="1702"/>
      <c r="B8263" s="951"/>
      <c r="C8263" s="795"/>
      <c r="D8263" s="795"/>
      <c r="E8263" s="1318"/>
      <c r="F8263" s="795"/>
      <c r="G8263" s="795"/>
      <c r="H8263" s="952"/>
      <c r="I8263" s="1508"/>
      <c r="J8263" s="1509"/>
      <c r="K8263" s="1509"/>
      <c r="L8263" s="1509"/>
      <c r="M8263" s="1509"/>
      <c r="N8263" s="1510"/>
    </row>
    <row r="8264" spans="1:14">
      <c r="A8264" s="1530" t="s">
        <v>3570</v>
      </c>
      <c r="B8264" s="946" t="s">
        <v>3614</v>
      </c>
      <c r="C8264" s="947"/>
      <c r="D8264" s="947"/>
      <c r="E8264" s="1375"/>
      <c r="F8264" s="947"/>
      <c r="G8264" s="948"/>
      <c r="H8264" s="949"/>
      <c r="I8264" s="1508"/>
      <c r="J8264" s="1509"/>
      <c r="K8264" s="1509"/>
      <c r="L8264" s="1509"/>
      <c r="M8264" s="1509"/>
      <c r="N8264" s="1510"/>
    </row>
    <row r="8265" spans="1:14">
      <c r="A8265" s="1531"/>
      <c r="B8265" s="921" t="s">
        <v>3615</v>
      </c>
      <c r="C8265" s="317"/>
      <c r="D8265" s="317"/>
      <c r="E8265" s="1315">
        <v>53.28</v>
      </c>
      <c r="F8265" s="317">
        <v>1.1000000000000001</v>
      </c>
      <c r="G8265" s="317"/>
      <c r="H8265" s="950">
        <f>(E8265*F8265)</f>
        <v>58.608000000000004</v>
      </c>
      <c r="I8265" s="1508"/>
      <c r="J8265" s="1509"/>
      <c r="K8265" s="1509"/>
      <c r="L8265" s="1509"/>
      <c r="M8265" s="1509"/>
      <c r="N8265" s="1510"/>
    </row>
    <row r="8266" spans="1:14">
      <c r="A8266" s="1531"/>
      <c r="B8266" s="944" t="s">
        <v>3616</v>
      </c>
      <c r="C8266" s="789"/>
      <c r="D8266" s="789"/>
      <c r="E8266" s="1317">
        <v>36.090000000000003</v>
      </c>
      <c r="F8266" s="789">
        <v>1.1000000000000001</v>
      </c>
      <c r="G8266" s="789"/>
      <c r="H8266" s="950">
        <f>(E8266*F8266)</f>
        <v>39.699000000000005</v>
      </c>
      <c r="I8266" s="1508"/>
      <c r="J8266" s="1509"/>
      <c r="K8266" s="1509"/>
      <c r="L8266" s="1509"/>
      <c r="M8266" s="1509"/>
      <c r="N8266" s="1510"/>
    </row>
    <row r="8267" spans="1:14" ht="30" customHeight="1">
      <c r="A8267" s="1702"/>
      <c r="B8267" s="951"/>
      <c r="C8267" s="795"/>
      <c r="D8267" s="795"/>
      <c r="E8267" s="1318"/>
      <c r="F8267" s="795"/>
      <c r="G8267" s="795"/>
      <c r="H8267" s="952"/>
      <c r="I8267" s="1508"/>
      <c r="J8267" s="1509"/>
      <c r="K8267" s="1509"/>
      <c r="L8267" s="1509"/>
      <c r="M8267" s="1509"/>
      <c r="N8267" s="1510"/>
    </row>
    <row r="8268" spans="1:14">
      <c r="A8268" s="1530" t="s">
        <v>3621</v>
      </c>
      <c r="B8268" s="946" t="s">
        <v>3681</v>
      </c>
      <c r="C8268" s="947"/>
      <c r="D8268" s="947"/>
      <c r="E8268" s="1375"/>
      <c r="F8268" s="947"/>
      <c r="G8268" s="948"/>
      <c r="H8268" s="949"/>
      <c r="I8268" s="1508"/>
      <c r="J8268" s="1509"/>
      <c r="K8268" s="1509"/>
      <c r="L8268" s="1509"/>
      <c r="M8268" s="1509"/>
      <c r="N8268" s="1510"/>
    </row>
    <row r="8269" spans="1:14">
      <c r="A8269" s="1531"/>
      <c r="B8269" s="921" t="s">
        <v>3317</v>
      </c>
      <c r="C8269" s="923"/>
      <c r="D8269" s="317">
        <v>7.77</v>
      </c>
      <c r="E8269" s="1372"/>
      <c r="F8269" s="923"/>
      <c r="G8269" s="317"/>
      <c r="H8269" s="950">
        <f>D8269</f>
        <v>7.77</v>
      </c>
      <c r="I8269" s="1508"/>
      <c r="J8269" s="1509"/>
      <c r="K8269" s="1509"/>
      <c r="L8269" s="1509"/>
      <c r="M8269" s="1509"/>
      <c r="N8269" s="1510"/>
    </row>
    <row r="8270" spans="1:14">
      <c r="A8270" s="1531"/>
      <c r="B8270" s="921" t="s">
        <v>3318</v>
      </c>
      <c r="C8270" s="923"/>
      <c r="D8270" s="317">
        <v>7.42</v>
      </c>
      <c r="E8270" s="1372"/>
      <c r="F8270" s="923"/>
      <c r="G8270" s="317"/>
      <c r="H8270" s="950">
        <f t="shared" ref="H8270:H8289" si="160">D8270</f>
        <v>7.42</v>
      </c>
      <c r="I8270" s="1508"/>
      <c r="J8270" s="1509"/>
      <c r="K8270" s="1509"/>
      <c r="L8270" s="1509"/>
      <c r="M8270" s="1509"/>
      <c r="N8270" s="1510"/>
    </row>
    <row r="8271" spans="1:14">
      <c r="A8271" s="1531"/>
      <c r="B8271" s="921" t="s">
        <v>3319</v>
      </c>
      <c r="C8271" s="923"/>
      <c r="D8271" s="317">
        <v>10.66</v>
      </c>
      <c r="E8271" s="1372"/>
      <c r="F8271" s="923"/>
      <c r="G8271" s="317"/>
      <c r="H8271" s="950">
        <f t="shared" si="160"/>
        <v>10.66</v>
      </c>
      <c r="I8271" s="1508"/>
      <c r="J8271" s="1509"/>
      <c r="K8271" s="1509"/>
      <c r="L8271" s="1509"/>
      <c r="M8271" s="1509"/>
      <c r="N8271" s="1510"/>
    </row>
    <row r="8272" spans="1:14">
      <c r="A8272" s="1531"/>
      <c r="B8272" s="921" t="s">
        <v>3320</v>
      </c>
      <c r="C8272" s="923"/>
      <c r="D8272" s="317">
        <v>11.01</v>
      </c>
      <c r="E8272" s="1372"/>
      <c r="F8272" s="923"/>
      <c r="G8272" s="317"/>
      <c r="H8272" s="950">
        <f t="shared" si="160"/>
        <v>11.01</v>
      </c>
      <c r="I8272" s="1508"/>
      <c r="J8272" s="1509"/>
      <c r="K8272" s="1509"/>
      <c r="L8272" s="1509"/>
      <c r="M8272" s="1509"/>
      <c r="N8272" s="1510"/>
    </row>
    <row r="8273" spans="1:14">
      <c r="A8273" s="1531"/>
      <c r="B8273" s="921" t="s">
        <v>2440</v>
      </c>
      <c r="C8273" s="923"/>
      <c r="D8273" s="317">
        <v>8.1199999999999992</v>
      </c>
      <c r="E8273" s="1372"/>
      <c r="F8273" s="923"/>
      <c r="G8273" s="317"/>
      <c r="H8273" s="950">
        <f t="shared" si="160"/>
        <v>8.1199999999999992</v>
      </c>
      <c r="I8273" s="1508"/>
      <c r="J8273" s="1509"/>
      <c r="K8273" s="1509"/>
      <c r="L8273" s="1509"/>
      <c r="M8273" s="1509"/>
      <c r="N8273" s="1510"/>
    </row>
    <row r="8274" spans="1:14">
      <c r="A8274" s="1531"/>
      <c r="B8274" s="921" t="s">
        <v>3386</v>
      </c>
      <c r="C8274" s="923"/>
      <c r="D8274" s="317">
        <v>21.91</v>
      </c>
      <c r="E8274" s="1372"/>
      <c r="F8274" s="923"/>
      <c r="G8274" s="317"/>
      <c r="H8274" s="950">
        <f t="shared" si="160"/>
        <v>21.91</v>
      </c>
      <c r="I8274" s="1508"/>
      <c r="J8274" s="1509"/>
      <c r="K8274" s="1509"/>
      <c r="L8274" s="1509"/>
      <c r="M8274" s="1509"/>
      <c r="N8274" s="1510"/>
    </row>
    <row r="8275" spans="1:14">
      <c r="A8275" s="1531"/>
      <c r="B8275" s="921" t="s">
        <v>2344</v>
      </c>
      <c r="C8275" s="923"/>
      <c r="D8275" s="317">
        <v>5.4</v>
      </c>
      <c r="E8275" s="1372"/>
      <c r="F8275" s="923"/>
      <c r="G8275" s="317"/>
      <c r="H8275" s="950">
        <f t="shared" si="160"/>
        <v>5.4</v>
      </c>
      <c r="I8275" s="1508"/>
      <c r="J8275" s="1509"/>
      <c r="K8275" s="1509"/>
      <c r="L8275" s="1509"/>
      <c r="M8275" s="1509"/>
      <c r="N8275" s="1510"/>
    </row>
    <row r="8276" spans="1:14" ht="30" customHeight="1">
      <c r="A8276" s="1531"/>
      <c r="B8276" s="921" t="s">
        <v>3323</v>
      </c>
      <c r="C8276" s="923"/>
      <c r="D8276" s="317">
        <v>7.65</v>
      </c>
      <c r="E8276" s="1372"/>
      <c r="F8276" s="923"/>
      <c r="G8276" s="317"/>
      <c r="H8276" s="950">
        <f t="shared" si="160"/>
        <v>7.65</v>
      </c>
      <c r="I8276" s="1508"/>
      <c r="J8276" s="1509"/>
      <c r="K8276" s="1509"/>
      <c r="L8276" s="1509"/>
      <c r="M8276" s="1509"/>
      <c r="N8276" s="1510"/>
    </row>
    <row r="8277" spans="1:14">
      <c r="A8277" s="1531"/>
      <c r="B8277" s="1034" t="s">
        <v>3322</v>
      </c>
      <c r="C8277" s="1036"/>
      <c r="D8277" s="1021">
        <v>7.7</v>
      </c>
      <c r="E8277" s="1376"/>
      <c r="F8277" s="1036"/>
      <c r="G8277" s="1021"/>
      <c r="H8277" s="1035">
        <f t="shared" si="160"/>
        <v>7.7</v>
      </c>
      <c r="I8277" s="1508"/>
      <c r="J8277" s="1509"/>
      <c r="K8277" s="1509"/>
      <c r="L8277" s="1509"/>
      <c r="M8277" s="1509"/>
      <c r="N8277" s="1510"/>
    </row>
    <row r="8278" spans="1:14">
      <c r="A8278" s="1531"/>
      <c r="B8278" s="922" t="s">
        <v>3127</v>
      </c>
      <c r="C8278" s="923"/>
      <c r="D8278" s="317"/>
      <c r="E8278" s="1372"/>
      <c r="F8278" s="923"/>
      <c r="G8278" s="317"/>
      <c r="H8278" s="950"/>
      <c r="I8278" s="1508"/>
      <c r="J8278" s="1509"/>
      <c r="K8278" s="1509"/>
      <c r="L8278" s="1509"/>
      <c r="M8278" s="1509"/>
      <c r="N8278" s="1510"/>
    </row>
    <row r="8279" spans="1:14">
      <c r="A8279" s="1531"/>
      <c r="B8279" s="921" t="s">
        <v>3679</v>
      </c>
      <c r="C8279" s="923"/>
      <c r="D8279" s="317">
        <v>46.9</v>
      </c>
      <c r="E8279" s="1372"/>
      <c r="F8279" s="923"/>
      <c r="G8279" s="317"/>
      <c r="H8279" s="950">
        <f t="shared" si="160"/>
        <v>46.9</v>
      </c>
      <c r="I8279" s="1508"/>
      <c r="J8279" s="1509"/>
      <c r="K8279" s="1509"/>
      <c r="L8279" s="1509"/>
      <c r="M8279" s="1509"/>
      <c r="N8279" s="1510"/>
    </row>
    <row r="8280" spans="1:14">
      <c r="A8280" s="1531"/>
      <c r="B8280" s="1034" t="s">
        <v>3680</v>
      </c>
      <c r="C8280" s="1036"/>
      <c r="D8280" s="1021">
        <v>18.43</v>
      </c>
      <c r="E8280" s="1376"/>
      <c r="F8280" s="1036"/>
      <c r="G8280" s="1021"/>
      <c r="H8280" s="1035">
        <f t="shared" si="160"/>
        <v>18.43</v>
      </c>
      <c r="I8280" s="1508"/>
      <c r="J8280" s="1509"/>
      <c r="K8280" s="1509"/>
      <c r="L8280" s="1509"/>
      <c r="M8280" s="1509"/>
      <c r="N8280" s="1510"/>
    </row>
    <row r="8281" spans="1:14">
      <c r="A8281" s="1531"/>
      <c r="B8281" s="922" t="s">
        <v>3682</v>
      </c>
      <c r="C8281" s="923"/>
      <c r="D8281" s="317"/>
      <c r="E8281" s="1372"/>
      <c r="F8281" s="923"/>
      <c r="G8281" s="317"/>
      <c r="H8281" s="950"/>
      <c r="I8281" s="1508"/>
      <c r="J8281" s="1509"/>
      <c r="K8281" s="1509"/>
      <c r="L8281" s="1509"/>
      <c r="M8281" s="1509"/>
      <c r="N8281" s="1510"/>
    </row>
    <row r="8282" spans="1:14">
      <c r="A8282" s="1531"/>
      <c r="B8282" s="921" t="s">
        <v>2461</v>
      </c>
      <c r="C8282" s="923"/>
      <c r="D8282" s="317">
        <v>5.45</v>
      </c>
      <c r="E8282" s="1372"/>
      <c r="F8282" s="923"/>
      <c r="G8282" s="317"/>
      <c r="H8282" s="950">
        <f t="shared" si="160"/>
        <v>5.45</v>
      </c>
      <c r="I8282" s="1508"/>
      <c r="J8282" s="1509"/>
      <c r="K8282" s="1509"/>
      <c r="L8282" s="1509"/>
      <c r="M8282" s="1509"/>
      <c r="N8282" s="1510"/>
    </row>
    <row r="8283" spans="1:14">
      <c r="A8283" s="1531"/>
      <c r="B8283" s="921" t="s">
        <v>2339</v>
      </c>
      <c r="C8283" s="923"/>
      <c r="D8283" s="317">
        <v>10.01</v>
      </c>
      <c r="E8283" s="1372"/>
      <c r="F8283" s="923"/>
      <c r="G8283" s="317"/>
      <c r="H8283" s="950">
        <f t="shared" si="160"/>
        <v>10.01</v>
      </c>
      <c r="I8283" s="1508"/>
      <c r="J8283" s="1509"/>
      <c r="K8283" s="1509"/>
      <c r="L8283" s="1509"/>
      <c r="M8283" s="1509"/>
      <c r="N8283" s="1510"/>
    </row>
    <row r="8284" spans="1:14">
      <c r="A8284" s="1531"/>
      <c r="B8284" s="921" t="s">
        <v>3683</v>
      </c>
      <c r="C8284" s="923"/>
      <c r="D8284" s="317">
        <v>7.55</v>
      </c>
      <c r="E8284" s="1372"/>
      <c r="F8284" s="923"/>
      <c r="G8284" s="317"/>
      <c r="H8284" s="950">
        <f t="shared" si="160"/>
        <v>7.55</v>
      </c>
      <c r="I8284" s="1508"/>
      <c r="J8284" s="1509"/>
      <c r="K8284" s="1509"/>
      <c r="L8284" s="1509"/>
      <c r="M8284" s="1509"/>
      <c r="N8284" s="1510"/>
    </row>
    <row r="8285" spans="1:14">
      <c r="A8285" s="1531"/>
      <c r="B8285" s="921" t="s">
        <v>3360</v>
      </c>
      <c r="C8285" s="923"/>
      <c r="D8285" s="317">
        <v>16.04</v>
      </c>
      <c r="E8285" s="1372"/>
      <c r="F8285" s="923"/>
      <c r="G8285" s="317"/>
      <c r="H8285" s="950">
        <f t="shared" si="160"/>
        <v>16.04</v>
      </c>
      <c r="I8285" s="1508"/>
      <c r="J8285" s="1509"/>
      <c r="K8285" s="1509"/>
      <c r="L8285" s="1509"/>
      <c r="M8285" s="1509"/>
      <c r="N8285" s="1510"/>
    </row>
    <row r="8286" spans="1:14">
      <c r="A8286" s="1531"/>
      <c r="B8286" s="921" t="s">
        <v>3392</v>
      </c>
      <c r="C8286" s="923"/>
      <c r="D8286" s="317">
        <v>6.27</v>
      </c>
      <c r="E8286" s="1372"/>
      <c r="F8286" s="923"/>
      <c r="G8286" s="317"/>
      <c r="H8286" s="950">
        <f t="shared" si="160"/>
        <v>6.27</v>
      </c>
      <c r="I8286" s="1508"/>
      <c r="J8286" s="1509"/>
      <c r="K8286" s="1509"/>
      <c r="L8286" s="1509"/>
      <c r="M8286" s="1509"/>
      <c r="N8286" s="1510"/>
    </row>
    <row r="8287" spans="1:14">
      <c r="A8287" s="1531"/>
      <c r="B8287" s="921" t="s">
        <v>2344</v>
      </c>
      <c r="C8287" s="923"/>
      <c r="D8287" s="317">
        <v>5.8</v>
      </c>
      <c r="E8287" s="1372"/>
      <c r="F8287" s="923"/>
      <c r="G8287" s="317"/>
      <c r="H8287" s="950">
        <f t="shared" si="160"/>
        <v>5.8</v>
      </c>
      <c r="I8287" s="1508"/>
      <c r="J8287" s="1509"/>
      <c r="K8287" s="1509"/>
      <c r="L8287" s="1509"/>
      <c r="M8287" s="1509"/>
      <c r="N8287" s="1510"/>
    </row>
    <row r="8288" spans="1:14">
      <c r="A8288" s="1531"/>
      <c r="B8288" s="921" t="s">
        <v>3323</v>
      </c>
      <c r="C8288" s="923"/>
      <c r="D8288" s="317">
        <v>8.9499999999999993</v>
      </c>
      <c r="E8288" s="1372"/>
      <c r="F8288" s="923"/>
      <c r="G8288" s="317"/>
      <c r="H8288" s="950">
        <f t="shared" si="160"/>
        <v>8.9499999999999993</v>
      </c>
      <c r="I8288" s="1508"/>
      <c r="J8288" s="1509"/>
      <c r="K8288" s="1509"/>
      <c r="L8288" s="1509"/>
      <c r="M8288" s="1509"/>
      <c r="N8288" s="1510"/>
    </row>
    <row r="8289" spans="1:14">
      <c r="A8289" s="1531"/>
      <c r="B8289" s="921" t="s">
        <v>3322</v>
      </c>
      <c r="C8289" s="923"/>
      <c r="D8289" s="317">
        <v>9.2899999999999991</v>
      </c>
      <c r="E8289" s="1372"/>
      <c r="F8289" s="923"/>
      <c r="G8289" s="317"/>
      <c r="H8289" s="950">
        <f t="shared" si="160"/>
        <v>9.2899999999999991</v>
      </c>
      <c r="I8289" s="1508"/>
      <c r="J8289" s="1509"/>
      <c r="K8289" s="1509"/>
      <c r="L8289" s="1509"/>
      <c r="M8289" s="1509"/>
      <c r="N8289" s="1510"/>
    </row>
    <row r="8290" spans="1:14" ht="30" customHeight="1">
      <c r="A8290" s="1702"/>
      <c r="B8290" s="951"/>
      <c r="C8290" s="795"/>
      <c r="D8290" s="795"/>
      <c r="E8290" s="1318"/>
      <c r="F8290" s="795"/>
      <c r="G8290" s="795"/>
      <c r="H8290" s="952"/>
      <c r="I8290" s="1508"/>
      <c r="J8290" s="1509"/>
      <c r="K8290" s="1509"/>
      <c r="L8290" s="1509"/>
      <c r="M8290" s="1509"/>
      <c r="N8290" s="1510"/>
    </row>
    <row r="8291" spans="1:14">
      <c r="A8291" s="1530" t="s">
        <v>4143</v>
      </c>
      <c r="B8291" s="946" t="s">
        <v>3681</v>
      </c>
      <c r="C8291" s="947"/>
      <c r="D8291" s="947"/>
      <c r="E8291" s="1375"/>
      <c r="F8291" s="947"/>
      <c r="G8291" s="948"/>
      <c r="H8291" s="949"/>
      <c r="I8291" s="1508"/>
      <c r="J8291" s="1509"/>
      <c r="K8291" s="1509"/>
      <c r="L8291" s="1509"/>
      <c r="M8291" s="1509"/>
      <c r="N8291" s="1510"/>
    </row>
    <row r="8292" spans="1:14">
      <c r="A8292" s="1531"/>
      <c r="B8292" s="921" t="s">
        <v>3317</v>
      </c>
      <c r="C8292" s="923"/>
      <c r="D8292" s="317">
        <v>7.77</v>
      </c>
      <c r="E8292" s="1372"/>
      <c r="F8292" s="923"/>
      <c r="G8292" s="317"/>
      <c r="H8292" s="950">
        <f>D8292</f>
        <v>7.77</v>
      </c>
      <c r="I8292" s="1508"/>
      <c r="J8292" s="1509"/>
      <c r="K8292" s="1509"/>
      <c r="L8292" s="1509"/>
      <c r="M8292" s="1509"/>
      <c r="N8292" s="1510"/>
    </row>
    <row r="8293" spans="1:14">
      <c r="A8293" s="1531"/>
      <c r="B8293" s="921" t="s">
        <v>3318</v>
      </c>
      <c r="C8293" s="923"/>
      <c r="D8293" s="317">
        <v>7.42</v>
      </c>
      <c r="E8293" s="1372"/>
      <c r="F8293" s="923"/>
      <c r="G8293" s="317"/>
      <c r="H8293" s="950">
        <f t="shared" ref="H8293:H8300" si="161">D8293</f>
        <v>7.42</v>
      </c>
      <c r="I8293" s="1508"/>
      <c r="J8293" s="1509"/>
      <c r="K8293" s="1509"/>
      <c r="L8293" s="1509"/>
      <c r="M8293" s="1509"/>
      <c r="N8293" s="1510"/>
    </row>
    <row r="8294" spans="1:14">
      <c r="A8294" s="1531"/>
      <c r="B8294" s="921" t="s">
        <v>3319</v>
      </c>
      <c r="C8294" s="923"/>
      <c r="D8294" s="317">
        <v>10.66</v>
      </c>
      <c r="E8294" s="1372"/>
      <c r="F8294" s="923"/>
      <c r="G8294" s="317"/>
      <c r="H8294" s="950">
        <f t="shared" si="161"/>
        <v>10.66</v>
      </c>
      <c r="I8294" s="1508"/>
      <c r="J8294" s="1509"/>
      <c r="K8294" s="1509"/>
      <c r="L8294" s="1509"/>
      <c r="M8294" s="1509"/>
      <c r="N8294" s="1510"/>
    </row>
    <row r="8295" spans="1:14">
      <c r="A8295" s="1531"/>
      <c r="B8295" s="921" t="s">
        <v>3320</v>
      </c>
      <c r="C8295" s="923"/>
      <c r="D8295" s="317">
        <v>11.01</v>
      </c>
      <c r="E8295" s="1372"/>
      <c r="F8295" s="923"/>
      <c r="G8295" s="317"/>
      <c r="H8295" s="950">
        <f t="shared" si="161"/>
        <v>11.01</v>
      </c>
      <c r="I8295" s="1508"/>
      <c r="J8295" s="1509"/>
      <c r="K8295" s="1509"/>
      <c r="L8295" s="1509"/>
      <c r="M8295" s="1509"/>
      <c r="N8295" s="1510"/>
    </row>
    <row r="8296" spans="1:14">
      <c r="A8296" s="1531"/>
      <c r="B8296" s="921" t="s">
        <v>3321</v>
      </c>
      <c r="C8296" s="923"/>
      <c r="D8296" s="317">
        <v>8.1199999999999992</v>
      </c>
      <c r="E8296" s="1372"/>
      <c r="F8296" s="923"/>
      <c r="G8296" s="317"/>
      <c r="H8296" s="950">
        <f t="shared" si="161"/>
        <v>8.1199999999999992</v>
      </c>
      <c r="I8296" s="1508"/>
      <c r="J8296" s="1509"/>
      <c r="K8296" s="1509"/>
      <c r="L8296" s="1509"/>
      <c r="M8296" s="1509"/>
      <c r="N8296" s="1510"/>
    </row>
    <row r="8297" spans="1:14">
      <c r="A8297" s="1531"/>
      <c r="B8297" s="921" t="s">
        <v>3386</v>
      </c>
      <c r="C8297" s="923"/>
      <c r="D8297" s="317">
        <v>21.91</v>
      </c>
      <c r="E8297" s="1372"/>
      <c r="F8297" s="923"/>
      <c r="G8297" s="317"/>
      <c r="H8297" s="950">
        <f t="shared" si="161"/>
        <v>21.91</v>
      </c>
      <c r="I8297" s="1508"/>
      <c r="J8297" s="1509"/>
      <c r="K8297" s="1509"/>
      <c r="L8297" s="1509"/>
      <c r="M8297" s="1509"/>
      <c r="N8297" s="1510"/>
    </row>
    <row r="8298" spans="1:14">
      <c r="A8298" s="1531"/>
      <c r="B8298" s="921" t="s">
        <v>2344</v>
      </c>
      <c r="C8298" s="923"/>
      <c r="D8298" s="317">
        <v>5.4</v>
      </c>
      <c r="E8298" s="1372"/>
      <c r="F8298" s="923"/>
      <c r="G8298" s="317"/>
      <c r="H8298" s="950">
        <f t="shared" si="161"/>
        <v>5.4</v>
      </c>
      <c r="I8298" s="1508"/>
      <c r="J8298" s="1509"/>
      <c r="K8298" s="1509"/>
      <c r="L8298" s="1509"/>
      <c r="M8298" s="1509"/>
      <c r="N8298" s="1510"/>
    </row>
    <row r="8299" spans="1:14" ht="19.149999999999999" customHeight="1">
      <c r="A8299" s="1531"/>
      <c r="B8299" s="921" t="s">
        <v>4164</v>
      </c>
      <c r="C8299" s="923"/>
      <c r="D8299" s="317">
        <v>7.65</v>
      </c>
      <c r="E8299" s="1372"/>
      <c r="F8299" s="923"/>
      <c r="G8299" s="317"/>
      <c r="H8299" s="950">
        <f t="shared" si="161"/>
        <v>7.65</v>
      </c>
      <c r="I8299" s="1508"/>
      <c r="J8299" s="1509"/>
      <c r="K8299" s="1509"/>
      <c r="L8299" s="1509"/>
      <c r="M8299" s="1509"/>
      <c r="N8299" s="1510"/>
    </row>
    <row r="8300" spans="1:14">
      <c r="A8300" s="1531"/>
      <c r="B8300" s="1034" t="s">
        <v>4163</v>
      </c>
      <c r="C8300" s="1036"/>
      <c r="D8300" s="1021">
        <v>7.7</v>
      </c>
      <c r="E8300" s="1376"/>
      <c r="F8300" s="1036"/>
      <c r="G8300" s="1021"/>
      <c r="H8300" s="950">
        <f t="shared" si="161"/>
        <v>7.7</v>
      </c>
      <c r="I8300" s="1508"/>
      <c r="J8300" s="1509"/>
      <c r="K8300" s="1509"/>
      <c r="L8300" s="1509"/>
      <c r="M8300" s="1509"/>
      <c r="N8300" s="1510"/>
    </row>
    <row r="8301" spans="1:14">
      <c r="A8301" s="1531"/>
      <c r="B8301" s="922"/>
      <c r="C8301" s="923"/>
      <c r="D8301" s="317"/>
      <c r="E8301" s="1372"/>
      <c r="F8301" s="923"/>
      <c r="G8301" s="317"/>
      <c r="H8301" s="950"/>
      <c r="I8301" s="1508"/>
      <c r="J8301" s="1509"/>
      <c r="K8301" s="1509"/>
      <c r="L8301" s="1509"/>
      <c r="M8301" s="1509"/>
      <c r="N8301" s="1510"/>
    </row>
    <row r="8302" spans="1:14">
      <c r="A8302" s="1531"/>
      <c r="B8302" s="946" t="s">
        <v>3127</v>
      </c>
      <c r="C8302" s="923"/>
      <c r="D8302" s="317"/>
      <c r="E8302" s="1372"/>
      <c r="F8302" s="923"/>
      <c r="G8302" s="317"/>
      <c r="H8302" s="950"/>
      <c r="I8302" s="1508"/>
      <c r="J8302" s="1509"/>
      <c r="K8302" s="1509"/>
      <c r="L8302" s="1509"/>
      <c r="M8302" s="1509"/>
      <c r="N8302" s="1510"/>
    </row>
    <row r="8303" spans="1:14">
      <c r="A8303" s="1531"/>
      <c r="B8303" s="1034" t="s">
        <v>4157</v>
      </c>
      <c r="C8303" s="1036"/>
      <c r="D8303" s="1021">
        <v>78.099999999999994</v>
      </c>
      <c r="E8303" s="1021">
        <v>1.85</v>
      </c>
      <c r="F8303" s="1036"/>
      <c r="G8303" s="1021"/>
      <c r="H8303" s="1035">
        <f>D8303*E8303</f>
        <v>144.48499999999999</v>
      </c>
      <c r="I8303" s="1508"/>
      <c r="J8303" s="1509"/>
      <c r="K8303" s="1509"/>
      <c r="L8303" s="1509"/>
      <c r="M8303" s="1509"/>
      <c r="N8303" s="1510"/>
    </row>
    <row r="8304" spans="1:14" ht="30">
      <c r="A8304" s="1531"/>
      <c r="B8304" s="1034" t="s">
        <v>4158</v>
      </c>
      <c r="C8304" s="923"/>
      <c r="D8304" s="317">
        <v>103.47</v>
      </c>
      <c r="E8304" s="1021"/>
      <c r="F8304" s="923"/>
      <c r="G8304" s="317"/>
      <c r="H8304" s="1035">
        <f>D8304</f>
        <v>103.47</v>
      </c>
      <c r="I8304" s="1508"/>
      <c r="J8304" s="1509"/>
      <c r="K8304" s="1509"/>
      <c r="L8304" s="1509"/>
      <c r="M8304" s="1509"/>
      <c r="N8304" s="1510"/>
    </row>
    <row r="8305" spans="1:14">
      <c r="A8305" s="1519" t="s">
        <v>2218</v>
      </c>
      <c r="B8305" s="1517"/>
      <c r="C8305" s="1517"/>
      <c r="D8305" s="1517"/>
      <c r="E8305" s="1517"/>
      <c r="F8305" s="1517"/>
      <c r="G8305" s="1518"/>
      <c r="H8305" s="271">
        <f>SUM(H8169:H8304)</f>
        <v>2613.9827999999993</v>
      </c>
      <c r="I8305" s="1508"/>
      <c r="J8305" s="1509"/>
      <c r="K8305" s="1509"/>
      <c r="L8305" s="1509"/>
      <c r="M8305" s="1509"/>
      <c r="N8305" s="1510"/>
    </row>
    <row r="8306" spans="1:14">
      <c r="A8306" s="1519" t="s">
        <v>2219</v>
      </c>
      <c r="B8306" s="1517"/>
      <c r="C8306" s="1517"/>
      <c r="D8306" s="1517"/>
      <c r="E8306" s="1517"/>
      <c r="F8306" s="1517"/>
      <c r="G8306" s="1518"/>
      <c r="H8306" s="325">
        <f>SUM(H8169:H8290)</f>
        <v>2278.3877999999995</v>
      </c>
      <c r="I8306" s="1508"/>
      <c r="J8306" s="1509"/>
      <c r="K8306" s="1509"/>
      <c r="L8306" s="1509"/>
      <c r="M8306" s="1509"/>
      <c r="N8306" s="1510"/>
    </row>
    <row r="8307" spans="1:14" ht="15.75" thickBot="1">
      <c r="A8307" s="1520" t="s">
        <v>2220</v>
      </c>
      <c r="B8307" s="1521"/>
      <c r="C8307" s="1521"/>
      <c r="D8307" s="1521"/>
      <c r="E8307" s="1521"/>
      <c r="F8307" s="1521"/>
      <c r="G8307" s="1522"/>
      <c r="H8307" s="216">
        <f>H8305-H8306</f>
        <v>335.5949999999998</v>
      </c>
      <c r="I8307" s="1511"/>
      <c r="J8307" s="1512"/>
      <c r="K8307" s="1512"/>
      <c r="L8307" s="1512"/>
      <c r="M8307" s="1512"/>
      <c r="N8307" s="1513"/>
    </row>
    <row r="8308" spans="1:14" ht="15.75" thickBot="1"/>
    <row r="8309" spans="1:14">
      <c r="A8309" s="1084" t="s">
        <v>3994</v>
      </c>
      <c r="B8309" s="1494" t="s">
        <v>425</v>
      </c>
      <c r="C8309" s="1495"/>
      <c r="D8309" s="1495"/>
      <c r="E8309" s="1495"/>
      <c r="F8309" s="1495"/>
      <c r="G8309" s="1495"/>
      <c r="H8309" s="1495"/>
      <c r="I8309" s="1495"/>
      <c r="J8309" s="1496"/>
      <c r="K8309" s="196" t="s">
        <v>2222</v>
      </c>
      <c r="L8309" s="1497">
        <v>59.71</v>
      </c>
      <c r="M8309" s="1498"/>
      <c r="N8309" s="197">
        <f>L8309-H8314</f>
        <v>0</v>
      </c>
    </row>
    <row r="8310" spans="1:14">
      <c r="A8310" s="1499"/>
      <c r="B8310" s="1500"/>
      <c r="C8310" s="366"/>
      <c r="D8310" s="367" t="s">
        <v>2183</v>
      </c>
      <c r="E8310" s="1320" t="s">
        <v>2184</v>
      </c>
      <c r="F8310" s="367" t="s">
        <v>2185</v>
      </c>
      <c r="G8310" s="367" t="s">
        <v>2186</v>
      </c>
      <c r="H8310" s="1503" t="s">
        <v>476</v>
      </c>
      <c r="I8310" s="1505"/>
      <c r="J8310" s="1506"/>
      <c r="K8310" s="1506"/>
      <c r="L8310" s="1506"/>
      <c r="M8310" s="1506"/>
      <c r="N8310" s="1507"/>
    </row>
    <row r="8311" spans="1:14" ht="24">
      <c r="A8311" s="1501"/>
      <c r="B8311" s="1502"/>
      <c r="C8311" s="368" t="s">
        <v>2627</v>
      </c>
      <c r="D8311" s="369" t="s">
        <v>2187</v>
      </c>
      <c r="E8311" s="529" t="s">
        <v>3152</v>
      </c>
      <c r="F8311" s="369" t="s">
        <v>2649</v>
      </c>
      <c r="G8311" s="370" t="s">
        <v>2709</v>
      </c>
      <c r="H8311" s="1504"/>
      <c r="I8311" s="1508"/>
      <c r="J8311" s="1509"/>
      <c r="K8311" s="1509"/>
      <c r="L8311" s="1509"/>
      <c r="M8311" s="1509"/>
      <c r="N8311" s="1510"/>
    </row>
    <row r="8312" spans="1:14">
      <c r="A8312" s="1514" t="s">
        <v>3981</v>
      </c>
      <c r="B8312" s="429" t="s">
        <v>3995</v>
      </c>
      <c r="C8312" s="756">
        <v>59.71</v>
      </c>
      <c r="D8312" s="202"/>
      <c r="E8312" s="346"/>
      <c r="F8312" s="346"/>
      <c r="G8312" s="346"/>
      <c r="H8312" s="403">
        <f>C8312</f>
        <v>59.71</v>
      </c>
      <c r="I8312" s="1508"/>
      <c r="J8312" s="1509"/>
      <c r="K8312" s="1509"/>
      <c r="L8312" s="1509"/>
      <c r="M8312" s="1509"/>
      <c r="N8312" s="1510"/>
    </row>
    <row r="8313" spans="1:14">
      <c r="A8313" s="1523"/>
      <c r="B8313" s="953"/>
      <c r="C8313" s="956"/>
      <c r="D8313" s="919"/>
      <c r="E8313" s="693"/>
      <c r="F8313" s="693"/>
      <c r="G8313" s="693"/>
      <c r="H8313" s="957"/>
      <c r="I8313" s="1508"/>
      <c r="J8313" s="1509"/>
      <c r="K8313" s="1509"/>
      <c r="L8313" s="1509"/>
      <c r="M8313" s="1509"/>
      <c r="N8313" s="1510"/>
    </row>
    <row r="8314" spans="1:14">
      <c r="A8314" s="1516" t="s">
        <v>2218</v>
      </c>
      <c r="B8314" s="1517"/>
      <c r="C8314" s="1517"/>
      <c r="D8314" s="1517"/>
      <c r="E8314" s="1517"/>
      <c r="F8314" s="1517"/>
      <c r="G8314" s="1518"/>
      <c r="H8314" s="271">
        <f>SUM(H8312:H8313)</f>
        <v>59.71</v>
      </c>
      <c r="I8314" s="1508"/>
      <c r="J8314" s="1509"/>
      <c r="K8314" s="1509"/>
      <c r="L8314" s="1509"/>
      <c r="M8314" s="1509"/>
      <c r="N8314" s="1510"/>
    </row>
    <row r="8315" spans="1:14">
      <c r="A8315" s="1519" t="s">
        <v>2219</v>
      </c>
      <c r="B8315" s="1517"/>
      <c r="C8315" s="1517"/>
      <c r="D8315" s="1517"/>
      <c r="E8315" s="1517"/>
      <c r="F8315" s="1517"/>
      <c r="G8315" s="1518"/>
      <c r="H8315" s="325">
        <v>0</v>
      </c>
      <c r="I8315" s="1508"/>
      <c r="J8315" s="1509"/>
      <c r="K8315" s="1509"/>
      <c r="L8315" s="1509"/>
      <c r="M8315" s="1509"/>
      <c r="N8315" s="1510"/>
    </row>
    <row r="8316" spans="1:14" ht="30" customHeight="1" thickBot="1">
      <c r="A8316" s="1520" t="s">
        <v>2220</v>
      </c>
      <c r="B8316" s="1521"/>
      <c r="C8316" s="1521"/>
      <c r="D8316" s="1521"/>
      <c r="E8316" s="1521"/>
      <c r="F8316" s="1521"/>
      <c r="G8316" s="1522"/>
      <c r="H8316" s="216">
        <f>H8314-H8315</f>
        <v>59.71</v>
      </c>
      <c r="I8316" s="1511"/>
      <c r="J8316" s="1512"/>
      <c r="K8316" s="1512"/>
      <c r="L8316" s="1512"/>
      <c r="M8316" s="1512"/>
      <c r="N8316" s="1513"/>
    </row>
    <row r="8317" spans="1:14" ht="15.75" thickBot="1"/>
    <row r="8318" spans="1:14" ht="30.6" customHeight="1">
      <c r="A8318" s="1084" t="s">
        <v>3996</v>
      </c>
      <c r="B8318" s="1494" t="s">
        <v>431</v>
      </c>
      <c r="C8318" s="1495"/>
      <c r="D8318" s="1495"/>
      <c r="E8318" s="1495"/>
      <c r="F8318" s="1495"/>
      <c r="G8318" s="1495"/>
      <c r="H8318" s="1495"/>
      <c r="I8318" s="1495"/>
      <c r="J8318" s="1496"/>
      <c r="K8318" s="196" t="s">
        <v>2222</v>
      </c>
      <c r="L8318" s="1497">
        <v>2571.7199999999998</v>
      </c>
      <c r="M8318" s="1498"/>
      <c r="N8318" s="197">
        <f>L8318-H8345</f>
        <v>136.73000000000002</v>
      </c>
    </row>
    <row r="8319" spans="1:14">
      <c r="A8319" s="1499"/>
      <c r="B8319" s="1500"/>
      <c r="C8319" s="366"/>
      <c r="D8319" s="367" t="s">
        <v>2183</v>
      </c>
      <c r="E8319" s="1320" t="s">
        <v>2184</v>
      </c>
      <c r="F8319" s="367" t="s">
        <v>2185</v>
      </c>
      <c r="G8319" s="367" t="s">
        <v>2186</v>
      </c>
      <c r="H8319" s="1503" t="s">
        <v>476</v>
      </c>
      <c r="I8319" s="1505"/>
      <c r="J8319" s="1506"/>
      <c r="K8319" s="1506"/>
      <c r="L8319" s="1506"/>
      <c r="M8319" s="1506"/>
      <c r="N8319" s="1507"/>
    </row>
    <row r="8320" spans="1:14" ht="24">
      <c r="A8320" s="1501"/>
      <c r="B8320" s="1502"/>
      <c r="C8320" s="368" t="s">
        <v>2627</v>
      </c>
      <c r="D8320" s="369" t="s">
        <v>2187</v>
      </c>
      <c r="E8320" s="529" t="s">
        <v>3152</v>
      </c>
      <c r="F8320" s="369" t="s">
        <v>2649</v>
      </c>
      <c r="G8320" s="370" t="s">
        <v>2709</v>
      </c>
      <c r="H8320" s="1504"/>
      <c r="I8320" s="1508"/>
      <c r="J8320" s="1509"/>
      <c r="K8320" s="1509"/>
      <c r="L8320" s="1509"/>
      <c r="M8320" s="1509"/>
      <c r="N8320" s="1510"/>
    </row>
    <row r="8321" spans="1:14" ht="38.25" customHeight="1">
      <c r="A8321" s="1514" t="s">
        <v>3981</v>
      </c>
      <c r="B8321" s="946" t="s">
        <v>3655</v>
      </c>
      <c r="C8321" s="756">
        <v>474.63</v>
      </c>
      <c r="D8321" s="202"/>
      <c r="E8321" s="346"/>
      <c r="F8321" s="346"/>
      <c r="G8321" s="346"/>
      <c r="H8321" s="403">
        <f>C8321</f>
        <v>474.63</v>
      </c>
      <c r="I8321" s="1508"/>
      <c r="J8321" s="1509"/>
      <c r="K8321" s="1509"/>
      <c r="L8321" s="1509"/>
      <c r="M8321" s="1509"/>
      <c r="N8321" s="1510"/>
    </row>
    <row r="8322" spans="1:14">
      <c r="A8322" s="1523"/>
      <c r="B8322" s="953" t="s">
        <v>3365</v>
      </c>
      <c r="C8322" s="956">
        <v>156.58000000000001</v>
      </c>
      <c r="D8322" s="919"/>
      <c r="E8322" s="693"/>
      <c r="F8322" s="693"/>
      <c r="G8322" s="693"/>
      <c r="H8322" s="403">
        <f>C8322</f>
        <v>156.58000000000001</v>
      </c>
      <c r="I8322" s="1508"/>
      <c r="J8322" s="1509"/>
      <c r="K8322" s="1509"/>
      <c r="L8322" s="1509"/>
      <c r="M8322" s="1509"/>
      <c r="N8322" s="1510"/>
    </row>
    <row r="8323" spans="1:14">
      <c r="A8323" s="1514" t="s">
        <v>4143</v>
      </c>
      <c r="B8323" s="953"/>
      <c r="C8323" s="956"/>
      <c r="D8323" s="919"/>
      <c r="E8323" s="693"/>
      <c r="F8323" s="693"/>
      <c r="G8323" s="693"/>
      <c r="H8323" s="957"/>
      <c r="I8323" s="1508"/>
      <c r="J8323" s="1509"/>
      <c r="K8323" s="1509"/>
      <c r="L8323" s="1509"/>
      <c r="M8323" s="1509"/>
      <c r="N8323" s="1510"/>
    </row>
    <row r="8324" spans="1:14">
      <c r="A8324" s="1523"/>
      <c r="B8324" s="946" t="s">
        <v>2727</v>
      </c>
      <c r="C8324" s="956">
        <v>1326.71</v>
      </c>
      <c r="D8324" s="919"/>
      <c r="E8324" s="693"/>
      <c r="F8324" s="693"/>
      <c r="G8324" s="693"/>
      <c r="H8324" s="957">
        <f>C8324</f>
        <v>1326.71</v>
      </c>
      <c r="I8324" s="1508"/>
      <c r="J8324" s="1509"/>
      <c r="K8324" s="1509"/>
      <c r="L8324" s="1509"/>
      <c r="M8324" s="1509"/>
      <c r="N8324" s="1510"/>
    </row>
    <row r="8325" spans="1:14">
      <c r="A8325" s="1523"/>
      <c r="B8325" s="953"/>
      <c r="C8325" s="1406"/>
      <c r="D8325" s="919"/>
      <c r="E8325" s="693"/>
      <c r="F8325" s="693"/>
      <c r="G8325" s="693"/>
      <c r="H8325" s="957"/>
      <c r="I8325" s="1508"/>
      <c r="J8325" s="1509"/>
      <c r="K8325" s="1509"/>
      <c r="L8325" s="1509"/>
      <c r="M8325" s="1509"/>
      <c r="N8325" s="1510"/>
    </row>
    <row r="8326" spans="1:14">
      <c r="A8326" s="1523"/>
      <c r="B8326" s="946" t="s">
        <v>3127</v>
      </c>
      <c r="C8326" s="1406"/>
      <c r="D8326" s="919"/>
      <c r="E8326" s="693"/>
      <c r="F8326" s="693"/>
      <c r="G8326" s="693"/>
      <c r="H8326" s="957"/>
      <c r="I8326" s="1508"/>
      <c r="J8326" s="1509"/>
      <c r="K8326" s="1509"/>
      <c r="L8326" s="1509"/>
      <c r="M8326" s="1509"/>
      <c r="N8326" s="1510"/>
    </row>
    <row r="8327" spans="1:14">
      <c r="A8327" s="1523"/>
      <c r="B8327" s="953" t="s">
        <v>4156</v>
      </c>
      <c r="C8327" s="1406"/>
      <c r="D8327" s="919"/>
      <c r="E8327" s="693"/>
      <c r="F8327" s="693"/>
      <c r="G8327" s="693"/>
      <c r="H8327" s="957"/>
      <c r="I8327" s="1508"/>
      <c r="J8327" s="1509"/>
      <c r="K8327" s="1509"/>
      <c r="L8327" s="1509"/>
      <c r="M8327" s="1509"/>
      <c r="N8327" s="1510"/>
    </row>
    <row r="8328" spans="1:14">
      <c r="A8328" s="1523"/>
      <c r="B8328" s="953" t="s">
        <v>4157</v>
      </c>
      <c r="C8328" s="956">
        <v>144.49</v>
      </c>
      <c r="D8328" s="919"/>
      <c r="E8328" s="693"/>
      <c r="F8328" s="693"/>
      <c r="G8328" s="693"/>
      <c r="H8328" s="957">
        <f>C8328</f>
        <v>144.49</v>
      </c>
      <c r="I8328" s="1508"/>
      <c r="J8328" s="1509"/>
      <c r="K8328" s="1509"/>
      <c r="L8328" s="1509"/>
      <c r="M8328" s="1509"/>
      <c r="N8328" s="1510"/>
    </row>
    <row r="8329" spans="1:14" ht="30">
      <c r="A8329" s="1523"/>
      <c r="B8329" s="953" t="s">
        <v>4158</v>
      </c>
      <c r="C8329" s="956">
        <v>45.52</v>
      </c>
      <c r="D8329" s="919"/>
      <c r="E8329" s="693"/>
      <c r="F8329" s="693"/>
      <c r="G8329" s="693"/>
      <c r="H8329" s="957">
        <f>C8329</f>
        <v>45.52</v>
      </c>
      <c r="I8329" s="1508"/>
      <c r="J8329" s="1509"/>
      <c r="K8329" s="1509"/>
      <c r="L8329" s="1509"/>
      <c r="M8329" s="1509"/>
      <c r="N8329" s="1510"/>
    </row>
    <row r="8330" spans="1:14">
      <c r="A8330" s="1523"/>
      <c r="B8330" s="953"/>
      <c r="C8330" s="956"/>
      <c r="D8330" s="919"/>
      <c r="E8330" s="693"/>
      <c r="F8330" s="693"/>
      <c r="G8330" s="693"/>
      <c r="H8330" s="957"/>
      <c r="I8330" s="1508"/>
      <c r="J8330" s="1509"/>
      <c r="K8330" s="1509"/>
      <c r="L8330" s="1509"/>
      <c r="M8330" s="1509"/>
      <c r="N8330" s="1510"/>
    </row>
    <row r="8331" spans="1:14">
      <c r="A8331" s="1523"/>
      <c r="B8331" s="946" t="s">
        <v>3365</v>
      </c>
      <c r="C8331" s="1406"/>
      <c r="D8331" s="919"/>
      <c r="E8331" s="693"/>
      <c r="F8331" s="693"/>
      <c r="G8331" s="693"/>
      <c r="H8331" s="957"/>
      <c r="I8331" s="1508"/>
      <c r="J8331" s="1509"/>
      <c r="K8331" s="1509"/>
      <c r="L8331" s="1509"/>
      <c r="M8331" s="1509"/>
      <c r="N8331" s="1510"/>
    </row>
    <row r="8332" spans="1:14">
      <c r="A8332" s="1523"/>
      <c r="B8332" s="953" t="s">
        <v>4159</v>
      </c>
      <c r="C8332" s="956">
        <v>156.58000000000001</v>
      </c>
      <c r="D8332" s="1407"/>
      <c r="E8332" s="693"/>
      <c r="F8332" s="693"/>
      <c r="G8332" s="693"/>
      <c r="H8332" s="957">
        <f>C8332</f>
        <v>156.58000000000001</v>
      </c>
      <c r="I8332" s="1508"/>
      <c r="J8332" s="1509"/>
      <c r="K8332" s="1509"/>
      <c r="L8332" s="1509"/>
      <c r="M8332" s="1509"/>
      <c r="N8332" s="1510"/>
    </row>
    <row r="8333" spans="1:14">
      <c r="A8333" s="1523"/>
      <c r="B8333" s="953"/>
      <c r="C8333" s="1406"/>
      <c r="D8333" s="919"/>
      <c r="E8333" s="693"/>
      <c r="F8333" s="693"/>
      <c r="G8333" s="693"/>
      <c r="H8333" s="957"/>
      <c r="I8333" s="1508"/>
      <c r="J8333" s="1509"/>
      <c r="K8333" s="1509"/>
      <c r="L8333" s="1509"/>
      <c r="M8333" s="1509"/>
      <c r="N8333" s="1510"/>
    </row>
    <row r="8334" spans="1:14">
      <c r="A8334" s="1523"/>
      <c r="B8334" s="946" t="s">
        <v>4160</v>
      </c>
      <c r="C8334" s="1380">
        <v>61.12</v>
      </c>
      <c r="D8334" s="1381"/>
      <c r="E8334" s="1382"/>
      <c r="F8334" s="693"/>
      <c r="G8334" s="693"/>
      <c r="H8334" s="957"/>
      <c r="I8334" s="1508"/>
      <c r="J8334" s="1509"/>
      <c r="K8334" s="1509"/>
      <c r="L8334" s="1509"/>
      <c r="M8334" s="1509"/>
      <c r="N8334" s="1510"/>
    </row>
    <row r="8335" spans="1:14">
      <c r="A8335" s="1523"/>
      <c r="B8335" s="953"/>
      <c r="C8335" s="956"/>
      <c r="D8335" s="919"/>
      <c r="E8335" s="693"/>
      <c r="F8335" s="693"/>
      <c r="G8335" s="693"/>
      <c r="H8335" s="957">
        <f>C8334</f>
        <v>61.12</v>
      </c>
      <c r="I8335" s="1508"/>
      <c r="J8335" s="1509"/>
      <c r="K8335" s="1509"/>
      <c r="L8335" s="1509"/>
      <c r="M8335" s="1509"/>
      <c r="N8335" s="1510"/>
    </row>
    <row r="8336" spans="1:14">
      <c r="A8336" s="1523"/>
      <c r="B8336" s="946" t="s">
        <v>4161</v>
      </c>
      <c r="C8336" s="956"/>
      <c r="D8336" s="919"/>
      <c r="E8336" s="693"/>
      <c r="F8336" s="693"/>
      <c r="G8336" s="693"/>
      <c r="H8336" s="957"/>
      <c r="I8336" s="1508"/>
      <c r="J8336" s="1509"/>
      <c r="K8336" s="1509"/>
      <c r="L8336" s="1509"/>
      <c r="M8336" s="1509"/>
      <c r="N8336" s="1510"/>
    </row>
    <row r="8337" spans="1:14">
      <c r="A8337" s="1523"/>
      <c r="B8337" s="953" t="s">
        <v>2461</v>
      </c>
      <c r="C8337" s="1380">
        <v>5.45</v>
      </c>
      <c r="D8337" s="1381"/>
      <c r="E8337" s="1382"/>
      <c r="F8337" s="693"/>
      <c r="G8337" s="693"/>
      <c r="H8337" s="957">
        <f>C8337</f>
        <v>5.45</v>
      </c>
      <c r="I8337" s="1508"/>
      <c r="J8337" s="1509"/>
      <c r="K8337" s="1509"/>
      <c r="L8337" s="1509"/>
      <c r="M8337" s="1509"/>
      <c r="N8337" s="1510"/>
    </row>
    <row r="8338" spans="1:14">
      <c r="A8338" s="1523"/>
      <c r="B8338" s="953" t="s">
        <v>2339</v>
      </c>
      <c r="C8338" s="1380">
        <v>10.01</v>
      </c>
      <c r="D8338" s="1381"/>
      <c r="E8338" s="1382"/>
      <c r="F8338" s="693"/>
      <c r="G8338" s="693"/>
      <c r="H8338" s="957">
        <f t="shared" ref="H8338:H8344" si="162">C8338</f>
        <v>10.01</v>
      </c>
      <c r="I8338" s="1508"/>
      <c r="J8338" s="1509"/>
      <c r="K8338" s="1509"/>
      <c r="L8338" s="1509"/>
      <c r="M8338" s="1509"/>
      <c r="N8338" s="1510"/>
    </row>
    <row r="8339" spans="1:14">
      <c r="A8339" s="1523"/>
      <c r="B8339" s="953" t="s">
        <v>4162</v>
      </c>
      <c r="C8339" s="1380">
        <v>7.55</v>
      </c>
      <c r="D8339" s="1381"/>
      <c r="E8339" s="1382"/>
      <c r="F8339" s="693"/>
      <c r="G8339" s="693"/>
      <c r="H8339" s="957">
        <f t="shared" si="162"/>
        <v>7.55</v>
      </c>
      <c r="I8339" s="1508"/>
      <c r="J8339" s="1509"/>
      <c r="K8339" s="1509"/>
      <c r="L8339" s="1509"/>
      <c r="M8339" s="1509"/>
      <c r="N8339" s="1510"/>
    </row>
    <row r="8340" spans="1:14">
      <c r="A8340" s="1523"/>
      <c r="B8340" s="953" t="s">
        <v>2342</v>
      </c>
      <c r="C8340" s="1380">
        <v>16.04</v>
      </c>
      <c r="D8340" s="1381"/>
      <c r="E8340" s="1382"/>
      <c r="F8340" s="693"/>
      <c r="G8340" s="693"/>
      <c r="H8340" s="957">
        <f t="shared" si="162"/>
        <v>16.04</v>
      </c>
      <c r="I8340" s="1508"/>
      <c r="J8340" s="1509"/>
      <c r="K8340" s="1509"/>
      <c r="L8340" s="1509"/>
      <c r="M8340" s="1509"/>
      <c r="N8340" s="1510"/>
    </row>
    <row r="8341" spans="1:14">
      <c r="A8341" s="1523"/>
      <c r="B8341" s="953" t="s">
        <v>3325</v>
      </c>
      <c r="C8341" s="1380">
        <v>6.27</v>
      </c>
      <c r="D8341" s="1381"/>
      <c r="E8341" s="1382"/>
      <c r="F8341" s="693"/>
      <c r="G8341" s="693"/>
      <c r="H8341" s="957">
        <f t="shared" si="162"/>
        <v>6.27</v>
      </c>
      <c r="I8341" s="1508"/>
      <c r="J8341" s="1509"/>
      <c r="K8341" s="1509"/>
      <c r="L8341" s="1509"/>
      <c r="M8341" s="1509"/>
      <c r="N8341" s="1510"/>
    </row>
    <row r="8342" spans="1:14">
      <c r="A8342" s="1523"/>
      <c r="B8342" s="953" t="s">
        <v>2344</v>
      </c>
      <c r="C8342" s="1380">
        <v>5.8</v>
      </c>
      <c r="D8342" s="1381"/>
      <c r="E8342" s="1382"/>
      <c r="F8342" s="693"/>
      <c r="G8342" s="693"/>
      <c r="H8342" s="957">
        <f t="shared" si="162"/>
        <v>5.8</v>
      </c>
      <c r="I8342" s="1508"/>
      <c r="J8342" s="1509"/>
      <c r="K8342" s="1509"/>
      <c r="L8342" s="1509"/>
      <c r="M8342" s="1509"/>
      <c r="N8342" s="1510"/>
    </row>
    <row r="8343" spans="1:14">
      <c r="A8343" s="1523"/>
      <c r="B8343" s="953" t="s">
        <v>4163</v>
      </c>
      <c r="C8343" s="1380">
        <v>8.9499999999999993</v>
      </c>
      <c r="D8343" s="1381"/>
      <c r="E8343" s="1382"/>
      <c r="F8343" s="693"/>
      <c r="G8343" s="693"/>
      <c r="H8343" s="957">
        <f t="shared" si="162"/>
        <v>8.9499999999999993</v>
      </c>
      <c r="I8343" s="1508"/>
      <c r="J8343" s="1509"/>
      <c r="K8343" s="1509"/>
      <c r="L8343" s="1509"/>
      <c r="M8343" s="1509"/>
      <c r="N8343" s="1510"/>
    </row>
    <row r="8344" spans="1:14">
      <c r="A8344" s="1523"/>
      <c r="B8344" s="953" t="s">
        <v>4164</v>
      </c>
      <c r="C8344" s="1380">
        <v>9.2899999999999991</v>
      </c>
      <c r="D8344" s="1381"/>
      <c r="E8344" s="1382"/>
      <c r="F8344" s="693"/>
      <c r="G8344" s="693"/>
      <c r="H8344" s="957">
        <f t="shared" si="162"/>
        <v>9.2899999999999991</v>
      </c>
      <c r="I8344" s="1508"/>
      <c r="J8344" s="1509"/>
      <c r="K8344" s="1509"/>
      <c r="L8344" s="1509"/>
      <c r="M8344" s="1509"/>
      <c r="N8344" s="1510"/>
    </row>
    <row r="8345" spans="1:14">
      <c r="A8345" s="1516" t="s">
        <v>2218</v>
      </c>
      <c r="B8345" s="1517"/>
      <c r="C8345" s="1517"/>
      <c r="D8345" s="1517"/>
      <c r="E8345" s="1517"/>
      <c r="F8345" s="1517"/>
      <c r="G8345" s="1518"/>
      <c r="H8345" s="271">
        <f>SUM(H8321:H8344)</f>
        <v>2434.9899999999998</v>
      </c>
      <c r="I8345" s="1508"/>
      <c r="J8345" s="1509"/>
      <c r="K8345" s="1509"/>
      <c r="L8345" s="1509"/>
      <c r="M8345" s="1509"/>
      <c r="N8345" s="1510"/>
    </row>
    <row r="8346" spans="1:14">
      <c r="A8346" s="1519" t="s">
        <v>2219</v>
      </c>
      <c r="B8346" s="1517"/>
      <c r="C8346" s="1517"/>
      <c r="D8346" s="1517"/>
      <c r="E8346" s="1517"/>
      <c r="F8346" s="1517"/>
      <c r="G8346" s="1518"/>
      <c r="H8346" s="325">
        <f>SUM(H8321:H8323)</f>
        <v>631.21</v>
      </c>
      <c r="I8346" s="1508"/>
      <c r="J8346" s="1509"/>
      <c r="K8346" s="1509"/>
      <c r="L8346" s="1509"/>
      <c r="M8346" s="1509"/>
      <c r="N8346" s="1510"/>
    </row>
    <row r="8347" spans="1:14" ht="15.75" thickBot="1">
      <c r="A8347" s="1520" t="s">
        <v>2220</v>
      </c>
      <c r="B8347" s="1521"/>
      <c r="C8347" s="1521"/>
      <c r="D8347" s="1521"/>
      <c r="E8347" s="1521"/>
      <c r="F8347" s="1521"/>
      <c r="G8347" s="1522"/>
      <c r="H8347" s="216">
        <f>H8345-H8346</f>
        <v>1803.7799999999997</v>
      </c>
      <c r="I8347" s="1511"/>
      <c r="J8347" s="1512"/>
      <c r="K8347" s="1512"/>
      <c r="L8347" s="1512"/>
      <c r="M8347" s="1512"/>
      <c r="N8347" s="1513"/>
    </row>
    <row r="8348" spans="1:14" ht="30.6" customHeight="1">
      <c r="A8348" s="1084" t="s">
        <v>4154</v>
      </c>
      <c r="B8348" s="1494" t="str">
        <f>'27ª MEDIÇÃO '!C633</f>
        <v>Pintura com tinta epóxi sobre piso e parede em concreto polido, Intergard 2005 - ref. Internacional ou equiv., a três demãos, com aplicador de selador a base de epóxi, 1 demão</v>
      </c>
      <c r="C8348" s="1495"/>
      <c r="D8348" s="1495"/>
      <c r="E8348" s="1495"/>
      <c r="F8348" s="1495"/>
      <c r="G8348" s="1495"/>
      <c r="H8348" s="1495"/>
      <c r="I8348" s="1495"/>
      <c r="J8348" s="1496"/>
      <c r="K8348" s="196" t="s">
        <v>2222</v>
      </c>
      <c r="L8348" s="1497">
        <f>'27ª MEDIÇÃO '!F633</f>
        <v>111.94</v>
      </c>
      <c r="M8348" s="1498"/>
      <c r="N8348" s="197">
        <f>L8348-H8362</f>
        <v>-1.0000000000047748E-3</v>
      </c>
    </row>
    <row r="8349" spans="1:14">
      <c r="A8349" s="1499"/>
      <c r="B8349" s="1500"/>
      <c r="C8349" s="366"/>
      <c r="D8349" s="367" t="s">
        <v>2183</v>
      </c>
      <c r="E8349" s="1320" t="s">
        <v>2184</v>
      </c>
      <c r="F8349" s="367" t="s">
        <v>2185</v>
      </c>
      <c r="G8349" s="367" t="s">
        <v>2186</v>
      </c>
      <c r="H8349" s="1503" t="s">
        <v>476</v>
      </c>
      <c r="I8349" s="1505"/>
      <c r="J8349" s="1506"/>
      <c r="K8349" s="1506"/>
      <c r="L8349" s="1506"/>
      <c r="M8349" s="1506"/>
      <c r="N8349" s="1507"/>
    </row>
    <row r="8350" spans="1:14" ht="24">
      <c r="A8350" s="1501"/>
      <c r="B8350" s="1502"/>
      <c r="C8350" s="368" t="s">
        <v>2627</v>
      </c>
      <c r="D8350" s="369" t="s">
        <v>4165</v>
      </c>
      <c r="E8350" s="529" t="s">
        <v>3152</v>
      </c>
      <c r="F8350" s="369" t="s">
        <v>4166</v>
      </c>
      <c r="G8350" s="370" t="s">
        <v>2709</v>
      </c>
      <c r="H8350" s="1504"/>
      <c r="I8350" s="1508"/>
      <c r="J8350" s="1509"/>
      <c r="K8350" s="1509"/>
      <c r="L8350" s="1509"/>
      <c r="M8350" s="1509"/>
      <c r="N8350" s="1510"/>
    </row>
    <row r="8351" spans="1:14">
      <c r="A8351" s="1523" t="s">
        <v>4143</v>
      </c>
      <c r="B8351" s="946" t="s">
        <v>2727</v>
      </c>
      <c r="C8351" s="956"/>
      <c r="D8351" s="919"/>
      <c r="E8351" s="693"/>
      <c r="F8351" s="693"/>
      <c r="G8351" s="693"/>
      <c r="H8351" s="957"/>
      <c r="I8351" s="1508"/>
      <c r="J8351" s="1509"/>
      <c r="K8351" s="1509"/>
      <c r="L8351" s="1509"/>
      <c r="M8351" s="1509"/>
      <c r="N8351" s="1510"/>
    </row>
    <row r="8352" spans="1:14">
      <c r="A8352" s="1523"/>
      <c r="B8352" s="953" t="s">
        <v>2992</v>
      </c>
      <c r="C8352" s="1406"/>
      <c r="D8352" s="1408">
        <v>9.2200000000000006</v>
      </c>
      <c r="E8352" s="693"/>
      <c r="F8352" s="693">
        <v>2.9</v>
      </c>
      <c r="G8352" s="693"/>
      <c r="H8352" s="957">
        <f>D8352*F8352</f>
        <v>26.738</v>
      </c>
      <c r="I8352" s="1508"/>
      <c r="J8352" s="1509"/>
      <c r="K8352" s="1509"/>
      <c r="L8352" s="1509"/>
      <c r="M8352" s="1509"/>
      <c r="N8352" s="1510"/>
    </row>
    <row r="8353" spans="1:14">
      <c r="A8353" s="1523"/>
      <c r="B8353" s="953" t="s">
        <v>3104</v>
      </c>
      <c r="C8353" s="1406"/>
      <c r="D8353" s="1408">
        <v>10.47</v>
      </c>
      <c r="E8353" s="693"/>
      <c r="F8353" s="693">
        <v>2.9</v>
      </c>
      <c r="G8353" s="693"/>
      <c r="H8353" s="957">
        <f t="shared" ref="H8353:H8361" si="163">D8353*F8353</f>
        <v>30.363</v>
      </c>
      <c r="I8353" s="1508"/>
      <c r="J8353" s="1509"/>
      <c r="K8353" s="1509"/>
      <c r="L8353" s="1509"/>
      <c r="M8353" s="1509"/>
      <c r="N8353" s="1510"/>
    </row>
    <row r="8354" spans="1:14">
      <c r="A8354" s="1523"/>
      <c r="B8354" s="953"/>
      <c r="C8354" s="956"/>
      <c r="D8354" s="1408">
        <v>1</v>
      </c>
      <c r="E8354" s="693"/>
      <c r="F8354" s="693">
        <v>0.8</v>
      </c>
      <c r="G8354" s="693"/>
      <c r="H8354" s="957">
        <f t="shared" si="163"/>
        <v>0.8</v>
      </c>
      <c r="I8354" s="1508"/>
      <c r="J8354" s="1509"/>
      <c r="K8354" s="1509"/>
      <c r="L8354" s="1509"/>
      <c r="M8354" s="1509"/>
      <c r="N8354" s="1510"/>
    </row>
    <row r="8355" spans="1:14">
      <c r="A8355" s="1523"/>
      <c r="B8355" s="953"/>
      <c r="C8355" s="956"/>
      <c r="D8355" s="1408">
        <v>1.71</v>
      </c>
      <c r="E8355" s="693"/>
      <c r="F8355" s="693">
        <v>1.2</v>
      </c>
      <c r="G8355" s="693"/>
      <c r="H8355" s="957">
        <f t="shared" si="163"/>
        <v>2.052</v>
      </c>
      <c r="I8355" s="1508"/>
      <c r="J8355" s="1509"/>
      <c r="K8355" s="1509"/>
      <c r="L8355" s="1509"/>
      <c r="M8355" s="1509"/>
      <c r="N8355" s="1510"/>
    </row>
    <row r="8356" spans="1:14">
      <c r="A8356" s="1523"/>
      <c r="B8356" s="946" t="s">
        <v>2993</v>
      </c>
      <c r="C8356" s="1406"/>
      <c r="D8356" s="1408">
        <v>7.98</v>
      </c>
      <c r="E8356" s="693"/>
      <c r="F8356" s="693">
        <v>2.9</v>
      </c>
      <c r="G8356" s="693"/>
      <c r="H8356" s="957">
        <f t="shared" si="163"/>
        <v>23.141999999999999</v>
      </c>
      <c r="I8356" s="1508"/>
      <c r="J8356" s="1509"/>
      <c r="K8356" s="1509"/>
      <c r="L8356" s="1509"/>
      <c r="M8356" s="1509"/>
      <c r="N8356" s="1510"/>
    </row>
    <row r="8357" spans="1:14">
      <c r="A8357" s="1523"/>
      <c r="B8357" s="953"/>
      <c r="C8357" s="956"/>
      <c r="D8357" s="1409">
        <v>1</v>
      </c>
      <c r="E8357" s="693"/>
      <c r="F8357" s="693">
        <v>0.8</v>
      </c>
      <c r="G8357" s="693"/>
      <c r="H8357" s="957">
        <f t="shared" si="163"/>
        <v>0.8</v>
      </c>
      <c r="I8357" s="1508"/>
      <c r="J8357" s="1509"/>
      <c r="K8357" s="1509"/>
      <c r="L8357" s="1509"/>
      <c r="M8357" s="1509"/>
      <c r="N8357" s="1510"/>
    </row>
    <row r="8358" spans="1:14">
      <c r="A8358" s="1523"/>
      <c r="B8358" s="953"/>
      <c r="C8358" s="1406"/>
      <c r="D8358" s="1408">
        <v>1.71</v>
      </c>
      <c r="E8358" s="693"/>
      <c r="F8358" s="693">
        <v>1.2</v>
      </c>
      <c r="G8358" s="693"/>
      <c r="H8358" s="957">
        <f t="shared" si="163"/>
        <v>2.052</v>
      </c>
      <c r="I8358" s="1508"/>
      <c r="J8358" s="1509"/>
      <c r="K8358" s="1509"/>
      <c r="L8358" s="1509"/>
      <c r="M8358" s="1509"/>
      <c r="N8358" s="1510"/>
    </row>
    <row r="8359" spans="1:14">
      <c r="A8359" s="1523"/>
      <c r="B8359" s="946" t="s">
        <v>2994</v>
      </c>
      <c r="C8359" s="1380"/>
      <c r="D8359" s="1410">
        <v>7.98</v>
      </c>
      <c r="E8359" s="1382"/>
      <c r="F8359" s="693">
        <v>2.9</v>
      </c>
      <c r="G8359" s="693"/>
      <c r="H8359" s="957">
        <f t="shared" si="163"/>
        <v>23.141999999999999</v>
      </c>
      <c r="I8359" s="1508"/>
      <c r="J8359" s="1509"/>
      <c r="K8359" s="1509"/>
      <c r="L8359" s="1509"/>
      <c r="M8359" s="1509"/>
      <c r="N8359" s="1510"/>
    </row>
    <row r="8360" spans="1:14">
      <c r="A8360" s="1523"/>
      <c r="B8360" s="953"/>
      <c r="C8360" s="956"/>
      <c r="D8360" s="1408">
        <v>1</v>
      </c>
      <c r="E8360" s="693"/>
      <c r="F8360" s="693">
        <v>0.8</v>
      </c>
      <c r="G8360" s="693"/>
      <c r="H8360" s="957">
        <f t="shared" si="163"/>
        <v>0.8</v>
      </c>
      <c r="I8360" s="1508"/>
      <c r="J8360" s="1509"/>
      <c r="K8360" s="1509"/>
      <c r="L8360" s="1509"/>
      <c r="M8360" s="1509"/>
      <c r="N8360" s="1510"/>
    </row>
    <row r="8361" spans="1:14">
      <c r="A8361" s="1523"/>
      <c r="B8361" s="946"/>
      <c r="C8361" s="956"/>
      <c r="D8361" s="1408">
        <v>1.71</v>
      </c>
      <c r="E8361" s="693"/>
      <c r="F8361" s="693">
        <v>1.2</v>
      </c>
      <c r="G8361" s="693"/>
      <c r="H8361" s="957">
        <f t="shared" si="163"/>
        <v>2.052</v>
      </c>
      <c r="I8361" s="1508"/>
      <c r="J8361" s="1509"/>
      <c r="K8361" s="1509"/>
      <c r="L8361" s="1509"/>
      <c r="M8361" s="1509"/>
      <c r="N8361" s="1510"/>
    </row>
    <row r="8362" spans="1:14">
      <c r="A8362" s="1516" t="s">
        <v>2218</v>
      </c>
      <c r="B8362" s="1517"/>
      <c r="C8362" s="1517"/>
      <c r="D8362" s="1517"/>
      <c r="E8362" s="1517"/>
      <c r="F8362" s="1517"/>
      <c r="G8362" s="1518"/>
      <c r="H8362" s="271">
        <f>SUM(H8351:H8361)</f>
        <v>111.941</v>
      </c>
      <c r="I8362" s="1508"/>
      <c r="J8362" s="1509"/>
      <c r="K8362" s="1509"/>
      <c r="L8362" s="1509"/>
      <c r="M8362" s="1509"/>
      <c r="N8362" s="1510"/>
    </row>
    <row r="8363" spans="1:14">
      <c r="A8363" s="1519" t="s">
        <v>2219</v>
      </c>
      <c r="B8363" s="1517"/>
      <c r="C8363" s="1517"/>
      <c r="D8363" s="1517"/>
      <c r="E8363" s="1517"/>
      <c r="F8363" s="1517"/>
      <c r="G8363" s="1518"/>
      <c r="H8363" s="325">
        <v>0</v>
      </c>
      <c r="I8363" s="1508"/>
      <c r="J8363" s="1509"/>
      <c r="K8363" s="1509"/>
      <c r="L8363" s="1509"/>
      <c r="M8363" s="1509"/>
      <c r="N8363" s="1510"/>
    </row>
    <row r="8364" spans="1:14" ht="15.75" thickBot="1">
      <c r="A8364" s="1520" t="s">
        <v>2220</v>
      </c>
      <c r="B8364" s="1521"/>
      <c r="C8364" s="1521"/>
      <c r="D8364" s="1521"/>
      <c r="E8364" s="1521"/>
      <c r="F8364" s="1521"/>
      <c r="G8364" s="1522"/>
      <c r="H8364" s="216">
        <f>H8362-H8363</f>
        <v>111.941</v>
      </c>
      <c r="I8364" s="1511"/>
      <c r="J8364" s="1512"/>
      <c r="K8364" s="1512"/>
      <c r="L8364" s="1512"/>
      <c r="M8364" s="1512"/>
      <c r="N8364" s="1513"/>
    </row>
    <row r="8365" spans="1:14" ht="30" customHeight="1" thickBot="1"/>
    <row r="8366" spans="1:14" ht="30.6" customHeight="1">
      <c r="A8366" s="1084" t="s">
        <v>4155</v>
      </c>
      <c r="B8366" s="1494" t="str">
        <f>'27ª MEDIÇÃO '!C634</f>
        <v>Pintura impermeabilizante com Acquella, referência Vedacit incolor</v>
      </c>
      <c r="C8366" s="1495"/>
      <c r="D8366" s="1495"/>
      <c r="E8366" s="1495"/>
      <c r="F8366" s="1495"/>
      <c r="G8366" s="1495"/>
      <c r="H8366" s="1495"/>
      <c r="I8366" s="1495"/>
      <c r="J8366" s="1496"/>
      <c r="K8366" s="196" t="s">
        <v>2222</v>
      </c>
      <c r="L8366" s="1497">
        <f>'27ª MEDIÇÃO '!F634</f>
        <v>23.38</v>
      </c>
      <c r="M8366" s="1498"/>
      <c r="N8366" s="197">
        <f>L8366-H8375</f>
        <v>0</v>
      </c>
    </row>
    <row r="8367" spans="1:14">
      <c r="A8367" s="1499"/>
      <c r="B8367" s="1500"/>
      <c r="C8367" s="366"/>
      <c r="D8367" s="367" t="s">
        <v>2183</v>
      </c>
      <c r="E8367" s="1320" t="s">
        <v>2184</v>
      </c>
      <c r="F8367" s="367" t="s">
        <v>2185</v>
      </c>
      <c r="G8367" s="367" t="s">
        <v>2186</v>
      </c>
      <c r="H8367" s="1503" t="s">
        <v>476</v>
      </c>
      <c r="I8367" s="1505"/>
      <c r="J8367" s="1506"/>
      <c r="K8367" s="1506"/>
      <c r="L8367" s="1506"/>
      <c r="M8367" s="1506"/>
      <c r="N8367" s="1507"/>
    </row>
    <row r="8368" spans="1:14" ht="24">
      <c r="A8368" s="1501"/>
      <c r="B8368" s="1502"/>
      <c r="C8368" s="368" t="s">
        <v>2627</v>
      </c>
      <c r="D8368" s="369" t="s">
        <v>4165</v>
      </c>
      <c r="E8368" s="529" t="s">
        <v>3152</v>
      </c>
      <c r="F8368" s="369" t="s">
        <v>4166</v>
      </c>
      <c r="G8368" s="370" t="s">
        <v>2709</v>
      </c>
      <c r="H8368" s="1504"/>
      <c r="I8368" s="1508"/>
      <c r="J8368" s="1509"/>
      <c r="K8368" s="1509"/>
      <c r="L8368" s="1509"/>
      <c r="M8368" s="1509"/>
      <c r="N8368" s="1510"/>
    </row>
    <row r="8369" spans="1:14">
      <c r="A8369" s="1523" t="s">
        <v>4143</v>
      </c>
      <c r="B8369" s="946" t="s">
        <v>2727</v>
      </c>
      <c r="C8369" s="956"/>
      <c r="D8369" s="919"/>
      <c r="E8369" s="693"/>
      <c r="F8369" s="693"/>
      <c r="G8369" s="693"/>
      <c r="H8369" s="957"/>
      <c r="I8369" s="1508"/>
      <c r="J8369" s="1509"/>
      <c r="K8369" s="1509"/>
      <c r="L8369" s="1509"/>
      <c r="M8369" s="1509"/>
      <c r="N8369" s="1510"/>
    </row>
    <row r="8370" spans="1:14">
      <c r="A8370" s="1523"/>
      <c r="B8370" s="953" t="s">
        <v>3177</v>
      </c>
      <c r="C8370" s="1406"/>
      <c r="D8370" s="1408"/>
      <c r="E8370" s="693">
        <v>5.73</v>
      </c>
      <c r="F8370" s="693"/>
      <c r="G8370" s="693"/>
      <c r="H8370" s="957">
        <f>E8370</f>
        <v>5.73</v>
      </c>
      <c r="I8370" s="1508"/>
      <c r="J8370" s="1509"/>
      <c r="K8370" s="1509"/>
      <c r="L8370" s="1509"/>
      <c r="M8370" s="1509"/>
      <c r="N8370" s="1510"/>
    </row>
    <row r="8371" spans="1:14">
      <c r="A8371" s="1523"/>
      <c r="B8371" s="953" t="s">
        <v>3178</v>
      </c>
      <c r="C8371" s="1406"/>
      <c r="D8371" s="1408"/>
      <c r="E8371" s="693">
        <v>4.62</v>
      </c>
      <c r="F8371" s="693"/>
      <c r="G8371" s="693"/>
      <c r="H8371" s="957">
        <f t="shared" ref="H8371:H8374" si="164">E8371</f>
        <v>4.62</v>
      </c>
      <c r="I8371" s="1508"/>
      <c r="J8371" s="1509"/>
      <c r="K8371" s="1509"/>
      <c r="L8371" s="1509"/>
      <c r="M8371" s="1509"/>
      <c r="N8371" s="1510"/>
    </row>
    <row r="8372" spans="1:14">
      <c r="A8372" s="1523"/>
      <c r="B8372" s="953" t="s">
        <v>3104</v>
      </c>
      <c r="C8372" s="956"/>
      <c r="D8372" s="1408"/>
      <c r="E8372" s="693">
        <v>5.53</v>
      </c>
      <c r="F8372" s="693"/>
      <c r="G8372" s="693"/>
      <c r="H8372" s="957">
        <f t="shared" si="164"/>
        <v>5.53</v>
      </c>
      <c r="I8372" s="1508"/>
      <c r="J8372" s="1509"/>
      <c r="K8372" s="1509"/>
      <c r="L8372" s="1509"/>
      <c r="M8372" s="1509"/>
      <c r="N8372" s="1510"/>
    </row>
    <row r="8373" spans="1:14">
      <c r="A8373" s="1523"/>
      <c r="B8373" s="953" t="s">
        <v>2993</v>
      </c>
      <c r="C8373" s="956"/>
      <c r="D8373" s="1408"/>
      <c r="E8373" s="693">
        <v>3.75</v>
      </c>
      <c r="F8373" s="693"/>
      <c r="G8373" s="693"/>
      <c r="H8373" s="957">
        <f t="shared" si="164"/>
        <v>3.75</v>
      </c>
      <c r="I8373" s="1508"/>
      <c r="J8373" s="1509"/>
      <c r="K8373" s="1509"/>
      <c r="L8373" s="1509"/>
      <c r="M8373" s="1509"/>
      <c r="N8373" s="1510"/>
    </row>
    <row r="8374" spans="1:14">
      <c r="A8374" s="1523"/>
      <c r="B8374" s="953" t="s">
        <v>2994</v>
      </c>
      <c r="C8374" s="1406"/>
      <c r="D8374" s="1408"/>
      <c r="E8374" s="693">
        <v>3.75</v>
      </c>
      <c r="F8374" s="693"/>
      <c r="G8374" s="693"/>
      <c r="H8374" s="957">
        <f t="shared" si="164"/>
        <v>3.75</v>
      </c>
      <c r="I8374" s="1508"/>
      <c r="J8374" s="1509"/>
      <c r="K8374" s="1509"/>
      <c r="L8374" s="1509"/>
      <c r="M8374" s="1509"/>
      <c r="N8374" s="1510"/>
    </row>
    <row r="8375" spans="1:14">
      <c r="A8375" s="1516" t="s">
        <v>2218</v>
      </c>
      <c r="B8375" s="1517"/>
      <c r="C8375" s="1517"/>
      <c r="D8375" s="1517"/>
      <c r="E8375" s="1517"/>
      <c r="F8375" s="1517"/>
      <c r="G8375" s="1518"/>
      <c r="H8375" s="271">
        <f>SUM(H8369:H8374)</f>
        <v>23.380000000000003</v>
      </c>
      <c r="I8375" s="1508"/>
      <c r="J8375" s="1509"/>
      <c r="K8375" s="1509"/>
      <c r="L8375" s="1509"/>
      <c r="M8375" s="1509"/>
      <c r="N8375" s="1510"/>
    </row>
    <row r="8376" spans="1:14">
      <c r="A8376" s="1519" t="s">
        <v>2219</v>
      </c>
      <c r="B8376" s="1517"/>
      <c r="C8376" s="1517"/>
      <c r="D8376" s="1517"/>
      <c r="E8376" s="1517"/>
      <c r="F8376" s="1517"/>
      <c r="G8376" s="1518"/>
      <c r="H8376" s="325">
        <v>0</v>
      </c>
      <c r="I8376" s="1508"/>
      <c r="J8376" s="1509"/>
      <c r="K8376" s="1509"/>
      <c r="L8376" s="1509"/>
      <c r="M8376" s="1509"/>
      <c r="N8376" s="1510"/>
    </row>
    <row r="8377" spans="1:14" ht="15.75" thickBot="1">
      <c r="A8377" s="1520" t="s">
        <v>2220</v>
      </c>
      <c r="B8377" s="1521"/>
      <c r="C8377" s="1521"/>
      <c r="D8377" s="1521"/>
      <c r="E8377" s="1521"/>
      <c r="F8377" s="1521"/>
      <c r="G8377" s="1522"/>
      <c r="H8377" s="216">
        <f>H8375-H8376</f>
        <v>23.380000000000003</v>
      </c>
      <c r="I8377" s="1511"/>
      <c r="J8377" s="1512"/>
      <c r="K8377" s="1512"/>
      <c r="L8377" s="1512"/>
      <c r="M8377" s="1512"/>
      <c r="N8377" s="1513"/>
    </row>
    <row r="8378" spans="1:14" ht="30" customHeight="1"/>
    <row r="8379" spans="1:14" ht="15.75" thickBot="1">
      <c r="A8379" s="1131">
        <v>1902</v>
      </c>
      <c r="B8379" s="1581" t="s">
        <v>2034</v>
      </c>
      <c r="C8379" s="1582"/>
      <c r="D8379" s="1582"/>
      <c r="E8379" s="1582"/>
      <c r="F8379" s="1582"/>
      <c r="G8379" s="1582"/>
      <c r="H8379" s="1582"/>
      <c r="I8379" s="1582"/>
      <c r="J8379" s="1582"/>
      <c r="K8379" s="1582"/>
      <c r="L8379" s="1582"/>
      <c r="M8379" s="1582"/>
      <c r="N8379" s="1583"/>
    </row>
    <row r="8380" spans="1:14">
      <c r="A8380" s="1084" t="s">
        <v>4066</v>
      </c>
      <c r="B8380" s="1494" t="str">
        <f>'27ª MEDIÇÃO '!C636</f>
        <v>Pintura com tinta acrílica, marcas de referência Suvinil, Coral ou Metalatex, inclusive selador acrílico, em cobogós de concreto, a duas demãos</v>
      </c>
      <c r="C8380" s="1495"/>
      <c r="D8380" s="1495"/>
      <c r="E8380" s="1495"/>
      <c r="F8380" s="1495"/>
      <c r="G8380" s="1495"/>
      <c r="H8380" s="1495"/>
      <c r="I8380" s="1495"/>
      <c r="J8380" s="1496"/>
      <c r="K8380" s="196" t="s">
        <v>2222</v>
      </c>
      <c r="L8380" s="1497">
        <f>'27ª MEDIÇÃO '!E636</f>
        <v>31.7</v>
      </c>
      <c r="M8380" s="1498"/>
      <c r="N8380" s="197">
        <f>L8380-H8388</f>
        <v>23.56</v>
      </c>
    </row>
    <row r="8381" spans="1:14">
      <c r="A8381" s="1499"/>
      <c r="B8381" s="1500"/>
      <c r="C8381" s="366"/>
      <c r="D8381" s="367" t="s">
        <v>2183</v>
      </c>
      <c r="E8381" s="1320" t="s">
        <v>2184</v>
      </c>
      <c r="F8381" s="367" t="s">
        <v>2185</v>
      </c>
      <c r="G8381" s="367" t="s">
        <v>2186</v>
      </c>
      <c r="H8381" s="1503" t="s">
        <v>476</v>
      </c>
      <c r="I8381" s="1505"/>
      <c r="J8381" s="1506"/>
      <c r="K8381" s="1506"/>
      <c r="L8381" s="1506"/>
      <c r="M8381" s="1506"/>
      <c r="N8381" s="1507"/>
    </row>
    <row r="8382" spans="1:14" ht="24">
      <c r="A8382" s="1501"/>
      <c r="B8382" s="1502"/>
      <c r="C8382" s="368" t="s">
        <v>2627</v>
      </c>
      <c r="D8382" s="369" t="s">
        <v>2187</v>
      </c>
      <c r="E8382" s="529" t="s">
        <v>3152</v>
      </c>
      <c r="F8382" s="369" t="s">
        <v>2649</v>
      </c>
      <c r="G8382" s="370" t="s">
        <v>2709</v>
      </c>
      <c r="H8382" s="1504"/>
      <c r="I8382" s="1508"/>
      <c r="J8382" s="1509"/>
      <c r="K8382" s="1509"/>
      <c r="L8382" s="1509"/>
      <c r="M8382" s="1509"/>
      <c r="N8382" s="1510"/>
    </row>
    <row r="8383" spans="1:14">
      <c r="A8383" s="1514" t="s">
        <v>4003</v>
      </c>
      <c r="B8383" s="1388" t="s">
        <v>3524</v>
      </c>
      <c r="C8383" s="756"/>
      <c r="D8383" s="202"/>
      <c r="E8383" s="346"/>
      <c r="F8383" s="346"/>
      <c r="G8383" s="346"/>
      <c r="H8383" s="403">
        <f>C8383</f>
        <v>0</v>
      </c>
      <c r="I8383" s="1508"/>
      <c r="J8383" s="1509"/>
      <c r="K8383" s="1509"/>
      <c r="L8383" s="1509"/>
      <c r="M8383" s="1509"/>
      <c r="N8383" s="1510"/>
    </row>
    <row r="8384" spans="1:14" ht="30">
      <c r="A8384" s="1523"/>
      <c r="B8384" s="953" t="s">
        <v>4067</v>
      </c>
      <c r="C8384" s="954">
        <v>2</v>
      </c>
      <c r="D8384" s="919"/>
      <c r="E8384" s="693"/>
      <c r="F8384" s="693"/>
      <c r="G8384" s="693">
        <v>4.07</v>
      </c>
      <c r="H8384" s="403">
        <f>C8384*G8384</f>
        <v>8.14</v>
      </c>
      <c r="I8384" s="1508"/>
      <c r="J8384" s="1509"/>
      <c r="K8384" s="1509"/>
      <c r="L8384" s="1509"/>
      <c r="M8384" s="1509"/>
      <c r="N8384" s="1510"/>
    </row>
    <row r="8385" spans="1:14">
      <c r="A8385" s="1523"/>
      <c r="B8385" s="953"/>
      <c r="C8385" s="956"/>
      <c r="D8385" s="919"/>
      <c r="E8385" s="693"/>
      <c r="F8385" s="693"/>
      <c r="G8385" s="693"/>
      <c r="H8385" s="957"/>
      <c r="I8385" s="1508"/>
      <c r="J8385" s="1509"/>
      <c r="K8385" s="1509"/>
      <c r="L8385" s="1509"/>
      <c r="M8385" s="1509"/>
      <c r="N8385" s="1510"/>
    </row>
    <row r="8386" spans="1:14">
      <c r="A8386" s="1523"/>
      <c r="B8386" s="953"/>
      <c r="C8386" s="956"/>
      <c r="D8386" s="919"/>
      <c r="E8386" s="693"/>
      <c r="F8386" s="693"/>
      <c r="G8386" s="693"/>
      <c r="H8386" s="957"/>
      <c r="I8386" s="1508"/>
      <c r="J8386" s="1509"/>
      <c r="K8386" s="1509"/>
      <c r="L8386" s="1509"/>
      <c r="M8386" s="1509"/>
      <c r="N8386" s="1510"/>
    </row>
    <row r="8387" spans="1:14">
      <c r="A8387" s="1515"/>
      <c r="B8387" s="953"/>
      <c r="C8387" s="956"/>
      <c r="D8387" s="919"/>
      <c r="E8387" s="693"/>
      <c r="F8387" s="693"/>
      <c r="G8387" s="693"/>
      <c r="H8387" s="957"/>
      <c r="I8387" s="1508"/>
      <c r="J8387" s="1509"/>
      <c r="K8387" s="1509"/>
      <c r="L8387" s="1509"/>
      <c r="M8387" s="1509"/>
      <c r="N8387" s="1510"/>
    </row>
    <row r="8388" spans="1:14">
      <c r="A8388" s="1516" t="s">
        <v>2218</v>
      </c>
      <c r="B8388" s="1517"/>
      <c r="C8388" s="1517"/>
      <c r="D8388" s="1517"/>
      <c r="E8388" s="1517"/>
      <c r="F8388" s="1517"/>
      <c r="G8388" s="1518"/>
      <c r="H8388" s="271">
        <f>SUM(H8383:H8387)</f>
        <v>8.14</v>
      </c>
      <c r="I8388" s="1508"/>
      <c r="J8388" s="1509"/>
      <c r="K8388" s="1509"/>
      <c r="L8388" s="1509"/>
      <c r="M8388" s="1509"/>
      <c r="N8388" s="1510"/>
    </row>
    <row r="8389" spans="1:14">
      <c r="A8389" s="1519" t="s">
        <v>2219</v>
      </c>
      <c r="B8389" s="1517"/>
      <c r="C8389" s="1517"/>
      <c r="D8389" s="1517"/>
      <c r="E8389" s="1517"/>
      <c r="F8389" s="1517"/>
      <c r="G8389" s="1518"/>
      <c r="H8389" s="325">
        <v>0</v>
      </c>
      <c r="I8389" s="1508"/>
      <c r="J8389" s="1509"/>
      <c r="K8389" s="1509"/>
      <c r="L8389" s="1509"/>
      <c r="M8389" s="1509"/>
      <c r="N8389" s="1510"/>
    </row>
    <row r="8390" spans="1:14" ht="30" customHeight="1" thickBot="1">
      <c r="A8390" s="1520" t="s">
        <v>2220</v>
      </c>
      <c r="B8390" s="1521"/>
      <c r="C8390" s="1521"/>
      <c r="D8390" s="1521"/>
      <c r="E8390" s="1521"/>
      <c r="F8390" s="1521"/>
      <c r="G8390" s="1522"/>
      <c r="H8390" s="216">
        <f>H8388-H8389</f>
        <v>8.14</v>
      </c>
      <c r="I8390" s="1511"/>
      <c r="J8390" s="1512"/>
      <c r="K8390" s="1512"/>
      <c r="L8390" s="1512"/>
      <c r="M8390" s="1512"/>
      <c r="N8390" s="1513"/>
    </row>
    <row r="8391" spans="1:14" ht="15.75" thickBot="1"/>
    <row r="8392" spans="1:14">
      <c r="A8392" s="1084" t="s">
        <v>3997</v>
      </c>
      <c r="B8392" s="1494" t="s">
        <v>2042</v>
      </c>
      <c r="C8392" s="1495"/>
      <c r="D8392" s="1495"/>
      <c r="E8392" s="1495"/>
      <c r="F8392" s="1495"/>
      <c r="G8392" s="1495"/>
      <c r="H8392" s="1495"/>
      <c r="I8392" s="1495"/>
      <c r="J8392" s="1496"/>
      <c r="K8392" s="196" t="s">
        <v>2222</v>
      </c>
      <c r="L8392" s="1497">
        <v>168</v>
      </c>
      <c r="M8392" s="1498"/>
      <c r="N8392" s="197">
        <f>L8392-H8439</f>
        <v>0</v>
      </c>
    </row>
    <row r="8393" spans="1:14">
      <c r="A8393" s="1499"/>
      <c r="B8393" s="1500"/>
      <c r="C8393" s="366"/>
      <c r="D8393" s="367" t="s">
        <v>2183</v>
      </c>
      <c r="E8393" s="1320" t="s">
        <v>2184</v>
      </c>
      <c r="F8393" s="367" t="s">
        <v>2185</v>
      </c>
      <c r="G8393" s="367" t="s">
        <v>2186</v>
      </c>
      <c r="H8393" s="1503" t="s">
        <v>476</v>
      </c>
      <c r="I8393" s="1505"/>
      <c r="J8393" s="1506"/>
      <c r="K8393" s="1506"/>
      <c r="L8393" s="1506"/>
      <c r="M8393" s="1506"/>
      <c r="N8393" s="1507"/>
    </row>
    <row r="8394" spans="1:14" ht="21" customHeight="1">
      <c r="A8394" s="1501"/>
      <c r="B8394" s="1502"/>
      <c r="C8394" s="368" t="s">
        <v>2627</v>
      </c>
      <c r="D8394" s="369" t="s">
        <v>2187</v>
      </c>
      <c r="E8394" s="529" t="s">
        <v>3152</v>
      </c>
      <c r="F8394" s="369" t="s">
        <v>2649</v>
      </c>
      <c r="G8394" s="370" t="s">
        <v>2709</v>
      </c>
      <c r="H8394" s="1504"/>
      <c r="I8394" s="1508"/>
      <c r="J8394" s="1509"/>
      <c r="K8394" s="1509"/>
      <c r="L8394" s="1509"/>
      <c r="M8394" s="1509"/>
      <c r="N8394" s="1510"/>
    </row>
    <row r="8395" spans="1:14">
      <c r="A8395" s="1514" t="s">
        <v>3981</v>
      </c>
      <c r="B8395" s="429" t="s">
        <v>3655</v>
      </c>
      <c r="C8395" s="756">
        <v>84</v>
      </c>
      <c r="D8395" s="202"/>
      <c r="E8395" s="346"/>
      <c r="F8395" s="346"/>
      <c r="G8395" s="346"/>
      <c r="H8395" s="403">
        <f>C8395</f>
        <v>84</v>
      </c>
      <c r="I8395" s="1508"/>
      <c r="J8395" s="1509"/>
      <c r="K8395" s="1509"/>
      <c r="L8395" s="1509"/>
      <c r="M8395" s="1509"/>
      <c r="N8395" s="1510"/>
    </row>
    <row r="8396" spans="1:14">
      <c r="A8396" s="1523"/>
      <c r="B8396" s="953"/>
      <c r="C8396" s="956"/>
      <c r="D8396" s="919"/>
      <c r="E8396" s="693"/>
      <c r="F8396" s="693"/>
      <c r="G8396" s="693"/>
      <c r="H8396" s="403">
        <f>C8396</f>
        <v>0</v>
      </c>
      <c r="I8396" s="1508"/>
      <c r="J8396" s="1509"/>
      <c r="K8396" s="1509"/>
      <c r="L8396" s="1509"/>
      <c r="M8396" s="1509"/>
      <c r="N8396" s="1510"/>
    </row>
    <row r="8397" spans="1:14">
      <c r="A8397" s="1514" t="s">
        <v>4143</v>
      </c>
      <c r="B8397" s="1411" t="s">
        <v>2646</v>
      </c>
      <c r="C8397" s="956"/>
      <c r="D8397" s="919"/>
      <c r="E8397" s="693"/>
      <c r="F8397" s="693"/>
      <c r="G8397" s="693"/>
      <c r="H8397" s="957"/>
      <c r="I8397" s="1508"/>
      <c r="J8397" s="1509"/>
      <c r="K8397" s="1509"/>
      <c r="L8397" s="1509"/>
      <c r="M8397" s="1509"/>
      <c r="N8397" s="1510"/>
    </row>
    <row r="8398" spans="1:14">
      <c r="A8398" s="1523"/>
      <c r="B8398" s="946" t="s">
        <v>2727</v>
      </c>
      <c r="C8398" s="956"/>
      <c r="D8398" s="919"/>
      <c r="E8398" s="693"/>
      <c r="F8398" s="693"/>
      <c r="G8398" s="693"/>
      <c r="H8398" s="957"/>
      <c r="I8398" s="1508"/>
      <c r="J8398" s="1509"/>
      <c r="K8398" s="1509"/>
      <c r="L8398" s="1509"/>
      <c r="M8398" s="1509"/>
      <c r="N8398" s="1510"/>
    </row>
    <row r="8399" spans="1:14">
      <c r="A8399" s="1523"/>
      <c r="B8399" s="953" t="s">
        <v>3089</v>
      </c>
      <c r="C8399" s="956">
        <v>1</v>
      </c>
      <c r="D8399" s="956">
        <v>0.6</v>
      </c>
      <c r="E8399" s="693"/>
      <c r="F8399" s="693">
        <v>2.1</v>
      </c>
      <c r="G8399" s="693">
        <v>2</v>
      </c>
      <c r="H8399" s="957">
        <f>(D8399*F8399)*C8399*G8399</f>
        <v>2.52</v>
      </c>
      <c r="I8399" s="1508"/>
      <c r="J8399" s="1509"/>
      <c r="K8399" s="1509"/>
      <c r="L8399" s="1509"/>
      <c r="M8399" s="1509"/>
      <c r="N8399" s="1510"/>
    </row>
    <row r="8400" spans="1:14">
      <c r="A8400" s="1523"/>
      <c r="B8400" s="953" t="s">
        <v>3090</v>
      </c>
      <c r="C8400" s="956">
        <v>1</v>
      </c>
      <c r="D8400" s="956">
        <v>0.6</v>
      </c>
      <c r="E8400" s="693"/>
      <c r="F8400" s="693">
        <v>2.1</v>
      </c>
      <c r="G8400" s="693">
        <v>2</v>
      </c>
      <c r="H8400" s="957">
        <f>(D8400*F8400)*C8400*G8400</f>
        <v>2.52</v>
      </c>
      <c r="I8400" s="1508"/>
      <c r="J8400" s="1509"/>
      <c r="K8400" s="1509"/>
      <c r="L8400" s="1509"/>
      <c r="M8400" s="1509"/>
      <c r="N8400" s="1510"/>
    </row>
    <row r="8401" spans="1:14">
      <c r="A8401" s="1523"/>
      <c r="B8401" s="953"/>
      <c r="C8401" s="956"/>
      <c r="D8401" s="956"/>
      <c r="E8401" s="693"/>
      <c r="F8401" s="693"/>
      <c r="G8401" s="693"/>
      <c r="H8401" s="957"/>
      <c r="I8401" s="1508"/>
      <c r="J8401" s="1509"/>
      <c r="K8401" s="1509"/>
      <c r="L8401" s="1509"/>
      <c r="M8401" s="1509"/>
      <c r="N8401" s="1510"/>
    </row>
    <row r="8402" spans="1:14">
      <c r="A8402" s="1523"/>
      <c r="B8402" s="1412" t="s">
        <v>3036</v>
      </c>
      <c r="C8402" s="1413"/>
      <c r="D8402" s="956"/>
      <c r="E8402" s="1414"/>
      <c r="F8402" s="693"/>
      <c r="G8402" s="693"/>
      <c r="H8402" s="957"/>
      <c r="I8402" s="1508"/>
      <c r="J8402" s="1509"/>
      <c r="K8402" s="1509"/>
      <c r="L8402" s="1509"/>
      <c r="M8402" s="1509"/>
      <c r="N8402" s="1510"/>
    </row>
    <row r="8403" spans="1:14">
      <c r="A8403" s="1523"/>
      <c r="B8403" s="946" t="s">
        <v>2727</v>
      </c>
      <c r="C8403" s="956"/>
      <c r="D8403" s="956"/>
      <c r="E8403" s="693"/>
      <c r="F8403" s="693"/>
      <c r="G8403" s="693"/>
      <c r="H8403" s="957"/>
      <c r="I8403" s="1508"/>
      <c r="J8403" s="1509"/>
      <c r="K8403" s="1509"/>
      <c r="L8403" s="1509"/>
      <c r="M8403" s="1509"/>
      <c r="N8403" s="1510"/>
    </row>
    <row r="8404" spans="1:14">
      <c r="A8404" s="1523"/>
      <c r="B8404" s="953" t="s">
        <v>3091</v>
      </c>
      <c r="C8404" s="956">
        <v>1</v>
      </c>
      <c r="D8404" s="956">
        <v>0.8</v>
      </c>
      <c r="E8404" s="693"/>
      <c r="F8404" s="693">
        <v>2.1</v>
      </c>
      <c r="G8404" s="693">
        <v>2</v>
      </c>
      <c r="H8404" s="957">
        <f t="shared" ref="H8404:H8438" si="165">(D8404*F8404)*C8404*G8404</f>
        <v>3.3600000000000003</v>
      </c>
      <c r="I8404" s="1508"/>
      <c r="J8404" s="1509"/>
      <c r="K8404" s="1509"/>
      <c r="L8404" s="1509"/>
      <c r="M8404" s="1509"/>
      <c r="N8404" s="1510"/>
    </row>
    <row r="8405" spans="1:14">
      <c r="A8405" s="1523"/>
      <c r="B8405" s="953" t="s">
        <v>3092</v>
      </c>
      <c r="C8405" s="956">
        <v>1</v>
      </c>
      <c r="D8405" s="956">
        <v>0.8</v>
      </c>
      <c r="E8405" s="693"/>
      <c r="F8405" s="693">
        <v>2.1</v>
      </c>
      <c r="G8405" s="693">
        <v>2</v>
      </c>
      <c r="H8405" s="957">
        <f t="shared" si="165"/>
        <v>3.3600000000000003</v>
      </c>
      <c r="I8405" s="1508"/>
      <c r="J8405" s="1509"/>
      <c r="K8405" s="1509"/>
      <c r="L8405" s="1509"/>
      <c r="M8405" s="1509"/>
      <c r="N8405" s="1510"/>
    </row>
    <row r="8406" spans="1:14">
      <c r="A8406" s="1523"/>
      <c r="B8406" s="953" t="s">
        <v>2422</v>
      </c>
      <c r="C8406" s="956">
        <v>1</v>
      </c>
      <c r="D8406" s="956">
        <v>0.8</v>
      </c>
      <c r="E8406" s="693"/>
      <c r="F8406" s="693">
        <v>2.1</v>
      </c>
      <c r="G8406" s="693">
        <v>2</v>
      </c>
      <c r="H8406" s="957">
        <f t="shared" si="165"/>
        <v>3.3600000000000003</v>
      </c>
      <c r="I8406" s="1508"/>
      <c r="J8406" s="1509"/>
      <c r="K8406" s="1509"/>
      <c r="L8406" s="1509"/>
      <c r="M8406" s="1509"/>
      <c r="N8406" s="1510"/>
    </row>
    <row r="8407" spans="1:14">
      <c r="A8407" s="1523"/>
      <c r="B8407" s="953" t="s">
        <v>2952</v>
      </c>
      <c r="C8407" s="956">
        <v>1</v>
      </c>
      <c r="D8407" s="956">
        <v>0.8</v>
      </c>
      <c r="E8407" s="693"/>
      <c r="F8407" s="693">
        <v>2.1</v>
      </c>
      <c r="G8407" s="693">
        <v>2</v>
      </c>
      <c r="H8407" s="957">
        <f t="shared" si="165"/>
        <v>3.3600000000000003</v>
      </c>
      <c r="I8407" s="1508"/>
      <c r="J8407" s="1509"/>
      <c r="K8407" s="1509"/>
      <c r="L8407" s="1509"/>
      <c r="M8407" s="1509"/>
      <c r="N8407" s="1510"/>
    </row>
    <row r="8408" spans="1:14">
      <c r="A8408" s="1523"/>
      <c r="B8408" s="953" t="s">
        <v>3093</v>
      </c>
      <c r="C8408" s="956">
        <v>1</v>
      </c>
      <c r="D8408" s="956">
        <v>0.8</v>
      </c>
      <c r="E8408" s="693"/>
      <c r="F8408" s="693">
        <v>2.1</v>
      </c>
      <c r="G8408" s="693">
        <v>2</v>
      </c>
      <c r="H8408" s="957">
        <f t="shared" si="165"/>
        <v>3.3600000000000003</v>
      </c>
      <c r="I8408" s="1508"/>
      <c r="J8408" s="1509"/>
      <c r="K8408" s="1509"/>
      <c r="L8408" s="1509"/>
      <c r="M8408" s="1509"/>
      <c r="N8408" s="1510"/>
    </row>
    <row r="8409" spans="1:14">
      <c r="A8409" s="1523"/>
      <c r="B8409" s="953" t="s">
        <v>3094</v>
      </c>
      <c r="C8409" s="956">
        <v>1</v>
      </c>
      <c r="D8409" s="956">
        <v>0.8</v>
      </c>
      <c r="E8409" s="693"/>
      <c r="F8409" s="693">
        <v>2.1</v>
      </c>
      <c r="G8409" s="693">
        <v>2</v>
      </c>
      <c r="H8409" s="957">
        <f t="shared" si="165"/>
        <v>3.3600000000000003</v>
      </c>
      <c r="I8409" s="1508"/>
      <c r="J8409" s="1509"/>
      <c r="K8409" s="1509"/>
      <c r="L8409" s="1509"/>
      <c r="M8409" s="1509"/>
      <c r="N8409" s="1510"/>
    </row>
    <row r="8410" spans="1:14">
      <c r="A8410" s="1523"/>
      <c r="B8410" s="953"/>
      <c r="C8410" s="956"/>
      <c r="D8410" s="919"/>
      <c r="E8410" s="693"/>
      <c r="F8410" s="693"/>
      <c r="G8410" s="693"/>
      <c r="H8410" s="957"/>
      <c r="I8410" s="1508"/>
      <c r="J8410" s="1509"/>
      <c r="K8410" s="1509"/>
      <c r="L8410" s="1509"/>
      <c r="M8410" s="1509"/>
      <c r="N8410" s="1510"/>
    </row>
    <row r="8411" spans="1:14">
      <c r="A8411" s="1523"/>
      <c r="B8411" s="1412" t="s">
        <v>3037</v>
      </c>
      <c r="C8411" s="956"/>
      <c r="D8411" s="919"/>
      <c r="E8411" s="693"/>
      <c r="F8411" s="693"/>
      <c r="G8411" s="693"/>
      <c r="H8411" s="957"/>
      <c r="I8411" s="1508"/>
      <c r="J8411" s="1509"/>
      <c r="K8411" s="1509"/>
      <c r="L8411" s="1509"/>
      <c r="M8411" s="1509"/>
      <c r="N8411" s="1510"/>
    </row>
    <row r="8412" spans="1:14">
      <c r="A8412" s="1523"/>
      <c r="B8412" s="946" t="s">
        <v>2727</v>
      </c>
      <c r="C8412" s="956"/>
      <c r="D8412" s="919"/>
      <c r="E8412" s="693"/>
      <c r="F8412" s="693"/>
      <c r="G8412" s="693"/>
      <c r="H8412" s="957"/>
      <c r="I8412" s="1508"/>
      <c r="J8412" s="1509"/>
      <c r="K8412" s="1509"/>
      <c r="L8412" s="1509"/>
      <c r="M8412" s="1509"/>
      <c r="N8412" s="1510"/>
    </row>
    <row r="8413" spans="1:14">
      <c r="A8413" s="1523"/>
      <c r="B8413" s="953" t="s">
        <v>2452</v>
      </c>
      <c r="C8413" s="956">
        <v>1</v>
      </c>
      <c r="D8413" s="956">
        <v>0.9</v>
      </c>
      <c r="E8413" s="693"/>
      <c r="F8413" s="693">
        <v>2.1</v>
      </c>
      <c r="G8413" s="693">
        <v>2</v>
      </c>
      <c r="H8413" s="957">
        <f t="shared" si="165"/>
        <v>3.7800000000000002</v>
      </c>
      <c r="I8413" s="1508"/>
      <c r="J8413" s="1509"/>
      <c r="K8413" s="1509"/>
      <c r="L8413" s="1509"/>
      <c r="M8413" s="1509"/>
      <c r="N8413" s="1510"/>
    </row>
    <row r="8414" spans="1:14">
      <c r="A8414" s="1523"/>
      <c r="B8414" s="953" t="s">
        <v>4167</v>
      </c>
      <c r="C8414" s="956">
        <v>1</v>
      </c>
      <c r="D8414" s="956">
        <v>0.9</v>
      </c>
      <c r="E8414" s="693"/>
      <c r="F8414" s="693">
        <v>2.1</v>
      </c>
      <c r="G8414" s="693">
        <v>2</v>
      </c>
      <c r="H8414" s="957">
        <f t="shared" si="165"/>
        <v>3.7800000000000002</v>
      </c>
      <c r="I8414" s="1508"/>
      <c r="J8414" s="1509"/>
      <c r="K8414" s="1509"/>
      <c r="L8414" s="1509"/>
      <c r="M8414" s="1509"/>
      <c r="N8414" s="1510"/>
    </row>
    <row r="8415" spans="1:14">
      <c r="A8415" s="1523"/>
      <c r="B8415" s="953" t="s">
        <v>4168</v>
      </c>
      <c r="C8415" s="956">
        <v>1</v>
      </c>
      <c r="D8415" s="956">
        <v>0.9</v>
      </c>
      <c r="E8415" s="693"/>
      <c r="F8415" s="693">
        <v>2.1</v>
      </c>
      <c r="G8415" s="693">
        <v>2</v>
      </c>
      <c r="H8415" s="957">
        <f t="shared" si="165"/>
        <v>3.7800000000000002</v>
      </c>
      <c r="I8415" s="1508"/>
      <c r="J8415" s="1509"/>
      <c r="K8415" s="1509"/>
      <c r="L8415" s="1509"/>
      <c r="M8415" s="1509"/>
      <c r="N8415" s="1510"/>
    </row>
    <row r="8416" spans="1:14">
      <c r="A8416" s="1523"/>
      <c r="B8416" s="953"/>
      <c r="C8416" s="956"/>
      <c r="D8416" s="919"/>
      <c r="E8416" s="693"/>
      <c r="F8416" s="693"/>
      <c r="G8416" s="693"/>
      <c r="H8416" s="957"/>
      <c r="I8416" s="1508"/>
      <c r="J8416" s="1509"/>
      <c r="K8416" s="1509"/>
      <c r="L8416" s="1509"/>
      <c r="M8416" s="1509"/>
      <c r="N8416" s="1510"/>
    </row>
    <row r="8417" spans="1:14">
      <c r="A8417" s="1523"/>
      <c r="B8417" s="1412" t="s">
        <v>2647</v>
      </c>
      <c r="C8417" s="956"/>
      <c r="D8417" s="919"/>
      <c r="E8417" s="693"/>
      <c r="F8417" s="693"/>
      <c r="G8417" s="693"/>
      <c r="H8417" s="957"/>
      <c r="I8417" s="1508"/>
      <c r="J8417" s="1509"/>
      <c r="K8417" s="1509"/>
      <c r="L8417" s="1509"/>
      <c r="M8417" s="1509"/>
      <c r="N8417" s="1510"/>
    </row>
    <row r="8418" spans="1:14">
      <c r="A8418" s="1523"/>
      <c r="B8418" s="946" t="s">
        <v>2727</v>
      </c>
      <c r="C8418" s="956"/>
      <c r="D8418" s="919"/>
      <c r="E8418" s="693"/>
      <c r="F8418" s="693"/>
      <c r="G8418" s="693"/>
      <c r="H8418" s="957"/>
      <c r="I8418" s="1508"/>
      <c r="J8418" s="1509"/>
      <c r="K8418" s="1509"/>
      <c r="L8418" s="1509"/>
      <c r="M8418" s="1509"/>
      <c r="N8418" s="1510"/>
    </row>
    <row r="8419" spans="1:14">
      <c r="A8419" s="1523"/>
      <c r="B8419" s="953" t="s">
        <v>4169</v>
      </c>
      <c r="C8419" s="956">
        <v>1</v>
      </c>
      <c r="D8419" s="956">
        <v>0.9</v>
      </c>
      <c r="E8419" s="693"/>
      <c r="F8419" s="693">
        <v>2.1</v>
      </c>
      <c r="G8419" s="693">
        <v>2</v>
      </c>
      <c r="H8419" s="957">
        <f t="shared" si="165"/>
        <v>3.7800000000000002</v>
      </c>
      <c r="I8419" s="1508"/>
      <c r="J8419" s="1509"/>
      <c r="K8419" s="1509"/>
      <c r="L8419" s="1509"/>
      <c r="M8419" s="1509"/>
      <c r="N8419" s="1510"/>
    </row>
    <row r="8420" spans="1:14">
      <c r="A8420" s="1523"/>
      <c r="B8420" s="953"/>
      <c r="C8420" s="956"/>
      <c r="D8420" s="919"/>
      <c r="E8420" s="693"/>
      <c r="F8420" s="693"/>
      <c r="G8420" s="693"/>
      <c r="H8420" s="957"/>
      <c r="I8420" s="1508"/>
      <c r="J8420" s="1509"/>
      <c r="K8420" s="1509"/>
      <c r="L8420" s="1509"/>
      <c r="M8420" s="1509"/>
      <c r="N8420" s="1510"/>
    </row>
    <row r="8421" spans="1:14">
      <c r="A8421" s="1523"/>
      <c r="B8421" s="1412" t="s">
        <v>4170</v>
      </c>
      <c r="C8421" s="956"/>
      <c r="D8421" s="919"/>
      <c r="E8421" s="693"/>
      <c r="F8421" s="693"/>
      <c r="G8421" s="693"/>
      <c r="H8421" s="957"/>
      <c r="I8421" s="1508"/>
      <c r="J8421" s="1509"/>
      <c r="K8421" s="1509"/>
      <c r="L8421" s="1509"/>
      <c r="M8421" s="1509"/>
      <c r="N8421" s="1510"/>
    </row>
    <row r="8422" spans="1:14">
      <c r="A8422" s="1523"/>
      <c r="B8422" s="946" t="s">
        <v>2727</v>
      </c>
      <c r="C8422" s="956"/>
      <c r="D8422" s="956"/>
      <c r="E8422" s="693"/>
      <c r="F8422" s="693"/>
      <c r="G8422" s="693"/>
      <c r="H8422" s="957"/>
      <c r="I8422" s="1508"/>
      <c r="J8422" s="1509"/>
      <c r="K8422" s="1509"/>
      <c r="L8422" s="1509"/>
      <c r="M8422" s="1509"/>
      <c r="N8422" s="1510"/>
    </row>
    <row r="8423" spans="1:14">
      <c r="A8423" s="1523"/>
      <c r="B8423" s="953" t="s">
        <v>2228</v>
      </c>
      <c r="C8423" s="956">
        <v>1</v>
      </c>
      <c r="D8423" s="956">
        <v>0.8</v>
      </c>
      <c r="E8423" s="693"/>
      <c r="F8423" s="693">
        <v>2.1</v>
      </c>
      <c r="G8423" s="693">
        <v>2</v>
      </c>
      <c r="H8423" s="957">
        <f t="shared" si="165"/>
        <v>3.3600000000000003</v>
      </c>
      <c r="I8423" s="1508"/>
      <c r="J8423" s="1509"/>
      <c r="K8423" s="1509"/>
      <c r="L8423" s="1509"/>
      <c r="M8423" s="1509"/>
      <c r="N8423" s="1510"/>
    </row>
    <row r="8424" spans="1:14">
      <c r="A8424" s="1523"/>
      <c r="B8424" s="953" t="s">
        <v>2523</v>
      </c>
      <c r="C8424" s="956">
        <v>1</v>
      </c>
      <c r="D8424" s="956">
        <v>0.8</v>
      </c>
      <c r="E8424" s="693"/>
      <c r="F8424" s="693">
        <v>2.1</v>
      </c>
      <c r="G8424" s="693">
        <v>2</v>
      </c>
      <c r="H8424" s="957">
        <f t="shared" si="165"/>
        <v>3.3600000000000003</v>
      </c>
      <c r="I8424" s="1508"/>
      <c r="J8424" s="1509"/>
      <c r="K8424" s="1509"/>
      <c r="L8424" s="1509"/>
      <c r="M8424" s="1509"/>
      <c r="N8424" s="1510"/>
    </row>
    <row r="8425" spans="1:14">
      <c r="A8425" s="1523"/>
      <c r="B8425" s="953" t="s">
        <v>3571</v>
      </c>
      <c r="C8425" s="956">
        <v>1</v>
      </c>
      <c r="D8425" s="956">
        <v>0.8</v>
      </c>
      <c r="E8425" s="693"/>
      <c r="F8425" s="693">
        <v>2.1</v>
      </c>
      <c r="G8425" s="693">
        <v>2</v>
      </c>
      <c r="H8425" s="957">
        <f t="shared" si="165"/>
        <v>3.3600000000000003</v>
      </c>
      <c r="I8425" s="1508"/>
      <c r="J8425" s="1509"/>
      <c r="K8425" s="1509"/>
      <c r="L8425" s="1509"/>
      <c r="M8425" s="1509"/>
      <c r="N8425" s="1510"/>
    </row>
    <row r="8426" spans="1:14">
      <c r="A8426" s="1523"/>
      <c r="B8426" s="953" t="s">
        <v>3572</v>
      </c>
      <c r="C8426" s="956">
        <v>1</v>
      </c>
      <c r="D8426" s="956">
        <v>0.8</v>
      </c>
      <c r="E8426" s="693"/>
      <c r="F8426" s="693">
        <v>2.1</v>
      </c>
      <c r="G8426" s="693">
        <v>2</v>
      </c>
      <c r="H8426" s="957">
        <f t="shared" si="165"/>
        <v>3.3600000000000003</v>
      </c>
      <c r="I8426" s="1508"/>
      <c r="J8426" s="1509"/>
      <c r="K8426" s="1509"/>
      <c r="L8426" s="1509"/>
      <c r="M8426" s="1509"/>
      <c r="N8426" s="1510"/>
    </row>
    <row r="8427" spans="1:14">
      <c r="A8427" s="1523"/>
      <c r="B8427" s="953" t="s">
        <v>3573</v>
      </c>
      <c r="C8427" s="956">
        <v>1</v>
      </c>
      <c r="D8427" s="956">
        <v>0.8</v>
      </c>
      <c r="E8427" s="693"/>
      <c r="F8427" s="693">
        <v>2.1</v>
      </c>
      <c r="G8427" s="693">
        <v>2</v>
      </c>
      <c r="H8427" s="957">
        <f t="shared" si="165"/>
        <v>3.3600000000000003</v>
      </c>
      <c r="I8427" s="1508"/>
      <c r="J8427" s="1509"/>
      <c r="K8427" s="1509"/>
      <c r="L8427" s="1509"/>
      <c r="M8427" s="1509"/>
      <c r="N8427" s="1510"/>
    </row>
    <row r="8428" spans="1:14">
      <c r="A8428" s="1523"/>
      <c r="B8428" s="953" t="s">
        <v>2234</v>
      </c>
      <c r="C8428" s="956">
        <v>1</v>
      </c>
      <c r="D8428" s="956">
        <v>0.8</v>
      </c>
      <c r="E8428" s="693"/>
      <c r="F8428" s="693">
        <v>2.1</v>
      </c>
      <c r="G8428" s="693">
        <v>2</v>
      </c>
      <c r="H8428" s="957">
        <f t="shared" si="165"/>
        <v>3.3600000000000003</v>
      </c>
      <c r="I8428" s="1508"/>
      <c r="J8428" s="1509"/>
      <c r="K8428" s="1509"/>
      <c r="L8428" s="1509"/>
      <c r="M8428" s="1509"/>
      <c r="N8428" s="1510"/>
    </row>
    <row r="8429" spans="1:14">
      <c r="A8429" s="1523"/>
      <c r="B8429" s="953" t="s">
        <v>3624</v>
      </c>
      <c r="C8429" s="956">
        <v>1</v>
      </c>
      <c r="D8429" s="956">
        <v>0.8</v>
      </c>
      <c r="E8429" s="693"/>
      <c r="F8429" s="693">
        <v>2.1</v>
      </c>
      <c r="G8429" s="693">
        <v>2</v>
      </c>
      <c r="H8429" s="957">
        <f t="shared" si="165"/>
        <v>3.3600000000000003</v>
      </c>
      <c r="I8429" s="1508"/>
      <c r="J8429" s="1509"/>
      <c r="K8429" s="1509"/>
      <c r="L8429" s="1509"/>
      <c r="M8429" s="1509"/>
      <c r="N8429" s="1510"/>
    </row>
    <row r="8430" spans="1:14">
      <c r="A8430" s="1523"/>
      <c r="B8430" s="953" t="s">
        <v>3623</v>
      </c>
      <c r="C8430" s="956">
        <v>1</v>
      </c>
      <c r="D8430" s="956">
        <v>0.8</v>
      </c>
      <c r="E8430" s="693"/>
      <c r="F8430" s="693">
        <v>2.1</v>
      </c>
      <c r="G8430" s="693">
        <v>2</v>
      </c>
      <c r="H8430" s="957">
        <f t="shared" si="165"/>
        <v>3.3600000000000003</v>
      </c>
      <c r="I8430" s="1508"/>
      <c r="J8430" s="1509"/>
      <c r="K8430" s="1509"/>
      <c r="L8430" s="1509"/>
      <c r="M8430" s="1509"/>
      <c r="N8430" s="1510"/>
    </row>
    <row r="8431" spans="1:14">
      <c r="A8431" s="1523"/>
      <c r="B8431" s="953" t="s">
        <v>3855</v>
      </c>
      <c r="C8431" s="956">
        <v>1</v>
      </c>
      <c r="D8431" s="956">
        <v>0.8</v>
      </c>
      <c r="E8431" s="693"/>
      <c r="F8431" s="693">
        <v>2.1</v>
      </c>
      <c r="G8431" s="693">
        <v>2</v>
      </c>
      <c r="H8431" s="957">
        <f t="shared" si="165"/>
        <v>3.3600000000000003</v>
      </c>
      <c r="I8431" s="1508"/>
      <c r="J8431" s="1509"/>
      <c r="K8431" s="1509"/>
      <c r="L8431" s="1509"/>
      <c r="M8431" s="1509"/>
      <c r="N8431" s="1510"/>
    </row>
    <row r="8432" spans="1:14">
      <c r="A8432" s="1523"/>
      <c r="B8432" s="953" t="s">
        <v>2971</v>
      </c>
      <c r="C8432" s="956">
        <v>1</v>
      </c>
      <c r="D8432" s="956">
        <v>0.8</v>
      </c>
      <c r="E8432" s="693"/>
      <c r="F8432" s="693">
        <v>2.1</v>
      </c>
      <c r="G8432" s="693">
        <v>2</v>
      </c>
      <c r="H8432" s="957">
        <f t="shared" si="165"/>
        <v>3.3600000000000003</v>
      </c>
      <c r="I8432" s="1508"/>
      <c r="J8432" s="1509"/>
      <c r="K8432" s="1509"/>
      <c r="L8432" s="1509"/>
      <c r="M8432" s="1509"/>
      <c r="N8432" s="1510"/>
    </row>
    <row r="8433" spans="1:14">
      <c r="A8433" s="1523"/>
      <c r="B8433" s="953" t="s">
        <v>2974</v>
      </c>
      <c r="C8433" s="956">
        <v>1</v>
      </c>
      <c r="D8433" s="956">
        <v>0.8</v>
      </c>
      <c r="E8433" s="693"/>
      <c r="F8433" s="693">
        <v>2.1</v>
      </c>
      <c r="G8433" s="693">
        <v>2</v>
      </c>
      <c r="H8433" s="957">
        <f t="shared" si="165"/>
        <v>3.3600000000000003</v>
      </c>
      <c r="I8433" s="1508"/>
      <c r="J8433" s="1509"/>
      <c r="K8433" s="1509"/>
      <c r="L8433" s="1509"/>
      <c r="M8433" s="1509"/>
      <c r="N8433" s="1510"/>
    </row>
    <row r="8434" spans="1:14">
      <c r="A8434" s="1523"/>
      <c r="B8434" s="953" t="s">
        <v>2975</v>
      </c>
      <c r="C8434" s="956">
        <v>1</v>
      </c>
      <c r="D8434" s="956">
        <v>0.8</v>
      </c>
      <c r="E8434" s="693"/>
      <c r="F8434" s="693">
        <v>2.1</v>
      </c>
      <c r="G8434" s="693">
        <v>2</v>
      </c>
      <c r="H8434" s="957">
        <f t="shared" si="165"/>
        <v>3.3600000000000003</v>
      </c>
      <c r="I8434" s="1508"/>
      <c r="J8434" s="1509"/>
      <c r="K8434" s="1509"/>
      <c r="L8434" s="1509"/>
      <c r="M8434" s="1509"/>
      <c r="N8434" s="1510"/>
    </row>
    <row r="8435" spans="1:14">
      <c r="A8435" s="1523"/>
      <c r="B8435" s="953"/>
      <c r="C8435" s="956"/>
      <c r="D8435" s="919"/>
      <c r="E8435" s="693"/>
      <c r="F8435" s="693"/>
      <c r="G8435" s="693"/>
      <c r="H8435" s="957"/>
      <c r="I8435" s="1508"/>
      <c r="J8435" s="1509"/>
      <c r="K8435" s="1509"/>
      <c r="L8435" s="1509"/>
      <c r="M8435" s="1509"/>
      <c r="N8435" s="1510"/>
    </row>
    <row r="8436" spans="1:14">
      <c r="A8436" s="1523"/>
      <c r="B8436" s="1412" t="s">
        <v>2368</v>
      </c>
      <c r="C8436" s="956"/>
      <c r="D8436" s="919"/>
      <c r="E8436" s="693"/>
      <c r="F8436" s="693"/>
      <c r="G8436" s="693"/>
      <c r="H8436" s="957"/>
      <c r="I8436" s="1508"/>
      <c r="J8436" s="1509"/>
      <c r="K8436" s="1509"/>
      <c r="L8436" s="1509"/>
      <c r="M8436" s="1509"/>
      <c r="N8436" s="1510"/>
    </row>
    <row r="8437" spans="1:14">
      <c r="A8437" s="1523"/>
      <c r="B8437" s="946" t="s">
        <v>2727</v>
      </c>
      <c r="C8437" s="956"/>
      <c r="D8437" s="919"/>
      <c r="E8437" s="693"/>
      <c r="F8437" s="693"/>
      <c r="G8437" s="693"/>
      <c r="H8437" s="957"/>
      <c r="I8437" s="1508"/>
      <c r="J8437" s="1509"/>
      <c r="K8437" s="1509"/>
      <c r="L8437" s="1509"/>
      <c r="M8437" s="1509"/>
      <c r="N8437" s="1510"/>
    </row>
    <row r="8438" spans="1:14">
      <c r="A8438" s="1523"/>
      <c r="B8438" s="953" t="s">
        <v>4171</v>
      </c>
      <c r="C8438" s="956">
        <v>1</v>
      </c>
      <c r="D8438" s="956">
        <v>0.8</v>
      </c>
      <c r="E8438" s="693"/>
      <c r="F8438" s="693">
        <v>2.1</v>
      </c>
      <c r="G8438" s="693">
        <v>2</v>
      </c>
      <c r="H8438" s="957">
        <f t="shared" si="165"/>
        <v>3.3600000000000003</v>
      </c>
      <c r="I8438" s="1508"/>
      <c r="J8438" s="1509"/>
      <c r="K8438" s="1509"/>
      <c r="L8438" s="1509"/>
      <c r="M8438" s="1509"/>
      <c r="N8438" s="1510"/>
    </row>
    <row r="8439" spans="1:14">
      <c r="A8439" s="1516" t="s">
        <v>2218</v>
      </c>
      <c r="B8439" s="1517"/>
      <c r="C8439" s="1517"/>
      <c r="D8439" s="1517"/>
      <c r="E8439" s="1517"/>
      <c r="F8439" s="1517"/>
      <c r="G8439" s="1518"/>
      <c r="H8439" s="271">
        <f>SUM(H8395:H8438)</f>
        <v>168.00000000000014</v>
      </c>
      <c r="I8439" s="1508"/>
      <c r="J8439" s="1509"/>
      <c r="K8439" s="1509"/>
      <c r="L8439" s="1509"/>
      <c r="M8439" s="1509"/>
      <c r="N8439" s="1510"/>
    </row>
    <row r="8440" spans="1:14">
      <c r="A8440" s="1519" t="s">
        <v>2219</v>
      </c>
      <c r="B8440" s="1517"/>
      <c r="C8440" s="1517"/>
      <c r="D8440" s="1517"/>
      <c r="E8440" s="1517"/>
      <c r="F8440" s="1517"/>
      <c r="G8440" s="1518"/>
      <c r="H8440" s="325">
        <f>H8395</f>
        <v>84</v>
      </c>
      <c r="I8440" s="1508"/>
      <c r="J8440" s="1509"/>
      <c r="K8440" s="1509"/>
      <c r="L8440" s="1509"/>
      <c r="M8440" s="1509"/>
      <c r="N8440" s="1510"/>
    </row>
    <row r="8441" spans="1:14" ht="15.75" thickBot="1">
      <c r="A8441" s="1520" t="s">
        <v>2220</v>
      </c>
      <c r="B8441" s="1521"/>
      <c r="C8441" s="1521"/>
      <c r="D8441" s="1521"/>
      <c r="E8441" s="1521"/>
      <c r="F8441" s="1521"/>
      <c r="G8441" s="1522"/>
      <c r="H8441" s="216">
        <f>H8439-H8440</f>
        <v>84.000000000000142</v>
      </c>
      <c r="I8441" s="1511"/>
      <c r="J8441" s="1512"/>
      <c r="K8441" s="1512"/>
      <c r="L8441" s="1512"/>
      <c r="M8441" s="1512"/>
      <c r="N8441" s="1513"/>
    </row>
    <row r="8442" spans="1:14" ht="15.75" thickBot="1"/>
    <row r="8443" spans="1:14">
      <c r="A8443" s="1084" t="s">
        <v>3998</v>
      </c>
      <c r="B8443" s="1494" t="s">
        <v>2138</v>
      </c>
      <c r="C8443" s="1495"/>
      <c r="D8443" s="1495"/>
      <c r="E8443" s="1495"/>
      <c r="F8443" s="1495"/>
      <c r="G8443" s="1495"/>
      <c r="H8443" s="1495"/>
      <c r="I8443" s="1495"/>
      <c r="J8443" s="1496"/>
      <c r="K8443" s="196" t="s">
        <v>2222</v>
      </c>
      <c r="L8443" s="1497">
        <v>17.309999999999999</v>
      </c>
      <c r="M8443" s="1498"/>
      <c r="N8443" s="197">
        <f>L8443-H8448</f>
        <v>0</v>
      </c>
    </row>
    <row r="8444" spans="1:14" ht="33.75" customHeight="1">
      <c r="A8444" s="1499"/>
      <c r="B8444" s="1500"/>
      <c r="C8444" s="366"/>
      <c r="D8444" s="367" t="s">
        <v>2183</v>
      </c>
      <c r="E8444" s="1320" t="s">
        <v>2184</v>
      </c>
      <c r="F8444" s="367" t="s">
        <v>2185</v>
      </c>
      <c r="G8444" s="367" t="s">
        <v>2186</v>
      </c>
      <c r="H8444" s="1503" t="s">
        <v>476</v>
      </c>
      <c r="I8444" s="1505"/>
      <c r="J8444" s="1506"/>
      <c r="K8444" s="1506"/>
      <c r="L8444" s="1506"/>
      <c r="M8444" s="1506"/>
      <c r="N8444" s="1507"/>
    </row>
    <row r="8445" spans="1:14" ht="24">
      <c r="A8445" s="1501"/>
      <c r="B8445" s="1502"/>
      <c r="C8445" s="368" t="s">
        <v>2627</v>
      </c>
      <c r="D8445" s="369" t="s">
        <v>2187</v>
      </c>
      <c r="E8445" s="529" t="s">
        <v>3152</v>
      </c>
      <c r="F8445" s="369" t="s">
        <v>2649</v>
      </c>
      <c r="G8445" s="370" t="s">
        <v>2709</v>
      </c>
      <c r="H8445" s="1504"/>
      <c r="I8445" s="1508"/>
      <c r="J8445" s="1509"/>
      <c r="K8445" s="1509"/>
      <c r="L8445" s="1509"/>
      <c r="M8445" s="1509"/>
      <c r="N8445" s="1510"/>
    </row>
    <row r="8446" spans="1:14">
      <c r="A8446" s="1514" t="s">
        <v>3981</v>
      </c>
      <c r="B8446" s="429" t="s">
        <v>3999</v>
      </c>
      <c r="C8446" s="756">
        <v>17.309999999999999</v>
      </c>
      <c r="D8446" s="202"/>
      <c r="E8446" s="346"/>
      <c r="F8446" s="346"/>
      <c r="G8446" s="346"/>
      <c r="H8446" s="403">
        <f>C8446</f>
        <v>17.309999999999999</v>
      </c>
      <c r="I8446" s="1508"/>
      <c r="J8446" s="1509"/>
      <c r="K8446" s="1509"/>
      <c r="L8446" s="1509"/>
      <c r="M8446" s="1509"/>
      <c r="N8446" s="1510"/>
    </row>
    <row r="8447" spans="1:14">
      <c r="A8447" s="1523"/>
      <c r="B8447" s="953"/>
      <c r="C8447" s="956"/>
      <c r="D8447" s="919"/>
      <c r="E8447" s="693"/>
      <c r="F8447" s="693"/>
      <c r="G8447" s="693"/>
      <c r="H8447" s="403">
        <f>C8447</f>
        <v>0</v>
      </c>
      <c r="I8447" s="1508"/>
      <c r="J8447" s="1509"/>
      <c r="K8447" s="1509"/>
      <c r="L8447" s="1509"/>
      <c r="M8447" s="1509"/>
      <c r="N8447" s="1510"/>
    </row>
    <row r="8448" spans="1:14">
      <c r="A8448" s="1516" t="s">
        <v>2218</v>
      </c>
      <c r="B8448" s="1517"/>
      <c r="C8448" s="1517"/>
      <c r="D8448" s="1517"/>
      <c r="E8448" s="1517"/>
      <c r="F8448" s="1517"/>
      <c r="G8448" s="1518"/>
      <c r="H8448" s="271">
        <f>SUM(H8446:H8447)</f>
        <v>17.309999999999999</v>
      </c>
      <c r="I8448" s="1508"/>
      <c r="J8448" s="1509"/>
      <c r="K8448" s="1509"/>
      <c r="L8448" s="1509"/>
      <c r="M8448" s="1509"/>
      <c r="N8448" s="1510"/>
    </row>
    <row r="8449" spans="1:14">
      <c r="A8449" s="1519" t="s">
        <v>2219</v>
      </c>
      <c r="B8449" s="1517"/>
      <c r="C8449" s="1517"/>
      <c r="D8449" s="1517"/>
      <c r="E8449" s="1517"/>
      <c r="F8449" s="1517"/>
      <c r="G8449" s="1518"/>
      <c r="H8449" s="325">
        <v>0</v>
      </c>
      <c r="I8449" s="1508"/>
      <c r="J8449" s="1509"/>
      <c r="K8449" s="1509"/>
      <c r="L8449" s="1509"/>
      <c r="M8449" s="1509"/>
      <c r="N8449" s="1510"/>
    </row>
    <row r="8450" spans="1:14" ht="15.75" thickBot="1">
      <c r="A8450" s="1520" t="s">
        <v>2220</v>
      </c>
      <c r="B8450" s="1521"/>
      <c r="C8450" s="1521"/>
      <c r="D8450" s="1521"/>
      <c r="E8450" s="1521"/>
      <c r="F8450" s="1521"/>
      <c r="G8450" s="1522"/>
      <c r="H8450" s="216">
        <f>H8448-H8449</f>
        <v>17.309999999999999</v>
      </c>
      <c r="I8450" s="1511"/>
      <c r="J8450" s="1512"/>
      <c r="K8450" s="1512"/>
      <c r="L8450" s="1512"/>
      <c r="M8450" s="1512"/>
      <c r="N8450" s="1513"/>
    </row>
    <row r="8451" spans="1:14" ht="30" customHeight="1" thickBot="1"/>
    <row r="8452" spans="1:14" ht="16.5" thickBot="1">
      <c r="A8452" s="1128">
        <v>20</v>
      </c>
      <c r="B8452" s="1491" t="s">
        <v>2053</v>
      </c>
      <c r="C8452" s="1492"/>
      <c r="D8452" s="1492"/>
      <c r="E8452" s="1492"/>
      <c r="F8452" s="1492"/>
      <c r="G8452" s="1492"/>
      <c r="H8452" s="1492"/>
      <c r="I8452" s="1492"/>
      <c r="J8452" s="1492"/>
      <c r="K8452" s="1492"/>
      <c r="L8452" s="1492"/>
      <c r="M8452" s="1492"/>
      <c r="N8452" s="1493"/>
    </row>
    <row r="8453" spans="1:14" ht="16.5" thickBot="1">
      <c r="A8453" s="1128">
        <v>2001</v>
      </c>
      <c r="B8453" s="1491" t="s">
        <v>2055</v>
      </c>
      <c r="C8453" s="1492"/>
      <c r="D8453" s="1492"/>
      <c r="E8453" s="1492"/>
      <c r="F8453" s="1492"/>
      <c r="G8453" s="1492"/>
      <c r="H8453" s="1492"/>
      <c r="I8453" s="1492"/>
      <c r="J8453" s="1492"/>
      <c r="K8453" s="1492"/>
      <c r="L8453" s="1492"/>
      <c r="M8453" s="1492"/>
      <c r="N8453" s="1493"/>
    </row>
    <row r="8454" spans="1:14">
      <c r="A8454" s="1084" t="s">
        <v>3155</v>
      </c>
      <c r="B8454" s="1494" t="s">
        <v>2058</v>
      </c>
      <c r="C8454" s="1495"/>
      <c r="D8454" s="1495"/>
      <c r="E8454" s="1495"/>
      <c r="F8454" s="1495"/>
      <c r="G8454" s="1495"/>
      <c r="H8454" s="1495"/>
      <c r="I8454" s="1495"/>
      <c r="J8454" s="1496"/>
      <c r="K8454" s="196" t="s">
        <v>3154</v>
      </c>
      <c r="L8454" s="1497">
        <v>1</v>
      </c>
      <c r="M8454" s="1498"/>
      <c r="N8454" s="197">
        <f>L8454-H8461</f>
        <v>0</v>
      </c>
    </row>
    <row r="8455" spans="1:14">
      <c r="A8455" s="1499"/>
      <c r="B8455" s="1500"/>
      <c r="C8455" s="366"/>
      <c r="D8455" s="367" t="s">
        <v>2183</v>
      </c>
      <c r="E8455" s="1320" t="s">
        <v>2184</v>
      </c>
      <c r="F8455" s="367" t="s">
        <v>2185</v>
      </c>
      <c r="G8455" s="367" t="s">
        <v>2186</v>
      </c>
      <c r="H8455" s="1503" t="s">
        <v>476</v>
      </c>
      <c r="I8455" s="1505"/>
      <c r="J8455" s="1506"/>
      <c r="K8455" s="1506"/>
      <c r="L8455" s="1506"/>
      <c r="M8455" s="1506"/>
      <c r="N8455" s="1507"/>
    </row>
    <row r="8456" spans="1:14" ht="24.75" customHeight="1">
      <c r="A8456" s="1501"/>
      <c r="B8456" s="1502"/>
      <c r="C8456" s="368" t="s">
        <v>2627</v>
      </c>
      <c r="D8456" s="369" t="s">
        <v>2187</v>
      </c>
      <c r="E8456" s="529" t="s">
        <v>3152</v>
      </c>
      <c r="F8456" s="369" t="s">
        <v>2649</v>
      </c>
      <c r="G8456" s="370" t="s">
        <v>2709</v>
      </c>
      <c r="H8456" s="1504"/>
      <c r="I8456" s="1508"/>
      <c r="J8456" s="1509"/>
      <c r="K8456" s="1509"/>
      <c r="L8456" s="1509"/>
      <c r="M8456" s="1509"/>
      <c r="N8456" s="1510"/>
    </row>
    <row r="8457" spans="1:14">
      <c r="A8457" s="1514" t="s">
        <v>3294</v>
      </c>
      <c r="B8457" s="429" t="s">
        <v>3156</v>
      </c>
      <c r="C8457" s="756">
        <v>1</v>
      </c>
      <c r="D8457" s="202"/>
      <c r="E8457" s="346">
        <v>0.5</v>
      </c>
      <c r="F8457" s="346"/>
      <c r="G8457" s="346"/>
      <c r="H8457" s="403">
        <v>0.5</v>
      </c>
      <c r="I8457" s="1508"/>
      <c r="J8457" s="1509"/>
      <c r="K8457" s="1509"/>
      <c r="L8457" s="1509"/>
      <c r="M8457" s="1509"/>
      <c r="N8457" s="1510"/>
    </row>
    <row r="8458" spans="1:14">
      <c r="A8458" s="1523"/>
      <c r="B8458" s="953"/>
      <c r="C8458" s="956"/>
      <c r="D8458" s="919"/>
      <c r="E8458" s="693"/>
      <c r="F8458" s="693"/>
      <c r="G8458" s="693"/>
      <c r="H8458" s="957"/>
      <c r="I8458" s="1508"/>
      <c r="J8458" s="1509"/>
      <c r="K8458" s="1509"/>
      <c r="L8458" s="1509"/>
      <c r="M8458" s="1509"/>
      <c r="N8458" s="1510"/>
    </row>
    <row r="8459" spans="1:14">
      <c r="A8459" s="1523" t="s">
        <v>3937</v>
      </c>
      <c r="B8459" s="429" t="s">
        <v>3156</v>
      </c>
      <c r="C8459" s="756">
        <v>1</v>
      </c>
      <c r="D8459" s="202"/>
      <c r="E8459" s="346">
        <v>0.5</v>
      </c>
      <c r="F8459" s="346"/>
      <c r="G8459" s="346"/>
      <c r="H8459" s="403">
        <v>0.5</v>
      </c>
      <c r="I8459" s="1508"/>
      <c r="J8459" s="1509"/>
      <c r="K8459" s="1509"/>
      <c r="L8459" s="1509"/>
      <c r="M8459" s="1509"/>
      <c r="N8459" s="1510"/>
    </row>
    <row r="8460" spans="1:14">
      <c r="A8460" s="1515"/>
      <c r="B8460" s="753"/>
      <c r="C8460" s="757"/>
      <c r="D8460" s="294"/>
      <c r="E8460" s="348"/>
      <c r="F8460" s="348"/>
      <c r="G8460" s="348"/>
      <c r="H8460" s="349"/>
      <c r="I8460" s="1508"/>
      <c r="J8460" s="1509"/>
      <c r="K8460" s="1509"/>
      <c r="L8460" s="1509"/>
      <c r="M8460" s="1509"/>
      <c r="N8460" s="1510"/>
    </row>
    <row r="8461" spans="1:14" ht="30" customHeight="1">
      <c r="A8461" s="1516" t="s">
        <v>2218</v>
      </c>
      <c r="B8461" s="1517"/>
      <c r="C8461" s="1517"/>
      <c r="D8461" s="1517"/>
      <c r="E8461" s="1517"/>
      <c r="F8461" s="1517"/>
      <c r="G8461" s="1518"/>
      <c r="H8461" s="271">
        <f>SUM(H8457:H8460)</f>
        <v>1</v>
      </c>
      <c r="I8461" s="1508"/>
      <c r="J8461" s="1509"/>
      <c r="K8461" s="1509"/>
      <c r="L8461" s="1509"/>
      <c r="M8461" s="1509"/>
      <c r="N8461" s="1510"/>
    </row>
    <row r="8462" spans="1:14">
      <c r="A8462" s="1519" t="s">
        <v>2219</v>
      </c>
      <c r="B8462" s="1517"/>
      <c r="C8462" s="1517"/>
      <c r="D8462" s="1517"/>
      <c r="E8462" s="1517"/>
      <c r="F8462" s="1517"/>
      <c r="G8462" s="1518"/>
      <c r="H8462" s="325">
        <v>0</v>
      </c>
      <c r="I8462" s="1508"/>
      <c r="J8462" s="1509"/>
      <c r="K8462" s="1509"/>
      <c r="L8462" s="1509"/>
      <c r="M8462" s="1509"/>
      <c r="N8462" s="1510"/>
    </row>
    <row r="8463" spans="1:14" ht="15.75" thickBot="1">
      <c r="A8463" s="1520" t="s">
        <v>2220</v>
      </c>
      <c r="B8463" s="1521"/>
      <c r="C8463" s="1521"/>
      <c r="D8463" s="1521"/>
      <c r="E8463" s="1521"/>
      <c r="F8463" s="1521"/>
      <c r="G8463" s="1522"/>
      <c r="H8463" s="216">
        <f>H8461-H8462</f>
        <v>1</v>
      </c>
      <c r="I8463" s="1511"/>
      <c r="J8463" s="1512"/>
      <c r="K8463" s="1512"/>
      <c r="L8463" s="1512"/>
      <c r="M8463" s="1512"/>
      <c r="N8463" s="1513"/>
    </row>
    <row r="8464" spans="1:14" ht="15.75" thickBot="1"/>
    <row r="8465" spans="1:14" ht="16.5" thickBot="1">
      <c r="A8465" s="1128">
        <v>2002</v>
      </c>
      <c r="B8465" s="1491" t="s">
        <v>2075</v>
      </c>
      <c r="C8465" s="1492"/>
      <c r="D8465" s="1492"/>
      <c r="E8465" s="1492"/>
      <c r="F8465" s="1492"/>
      <c r="G8465" s="1492"/>
      <c r="H8465" s="1492"/>
      <c r="I8465" s="1492"/>
      <c r="J8465" s="1492"/>
      <c r="K8465" s="1492"/>
      <c r="L8465" s="1492"/>
      <c r="M8465" s="1492"/>
      <c r="N8465" s="1493"/>
    </row>
    <row r="8466" spans="1:14">
      <c r="A8466" s="1084" t="s">
        <v>3822</v>
      </c>
      <c r="B8466" s="1494" t="s">
        <v>2063</v>
      </c>
      <c r="C8466" s="1495"/>
      <c r="D8466" s="1495"/>
      <c r="E8466" s="1495"/>
      <c r="F8466" s="1495"/>
      <c r="G8466" s="1495"/>
      <c r="H8466" s="1495"/>
      <c r="I8466" s="1495"/>
      <c r="J8466" s="1496"/>
      <c r="K8466" s="196" t="s">
        <v>3154</v>
      </c>
      <c r="L8466" s="1497">
        <v>7.7</v>
      </c>
      <c r="M8466" s="1498"/>
      <c r="N8466" s="197">
        <f>L8466-H8471</f>
        <v>0</v>
      </c>
    </row>
    <row r="8467" spans="1:14">
      <c r="A8467" s="1499"/>
      <c r="B8467" s="1500"/>
      <c r="C8467" s="366"/>
      <c r="D8467" s="367" t="s">
        <v>2183</v>
      </c>
      <c r="E8467" s="1320" t="s">
        <v>2184</v>
      </c>
      <c r="F8467" s="367" t="s">
        <v>2185</v>
      </c>
      <c r="G8467" s="367" t="s">
        <v>2186</v>
      </c>
      <c r="H8467" s="1503" t="s">
        <v>476</v>
      </c>
      <c r="I8467" s="1505"/>
      <c r="J8467" s="1506"/>
      <c r="K8467" s="1506"/>
      <c r="L8467" s="1506"/>
      <c r="M8467" s="1506"/>
      <c r="N8467" s="1507"/>
    </row>
    <row r="8468" spans="1:14" ht="24">
      <c r="A8468" s="1501"/>
      <c r="B8468" s="1502"/>
      <c r="C8468" s="368" t="s">
        <v>2627</v>
      </c>
      <c r="D8468" s="369" t="s">
        <v>2187</v>
      </c>
      <c r="E8468" s="529" t="s">
        <v>3152</v>
      </c>
      <c r="F8468" s="369" t="s">
        <v>2649</v>
      </c>
      <c r="G8468" s="370" t="s">
        <v>2709</v>
      </c>
      <c r="H8468" s="1504"/>
      <c r="I8468" s="1508"/>
      <c r="J8468" s="1509"/>
      <c r="K8468" s="1509"/>
      <c r="L8468" s="1509"/>
      <c r="M8468" s="1509"/>
      <c r="N8468" s="1510"/>
    </row>
    <row r="8469" spans="1:14">
      <c r="A8469" s="1514" t="s">
        <v>3981</v>
      </c>
      <c r="B8469" s="429" t="s">
        <v>3786</v>
      </c>
      <c r="C8469" s="756">
        <v>7.7</v>
      </c>
      <c r="D8469" s="202"/>
      <c r="E8469" s="346"/>
      <c r="F8469" s="346"/>
      <c r="G8469" s="346"/>
      <c r="H8469" s="403">
        <v>7.7</v>
      </c>
      <c r="I8469" s="1508"/>
      <c r="J8469" s="1509"/>
      <c r="K8469" s="1509"/>
      <c r="L8469" s="1509"/>
      <c r="M8469" s="1509"/>
      <c r="N8469" s="1510"/>
    </row>
    <row r="8470" spans="1:14" ht="30" customHeight="1">
      <c r="A8470" s="1515"/>
      <c r="B8470" s="753"/>
      <c r="C8470" s="757"/>
      <c r="D8470" s="294"/>
      <c r="E8470" s="348"/>
      <c r="F8470" s="348"/>
      <c r="G8470" s="348"/>
      <c r="H8470" s="349"/>
      <c r="I8470" s="1508"/>
      <c r="J8470" s="1509"/>
      <c r="K8470" s="1509"/>
      <c r="L8470" s="1509"/>
      <c r="M8470" s="1509"/>
      <c r="N8470" s="1510"/>
    </row>
    <row r="8471" spans="1:14">
      <c r="A8471" s="1516" t="s">
        <v>2218</v>
      </c>
      <c r="B8471" s="1517"/>
      <c r="C8471" s="1517"/>
      <c r="D8471" s="1517"/>
      <c r="E8471" s="1517"/>
      <c r="F8471" s="1517"/>
      <c r="G8471" s="1518"/>
      <c r="H8471" s="271">
        <f>SUM(H8469:H8470)</f>
        <v>7.7</v>
      </c>
      <c r="I8471" s="1508"/>
      <c r="J8471" s="1509"/>
      <c r="K8471" s="1509"/>
      <c r="L8471" s="1509"/>
      <c r="M8471" s="1509"/>
      <c r="N8471" s="1510"/>
    </row>
    <row r="8472" spans="1:14">
      <c r="A8472" s="1519" t="s">
        <v>2219</v>
      </c>
      <c r="B8472" s="1517"/>
      <c r="C8472" s="1517"/>
      <c r="D8472" s="1517"/>
      <c r="E8472" s="1517"/>
      <c r="F8472" s="1517"/>
      <c r="G8472" s="1518"/>
      <c r="H8472" s="325">
        <v>0</v>
      </c>
      <c r="I8472" s="1508"/>
      <c r="J8472" s="1509"/>
      <c r="K8472" s="1509"/>
      <c r="L8472" s="1509"/>
      <c r="M8472" s="1509"/>
      <c r="N8472" s="1510"/>
    </row>
    <row r="8473" spans="1:14" ht="15.75" thickBot="1">
      <c r="A8473" s="1520" t="s">
        <v>2220</v>
      </c>
      <c r="B8473" s="1521"/>
      <c r="C8473" s="1521"/>
      <c r="D8473" s="1521"/>
      <c r="E8473" s="1521"/>
      <c r="F8473" s="1521"/>
      <c r="G8473" s="1522"/>
      <c r="H8473" s="216">
        <f>H8471-H8472</f>
        <v>7.7</v>
      </c>
      <c r="I8473" s="1511"/>
      <c r="J8473" s="1512"/>
      <c r="K8473" s="1512"/>
      <c r="L8473" s="1512"/>
      <c r="M8473" s="1512"/>
      <c r="N8473" s="1513"/>
    </row>
    <row r="8474" spans="1:14" ht="15.75" thickBot="1"/>
    <row r="8475" spans="1:14">
      <c r="A8475" s="1084" t="s">
        <v>3821</v>
      </c>
      <c r="B8475" s="1494" t="s">
        <v>2066</v>
      </c>
      <c r="C8475" s="1495"/>
      <c r="D8475" s="1495"/>
      <c r="E8475" s="1495"/>
      <c r="F8475" s="1495"/>
      <c r="G8475" s="1495"/>
      <c r="H8475" s="1495"/>
      <c r="I8475" s="1495"/>
      <c r="J8475" s="1496"/>
      <c r="K8475" s="196" t="s">
        <v>3154</v>
      </c>
      <c r="L8475" s="1497">
        <f>'27ª MEDIÇÃO '!F649</f>
        <v>1</v>
      </c>
      <c r="M8475" s="1498"/>
      <c r="N8475" s="197">
        <f>L8475-H8480</f>
        <v>0</v>
      </c>
    </row>
    <row r="8476" spans="1:14">
      <c r="A8476" s="1499"/>
      <c r="B8476" s="1500"/>
      <c r="C8476" s="366"/>
      <c r="D8476" s="367" t="s">
        <v>2183</v>
      </c>
      <c r="E8476" s="1320" t="s">
        <v>2184</v>
      </c>
      <c r="F8476" s="367" t="s">
        <v>2185</v>
      </c>
      <c r="G8476" s="367" t="s">
        <v>2186</v>
      </c>
      <c r="H8476" s="1503" t="s">
        <v>476</v>
      </c>
      <c r="I8476" s="1505"/>
      <c r="J8476" s="1506"/>
      <c r="K8476" s="1506"/>
      <c r="L8476" s="1506"/>
      <c r="M8476" s="1506"/>
      <c r="N8476" s="1507"/>
    </row>
    <row r="8477" spans="1:14" ht="24">
      <c r="A8477" s="1501"/>
      <c r="B8477" s="1502"/>
      <c r="C8477" s="368" t="s">
        <v>2627</v>
      </c>
      <c r="D8477" s="369" t="s">
        <v>2187</v>
      </c>
      <c r="E8477" s="529" t="s">
        <v>3152</v>
      </c>
      <c r="F8477" s="369" t="s">
        <v>2649</v>
      </c>
      <c r="G8477" s="370" t="s">
        <v>2709</v>
      </c>
      <c r="H8477" s="1504"/>
      <c r="I8477" s="1508"/>
      <c r="J8477" s="1509"/>
      <c r="K8477" s="1509"/>
      <c r="L8477" s="1509"/>
      <c r="M8477" s="1509"/>
      <c r="N8477" s="1510"/>
    </row>
    <row r="8478" spans="1:14">
      <c r="A8478" s="1098"/>
      <c r="B8478" s="429"/>
      <c r="C8478" s="756"/>
      <c r="D8478" s="202"/>
      <c r="E8478" s="346"/>
      <c r="F8478" s="346"/>
      <c r="G8478" s="346"/>
      <c r="H8478" s="403"/>
      <c r="I8478" s="1508"/>
      <c r="J8478" s="1509"/>
      <c r="K8478" s="1509"/>
      <c r="L8478" s="1509"/>
      <c r="M8478" s="1509"/>
      <c r="N8478" s="1510"/>
    </row>
    <row r="8479" spans="1:14" ht="30" customHeight="1">
      <c r="A8479" s="1138" t="s">
        <v>4143</v>
      </c>
      <c r="B8479" s="753"/>
      <c r="C8479" s="757">
        <v>1</v>
      </c>
      <c r="D8479" s="294"/>
      <c r="E8479" s="348"/>
      <c r="F8479" s="348"/>
      <c r="G8479" s="348"/>
      <c r="H8479" s="349">
        <v>1</v>
      </c>
      <c r="I8479" s="1508"/>
      <c r="J8479" s="1509"/>
      <c r="K8479" s="1509"/>
      <c r="L8479" s="1509"/>
      <c r="M8479" s="1509"/>
      <c r="N8479" s="1510"/>
    </row>
    <row r="8480" spans="1:14">
      <c r="A8480" s="1516" t="s">
        <v>2218</v>
      </c>
      <c r="B8480" s="1517"/>
      <c r="C8480" s="1517"/>
      <c r="D8480" s="1517"/>
      <c r="E8480" s="1517"/>
      <c r="F8480" s="1517"/>
      <c r="G8480" s="1518"/>
      <c r="H8480" s="271">
        <f>SUM(H8478:H8479)</f>
        <v>1</v>
      </c>
      <c r="I8480" s="1508"/>
      <c r="J8480" s="1509"/>
      <c r="K8480" s="1509"/>
      <c r="L8480" s="1509"/>
      <c r="M8480" s="1509"/>
      <c r="N8480" s="1510"/>
    </row>
    <row r="8481" spans="1:14">
      <c r="A8481" s="1519" t="s">
        <v>2219</v>
      </c>
      <c r="B8481" s="1517"/>
      <c r="C8481" s="1517"/>
      <c r="D8481" s="1517"/>
      <c r="E8481" s="1517"/>
      <c r="F8481" s="1517"/>
      <c r="G8481" s="1518"/>
      <c r="H8481" s="325">
        <v>0</v>
      </c>
      <c r="I8481" s="1508"/>
      <c r="J8481" s="1509"/>
      <c r="K8481" s="1509"/>
      <c r="L8481" s="1509"/>
      <c r="M8481" s="1509"/>
      <c r="N8481" s="1510"/>
    </row>
    <row r="8482" spans="1:14" ht="15.75" thickBot="1">
      <c r="A8482" s="1520" t="s">
        <v>2220</v>
      </c>
      <c r="B8482" s="1521"/>
      <c r="C8482" s="1521"/>
      <c r="D8482" s="1521"/>
      <c r="E8482" s="1521"/>
      <c r="F8482" s="1521"/>
      <c r="G8482" s="1522"/>
      <c r="H8482" s="216">
        <f>H8480-H8481</f>
        <v>1</v>
      </c>
      <c r="I8482" s="1511"/>
      <c r="J8482" s="1512"/>
      <c r="K8482" s="1512"/>
      <c r="L8482" s="1512"/>
      <c r="M8482" s="1512"/>
      <c r="N8482" s="1513"/>
    </row>
    <row r="8483" spans="1:14" ht="15.75" thickBot="1"/>
    <row r="8484" spans="1:14">
      <c r="A8484" s="1084" t="s">
        <v>3823</v>
      </c>
      <c r="B8484" s="1494" t="s">
        <v>2068</v>
      </c>
      <c r="C8484" s="1495"/>
      <c r="D8484" s="1495"/>
      <c r="E8484" s="1495"/>
      <c r="F8484" s="1495"/>
      <c r="G8484" s="1495"/>
      <c r="H8484" s="1495"/>
      <c r="I8484" s="1495"/>
      <c r="J8484" s="1496"/>
      <c r="K8484" s="196" t="s">
        <v>3154</v>
      </c>
      <c r="L8484" s="1497">
        <v>3</v>
      </c>
      <c r="M8484" s="1498"/>
      <c r="N8484" s="197">
        <f>L8484-H8489</f>
        <v>0</v>
      </c>
    </row>
    <row r="8485" spans="1:14">
      <c r="A8485" s="1499"/>
      <c r="B8485" s="1500"/>
      <c r="C8485" s="366"/>
      <c r="D8485" s="367" t="s">
        <v>2183</v>
      </c>
      <c r="E8485" s="1320" t="s">
        <v>2184</v>
      </c>
      <c r="F8485" s="367" t="s">
        <v>2185</v>
      </c>
      <c r="G8485" s="367" t="s">
        <v>2186</v>
      </c>
      <c r="H8485" s="1503" t="s">
        <v>476</v>
      </c>
      <c r="I8485" s="1505"/>
      <c r="J8485" s="1506"/>
      <c r="K8485" s="1506"/>
      <c r="L8485" s="1506"/>
      <c r="M8485" s="1506"/>
      <c r="N8485" s="1507"/>
    </row>
    <row r="8486" spans="1:14" ht="24">
      <c r="A8486" s="1501"/>
      <c r="B8486" s="1502"/>
      <c r="C8486" s="368" t="s">
        <v>2627</v>
      </c>
      <c r="D8486" s="369" t="s">
        <v>2187</v>
      </c>
      <c r="E8486" s="529" t="s">
        <v>3152</v>
      </c>
      <c r="F8486" s="369" t="s">
        <v>2649</v>
      </c>
      <c r="G8486" s="370" t="s">
        <v>2709</v>
      </c>
      <c r="H8486" s="1504"/>
      <c r="I8486" s="1508"/>
      <c r="J8486" s="1509"/>
      <c r="K8486" s="1509"/>
      <c r="L8486" s="1509"/>
      <c r="M8486" s="1509"/>
      <c r="N8486" s="1510"/>
    </row>
    <row r="8487" spans="1:14">
      <c r="A8487" s="1098" t="s">
        <v>3745</v>
      </c>
      <c r="B8487" s="429" t="s">
        <v>3826</v>
      </c>
      <c r="C8487" s="756">
        <v>2</v>
      </c>
      <c r="D8487" s="202"/>
      <c r="E8487" s="346"/>
      <c r="F8487" s="346"/>
      <c r="G8487" s="346"/>
      <c r="H8487" s="403">
        <v>2</v>
      </c>
      <c r="I8487" s="1508"/>
      <c r="J8487" s="1509"/>
      <c r="K8487" s="1509"/>
      <c r="L8487" s="1509"/>
      <c r="M8487" s="1509"/>
      <c r="N8487" s="1510"/>
    </row>
    <row r="8488" spans="1:14" ht="30" customHeight="1">
      <c r="A8488" s="1138" t="s">
        <v>3981</v>
      </c>
      <c r="B8488" s="753" t="s">
        <v>3826</v>
      </c>
      <c r="C8488" s="757">
        <v>1</v>
      </c>
      <c r="D8488" s="294"/>
      <c r="E8488" s="348"/>
      <c r="F8488" s="348"/>
      <c r="G8488" s="348"/>
      <c r="H8488" s="349">
        <v>1</v>
      </c>
      <c r="I8488" s="1508"/>
      <c r="J8488" s="1509"/>
      <c r="K8488" s="1509"/>
      <c r="L8488" s="1509"/>
      <c r="M8488" s="1509"/>
      <c r="N8488" s="1510"/>
    </row>
    <row r="8489" spans="1:14">
      <c r="A8489" s="1516" t="s">
        <v>2218</v>
      </c>
      <c r="B8489" s="1517"/>
      <c r="C8489" s="1517"/>
      <c r="D8489" s="1517"/>
      <c r="E8489" s="1517"/>
      <c r="F8489" s="1517"/>
      <c r="G8489" s="1518"/>
      <c r="H8489" s="271">
        <f>SUM(H8487:H8488)</f>
        <v>3</v>
      </c>
      <c r="I8489" s="1508"/>
      <c r="J8489" s="1509"/>
      <c r="K8489" s="1509"/>
      <c r="L8489" s="1509"/>
      <c r="M8489" s="1509"/>
      <c r="N8489" s="1510"/>
    </row>
    <row r="8490" spans="1:14">
      <c r="A8490" s="1519" t="s">
        <v>2219</v>
      </c>
      <c r="B8490" s="1517"/>
      <c r="C8490" s="1517"/>
      <c r="D8490" s="1517"/>
      <c r="E8490" s="1517"/>
      <c r="F8490" s="1517"/>
      <c r="G8490" s="1518"/>
      <c r="H8490" s="325">
        <v>2</v>
      </c>
      <c r="I8490" s="1508"/>
      <c r="J8490" s="1509"/>
      <c r="K8490" s="1509"/>
      <c r="L8490" s="1509"/>
      <c r="M8490" s="1509"/>
      <c r="N8490" s="1510"/>
    </row>
    <row r="8491" spans="1:14" ht="15.75" thickBot="1">
      <c r="A8491" s="1520" t="s">
        <v>2220</v>
      </c>
      <c r="B8491" s="1521"/>
      <c r="C8491" s="1521"/>
      <c r="D8491" s="1521"/>
      <c r="E8491" s="1521"/>
      <c r="F8491" s="1521"/>
      <c r="G8491" s="1522"/>
      <c r="H8491" s="216">
        <f>H8489-H8490</f>
        <v>1</v>
      </c>
      <c r="I8491" s="1511"/>
      <c r="J8491" s="1512"/>
      <c r="K8491" s="1512"/>
      <c r="L8491" s="1512"/>
      <c r="M8491" s="1512"/>
      <c r="N8491" s="1513"/>
    </row>
    <row r="8492" spans="1:14" ht="15.75" thickBot="1"/>
    <row r="8493" spans="1:14">
      <c r="A8493" s="1084" t="s">
        <v>3824</v>
      </c>
      <c r="B8493" s="1494" t="s">
        <v>2071</v>
      </c>
      <c r="C8493" s="1495"/>
      <c r="D8493" s="1495"/>
      <c r="E8493" s="1495"/>
      <c r="F8493" s="1495"/>
      <c r="G8493" s="1495"/>
      <c r="H8493" s="1495"/>
      <c r="I8493" s="1495"/>
      <c r="J8493" s="1496"/>
      <c r="K8493" s="196" t="s">
        <v>3154</v>
      </c>
      <c r="L8493" s="1497">
        <f>'27ª MEDIÇÃO '!F651</f>
        <v>8.2200000000000006</v>
      </c>
      <c r="M8493" s="1498"/>
      <c r="N8493" s="197">
        <f>L8493-H8498</f>
        <v>0</v>
      </c>
    </row>
    <row r="8494" spans="1:14">
      <c r="A8494" s="1499"/>
      <c r="B8494" s="1500"/>
      <c r="C8494" s="366"/>
      <c r="D8494" s="367" t="s">
        <v>2183</v>
      </c>
      <c r="E8494" s="1320" t="s">
        <v>2184</v>
      </c>
      <c r="F8494" s="367" t="s">
        <v>2185</v>
      </c>
      <c r="G8494" s="367" t="s">
        <v>2186</v>
      </c>
      <c r="H8494" s="1503" t="s">
        <v>476</v>
      </c>
      <c r="I8494" s="1505"/>
      <c r="J8494" s="1506"/>
      <c r="K8494" s="1506"/>
      <c r="L8494" s="1506"/>
      <c r="M8494" s="1506"/>
      <c r="N8494" s="1507"/>
    </row>
    <row r="8495" spans="1:14" ht="24">
      <c r="A8495" s="1501"/>
      <c r="B8495" s="1502"/>
      <c r="C8495" s="368" t="s">
        <v>2627</v>
      </c>
      <c r="D8495" s="369" t="s">
        <v>2187</v>
      </c>
      <c r="E8495" s="529" t="s">
        <v>3152</v>
      </c>
      <c r="F8495" s="369" t="s">
        <v>2649</v>
      </c>
      <c r="G8495" s="370" t="s">
        <v>2709</v>
      </c>
      <c r="H8495" s="1504"/>
      <c r="I8495" s="1508"/>
      <c r="J8495" s="1509"/>
      <c r="K8495" s="1509"/>
      <c r="L8495" s="1509"/>
      <c r="M8495" s="1509"/>
      <c r="N8495" s="1510"/>
    </row>
    <row r="8496" spans="1:14">
      <c r="A8496" s="1098"/>
      <c r="B8496" s="429"/>
      <c r="C8496" s="756"/>
      <c r="D8496" s="202"/>
      <c r="E8496" s="346"/>
      <c r="F8496" s="346"/>
      <c r="G8496" s="346"/>
      <c r="H8496" s="403">
        <v>8.2200000000000006</v>
      </c>
      <c r="I8496" s="1508"/>
      <c r="J8496" s="1509"/>
      <c r="K8496" s="1509"/>
      <c r="L8496" s="1509"/>
      <c r="M8496" s="1509"/>
      <c r="N8496" s="1510"/>
    </row>
    <row r="8497" spans="1:25" s="1415" customFormat="1" ht="168.6" customHeight="1">
      <c r="A8497" s="1396" t="s">
        <v>4172</v>
      </c>
      <c r="B8497" s="1524" t="s">
        <v>4173</v>
      </c>
      <c r="C8497" s="1525"/>
      <c r="D8497" s="1525"/>
      <c r="E8497" s="1525"/>
      <c r="F8497" s="1525"/>
      <c r="G8497" s="1525"/>
      <c r="H8497" s="1526"/>
      <c r="I8497" s="1508"/>
      <c r="J8497" s="1509"/>
      <c r="K8497" s="1509"/>
      <c r="L8497" s="1509"/>
      <c r="M8497" s="1509"/>
      <c r="N8497" s="1510"/>
      <c r="O8497"/>
      <c r="P8497"/>
      <c r="Q8497"/>
      <c r="R8497"/>
      <c r="S8497"/>
      <c r="T8497"/>
      <c r="U8497"/>
      <c r="V8497"/>
      <c r="W8497"/>
      <c r="X8497"/>
      <c r="Y8497"/>
    </row>
    <row r="8498" spans="1:25">
      <c r="A8498" s="1516" t="s">
        <v>2218</v>
      </c>
      <c r="B8498" s="1517"/>
      <c r="C8498" s="1517"/>
      <c r="D8498" s="1517"/>
      <c r="E8498" s="1517"/>
      <c r="F8498" s="1517"/>
      <c r="G8498" s="1518"/>
      <c r="H8498" s="271">
        <f>SUM(H8496:H8497)</f>
        <v>8.2200000000000006</v>
      </c>
      <c r="I8498" s="1508"/>
      <c r="J8498" s="1509"/>
      <c r="K8498" s="1509"/>
      <c r="L8498" s="1509"/>
      <c r="M8498" s="1509"/>
      <c r="N8498" s="1510"/>
    </row>
    <row r="8499" spans="1:25">
      <c r="A8499" s="1519" t="s">
        <v>2219</v>
      </c>
      <c r="B8499" s="1517"/>
      <c r="C8499" s="1517"/>
      <c r="D8499" s="1517"/>
      <c r="E8499" s="1517"/>
      <c r="F8499" s="1517"/>
      <c r="G8499" s="1518"/>
      <c r="H8499" s="325">
        <v>0</v>
      </c>
      <c r="I8499" s="1508"/>
      <c r="J8499" s="1509"/>
      <c r="K8499" s="1509"/>
      <c r="L8499" s="1509"/>
      <c r="M8499" s="1509"/>
      <c r="N8499" s="1510"/>
    </row>
    <row r="8500" spans="1:25" ht="15.75" thickBot="1">
      <c r="A8500" s="1520" t="s">
        <v>2220</v>
      </c>
      <c r="B8500" s="1521"/>
      <c r="C8500" s="1521"/>
      <c r="D8500" s="1521"/>
      <c r="E8500" s="1521"/>
      <c r="F8500" s="1521"/>
      <c r="G8500" s="1522"/>
      <c r="H8500" s="216">
        <f>H8498-H8499</f>
        <v>8.2200000000000006</v>
      </c>
      <c r="I8500" s="1511"/>
      <c r="J8500" s="1512"/>
      <c r="K8500" s="1512"/>
      <c r="L8500" s="1512"/>
      <c r="M8500" s="1512"/>
      <c r="N8500" s="1513"/>
    </row>
    <row r="8501" spans="1:25" ht="15.75" thickBot="1"/>
    <row r="8502" spans="1:25">
      <c r="A8502" s="1084" t="s">
        <v>3825</v>
      </c>
      <c r="B8502" s="1494" t="s">
        <v>2073</v>
      </c>
      <c r="C8502" s="1495"/>
      <c r="D8502" s="1495"/>
      <c r="E8502" s="1495"/>
      <c r="F8502" s="1495"/>
      <c r="G8502" s="1495"/>
      <c r="H8502" s="1495"/>
      <c r="I8502" s="1495"/>
      <c r="J8502" s="1496"/>
      <c r="K8502" s="196" t="s">
        <v>3154</v>
      </c>
      <c r="L8502" s="1497">
        <v>8.3000000000000007</v>
      </c>
      <c r="M8502" s="1498"/>
      <c r="N8502" s="197">
        <f>L8502-H8507</f>
        <v>0</v>
      </c>
    </row>
    <row r="8503" spans="1:25">
      <c r="A8503" s="1499"/>
      <c r="B8503" s="1500"/>
      <c r="C8503" s="366"/>
      <c r="D8503" s="367" t="s">
        <v>2183</v>
      </c>
      <c r="E8503" s="1320" t="s">
        <v>2184</v>
      </c>
      <c r="F8503" s="367" t="s">
        <v>2185</v>
      </c>
      <c r="G8503" s="367" t="s">
        <v>2186</v>
      </c>
      <c r="H8503" s="1503" t="s">
        <v>476</v>
      </c>
      <c r="I8503" s="1505"/>
      <c r="J8503" s="1506"/>
      <c r="K8503" s="1506"/>
      <c r="L8503" s="1506"/>
      <c r="M8503" s="1506"/>
      <c r="N8503" s="1507"/>
    </row>
    <row r="8504" spans="1:25" ht="24">
      <c r="A8504" s="1501"/>
      <c r="B8504" s="1502"/>
      <c r="C8504" s="368" t="s">
        <v>2627</v>
      </c>
      <c r="D8504" s="369" t="s">
        <v>2187</v>
      </c>
      <c r="E8504" s="529" t="s">
        <v>3152</v>
      </c>
      <c r="F8504" s="369" t="s">
        <v>2649</v>
      </c>
      <c r="G8504" s="370" t="s">
        <v>2709</v>
      </c>
      <c r="H8504" s="1504"/>
      <c r="I8504" s="1508"/>
      <c r="J8504" s="1509"/>
      <c r="K8504" s="1509"/>
      <c r="L8504" s="1509"/>
      <c r="M8504" s="1509"/>
      <c r="N8504" s="1510"/>
    </row>
    <row r="8505" spans="1:25">
      <c r="A8505" s="1138" t="s">
        <v>3981</v>
      </c>
      <c r="B8505" s="429" t="s">
        <v>3786</v>
      </c>
      <c r="C8505" s="756">
        <v>8.3000000000000007</v>
      </c>
      <c r="D8505" s="202"/>
      <c r="E8505" s="346"/>
      <c r="F8505" s="346"/>
      <c r="G8505" s="346"/>
      <c r="H8505" s="403">
        <v>8.3000000000000007</v>
      </c>
      <c r="I8505" s="1508"/>
      <c r="J8505" s="1509"/>
      <c r="K8505" s="1509"/>
      <c r="L8505" s="1509"/>
      <c r="M8505" s="1509"/>
      <c r="N8505" s="1510"/>
    </row>
    <row r="8506" spans="1:25">
      <c r="A8506" s="1138"/>
      <c r="B8506" s="753"/>
      <c r="C8506" s="757"/>
      <c r="D8506" s="294"/>
      <c r="E8506" s="348"/>
      <c r="F8506" s="348"/>
      <c r="G8506" s="348"/>
      <c r="H8506" s="349"/>
      <c r="I8506" s="1508"/>
      <c r="J8506" s="1509"/>
      <c r="K8506" s="1509"/>
      <c r="L8506" s="1509"/>
      <c r="M8506" s="1509"/>
      <c r="N8506" s="1510"/>
    </row>
    <row r="8507" spans="1:25">
      <c r="A8507" s="1516" t="s">
        <v>2218</v>
      </c>
      <c r="B8507" s="1517"/>
      <c r="C8507" s="1517"/>
      <c r="D8507" s="1517"/>
      <c r="E8507" s="1517"/>
      <c r="F8507" s="1517"/>
      <c r="G8507" s="1518"/>
      <c r="H8507" s="271">
        <f>SUM(H8505:H8506)</f>
        <v>8.3000000000000007</v>
      </c>
      <c r="I8507" s="1508"/>
      <c r="J8507" s="1509"/>
      <c r="K8507" s="1509"/>
      <c r="L8507" s="1509"/>
      <c r="M8507" s="1509"/>
      <c r="N8507" s="1510"/>
    </row>
    <row r="8508" spans="1:25" ht="30" customHeight="1">
      <c r="A8508" s="1519" t="s">
        <v>2219</v>
      </c>
      <c r="B8508" s="1517"/>
      <c r="C8508" s="1517"/>
      <c r="D8508" s="1517"/>
      <c r="E8508" s="1517"/>
      <c r="F8508" s="1517"/>
      <c r="G8508" s="1518"/>
      <c r="H8508" s="325">
        <v>0</v>
      </c>
      <c r="I8508" s="1508"/>
      <c r="J8508" s="1509"/>
      <c r="K8508" s="1509"/>
      <c r="L8508" s="1509"/>
      <c r="M8508" s="1509"/>
      <c r="N8508" s="1510"/>
    </row>
    <row r="8509" spans="1:25" ht="15.75" thickBot="1">
      <c r="A8509" s="1520" t="s">
        <v>2220</v>
      </c>
      <c r="B8509" s="1521"/>
      <c r="C8509" s="1521"/>
      <c r="D8509" s="1521"/>
      <c r="E8509" s="1521"/>
      <c r="F8509" s="1521"/>
      <c r="G8509" s="1522"/>
      <c r="H8509" s="216">
        <f>H8507-H8508</f>
        <v>8.3000000000000007</v>
      </c>
      <c r="I8509" s="1511"/>
      <c r="J8509" s="1512"/>
      <c r="K8509" s="1512"/>
      <c r="L8509" s="1512"/>
      <c r="M8509" s="1512"/>
      <c r="N8509" s="1513"/>
    </row>
    <row r="8512" spans="1:25" ht="15.75" thickBot="1">
      <c r="A8512" s="1131">
        <v>203</v>
      </c>
      <c r="B8512" s="1581" t="s">
        <v>2075</v>
      </c>
      <c r="C8512" s="1582"/>
      <c r="D8512" s="1582"/>
      <c r="E8512" s="1582"/>
      <c r="F8512" s="1582"/>
      <c r="G8512" s="1582"/>
      <c r="H8512" s="1582"/>
      <c r="I8512" s="1582"/>
      <c r="J8512" s="1582"/>
      <c r="K8512" s="1582"/>
      <c r="L8512" s="1582"/>
      <c r="M8512" s="1582"/>
      <c r="N8512" s="1583"/>
    </row>
    <row r="8513" spans="1:14">
      <c r="A8513" s="1084" t="s">
        <v>4068</v>
      </c>
      <c r="B8513" s="1494" t="str">
        <f>'27ª MEDIÇÃO '!C654</f>
        <v>Bicicletário em tubo de aço inox 2" fixado por flange e chumbador mecânico</v>
      </c>
      <c r="C8513" s="1495"/>
      <c r="D8513" s="1495"/>
      <c r="E8513" s="1495"/>
      <c r="F8513" s="1495"/>
      <c r="G8513" s="1495"/>
      <c r="H8513" s="1495"/>
      <c r="I8513" s="1495"/>
      <c r="J8513" s="1496"/>
      <c r="K8513" s="196" t="s">
        <v>3154</v>
      </c>
      <c r="L8513" s="1497">
        <f>'27ª MEDIÇÃO '!F654</f>
        <v>11</v>
      </c>
      <c r="M8513" s="1498"/>
      <c r="N8513" s="197">
        <f>L8513-H8518</f>
        <v>0</v>
      </c>
    </row>
    <row r="8514" spans="1:14">
      <c r="A8514" s="1499"/>
      <c r="B8514" s="1500"/>
      <c r="C8514" s="366"/>
      <c r="D8514" s="367" t="s">
        <v>2183</v>
      </c>
      <c r="E8514" s="1320" t="s">
        <v>2184</v>
      </c>
      <c r="F8514" s="367" t="s">
        <v>2185</v>
      </c>
      <c r="G8514" s="367" t="s">
        <v>2186</v>
      </c>
      <c r="H8514" s="1503" t="s">
        <v>476</v>
      </c>
      <c r="I8514" s="1505"/>
      <c r="J8514" s="1506"/>
      <c r="K8514" s="1506"/>
      <c r="L8514" s="1506"/>
      <c r="M8514" s="1506"/>
      <c r="N8514" s="1507"/>
    </row>
    <row r="8515" spans="1:14" ht="24">
      <c r="A8515" s="1501"/>
      <c r="B8515" s="1502"/>
      <c r="C8515" s="368" t="s">
        <v>2627</v>
      </c>
      <c r="D8515" s="369" t="s">
        <v>2187</v>
      </c>
      <c r="E8515" s="529" t="s">
        <v>3152</v>
      </c>
      <c r="F8515" s="369" t="s">
        <v>2649</v>
      </c>
      <c r="G8515" s="370" t="s">
        <v>2709</v>
      </c>
      <c r="H8515" s="1504"/>
      <c r="I8515" s="1508"/>
      <c r="J8515" s="1509"/>
      <c r="K8515" s="1509"/>
      <c r="L8515" s="1509"/>
      <c r="M8515" s="1509"/>
      <c r="N8515" s="1510"/>
    </row>
    <row r="8516" spans="1:14" ht="30" customHeight="1">
      <c r="A8516" s="1098" t="s">
        <v>4003</v>
      </c>
      <c r="B8516" s="429" t="s">
        <v>4024</v>
      </c>
      <c r="C8516" s="756">
        <v>11</v>
      </c>
      <c r="D8516" s="202"/>
      <c r="E8516" s="346"/>
      <c r="F8516" s="346"/>
      <c r="G8516" s="346"/>
      <c r="H8516" s="403">
        <f>C8516</f>
        <v>11</v>
      </c>
      <c r="I8516" s="1508"/>
      <c r="J8516" s="1509"/>
      <c r="K8516" s="1509"/>
      <c r="L8516" s="1509"/>
      <c r="M8516" s="1509"/>
      <c r="N8516" s="1510"/>
    </row>
    <row r="8517" spans="1:14">
      <c r="A8517" s="1138"/>
      <c r="B8517" s="429"/>
      <c r="C8517" s="757"/>
      <c r="D8517" s="294"/>
      <c r="E8517" s="348"/>
      <c r="F8517" s="348"/>
      <c r="G8517" s="348"/>
      <c r="H8517" s="349"/>
      <c r="I8517" s="1508"/>
      <c r="J8517" s="1509"/>
      <c r="K8517" s="1509"/>
      <c r="L8517" s="1509"/>
      <c r="M8517" s="1509"/>
      <c r="N8517" s="1510"/>
    </row>
    <row r="8518" spans="1:14">
      <c r="A8518" s="1516" t="s">
        <v>2218</v>
      </c>
      <c r="B8518" s="1517"/>
      <c r="C8518" s="1517"/>
      <c r="D8518" s="1517"/>
      <c r="E8518" s="1517"/>
      <c r="F8518" s="1517"/>
      <c r="G8518" s="1518"/>
      <c r="H8518" s="271">
        <f>SUM(H8516:H8517)</f>
        <v>11</v>
      </c>
      <c r="I8518" s="1508"/>
      <c r="J8518" s="1509"/>
      <c r="K8518" s="1509"/>
      <c r="L8518" s="1509"/>
      <c r="M8518" s="1509"/>
      <c r="N8518" s="1510"/>
    </row>
    <row r="8519" spans="1:14">
      <c r="A8519" s="1519" t="s">
        <v>2219</v>
      </c>
      <c r="B8519" s="1517"/>
      <c r="C8519" s="1517"/>
      <c r="D8519" s="1517"/>
      <c r="E8519" s="1517"/>
      <c r="F8519" s="1517"/>
      <c r="G8519" s="1518"/>
      <c r="H8519" s="325">
        <f>H8517</f>
        <v>0</v>
      </c>
      <c r="I8519" s="1508"/>
      <c r="J8519" s="1509"/>
      <c r="K8519" s="1509"/>
      <c r="L8519" s="1509"/>
      <c r="M8519" s="1509"/>
      <c r="N8519" s="1510"/>
    </row>
    <row r="8520" spans="1:14" ht="15.75" thickBot="1">
      <c r="A8520" s="1520" t="s">
        <v>2220</v>
      </c>
      <c r="B8520" s="1521"/>
      <c r="C8520" s="1521"/>
      <c r="D8520" s="1521"/>
      <c r="E8520" s="1521"/>
      <c r="F8520" s="1521"/>
      <c r="G8520" s="1522"/>
      <c r="H8520" s="216">
        <f>H8518-H8519</f>
        <v>11</v>
      </c>
      <c r="I8520" s="1511"/>
      <c r="J8520" s="1512"/>
      <c r="K8520" s="1512"/>
      <c r="L8520" s="1512"/>
      <c r="M8520" s="1512"/>
      <c r="N8520" s="1513"/>
    </row>
    <row r="8521" spans="1:14" ht="38.25" customHeight="1">
      <c r="A8521" s="1084" t="s">
        <v>3976</v>
      </c>
      <c r="B8521" s="1494" t="s">
        <v>2084</v>
      </c>
      <c r="C8521" s="1495"/>
      <c r="D8521" s="1495"/>
      <c r="E8521" s="1495"/>
      <c r="F8521" s="1495"/>
      <c r="G8521" s="1495"/>
      <c r="H8521" s="1495"/>
      <c r="I8521" s="1495"/>
      <c r="J8521" s="1496"/>
      <c r="K8521" s="196" t="s">
        <v>3154</v>
      </c>
      <c r="L8521" s="1497">
        <v>1</v>
      </c>
      <c r="M8521" s="1498"/>
      <c r="N8521" s="197">
        <f>L8521-H8526</f>
        <v>0</v>
      </c>
    </row>
    <row r="8522" spans="1:14">
      <c r="A8522" s="1499"/>
      <c r="B8522" s="1500"/>
      <c r="C8522" s="366"/>
      <c r="D8522" s="367" t="s">
        <v>2183</v>
      </c>
      <c r="E8522" s="1320" t="s">
        <v>2184</v>
      </c>
      <c r="F8522" s="367" t="s">
        <v>2185</v>
      </c>
      <c r="G8522" s="367" t="s">
        <v>2186</v>
      </c>
      <c r="H8522" s="1503" t="s">
        <v>476</v>
      </c>
      <c r="I8522" s="1505"/>
      <c r="J8522" s="1506"/>
      <c r="K8522" s="1506"/>
      <c r="L8522" s="1506"/>
      <c r="M8522" s="1506"/>
      <c r="N8522" s="1507"/>
    </row>
    <row r="8523" spans="1:14" ht="24">
      <c r="A8523" s="1501"/>
      <c r="B8523" s="1502"/>
      <c r="C8523" s="368" t="s">
        <v>2627</v>
      </c>
      <c r="D8523" s="369" t="s">
        <v>2187</v>
      </c>
      <c r="E8523" s="529" t="s">
        <v>3152</v>
      </c>
      <c r="F8523" s="369" t="s">
        <v>2649</v>
      </c>
      <c r="G8523" s="370" t="s">
        <v>2709</v>
      </c>
      <c r="H8523" s="1504"/>
      <c r="I8523" s="1508"/>
      <c r="J8523" s="1509"/>
      <c r="K8523" s="1509"/>
      <c r="L8523" s="1509"/>
      <c r="M8523" s="1509"/>
      <c r="N8523" s="1510"/>
    </row>
    <row r="8524" spans="1:14">
      <c r="A8524" s="1098" t="s">
        <v>3937</v>
      </c>
      <c r="B8524" s="429" t="s">
        <v>3977</v>
      </c>
      <c r="C8524" s="756"/>
      <c r="D8524" s="202"/>
      <c r="E8524" s="346"/>
      <c r="F8524" s="346"/>
      <c r="G8524" s="346">
        <v>0.5</v>
      </c>
      <c r="H8524" s="403">
        <v>0.5</v>
      </c>
      <c r="I8524" s="1508"/>
      <c r="J8524" s="1509"/>
      <c r="K8524" s="1509"/>
      <c r="L8524" s="1509"/>
      <c r="M8524" s="1509"/>
      <c r="N8524" s="1510"/>
    </row>
    <row r="8525" spans="1:14">
      <c r="A8525" s="1138" t="s">
        <v>3981</v>
      </c>
      <c r="B8525" s="429" t="s">
        <v>3977</v>
      </c>
      <c r="C8525" s="757"/>
      <c r="D8525" s="294"/>
      <c r="E8525" s="348"/>
      <c r="F8525" s="348"/>
      <c r="G8525" s="348">
        <v>0.5</v>
      </c>
      <c r="H8525" s="349">
        <v>0.5</v>
      </c>
      <c r="I8525" s="1508"/>
      <c r="J8525" s="1509"/>
      <c r="K8525" s="1509"/>
      <c r="L8525" s="1509"/>
      <c r="M8525" s="1509"/>
      <c r="N8525" s="1510"/>
    </row>
    <row r="8526" spans="1:14">
      <c r="A8526" s="1516" t="s">
        <v>2218</v>
      </c>
      <c r="B8526" s="1517"/>
      <c r="C8526" s="1517"/>
      <c r="D8526" s="1517"/>
      <c r="E8526" s="1517"/>
      <c r="F8526" s="1517"/>
      <c r="G8526" s="1518"/>
      <c r="H8526" s="271">
        <f>SUM(H8524:H8525)</f>
        <v>1</v>
      </c>
      <c r="I8526" s="1508"/>
      <c r="J8526" s="1509"/>
      <c r="K8526" s="1509"/>
      <c r="L8526" s="1509"/>
      <c r="M8526" s="1509"/>
      <c r="N8526" s="1510"/>
    </row>
    <row r="8527" spans="1:14">
      <c r="A8527" s="1519" t="s">
        <v>2219</v>
      </c>
      <c r="B8527" s="1517"/>
      <c r="C8527" s="1517"/>
      <c r="D8527" s="1517"/>
      <c r="E8527" s="1517"/>
      <c r="F8527" s="1517"/>
      <c r="G8527" s="1518"/>
      <c r="H8527" s="325">
        <f>H8524</f>
        <v>0.5</v>
      </c>
      <c r="I8527" s="1508"/>
      <c r="J8527" s="1509"/>
      <c r="K8527" s="1509"/>
      <c r="L8527" s="1509"/>
      <c r="M8527" s="1509"/>
      <c r="N8527" s="1510"/>
    </row>
    <row r="8528" spans="1:14" ht="15.75" thickBot="1">
      <c r="A8528" s="1520" t="s">
        <v>2220</v>
      </c>
      <c r="B8528" s="1521"/>
      <c r="C8528" s="1521"/>
      <c r="D8528" s="1521"/>
      <c r="E8528" s="1521"/>
      <c r="F8528" s="1521"/>
      <c r="G8528" s="1522"/>
      <c r="H8528" s="216">
        <f>H8526-H8527</f>
        <v>0.5</v>
      </c>
      <c r="I8528" s="1511"/>
      <c r="J8528" s="1512"/>
      <c r="K8528" s="1512"/>
      <c r="L8528" s="1512"/>
      <c r="M8528" s="1512"/>
      <c r="N8528" s="1513"/>
    </row>
    <row r="8529" spans="1:14" ht="15.75" thickBot="1"/>
    <row r="8530" spans="1:14" ht="16.5" thickBot="1">
      <c r="A8530" s="1128">
        <v>2004</v>
      </c>
      <c r="B8530" s="1491" t="s">
        <v>2086</v>
      </c>
      <c r="C8530" s="1492"/>
      <c r="D8530" s="1492"/>
      <c r="E8530" s="1492"/>
      <c r="F8530" s="1492"/>
      <c r="G8530" s="1492"/>
      <c r="H8530" s="1492"/>
      <c r="I8530" s="1492"/>
      <c r="J8530" s="1492"/>
      <c r="K8530" s="1492"/>
      <c r="L8530" s="1492"/>
      <c r="M8530" s="1492"/>
      <c r="N8530" s="1493"/>
    </row>
    <row r="8531" spans="1:14">
      <c r="A8531" s="1084" t="s">
        <v>3684</v>
      </c>
      <c r="B8531" s="1494" t="s">
        <v>3685</v>
      </c>
      <c r="C8531" s="1495"/>
      <c r="D8531" s="1495"/>
      <c r="E8531" s="1495"/>
      <c r="F8531" s="1495"/>
      <c r="G8531" s="1495"/>
      <c r="H8531" s="1495"/>
      <c r="I8531" s="1495"/>
      <c r="J8531" s="1496"/>
      <c r="K8531" s="196" t="s">
        <v>28</v>
      </c>
      <c r="L8531" s="1497">
        <f>'27ª MEDIÇÃO '!F658</f>
        <v>227.88</v>
      </c>
      <c r="M8531" s="1498"/>
      <c r="N8531" s="197">
        <f>L8531-H8605</f>
        <v>0</v>
      </c>
    </row>
    <row r="8532" spans="1:14">
      <c r="A8532" s="1499"/>
      <c r="B8532" s="1500"/>
      <c r="C8532" s="366"/>
      <c r="D8532" s="367"/>
      <c r="E8532" s="1320"/>
      <c r="F8532" s="367"/>
      <c r="G8532" s="367"/>
      <c r="H8532" s="1503" t="s">
        <v>476</v>
      </c>
      <c r="I8532" s="1249"/>
      <c r="J8532" s="1250"/>
      <c r="K8532" s="1250"/>
      <c r="L8532" s="1250"/>
      <c r="M8532" s="1250"/>
      <c r="N8532" s="1251"/>
    </row>
    <row r="8533" spans="1:14" ht="30">
      <c r="A8533" s="1501"/>
      <c r="B8533" s="1502"/>
      <c r="C8533" s="97" t="s">
        <v>3393</v>
      </c>
      <c r="D8533" s="97" t="s">
        <v>3214</v>
      </c>
      <c r="E8533" s="97" t="s">
        <v>3457</v>
      </c>
      <c r="F8533" s="574"/>
      <c r="G8533" s="97" t="s">
        <v>3048</v>
      </c>
      <c r="H8533" s="1504"/>
      <c r="I8533" s="1252"/>
      <c r="J8533" s="1253"/>
      <c r="K8533" s="1253"/>
      <c r="L8533" s="1253"/>
      <c r="M8533" s="1253"/>
      <c r="N8533" s="1254"/>
    </row>
    <row r="8534" spans="1:14" ht="15.75">
      <c r="A8534" s="1536" t="s">
        <v>3620</v>
      </c>
      <c r="B8534" s="959" t="s">
        <v>3686</v>
      </c>
      <c r="C8534" s="317"/>
      <c r="D8534" s="317"/>
      <c r="E8534" s="1377"/>
      <c r="F8534" s="317"/>
      <c r="G8534" s="317"/>
      <c r="H8534" s="857"/>
      <c r="I8534" s="1628" t="s">
        <v>3686</v>
      </c>
      <c r="J8534" s="1629"/>
      <c r="K8534" s="1629"/>
      <c r="L8534" s="1629"/>
      <c r="M8534" s="1629"/>
      <c r="N8534" s="1254"/>
    </row>
    <row r="8535" spans="1:14" ht="15.75">
      <c r="A8535" s="1536"/>
      <c r="B8535" s="926" t="s">
        <v>3687</v>
      </c>
      <c r="C8535" s="317">
        <v>20.86</v>
      </c>
      <c r="D8535" s="317"/>
      <c r="E8535" s="1377">
        <v>0.1</v>
      </c>
      <c r="F8535" s="317"/>
      <c r="G8535" s="317"/>
      <c r="H8535" s="857">
        <f>E8535*C8535</f>
        <v>2.0859999999999999</v>
      </c>
      <c r="I8535" s="1626" t="s">
        <v>3687</v>
      </c>
      <c r="J8535" s="1627"/>
      <c r="K8535" s="1627"/>
      <c r="L8535" s="1627"/>
      <c r="M8535" s="1627"/>
      <c r="N8535" s="1258">
        <f>E8535+E8547+E8558</f>
        <v>0.5</v>
      </c>
    </row>
    <row r="8536" spans="1:14" ht="15.75">
      <c r="A8536" s="1536"/>
      <c r="B8536" s="926" t="s">
        <v>3688</v>
      </c>
      <c r="C8536" s="317">
        <v>10.97</v>
      </c>
      <c r="D8536" s="317"/>
      <c r="E8536" s="1377"/>
      <c r="F8536" s="317"/>
      <c r="G8536" s="317"/>
      <c r="H8536" s="857">
        <f t="shared" ref="H8536:H8544" si="166">E8536*C8536</f>
        <v>0</v>
      </c>
      <c r="I8536" s="1626" t="s">
        <v>3688</v>
      </c>
      <c r="J8536" s="1627"/>
      <c r="K8536" s="1627"/>
      <c r="L8536" s="1627"/>
      <c r="M8536" s="1627"/>
      <c r="N8536" s="1258">
        <f>E8536+E8548+E8559</f>
        <v>0.9</v>
      </c>
    </row>
    <row r="8537" spans="1:14" ht="15.75">
      <c r="A8537" s="1536"/>
      <c r="B8537" s="926" t="s">
        <v>3689</v>
      </c>
      <c r="C8537" s="317">
        <v>34.56</v>
      </c>
      <c r="D8537" s="317"/>
      <c r="E8537" s="1377">
        <v>0.6</v>
      </c>
      <c r="F8537" s="317"/>
      <c r="G8537" s="317"/>
      <c r="H8537" s="857">
        <f t="shared" si="166"/>
        <v>20.736000000000001</v>
      </c>
      <c r="I8537" s="1626" t="s">
        <v>3689</v>
      </c>
      <c r="J8537" s="1627"/>
      <c r="K8537" s="1627"/>
      <c r="L8537" s="1627"/>
      <c r="M8537" s="1627"/>
      <c r="N8537" s="1258">
        <f>E8537+E8549+E8560</f>
        <v>0.89999999999999991</v>
      </c>
    </row>
    <row r="8538" spans="1:14" ht="15.75">
      <c r="A8538" s="1536"/>
      <c r="B8538" s="926" t="s">
        <v>3688</v>
      </c>
      <c r="C8538" s="317">
        <v>10.97</v>
      </c>
      <c r="D8538" s="317"/>
      <c r="E8538" s="1377"/>
      <c r="F8538" s="317"/>
      <c r="G8538" s="317"/>
      <c r="H8538" s="857">
        <f t="shared" si="166"/>
        <v>0</v>
      </c>
      <c r="I8538" s="1626" t="s">
        <v>3688</v>
      </c>
      <c r="J8538" s="1627"/>
      <c r="K8538" s="1627"/>
      <c r="L8538" s="1627"/>
      <c r="M8538" s="1627"/>
      <c r="N8538" s="1258">
        <f>E8538+E8550+E8561</f>
        <v>0</v>
      </c>
    </row>
    <row r="8539" spans="1:14" ht="15.75">
      <c r="A8539" s="1536"/>
      <c r="B8539" s="959" t="s">
        <v>3690</v>
      </c>
      <c r="C8539" s="317"/>
      <c r="D8539" s="317"/>
      <c r="E8539" s="1377"/>
      <c r="F8539" s="317"/>
      <c r="G8539" s="317"/>
      <c r="H8539" s="857"/>
      <c r="I8539" s="1628" t="s">
        <v>3690</v>
      </c>
      <c r="J8539" s="1629"/>
      <c r="K8539" s="1629"/>
      <c r="L8539" s="1629"/>
      <c r="M8539" s="1629"/>
      <c r="N8539" s="1254"/>
    </row>
    <row r="8540" spans="1:14" ht="15.75">
      <c r="A8540" s="1536"/>
      <c r="B8540" s="926" t="s">
        <v>3687</v>
      </c>
      <c r="C8540" s="317">
        <v>64.61</v>
      </c>
      <c r="D8540" s="317"/>
      <c r="E8540" s="1377">
        <v>0.1</v>
      </c>
      <c r="F8540" s="317"/>
      <c r="G8540" s="317"/>
      <c r="H8540" s="857">
        <f t="shared" si="166"/>
        <v>6.4610000000000003</v>
      </c>
      <c r="I8540" s="1626" t="s">
        <v>3687</v>
      </c>
      <c r="J8540" s="1627"/>
      <c r="K8540" s="1627"/>
      <c r="L8540" s="1627"/>
      <c r="M8540" s="1627"/>
      <c r="N8540" s="1258">
        <v>0.75</v>
      </c>
    </row>
    <row r="8541" spans="1:14" ht="15.75">
      <c r="A8541" s="1536"/>
      <c r="B8541" s="926" t="s">
        <v>3691</v>
      </c>
      <c r="C8541" s="317">
        <v>45.67</v>
      </c>
      <c r="D8541" s="317"/>
      <c r="E8541" s="1377">
        <v>0.1</v>
      </c>
      <c r="F8541" s="317"/>
      <c r="G8541" s="317"/>
      <c r="H8541" s="857">
        <f t="shared" si="166"/>
        <v>4.5670000000000002</v>
      </c>
      <c r="I8541" s="1626" t="s">
        <v>3691</v>
      </c>
      <c r="J8541" s="1627"/>
      <c r="K8541" s="1627"/>
      <c r="L8541" s="1627"/>
      <c r="M8541" s="1627"/>
      <c r="N8541" s="1258">
        <v>0.4</v>
      </c>
    </row>
    <row r="8542" spans="1:14" ht="15.75">
      <c r="A8542" s="1536"/>
      <c r="B8542" s="926" t="s">
        <v>3689</v>
      </c>
      <c r="C8542" s="317">
        <v>34.24</v>
      </c>
      <c r="D8542" s="317"/>
      <c r="E8542" s="1377">
        <v>0.1</v>
      </c>
      <c r="F8542" s="317"/>
      <c r="G8542" s="317"/>
      <c r="H8542" s="857">
        <f t="shared" si="166"/>
        <v>3.4240000000000004</v>
      </c>
      <c r="I8542" s="1626" t="s">
        <v>3689</v>
      </c>
      <c r="J8542" s="1627"/>
      <c r="K8542" s="1627"/>
      <c r="L8542" s="1627"/>
      <c r="M8542" s="1627"/>
      <c r="N8542" s="1258">
        <f>E8542+E8554+E8565</f>
        <v>0.9</v>
      </c>
    </row>
    <row r="8543" spans="1:14" ht="15.75">
      <c r="A8543" s="1536"/>
      <c r="B8543" s="959" t="s">
        <v>3692</v>
      </c>
      <c r="C8543" s="317"/>
      <c r="D8543" s="317"/>
      <c r="E8543" s="1377"/>
      <c r="F8543" s="317"/>
      <c r="G8543" s="317"/>
      <c r="H8543" s="857"/>
      <c r="I8543" s="1628" t="s">
        <v>3692</v>
      </c>
      <c r="J8543" s="1629"/>
      <c r="K8543" s="1629"/>
      <c r="L8543" s="1629"/>
      <c r="M8543" s="1629"/>
      <c r="N8543" s="1254"/>
    </row>
    <row r="8544" spans="1:14">
      <c r="A8544" s="1536"/>
      <c r="B8544" s="926" t="s">
        <v>3693</v>
      </c>
      <c r="C8544" s="317">
        <v>6</v>
      </c>
      <c r="D8544" s="317"/>
      <c r="E8544" s="1377"/>
      <c r="F8544" s="317"/>
      <c r="G8544" s="317"/>
      <c r="H8544" s="857">
        <f t="shared" si="166"/>
        <v>0</v>
      </c>
      <c r="I8544" s="1626" t="s">
        <v>3693</v>
      </c>
      <c r="J8544" s="1627"/>
      <c r="K8544" s="1627"/>
      <c r="L8544" s="1627"/>
      <c r="M8544" s="1627"/>
      <c r="N8544" s="1258">
        <f>E8544+E8556+E8567</f>
        <v>0</v>
      </c>
    </row>
    <row r="8545" spans="1:14">
      <c r="A8545" s="1537"/>
      <c r="B8545" s="921"/>
      <c r="C8545" s="317"/>
      <c r="D8545" s="317"/>
      <c r="E8545" s="1315"/>
      <c r="F8545" s="317"/>
      <c r="G8545" s="317"/>
      <c r="H8545" s="857"/>
      <c r="I8545" s="1252"/>
      <c r="J8545" s="1253"/>
      <c r="K8545" s="1253"/>
      <c r="L8545" s="1253"/>
      <c r="M8545" s="1253"/>
      <c r="N8545" s="1254"/>
    </row>
    <row r="8546" spans="1:14">
      <c r="A8546" s="1532" t="s">
        <v>3850</v>
      </c>
      <c r="B8546" s="959" t="s">
        <v>3686</v>
      </c>
      <c r="C8546" s="317"/>
      <c r="D8546" s="317"/>
      <c r="E8546" s="1377"/>
      <c r="F8546" s="317"/>
      <c r="G8546" s="317"/>
      <c r="H8546" s="857"/>
      <c r="I8546" s="1252"/>
      <c r="J8546" s="1253"/>
      <c r="K8546" s="1253"/>
      <c r="L8546" s="1253"/>
      <c r="M8546" s="1253"/>
      <c r="N8546" s="1254"/>
    </row>
    <row r="8547" spans="1:14">
      <c r="A8547" s="1527"/>
      <c r="B8547" s="926" t="s">
        <v>3687</v>
      </c>
      <c r="C8547" s="317">
        <v>20.86</v>
      </c>
      <c r="D8547" s="317"/>
      <c r="E8547" s="1377"/>
      <c r="F8547" s="317"/>
      <c r="G8547" s="317"/>
      <c r="H8547" s="857">
        <f>E8547*C8547</f>
        <v>0</v>
      </c>
      <c r="I8547" s="1252"/>
      <c r="J8547" s="1253"/>
      <c r="K8547" s="1253"/>
      <c r="L8547" s="1253"/>
      <c r="M8547" s="1253"/>
      <c r="N8547" s="1254"/>
    </row>
    <row r="8548" spans="1:14">
      <c r="A8548" s="1527"/>
      <c r="B8548" s="926" t="s">
        <v>3688</v>
      </c>
      <c r="C8548" s="317">
        <v>10.97</v>
      </c>
      <c r="D8548" s="317"/>
      <c r="E8548" s="1377"/>
      <c r="F8548" s="317"/>
      <c r="G8548" s="317"/>
      <c r="H8548" s="857">
        <f>E8548*C8548</f>
        <v>0</v>
      </c>
      <c r="I8548" s="1252"/>
      <c r="J8548" s="1253"/>
      <c r="K8548" s="1253"/>
      <c r="L8548" s="1253"/>
      <c r="M8548" s="1253"/>
      <c r="N8548" s="1254"/>
    </row>
    <row r="8549" spans="1:14">
      <c r="A8549" s="1527"/>
      <c r="B8549" s="926" t="s">
        <v>3689</v>
      </c>
      <c r="C8549" s="317">
        <v>34.56</v>
      </c>
      <c r="D8549" s="317"/>
      <c r="E8549" s="1377">
        <v>0.3</v>
      </c>
      <c r="F8549" s="317"/>
      <c r="G8549" s="317"/>
      <c r="H8549" s="857">
        <f>E8549*C8549</f>
        <v>10.368</v>
      </c>
      <c r="I8549" s="1252"/>
      <c r="J8549" s="1253"/>
      <c r="K8549" s="1253"/>
      <c r="L8549" s="1253"/>
      <c r="M8549" s="1253"/>
      <c r="N8549" s="1254"/>
    </row>
    <row r="8550" spans="1:14">
      <c r="A8550" s="1527"/>
      <c r="B8550" s="926" t="s">
        <v>3688</v>
      </c>
      <c r="C8550" s="317">
        <v>10.97</v>
      </c>
      <c r="D8550" s="317"/>
      <c r="E8550" s="1377"/>
      <c r="F8550" s="317"/>
      <c r="G8550" s="317"/>
      <c r="H8550" s="857">
        <f>E8550*C8550</f>
        <v>0</v>
      </c>
      <c r="I8550" s="1252"/>
      <c r="J8550" s="1253"/>
      <c r="K8550" s="1253"/>
      <c r="L8550" s="1253"/>
      <c r="M8550" s="1253"/>
      <c r="N8550" s="1254"/>
    </row>
    <row r="8551" spans="1:14">
      <c r="A8551" s="1527"/>
      <c r="B8551" s="959" t="s">
        <v>3690</v>
      </c>
      <c r="C8551" s="317"/>
      <c r="D8551" s="317"/>
      <c r="E8551" s="1377"/>
      <c r="F8551" s="317"/>
      <c r="G8551" s="317"/>
      <c r="H8551" s="857"/>
      <c r="I8551" s="1252"/>
      <c r="J8551" s="1253"/>
      <c r="K8551" s="1253"/>
      <c r="L8551" s="1253"/>
      <c r="M8551" s="1253"/>
      <c r="N8551" s="1254"/>
    </row>
    <row r="8552" spans="1:14">
      <c r="A8552" s="1527"/>
      <c r="B8552" s="926" t="s">
        <v>3687</v>
      </c>
      <c r="C8552" s="317">
        <v>64.61</v>
      </c>
      <c r="D8552" s="317"/>
      <c r="E8552" s="1377"/>
      <c r="F8552" s="317"/>
      <c r="G8552" s="317"/>
      <c r="H8552" s="857">
        <f>E8552*C8552</f>
        <v>0</v>
      </c>
      <c r="I8552" s="1252"/>
      <c r="J8552" s="1253"/>
      <c r="K8552" s="1253"/>
      <c r="L8552" s="1253"/>
      <c r="M8552" s="1253"/>
      <c r="N8552" s="1254"/>
    </row>
    <row r="8553" spans="1:14">
      <c r="A8553" s="1527"/>
      <c r="B8553" s="926" t="s">
        <v>3691</v>
      </c>
      <c r="C8553" s="317">
        <v>45.67</v>
      </c>
      <c r="D8553" s="317"/>
      <c r="E8553" s="1377"/>
      <c r="F8553" s="317"/>
      <c r="G8553" s="317"/>
      <c r="H8553" s="857">
        <f>E8553*C8553</f>
        <v>0</v>
      </c>
      <c r="I8553" s="1252"/>
      <c r="J8553" s="1253"/>
      <c r="K8553" s="1253"/>
      <c r="L8553" s="1253"/>
      <c r="M8553" s="1253"/>
      <c r="N8553" s="1254"/>
    </row>
    <row r="8554" spans="1:14">
      <c r="A8554" s="1527"/>
      <c r="B8554" s="926" t="s">
        <v>3689</v>
      </c>
      <c r="C8554" s="317">
        <v>34.24</v>
      </c>
      <c r="D8554" s="317"/>
      <c r="E8554" s="1377">
        <v>0.8</v>
      </c>
      <c r="F8554" s="317"/>
      <c r="G8554" s="317"/>
      <c r="H8554" s="857">
        <f>E8554*C8554</f>
        <v>27.392000000000003</v>
      </c>
      <c r="I8554" s="1252"/>
      <c r="J8554" s="1253"/>
      <c r="K8554" s="1253"/>
      <c r="L8554" s="1253"/>
      <c r="M8554" s="1253"/>
      <c r="N8554" s="1254"/>
    </row>
    <row r="8555" spans="1:14">
      <c r="A8555" s="1527"/>
      <c r="B8555" s="959" t="s">
        <v>3692</v>
      </c>
      <c r="C8555" s="317"/>
      <c r="D8555" s="317"/>
      <c r="E8555" s="1377"/>
      <c r="F8555" s="317"/>
      <c r="G8555" s="317"/>
      <c r="H8555" s="857"/>
      <c r="I8555" s="1252"/>
      <c r="J8555" s="1253"/>
      <c r="K8555" s="1253"/>
      <c r="L8555" s="1253"/>
      <c r="M8555" s="1253"/>
      <c r="N8555" s="1254"/>
    </row>
    <row r="8556" spans="1:14">
      <c r="A8556" s="1527"/>
      <c r="B8556" s="926" t="s">
        <v>3693</v>
      </c>
      <c r="C8556" s="317">
        <v>6</v>
      </c>
      <c r="D8556" s="317"/>
      <c r="E8556" s="1377"/>
      <c r="F8556" s="317"/>
      <c r="G8556" s="317"/>
      <c r="H8556" s="857">
        <f>E8556*C8556</f>
        <v>0</v>
      </c>
      <c r="I8556" s="1252"/>
      <c r="J8556" s="1253"/>
      <c r="K8556" s="1253"/>
      <c r="L8556" s="1253"/>
      <c r="M8556" s="1253"/>
      <c r="N8556" s="1254"/>
    </row>
    <row r="8557" spans="1:14">
      <c r="A8557" s="1532" t="s">
        <v>3981</v>
      </c>
      <c r="B8557" s="959" t="s">
        <v>3686</v>
      </c>
      <c r="C8557" s="317"/>
      <c r="D8557" s="317"/>
      <c r="E8557" s="1377"/>
      <c r="F8557" s="317"/>
      <c r="G8557" s="317"/>
      <c r="H8557" s="857"/>
      <c r="I8557" s="1252"/>
      <c r="J8557" s="1253"/>
      <c r="K8557" s="1253"/>
      <c r="L8557" s="1253"/>
      <c r="M8557" s="1253"/>
      <c r="N8557" s="1254"/>
    </row>
    <row r="8558" spans="1:14">
      <c r="A8558" s="1527"/>
      <c r="B8558" s="926" t="s">
        <v>3687</v>
      </c>
      <c r="C8558" s="317">
        <v>20.86</v>
      </c>
      <c r="D8558" s="317"/>
      <c r="E8558" s="1377">
        <v>0.4</v>
      </c>
      <c r="F8558" s="317"/>
      <c r="G8558" s="317"/>
      <c r="H8558" s="857">
        <f>E8558*C8558</f>
        <v>8.3439999999999994</v>
      </c>
      <c r="I8558" s="1252"/>
      <c r="J8558" s="1253"/>
      <c r="K8558" s="1253"/>
      <c r="L8558" s="1253"/>
      <c r="M8558" s="1253"/>
      <c r="N8558" s="1254"/>
    </row>
    <row r="8559" spans="1:14">
      <c r="A8559" s="1527"/>
      <c r="B8559" s="926" t="s">
        <v>3688</v>
      </c>
      <c r="C8559" s="317">
        <v>10.97</v>
      </c>
      <c r="D8559" s="317"/>
      <c r="E8559" s="1377">
        <v>0.9</v>
      </c>
      <c r="F8559" s="317"/>
      <c r="G8559" s="317"/>
      <c r="H8559" s="857">
        <f>E8559*C8559</f>
        <v>9.8730000000000011</v>
      </c>
      <c r="I8559" s="1252"/>
      <c r="J8559" s="1253"/>
      <c r="K8559" s="1253"/>
      <c r="L8559" s="1253"/>
      <c r="M8559" s="1253"/>
      <c r="N8559" s="1254"/>
    </row>
    <row r="8560" spans="1:14">
      <c r="A8560" s="1527"/>
      <c r="B8560" s="926" t="s">
        <v>3689</v>
      </c>
      <c r="C8560" s="317">
        <v>34.56</v>
      </c>
      <c r="D8560" s="317"/>
      <c r="E8560" s="1377"/>
      <c r="F8560" s="317"/>
      <c r="G8560" s="317"/>
      <c r="H8560" s="857">
        <f>E8560*C8560</f>
        <v>0</v>
      </c>
      <c r="I8560" s="1252"/>
      <c r="J8560" s="1253"/>
      <c r="K8560" s="1253"/>
      <c r="L8560" s="1253"/>
      <c r="M8560" s="1253"/>
      <c r="N8560" s="1254"/>
    </row>
    <row r="8561" spans="1:14">
      <c r="A8561" s="1527"/>
      <c r="B8561" s="926" t="s">
        <v>3688</v>
      </c>
      <c r="C8561" s="317">
        <v>10.97</v>
      </c>
      <c r="D8561" s="317"/>
      <c r="E8561" s="1377"/>
      <c r="F8561" s="317"/>
      <c r="G8561" s="317"/>
      <c r="H8561" s="857">
        <f>E8561*C8561</f>
        <v>0</v>
      </c>
      <c r="I8561" s="1252"/>
      <c r="J8561" s="1253"/>
      <c r="K8561" s="1253"/>
      <c r="L8561" s="1253"/>
      <c r="M8561" s="1253"/>
      <c r="N8561" s="1254"/>
    </row>
    <row r="8562" spans="1:14">
      <c r="A8562" s="1527"/>
      <c r="B8562" s="959" t="s">
        <v>3690</v>
      </c>
      <c r="C8562" s="317"/>
      <c r="D8562" s="317"/>
      <c r="E8562" s="1377"/>
      <c r="F8562" s="317"/>
      <c r="G8562" s="317"/>
      <c r="H8562" s="857"/>
      <c r="I8562" s="1252"/>
      <c r="J8562" s="1253"/>
      <c r="K8562" s="1253"/>
      <c r="L8562" s="1253"/>
      <c r="M8562" s="1253"/>
      <c r="N8562" s="1254"/>
    </row>
    <row r="8563" spans="1:14">
      <c r="A8563" s="1527"/>
      <c r="B8563" s="926" t="s">
        <v>3687</v>
      </c>
      <c r="C8563" s="317">
        <v>64.61</v>
      </c>
      <c r="D8563" s="317"/>
      <c r="E8563" s="1377">
        <v>0.65</v>
      </c>
      <c r="F8563" s="317"/>
      <c r="G8563" s="317"/>
      <c r="H8563" s="857">
        <f>E8563*C8563</f>
        <v>41.996500000000005</v>
      </c>
      <c r="I8563" s="1252"/>
      <c r="J8563" s="1253"/>
      <c r="K8563" s="1253"/>
      <c r="L8563" s="1253"/>
      <c r="M8563" s="1253"/>
      <c r="N8563" s="1254"/>
    </row>
    <row r="8564" spans="1:14">
      <c r="A8564" s="1527"/>
      <c r="B8564" s="926" t="s">
        <v>3691</v>
      </c>
      <c r="C8564" s="317">
        <v>45.67</v>
      </c>
      <c r="D8564" s="317"/>
      <c r="E8564" s="1377"/>
      <c r="F8564" s="317"/>
      <c r="G8564" s="317"/>
      <c r="H8564" s="857">
        <f>E8564*C8564</f>
        <v>0</v>
      </c>
      <c r="I8564" s="1252"/>
      <c r="J8564" s="1253"/>
      <c r="K8564" s="1253"/>
      <c r="L8564" s="1253"/>
      <c r="M8564" s="1253"/>
      <c r="N8564" s="1254"/>
    </row>
    <row r="8565" spans="1:14">
      <c r="A8565" s="1527"/>
      <c r="B8565" s="926" t="s">
        <v>3689</v>
      </c>
      <c r="C8565" s="317">
        <v>34.24</v>
      </c>
      <c r="D8565" s="317"/>
      <c r="E8565" s="1377"/>
      <c r="F8565" s="317"/>
      <c r="G8565" s="317"/>
      <c r="H8565" s="857">
        <f>E8565*C8565</f>
        <v>0</v>
      </c>
      <c r="I8565" s="1252"/>
      <c r="J8565" s="1253"/>
      <c r="K8565" s="1253"/>
      <c r="L8565" s="1253"/>
      <c r="M8565" s="1253"/>
      <c r="N8565" s="1254"/>
    </row>
    <row r="8566" spans="1:14">
      <c r="A8566" s="1527"/>
      <c r="B8566" s="959" t="s">
        <v>3692</v>
      </c>
      <c r="C8566" s="317"/>
      <c r="D8566" s="317"/>
      <c r="E8566" s="1377"/>
      <c r="F8566" s="317"/>
      <c r="G8566" s="317"/>
      <c r="H8566" s="857"/>
      <c r="I8566" s="1252"/>
      <c r="J8566" s="1253"/>
      <c r="K8566" s="1253"/>
      <c r="L8566" s="1253"/>
      <c r="M8566" s="1253"/>
      <c r="N8566" s="1254"/>
    </row>
    <row r="8567" spans="1:14">
      <c r="A8567" s="1527"/>
      <c r="B8567" s="926" t="s">
        <v>3693</v>
      </c>
      <c r="C8567" s="317">
        <v>6</v>
      </c>
      <c r="D8567" s="317"/>
      <c r="E8567" s="1377"/>
      <c r="F8567" s="317"/>
      <c r="G8567" s="317"/>
      <c r="H8567" s="857">
        <f>E8567*C8567</f>
        <v>0</v>
      </c>
      <c r="I8567" s="1252"/>
      <c r="J8567" s="1253"/>
      <c r="K8567" s="1253"/>
      <c r="L8567" s="1253"/>
      <c r="M8567" s="1253"/>
      <c r="N8567" s="1254"/>
    </row>
    <row r="8568" spans="1:14">
      <c r="A8568" s="1532" t="s">
        <v>4003</v>
      </c>
      <c r="B8568" s="959" t="s">
        <v>3686</v>
      </c>
      <c r="C8568" s="317"/>
      <c r="D8568" s="317"/>
      <c r="E8568" s="1377"/>
      <c r="F8568" s="317"/>
      <c r="G8568" s="317"/>
      <c r="H8568" s="857"/>
      <c r="I8568" s="1252"/>
      <c r="J8568" s="1253"/>
      <c r="K8568" s="1253"/>
      <c r="L8568" s="1253"/>
      <c r="M8568" s="1253"/>
      <c r="N8568" s="1254"/>
    </row>
    <row r="8569" spans="1:14">
      <c r="A8569" s="1527"/>
      <c r="B8569" s="926" t="s">
        <v>3687</v>
      </c>
      <c r="C8569" s="317">
        <v>20.86</v>
      </c>
      <c r="D8569" s="317"/>
      <c r="E8569" s="1377"/>
      <c r="F8569" s="317"/>
      <c r="G8569" s="317"/>
      <c r="H8569" s="857">
        <f>E8569*C8569</f>
        <v>0</v>
      </c>
      <c r="I8569" s="1252"/>
      <c r="J8569" s="1253"/>
      <c r="K8569" s="1253"/>
      <c r="L8569" s="1253"/>
      <c r="M8569" s="1253"/>
      <c r="N8569" s="1254"/>
    </row>
    <row r="8570" spans="1:14">
      <c r="A8570" s="1527"/>
      <c r="B8570" s="926" t="s">
        <v>3688</v>
      </c>
      <c r="C8570" s="317">
        <v>10.97</v>
      </c>
      <c r="D8570" s="317"/>
      <c r="E8570" s="1377"/>
      <c r="F8570" s="317"/>
      <c r="G8570" s="317"/>
      <c r="H8570" s="857">
        <f>E8570*C8570</f>
        <v>0</v>
      </c>
      <c r="I8570" s="1252"/>
      <c r="J8570" s="1253"/>
      <c r="K8570" s="1253"/>
      <c r="L8570" s="1253"/>
      <c r="M8570" s="1253"/>
      <c r="N8570" s="1254"/>
    </row>
    <row r="8571" spans="1:14">
      <c r="A8571" s="1527"/>
      <c r="B8571" s="926" t="s">
        <v>3689</v>
      </c>
      <c r="C8571" s="317">
        <v>34.56</v>
      </c>
      <c r="D8571" s="317"/>
      <c r="E8571" s="1377"/>
      <c r="F8571" s="317"/>
      <c r="G8571" s="317"/>
      <c r="H8571" s="857">
        <f>E8571*C8571</f>
        <v>0</v>
      </c>
      <c r="I8571" s="1252"/>
      <c r="J8571" s="1253"/>
      <c r="K8571" s="1253"/>
      <c r="L8571" s="1253"/>
      <c r="M8571" s="1253"/>
      <c r="N8571" s="1254"/>
    </row>
    <row r="8572" spans="1:14">
      <c r="A8572" s="1527"/>
      <c r="B8572" s="926" t="s">
        <v>3688</v>
      </c>
      <c r="C8572" s="317">
        <v>10.97</v>
      </c>
      <c r="D8572" s="317"/>
      <c r="E8572" s="1377"/>
      <c r="F8572" s="317"/>
      <c r="G8572" s="317"/>
      <c r="H8572" s="857">
        <f>E8572*C8572</f>
        <v>0</v>
      </c>
      <c r="I8572" s="1252"/>
      <c r="J8572" s="1253"/>
      <c r="K8572" s="1253"/>
      <c r="L8572" s="1253"/>
      <c r="M8572" s="1253"/>
      <c r="N8572" s="1254"/>
    </row>
    <row r="8573" spans="1:14">
      <c r="A8573" s="1527"/>
      <c r="B8573" s="959" t="s">
        <v>3690</v>
      </c>
      <c r="C8573" s="317"/>
      <c r="D8573" s="317"/>
      <c r="E8573" s="1377"/>
      <c r="F8573" s="317"/>
      <c r="G8573" s="317"/>
      <c r="H8573" s="857"/>
      <c r="I8573" s="1252"/>
      <c r="J8573" s="1253"/>
      <c r="K8573" s="1253"/>
      <c r="L8573" s="1253"/>
      <c r="M8573" s="1253"/>
      <c r="N8573" s="1254"/>
    </row>
    <row r="8574" spans="1:14">
      <c r="A8574" s="1527"/>
      <c r="B8574" s="926" t="s">
        <v>3687</v>
      </c>
      <c r="C8574" s="317">
        <v>64.61</v>
      </c>
      <c r="D8574" s="317"/>
      <c r="E8574" s="1377">
        <v>0.1</v>
      </c>
      <c r="F8574" s="317"/>
      <c r="G8574" s="317"/>
      <c r="H8574" s="857">
        <f>E8574*C8574</f>
        <v>6.4610000000000003</v>
      </c>
      <c r="I8574" s="1252"/>
      <c r="J8574" s="1253"/>
      <c r="K8574" s="1253"/>
      <c r="L8574" s="1253"/>
      <c r="M8574" s="1253"/>
      <c r="N8574" s="1254"/>
    </row>
    <row r="8575" spans="1:14">
      <c r="A8575" s="1527"/>
      <c r="B8575" s="926" t="s">
        <v>3691</v>
      </c>
      <c r="C8575" s="317">
        <v>45.67</v>
      </c>
      <c r="D8575" s="317"/>
      <c r="E8575" s="1377">
        <v>0.3</v>
      </c>
      <c r="F8575" s="317"/>
      <c r="G8575" s="317"/>
      <c r="H8575" s="857">
        <f>E8575*C8575</f>
        <v>13.701000000000001</v>
      </c>
      <c r="I8575" s="1252"/>
      <c r="J8575" s="1253"/>
      <c r="K8575" s="1253"/>
      <c r="L8575" s="1253"/>
      <c r="M8575" s="1253"/>
      <c r="N8575" s="1254"/>
    </row>
    <row r="8576" spans="1:14">
      <c r="A8576" s="1527"/>
      <c r="B8576" s="926" t="s">
        <v>3689</v>
      </c>
      <c r="C8576" s="317">
        <v>34.24</v>
      </c>
      <c r="D8576" s="317"/>
      <c r="E8576" s="1377"/>
      <c r="F8576" s="317"/>
      <c r="G8576" s="317"/>
      <c r="H8576" s="857">
        <f t="shared" ref="H8576:H8590" si="167">E8576*C8576</f>
        <v>0</v>
      </c>
      <c r="I8576" s="1252"/>
      <c r="J8576" s="1253"/>
      <c r="K8576" s="1253"/>
      <c r="L8576" s="1253"/>
      <c r="M8576" s="1253"/>
      <c r="N8576" s="1254"/>
    </row>
    <row r="8577" spans="1:14">
      <c r="A8577" s="1527"/>
      <c r="B8577" s="959" t="s">
        <v>3692</v>
      </c>
      <c r="C8577" s="317"/>
      <c r="D8577" s="317"/>
      <c r="E8577" s="1377"/>
      <c r="F8577" s="317"/>
      <c r="G8577" s="317"/>
      <c r="H8577" s="857"/>
      <c r="I8577" s="1252"/>
      <c r="J8577" s="1253"/>
      <c r="K8577" s="1253"/>
      <c r="L8577" s="1253"/>
      <c r="M8577" s="1253"/>
      <c r="N8577" s="1254"/>
    </row>
    <row r="8578" spans="1:14">
      <c r="A8578" s="1527"/>
      <c r="B8578" s="926" t="s">
        <v>3693</v>
      </c>
      <c r="C8578" s="317">
        <v>6</v>
      </c>
      <c r="D8578" s="317"/>
      <c r="E8578" s="1377"/>
      <c r="F8578" s="317"/>
      <c r="G8578" s="317"/>
      <c r="H8578" s="857">
        <f t="shared" si="167"/>
        <v>0</v>
      </c>
      <c r="I8578" s="1252"/>
      <c r="J8578" s="1253"/>
      <c r="K8578" s="1253"/>
      <c r="L8578" s="1253"/>
      <c r="M8578" s="1253"/>
      <c r="N8578" s="1254"/>
    </row>
    <row r="8579" spans="1:14">
      <c r="A8579" s="1527" t="s">
        <v>4080</v>
      </c>
      <c r="B8579" s="926"/>
      <c r="C8579" s="317"/>
      <c r="D8579" s="317"/>
      <c r="E8579" s="1377"/>
      <c r="F8579" s="317"/>
      <c r="G8579" s="317"/>
      <c r="H8579" s="857"/>
      <c r="I8579" s="1252"/>
      <c r="J8579" s="1253"/>
      <c r="K8579" s="1253"/>
      <c r="L8579" s="1253"/>
      <c r="M8579" s="1253"/>
      <c r="N8579" s="1254"/>
    </row>
    <row r="8580" spans="1:14">
      <c r="A8580" s="1527"/>
      <c r="B8580" s="959" t="s">
        <v>3686</v>
      </c>
      <c r="C8580" s="317"/>
      <c r="D8580" s="317"/>
      <c r="E8580" s="1377"/>
      <c r="F8580" s="317"/>
      <c r="G8580" s="317"/>
      <c r="H8580" s="857"/>
      <c r="I8580" s="1252"/>
      <c r="J8580" s="1253"/>
      <c r="K8580" s="1253"/>
      <c r="L8580" s="1253"/>
      <c r="M8580" s="1253"/>
      <c r="N8580" s="1254"/>
    </row>
    <row r="8581" spans="1:14">
      <c r="A8581" s="1527"/>
      <c r="B8581" s="926" t="s">
        <v>4138</v>
      </c>
      <c r="C8581" s="317">
        <v>20.86</v>
      </c>
      <c r="D8581" s="317"/>
      <c r="E8581" s="1377">
        <v>0.5</v>
      </c>
      <c r="F8581" s="317">
        <v>50</v>
      </c>
      <c r="G8581" s="317"/>
      <c r="H8581" s="857">
        <f>E8581*C8581</f>
        <v>10.43</v>
      </c>
      <c r="I8581" s="1252"/>
      <c r="J8581" s="1253"/>
      <c r="K8581" s="1253"/>
      <c r="L8581" s="1253"/>
      <c r="M8581" s="1253"/>
      <c r="N8581" s="1254"/>
    </row>
    <row r="8582" spans="1:14">
      <c r="A8582" s="1527"/>
      <c r="B8582" s="926" t="s">
        <v>3688</v>
      </c>
      <c r="C8582" s="317">
        <v>10.97</v>
      </c>
      <c r="D8582" s="317"/>
      <c r="E8582" s="1377">
        <v>0.1</v>
      </c>
      <c r="F8582" s="317">
        <v>10</v>
      </c>
      <c r="G8582" s="317"/>
      <c r="H8582" s="857">
        <f t="shared" si="167"/>
        <v>1.0970000000000002</v>
      </c>
      <c r="I8582" s="1252"/>
      <c r="J8582" s="1253"/>
      <c r="K8582" s="1253"/>
      <c r="L8582" s="1253"/>
      <c r="M8582" s="1253"/>
      <c r="N8582" s="1254"/>
    </row>
    <row r="8583" spans="1:14">
      <c r="A8583" s="1527"/>
      <c r="B8583" s="926" t="s">
        <v>3689</v>
      </c>
      <c r="C8583" s="317">
        <v>34.56</v>
      </c>
      <c r="D8583" s="317"/>
      <c r="E8583" s="1377">
        <v>0.1</v>
      </c>
      <c r="F8583" s="317">
        <v>10</v>
      </c>
      <c r="G8583" s="317"/>
      <c r="H8583" s="857">
        <f t="shared" si="167"/>
        <v>3.4560000000000004</v>
      </c>
      <c r="I8583" s="1252"/>
      <c r="J8583" s="1253"/>
      <c r="K8583" s="1253"/>
      <c r="L8583" s="1253"/>
      <c r="M8583" s="1253"/>
      <c r="N8583" s="1254"/>
    </row>
    <row r="8584" spans="1:14">
      <c r="A8584" s="1527"/>
      <c r="B8584" s="926" t="s">
        <v>3688</v>
      </c>
      <c r="C8584" s="317">
        <v>10.97</v>
      </c>
      <c r="D8584" s="317"/>
      <c r="E8584" s="1377">
        <v>1</v>
      </c>
      <c r="F8584" s="317">
        <v>100</v>
      </c>
      <c r="G8584" s="317"/>
      <c r="H8584" s="857">
        <f t="shared" si="167"/>
        <v>10.97</v>
      </c>
      <c r="I8584" s="1252"/>
      <c r="J8584" s="1253"/>
      <c r="K8584" s="1253"/>
      <c r="L8584" s="1253"/>
      <c r="M8584" s="1253"/>
      <c r="N8584" s="1254"/>
    </row>
    <row r="8585" spans="1:14">
      <c r="A8585" s="1527"/>
      <c r="B8585" s="959" t="s">
        <v>3690</v>
      </c>
      <c r="C8585" s="317"/>
      <c r="D8585" s="317"/>
      <c r="E8585" s="1377"/>
      <c r="F8585" s="317"/>
      <c r="G8585" s="317"/>
      <c r="H8585" s="857"/>
      <c r="I8585" s="1252"/>
      <c r="J8585" s="1253"/>
      <c r="K8585" s="1253"/>
      <c r="L8585" s="1253"/>
      <c r="M8585" s="1253"/>
      <c r="N8585" s="1254"/>
    </row>
    <row r="8586" spans="1:14">
      <c r="A8586" s="1527"/>
      <c r="B8586" s="926" t="s">
        <v>3687</v>
      </c>
      <c r="C8586" s="317">
        <v>64.61</v>
      </c>
      <c r="D8586" s="317"/>
      <c r="E8586" s="1377">
        <v>0.15</v>
      </c>
      <c r="F8586" s="317">
        <v>15</v>
      </c>
      <c r="G8586" s="317"/>
      <c r="H8586" s="857">
        <f t="shared" si="167"/>
        <v>9.6914999999999996</v>
      </c>
      <c r="I8586" s="1252"/>
      <c r="J8586" s="1253"/>
      <c r="K8586" s="1253"/>
      <c r="L8586" s="1253"/>
      <c r="M8586" s="1253"/>
      <c r="N8586" s="1254"/>
    </row>
    <row r="8587" spans="1:14">
      <c r="A8587" s="1527"/>
      <c r="B8587" s="926" t="s">
        <v>3691</v>
      </c>
      <c r="C8587" s="317">
        <v>45.67</v>
      </c>
      <c r="D8587" s="317"/>
      <c r="E8587" s="1377">
        <v>0.6</v>
      </c>
      <c r="F8587" s="317">
        <v>60</v>
      </c>
      <c r="G8587" s="317"/>
      <c r="H8587" s="857">
        <f t="shared" si="167"/>
        <v>27.402000000000001</v>
      </c>
      <c r="I8587" s="1252"/>
      <c r="J8587" s="1253"/>
      <c r="K8587" s="1253"/>
      <c r="L8587" s="1253"/>
      <c r="M8587" s="1253"/>
      <c r="N8587" s="1254"/>
    </row>
    <row r="8588" spans="1:14">
      <c r="A8588" s="1527"/>
      <c r="B8588" s="926" t="s">
        <v>3689</v>
      </c>
      <c r="C8588" s="317">
        <v>34.24</v>
      </c>
      <c r="D8588" s="317"/>
      <c r="E8588" s="1377">
        <v>0.1</v>
      </c>
      <c r="F8588" s="317">
        <v>10</v>
      </c>
      <c r="G8588" s="317"/>
      <c r="H8588" s="857">
        <f t="shared" si="167"/>
        <v>3.4240000000000004</v>
      </c>
      <c r="I8588" s="1252"/>
      <c r="J8588" s="1253"/>
      <c r="K8588" s="1253"/>
      <c r="L8588" s="1253"/>
      <c r="M8588" s="1253"/>
      <c r="N8588" s="1254"/>
    </row>
    <row r="8589" spans="1:14">
      <c r="A8589" s="1527"/>
      <c r="B8589" s="959" t="s">
        <v>3692</v>
      </c>
      <c r="C8589" s="317"/>
      <c r="D8589" s="317"/>
      <c r="E8589" s="1377"/>
      <c r="F8589" s="317"/>
      <c r="G8589" s="317"/>
      <c r="H8589" s="857"/>
      <c r="I8589" s="1252"/>
      <c r="J8589" s="1253"/>
      <c r="K8589" s="1253"/>
      <c r="L8589" s="1253"/>
      <c r="M8589" s="1253"/>
      <c r="N8589" s="1254"/>
    </row>
    <row r="8590" spans="1:14">
      <c r="A8590" s="1527"/>
      <c r="B8590" s="926" t="s">
        <v>3693</v>
      </c>
      <c r="C8590" s="317">
        <v>6</v>
      </c>
      <c r="D8590" s="317"/>
      <c r="E8590" s="1377"/>
      <c r="F8590" s="317"/>
      <c r="G8590" s="317"/>
      <c r="H8590" s="857">
        <f t="shared" si="167"/>
        <v>0</v>
      </c>
      <c r="I8590" s="1252"/>
      <c r="J8590" s="1253"/>
      <c r="K8590" s="1253"/>
      <c r="L8590" s="1253"/>
      <c r="M8590" s="1253"/>
      <c r="N8590" s="1254"/>
    </row>
    <row r="8591" spans="1:14">
      <c r="A8591" s="1528"/>
      <c r="B8591" s="921"/>
      <c r="C8591" s="317"/>
      <c r="D8591" s="317"/>
      <c r="E8591" s="1377"/>
      <c r="F8591" s="317"/>
      <c r="G8591" s="317"/>
      <c r="H8591" s="857"/>
      <c r="I8591" s="1252"/>
      <c r="J8591" s="1253"/>
      <c r="K8591" s="1253"/>
      <c r="L8591" s="1253"/>
      <c r="M8591" s="1253"/>
      <c r="N8591" s="1254"/>
    </row>
    <row r="8592" spans="1:14">
      <c r="A8592" s="1527" t="s">
        <v>4143</v>
      </c>
      <c r="B8592" s="926"/>
      <c r="C8592" s="317"/>
      <c r="D8592" s="317"/>
      <c r="E8592" s="1377"/>
      <c r="F8592" s="317"/>
      <c r="G8592" s="317"/>
      <c r="H8592" s="857"/>
      <c r="I8592" s="1252"/>
      <c r="J8592" s="1253"/>
      <c r="K8592" s="1253"/>
      <c r="L8592" s="1253"/>
      <c r="M8592" s="1253"/>
      <c r="N8592" s="1254"/>
    </row>
    <row r="8593" spans="1:14">
      <c r="A8593" s="1527"/>
      <c r="B8593" s="959" t="s">
        <v>3686</v>
      </c>
      <c r="C8593" s="317"/>
      <c r="D8593" s="317"/>
      <c r="E8593" s="1377"/>
      <c r="F8593" s="317"/>
      <c r="G8593" s="317"/>
      <c r="H8593" s="857"/>
      <c r="I8593" s="1252"/>
      <c r="J8593" s="1253"/>
      <c r="K8593" s="1253"/>
      <c r="L8593" s="1253"/>
      <c r="M8593" s="1253"/>
      <c r="N8593" s="1254"/>
    </row>
    <row r="8594" spans="1:14">
      <c r="A8594" s="1527"/>
      <c r="B8594" s="926" t="s">
        <v>4138</v>
      </c>
      <c r="C8594" s="317">
        <v>20.86</v>
      </c>
      <c r="D8594" s="317"/>
      <c r="E8594" s="1377"/>
      <c r="F8594" s="317"/>
      <c r="G8594" s="317"/>
      <c r="H8594" s="857"/>
      <c r="I8594" s="1252"/>
      <c r="J8594" s="1253"/>
      <c r="K8594" s="1253"/>
      <c r="L8594" s="1253"/>
      <c r="M8594" s="1253"/>
      <c r="N8594" s="1254"/>
    </row>
    <row r="8595" spans="1:14">
      <c r="A8595" s="1527"/>
      <c r="B8595" s="926" t="s">
        <v>3688</v>
      </c>
      <c r="C8595" s="317">
        <v>10.97</v>
      </c>
      <c r="D8595" s="317"/>
      <c r="E8595" s="1377"/>
      <c r="F8595" s="317"/>
      <c r="G8595" s="317"/>
      <c r="H8595" s="857"/>
      <c r="I8595" s="1252"/>
      <c r="J8595" s="1253"/>
      <c r="K8595" s="1253"/>
      <c r="L8595" s="1253"/>
      <c r="M8595" s="1253"/>
      <c r="N8595" s="1254"/>
    </row>
    <row r="8596" spans="1:14">
      <c r="A8596" s="1527"/>
      <c r="B8596" s="926" t="s">
        <v>3689</v>
      </c>
      <c r="C8596" s="317">
        <v>34.56</v>
      </c>
      <c r="D8596" s="317"/>
      <c r="E8596" s="1377"/>
      <c r="F8596" s="317"/>
      <c r="G8596" s="317"/>
      <c r="H8596" s="857"/>
      <c r="I8596" s="1252"/>
      <c r="J8596" s="1253"/>
      <c r="K8596" s="1253"/>
      <c r="L8596" s="1253"/>
      <c r="M8596" s="1253"/>
      <c r="N8596" s="1254"/>
    </row>
    <row r="8597" spans="1:14">
      <c r="A8597" s="1527"/>
      <c r="B8597" s="926" t="s">
        <v>3688</v>
      </c>
      <c r="C8597" s="317">
        <v>10.97</v>
      </c>
      <c r="D8597" s="317"/>
      <c r="E8597" s="1377"/>
      <c r="F8597" s="317"/>
      <c r="G8597" s="317"/>
      <c r="H8597" s="857"/>
      <c r="I8597" s="1252"/>
      <c r="J8597" s="1253"/>
      <c r="K8597" s="1253"/>
      <c r="L8597" s="1253"/>
      <c r="M8597" s="1253"/>
      <c r="N8597" s="1254"/>
    </row>
    <row r="8598" spans="1:14">
      <c r="A8598" s="1527"/>
      <c r="B8598" s="959" t="s">
        <v>3690</v>
      </c>
      <c r="C8598" s="317"/>
      <c r="D8598" s="317"/>
      <c r="E8598" s="1377"/>
      <c r="F8598" s="317"/>
      <c r="G8598" s="317"/>
      <c r="H8598" s="857"/>
      <c r="I8598" s="1252"/>
      <c r="J8598" s="1253"/>
      <c r="K8598" s="1253"/>
      <c r="L8598" s="1253"/>
      <c r="M8598" s="1253"/>
      <c r="N8598" s="1254"/>
    </row>
    <row r="8599" spans="1:14">
      <c r="A8599" s="1527"/>
      <c r="B8599" s="926" t="s">
        <v>3687</v>
      </c>
      <c r="C8599" s="317">
        <v>64.61</v>
      </c>
      <c r="D8599" s="317"/>
      <c r="E8599" s="1377"/>
      <c r="F8599" s="317"/>
      <c r="G8599" s="317"/>
      <c r="H8599" s="857"/>
      <c r="I8599" s="1252"/>
      <c r="J8599" s="1253"/>
      <c r="K8599" s="1253"/>
      <c r="L8599" s="1253"/>
      <c r="M8599" s="1253"/>
      <c r="N8599" s="1254"/>
    </row>
    <row r="8600" spans="1:14">
      <c r="A8600" s="1527"/>
      <c r="B8600" s="926" t="s">
        <v>3691</v>
      </c>
      <c r="C8600" s="317">
        <v>45.67</v>
      </c>
      <c r="D8600" s="317"/>
      <c r="E8600" s="1377"/>
      <c r="F8600" s="317"/>
      <c r="G8600" s="317"/>
      <c r="H8600" s="857"/>
      <c r="I8600" s="1252"/>
      <c r="J8600" s="1253"/>
      <c r="K8600" s="1253"/>
      <c r="L8600" s="1253"/>
      <c r="M8600" s="1253"/>
      <c r="N8600" s="1254"/>
    </row>
    <row r="8601" spans="1:14">
      <c r="A8601" s="1527"/>
      <c r="B8601" s="926" t="s">
        <v>3689</v>
      </c>
      <c r="C8601" s="317">
        <v>34.24</v>
      </c>
      <c r="D8601" s="317"/>
      <c r="E8601" s="1377"/>
      <c r="F8601" s="317"/>
      <c r="G8601" s="317"/>
      <c r="H8601" s="857"/>
      <c r="I8601" s="1252"/>
      <c r="J8601" s="1253"/>
      <c r="K8601" s="1253"/>
      <c r="L8601" s="1253"/>
      <c r="M8601" s="1253"/>
      <c r="N8601" s="1254"/>
    </row>
    <row r="8602" spans="1:14">
      <c r="A8602" s="1527"/>
      <c r="B8602" s="959" t="s">
        <v>3692</v>
      </c>
      <c r="C8602" s="317"/>
      <c r="D8602" s="317"/>
      <c r="E8602" s="1377"/>
      <c r="F8602" s="317"/>
      <c r="G8602" s="317"/>
      <c r="H8602" s="857"/>
      <c r="I8602" s="1252"/>
      <c r="J8602" s="1253"/>
      <c r="K8602" s="1253"/>
      <c r="L8602" s="1253"/>
      <c r="M8602" s="1253"/>
      <c r="N8602" s="1254"/>
    </row>
    <row r="8603" spans="1:14">
      <c r="A8603" s="1527"/>
      <c r="B8603" s="926" t="s">
        <v>3693</v>
      </c>
      <c r="C8603" s="317">
        <v>6</v>
      </c>
      <c r="D8603" s="317"/>
      <c r="E8603" s="1377">
        <v>1</v>
      </c>
      <c r="F8603" s="317"/>
      <c r="G8603" s="317"/>
      <c r="H8603" s="857">
        <f>C8603*E8603</f>
        <v>6</v>
      </c>
      <c r="I8603" s="1252"/>
      <c r="J8603" s="1253"/>
      <c r="K8603" s="1253"/>
      <c r="L8603" s="1253"/>
      <c r="M8603" s="1253"/>
      <c r="N8603" s="1254"/>
    </row>
    <row r="8604" spans="1:14">
      <c r="A8604" s="1528"/>
      <c r="B8604" s="921"/>
      <c r="C8604" s="317"/>
      <c r="D8604" s="317"/>
      <c r="E8604" s="1377"/>
      <c r="F8604" s="317"/>
      <c r="G8604" s="317"/>
      <c r="H8604" s="857"/>
      <c r="I8604" s="1252"/>
      <c r="J8604" s="1253"/>
      <c r="K8604" s="1253"/>
      <c r="L8604" s="1253"/>
      <c r="M8604" s="1253"/>
      <c r="N8604" s="1254"/>
    </row>
    <row r="8605" spans="1:14">
      <c r="A8605" s="1519" t="s">
        <v>2218</v>
      </c>
      <c r="B8605" s="1517"/>
      <c r="C8605" s="1517"/>
      <c r="D8605" s="1517"/>
      <c r="E8605" s="1517"/>
      <c r="F8605" s="1517"/>
      <c r="G8605" s="1518"/>
      <c r="H8605" s="271">
        <f>SUM(H8534:H8603)</f>
        <v>227.88000000000002</v>
      </c>
      <c r="I8605" s="1252"/>
      <c r="J8605" s="1253"/>
      <c r="K8605" s="1253"/>
      <c r="L8605" s="1253"/>
      <c r="M8605" s="1253"/>
      <c r="N8605" s="1254"/>
    </row>
    <row r="8606" spans="1:14">
      <c r="A8606" s="1519" t="s">
        <v>2219</v>
      </c>
      <c r="B8606" s="1517"/>
      <c r="C8606" s="1517"/>
      <c r="D8606" s="1517"/>
      <c r="E8606" s="1517"/>
      <c r="F8606" s="1517"/>
      <c r="G8606" s="1518"/>
      <c r="H8606" s="325">
        <f>SUM(H8534:H8590)</f>
        <v>221.88000000000002</v>
      </c>
      <c r="I8606" s="1252"/>
      <c r="J8606" s="1253"/>
      <c r="K8606" s="1253"/>
      <c r="L8606" s="1253"/>
      <c r="M8606" s="1253"/>
      <c r="N8606" s="1254"/>
    </row>
    <row r="8607" spans="1:14" ht="15.75" thickBot="1">
      <c r="A8607" s="1520" t="s">
        <v>2220</v>
      </c>
      <c r="B8607" s="1521"/>
      <c r="C8607" s="1521"/>
      <c r="D8607" s="1521"/>
      <c r="E8607" s="1521"/>
      <c r="F8607" s="1521"/>
      <c r="G8607" s="1522"/>
      <c r="H8607" s="216">
        <f>H8605-H8606</f>
        <v>6</v>
      </c>
      <c r="I8607" s="1255"/>
      <c r="J8607" s="1256"/>
      <c r="K8607" s="1256"/>
      <c r="L8607" s="1256"/>
      <c r="M8607" s="1256"/>
      <c r="N8607" s="1257"/>
    </row>
    <row r="8608" spans="1:14" ht="16.5" thickBot="1">
      <c r="A8608" s="1128">
        <v>2005</v>
      </c>
      <c r="B8608" s="1491" t="s">
        <v>2090</v>
      </c>
      <c r="C8608" s="1492"/>
      <c r="D8608" s="1492"/>
      <c r="E8608" s="1492"/>
      <c r="F8608" s="1492"/>
      <c r="G8608" s="1492"/>
      <c r="H8608" s="1492"/>
      <c r="I8608" s="1492"/>
      <c r="J8608" s="1492"/>
      <c r="K8608" s="1492"/>
      <c r="L8608" s="1492"/>
      <c r="M8608" s="1492"/>
      <c r="N8608" s="1493"/>
    </row>
    <row r="8609" spans="1:14" ht="38.25" customHeight="1">
      <c r="A8609" s="1084" t="s">
        <v>4174</v>
      </c>
      <c r="B8609" s="1494" t="str">
        <f>'27ª MEDIÇÃO '!C660</f>
        <v>Fornecimento e plantio de grama em placas tipo esmeralda, inclusive fornecimento de terra vegetal</v>
      </c>
      <c r="C8609" s="1495"/>
      <c r="D8609" s="1495"/>
      <c r="E8609" s="1495"/>
      <c r="F8609" s="1495"/>
      <c r="G8609" s="1495"/>
      <c r="H8609" s="1495"/>
      <c r="I8609" s="1495"/>
      <c r="J8609" s="1496"/>
      <c r="K8609" s="196" t="s">
        <v>3154</v>
      </c>
      <c r="L8609" s="1497">
        <f>'27ª MEDIÇÃO '!F660</f>
        <v>19.63</v>
      </c>
      <c r="M8609" s="1498"/>
      <c r="N8609" s="197">
        <f>L8609-H8614</f>
        <v>0</v>
      </c>
    </row>
    <row r="8610" spans="1:14">
      <c r="A8610" s="1499"/>
      <c r="B8610" s="1500"/>
      <c r="C8610" s="366"/>
      <c r="D8610" s="367" t="s">
        <v>2183</v>
      </c>
      <c r="E8610" s="1320" t="s">
        <v>2184</v>
      </c>
      <c r="F8610" s="367" t="s">
        <v>2185</v>
      </c>
      <c r="G8610" s="367" t="s">
        <v>2186</v>
      </c>
      <c r="H8610" s="1503" t="s">
        <v>476</v>
      </c>
      <c r="I8610" s="1505"/>
      <c r="J8610" s="1506"/>
      <c r="K8610" s="1506"/>
      <c r="L8610" s="1506"/>
      <c r="M8610" s="1506"/>
      <c r="N8610" s="1507"/>
    </row>
    <row r="8611" spans="1:14" ht="24">
      <c r="A8611" s="1501"/>
      <c r="B8611" s="1502"/>
      <c r="C8611" s="368" t="s">
        <v>2627</v>
      </c>
      <c r="D8611" s="369" t="s">
        <v>2187</v>
      </c>
      <c r="E8611" s="529" t="s">
        <v>3152</v>
      </c>
      <c r="F8611" s="369" t="s">
        <v>2649</v>
      </c>
      <c r="G8611" s="370" t="s">
        <v>4175</v>
      </c>
      <c r="H8611" s="1504"/>
      <c r="I8611" s="1508"/>
      <c r="J8611" s="1509"/>
      <c r="K8611" s="1509"/>
      <c r="L8611" s="1509"/>
      <c r="M8611" s="1509"/>
      <c r="N8611" s="1510"/>
    </row>
    <row r="8612" spans="1:14">
      <c r="A8612" s="1514" t="s">
        <v>4143</v>
      </c>
      <c r="B8612" s="429" t="s">
        <v>4176</v>
      </c>
      <c r="C8612" s="756"/>
      <c r="D8612" s="202"/>
      <c r="E8612" s="346"/>
      <c r="F8612" s="346"/>
      <c r="G8612" s="346">
        <v>16.399999999999999</v>
      </c>
      <c r="H8612" s="403">
        <f>G8612</f>
        <v>16.399999999999999</v>
      </c>
      <c r="I8612" s="1508"/>
      <c r="J8612" s="1509"/>
      <c r="K8612" s="1509"/>
      <c r="L8612" s="1509"/>
      <c r="M8612" s="1509"/>
      <c r="N8612" s="1510"/>
    </row>
    <row r="8613" spans="1:14">
      <c r="A8613" s="1515"/>
      <c r="B8613" s="429" t="s">
        <v>4177</v>
      </c>
      <c r="C8613" s="757"/>
      <c r="D8613" s="294"/>
      <c r="E8613" s="348"/>
      <c r="F8613" s="348"/>
      <c r="G8613" s="348"/>
      <c r="H8613" s="349">
        <v>3.23</v>
      </c>
      <c r="I8613" s="1508"/>
      <c r="J8613" s="1509"/>
      <c r="K8613" s="1509"/>
      <c r="L8613" s="1509"/>
      <c r="M8613" s="1509"/>
      <c r="N8613" s="1510"/>
    </row>
    <row r="8614" spans="1:14">
      <c r="A8614" s="1516" t="s">
        <v>2218</v>
      </c>
      <c r="B8614" s="1517"/>
      <c r="C8614" s="1517"/>
      <c r="D8614" s="1517"/>
      <c r="E8614" s="1517"/>
      <c r="F8614" s="1517"/>
      <c r="G8614" s="1518"/>
      <c r="H8614" s="271">
        <f>SUM(H8612:H8613)</f>
        <v>19.63</v>
      </c>
      <c r="I8614" s="1508"/>
      <c r="J8614" s="1509"/>
      <c r="K8614" s="1509"/>
      <c r="L8614" s="1509"/>
      <c r="M8614" s="1509"/>
      <c r="N8614" s="1510"/>
    </row>
    <row r="8615" spans="1:14">
      <c r="A8615" s="1519" t="s">
        <v>2219</v>
      </c>
      <c r="B8615" s="1517"/>
      <c r="C8615" s="1517"/>
      <c r="D8615" s="1517"/>
      <c r="E8615" s="1517"/>
      <c r="F8615" s="1517"/>
      <c r="G8615" s="1518"/>
      <c r="H8615" s="325">
        <v>0</v>
      </c>
      <c r="I8615" s="1508"/>
      <c r="J8615" s="1509"/>
      <c r="K8615" s="1509"/>
      <c r="L8615" s="1509"/>
      <c r="M8615" s="1509"/>
      <c r="N8615" s="1510"/>
    </row>
    <row r="8616" spans="1:14" ht="15.75" thickBot="1">
      <c r="A8616" s="1520" t="s">
        <v>2220</v>
      </c>
      <c r="B8616" s="1521"/>
      <c r="C8616" s="1521"/>
      <c r="D8616" s="1521"/>
      <c r="E8616" s="1521"/>
      <c r="F8616" s="1521"/>
      <c r="G8616" s="1522"/>
      <c r="H8616" s="216">
        <f>H8614-H8615</f>
        <v>19.63</v>
      </c>
      <c r="I8616" s="1511"/>
      <c r="J8616" s="1512"/>
      <c r="K8616" s="1512"/>
      <c r="L8616" s="1512"/>
      <c r="M8616" s="1512"/>
      <c r="N8616" s="1513"/>
    </row>
    <row r="8617" spans="1:14" ht="15.75" thickBot="1">
      <c r="A8617" s="1130"/>
      <c r="B8617" s="898"/>
      <c r="C8617" s="898"/>
      <c r="D8617" s="970"/>
      <c r="E8617" s="1363"/>
      <c r="F8617" s="898"/>
      <c r="G8617" s="898"/>
      <c r="H8617" s="969"/>
      <c r="I8617" s="279"/>
      <c r="J8617" s="279"/>
      <c r="K8617" s="279"/>
      <c r="L8617" s="279"/>
      <c r="M8617" s="279"/>
      <c r="N8617" s="441"/>
    </row>
    <row r="8618" spans="1:14">
      <c r="A8618" s="1084" t="s">
        <v>3827</v>
      </c>
      <c r="B8618" s="1494" t="s">
        <v>458</v>
      </c>
      <c r="C8618" s="1495"/>
      <c r="D8618" s="1495"/>
      <c r="E8618" s="1495"/>
      <c r="F8618" s="1495"/>
      <c r="G8618" s="1495"/>
      <c r="H8618" s="1495"/>
      <c r="I8618" s="1495"/>
      <c r="J8618" s="1496"/>
      <c r="K8618" s="196" t="s">
        <v>3154</v>
      </c>
      <c r="L8618" s="1497"/>
      <c r="M8618" s="1498"/>
      <c r="N8618" s="197">
        <f>L8618-H8623</f>
        <v>0</v>
      </c>
    </row>
    <row r="8619" spans="1:14">
      <c r="A8619" s="1499"/>
      <c r="B8619" s="1500"/>
      <c r="C8619" s="366"/>
      <c r="D8619" s="367" t="s">
        <v>2183</v>
      </c>
      <c r="E8619" s="1320" t="s">
        <v>2184</v>
      </c>
      <c r="F8619" s="367" t="s">
        <v>2185</v>
      </c>
      <c r="G8619" s="367" t="s">
        <v>2186</v>
      </c>
      <c r="H8619" s="1503" t="s">
        <v>476</v>
      </c>
      <c r="I8619" s="1505"/>
      <c r="J8619" s="1506"/>
      <c r="K8619" s="1506"/>
      <c r="L8619" s="1506"/>
      <c r="M8619" s="1506"/>
      <c r="N8619" s="1507"/>
    </row>
    <row r="8620" spans="1:14" ht="24">
      <c r="A8620" s="1501"/>
      <c r="B8620" s="1502"/>
      <c r="C8620" s="368" t="s">
        <v>2627</v>
      </c>
      <c r="D8620" s="369" t="s">
        <v>2187</v>
      </c>
      <c r="E8620" s="529" t="s">
        <v>3152</v>
      </c>
      <c r="F8620" s="369" t="s">
        <v>2649</v>
      </c>
      <c r="G8620" s="370" t="s">
        <v>2709</v>
      </c>
      <c r="H8620" s="1504"/>
      <c r="I8620" s="1508"/>
      <c r="J8620" s="1509"/>
      <c r="K8620" s="1509"/>
      <c r="L8620" s="1509"/>
      <c r="M8620" s="1509"/>
      <c r="N8620" s="1510"/>
    </row>
    <row r="8621" spans="1:14">
      <c r="A8621" s="1098"/>
      <c r="B8621" s="429"/>
      <c r="C8621" s="756"/>
      <c r="D8621" s="202"/>
      <c r="E8621" s="346"/>
      <c r="F8621" s="346"/>
      <c r="G8621" s="346"/>
      <c r="H8621" s="403"/>
      <c r="I8621" s="1508"/>
      <c r="J8621" s="1509"/>
      <c r="K8621" s="1509"/>
      <c r="L8621" s="1509"/>
      <c r="M8621" s="1509"/>
      <c r="N8621" s="1510"/>
    </row>
    <row r="8622" spans="1:14">
      <c r="A8622" s="1138"/>
      <c r="B8622" s="753"/>
      <c r="C8622" s="757"/>
      <c r="D8622" s="294"/>
      <c r="E8622" s="348"/>
      <c r="F8622" s="348"/>
      <c r="G8622" s="348"/>
      <c r="H8622" s="349"/>
      <c r="I8622" s="1508"/>
      <c r="J8622" s="1509"/>
      <c r="K8622" s="1509"/>
      <c r="L8622" s="1509"/>
      <c r="M8622" s="1509"/>
      <c r="N8622" s="1510"/>
    </row>
    <row r="8623" spans="1:14">
      <c r="A8623" s="1516" t="s">
        <v>2218</v>
      </c>
      <c r="B8623" s="1517"/>
      <c r="C8623" s="1517"/>
      <c r="D8623" s="1517"/>
      <c r="E8623" s="1517"/>
      <c r="F8623" s="1517"/>
      <c r="G8623" s="1518"/>
      <c r="H8623" s="271">
        <f>SUM(H8621:H8622)</f>
        <v>0</v>
      </c>
      <c r="I8623" s="1508"/>
      <c r="J8623" s="1509"/>
      <c r="K8623" s="1509"/>
      <c r="L8623" s="1509"/>
      <c r="M8623" s="1509"/>
      <c r="N8623" s="1510"/>
    </row>
    <row r="8624" spans="1:14">
      <c r="A8624" s="1519" t="s">
        <v>2219</v>
      </c>
      <c r="B8624" s="1517"/>
      <c r="C8624" s="1517"/>
      <c r="D8624" s="1517"/>
      <c r="E8624" s="1517"/>
      <c r="F8624" s="1517"/>
      <c r="G8624" s="1518"/>
      <c r="H8624" s="325">
        <v>0</v>
      </c>
      <c r="I8624" s="1508"/>
      <c r="J8624" s="1509"/>
      <c r="K8624" s="1509"/>
      <c r="L8624" s="1509"/>
      <c r="M8624" s="1509"/>
      <c r="N8624" s="1510"/>
    </row>
    <row r="8625" spans="1:14" ht="15.75" thickBot="1">
      <c r="A8625" s="1520" t="s">
        <v>2220</v>
      </c>
      <c r="B8625" s="1521"/>
      <c r="C8625" s="1521"/>
      <c r="D8625" s="1521"/>
      <c r="E8625" s="1521"/>
      <c r="F8625" s="1521"/>
      <c r="G8625" s="1522"/>
      <c r="H8625" s="216">
        <f>H8623-H8624</f>
        <v>0</v>
      </c>
      <c r="I8625" s="1511"/>
      <c r="J8625" s="1512"/>
      <c r="K8625" s="1512"/>
      <c r="L8625" s="1512"/>
      <c r="M8625" s="1512"/>
      <c r="N8625" s="1513"/>
    </row>
    <row r="8626" spans="1:14" ht="15.75" thickBot="1"/>
    <row r="8627" spans="1:14">
      <c r="A8627" s="1084" t="s">
        <v>3828</v>
      </c>
      <c r="B8627" s="1494" t="s">
        <v>2101</v>
      </c>
      <c r="C8627" s="1495"/>
      <c r="D8627" s="1495"/>
      <c r="E8627" s="1495"/>
      <c r="F8627" s="1495"/>
      <c r="G8627" s="1495"/>
      <c r="H8627" s="1495"/>
      <c r="I8627" s="1495"/>
      <c r="J8627" s="1496"/>
      <c r="K8627" s="196" t="s">
        <v>3154</v>
      </c>
      <c r="L8627" s="1497"/>
      <c r="M8627" s="1498"/>
      <c r="N8627" s="197">
        <f>L8627-H8632</f>
        <v>0</v>
      </c>
    </row>
    <row r="8628" spans="1:14">
      <c r="A8628" s="1499"/>
      <c r="B8628" s="1500"/>
      <c r="C8628" s="366"/>
      <c r="D8628" s="367" t="s">
        <v>2183</v>
      </c>
      <c r="E8628" s="1320" t="s">
        <v>2184</v>
      </c>
      <c r="F8628" s="367" t="s">
        <v>2185</v>
      </c>
      <c r="G8628" s="367" t="s">
        <v>2186</v>
      </c>
      <c r="H8628" s="1503" t="s">
        <v>476</v>
      </c>
      <c r="I8628" s="1505"/>
      <c r="J8628" s="1506"/>
      <c r="K8628" s="1506"/>
      <c r="L8628" s="1506"/>
      <c r="M8628" s="1506"/>
      <c r="N8628" s="1507"/>
    </row>
    <row r="8629" spans="1:14" ht="24">
      <c r="A8629" s="1501"/>
      <c r="B8629" s="1502"/>
      <c r="C8629" s="368" t="s">
        <v>2627</v>
      </c>
      <c r="D8629" s="369" t="s">
        <v>2187</v>
      </c>
      <c r="E8629" s="529" t="s">
        <v>3152</v>
      </c>
      <c r="F8629" s="369" t="s">
        <v>2649</v>
      </c>
      <c r="G8629" s="370" t="s">
        <v>2709</v>
      </c>
      <c r="H8629" s="1504"/>
      <c r="I8629" s="1508"/>
      <c r="J8629" s="1509"/>
      <c r="K8629" s="1509"/>
      <c r="L8629" s="1509"/>
      <c r="M8629" s="1509"/>
      <c r="N8629" s="1510"/>
    </row>
    <row r="8630" spans="1:14">
      <c r="A8630" s="1098"/>
      <c r="B8630" s="429"/>
      <c r="C8630" s="756"/>
      <c r="D8630" s="202"/>
      <c r="E8630" s="346"/>
      <c r="F8630" s="346"/>
      <c r="G8630" s="346"/>
      <c r="H8630" s="403"/>
      <c r="I8630" s="1508"/>
      <c r="J8630" s="1509"/>
      <c r="K8630" s="1509"/>
      <c r="L8630" s="1509"/>
      <c r="M8630" s="1509"/>
      <c r="N8630" s="1510"/>
    </row>
    <row r="8631" spans="1:14">
      <c r="A8631" s="1138"/>
      <c r="B8631" s="753"/>
      <c r="C8631" s="757"/>
      <c r="D8631" s="294"/>
      <c r="E8631" s="348"/>
      <c r="F8631" s="348"/>
      <c r="G8631" s="348"/>
      <c r="H8631" s="349"/>
      <c r="I8631" s="1508"/>
      <c r="J8631" s="1509"/>
      <c r="K8631" s="1509"/>
      <c r="L8631" s="1509"/>
      <c r="M8631" s="1509"/>
      <c r="N8631" s="1510"/>
    </row>
    <row r="8632" spans="1:14">
      <c r="A8632" s="1516" t="s">
        <v>2218</v>
      </c>
      <c r="B8632" s="1517"/>
      <c r="C8632" s="1517"/>
      <c r="D8632" s="1517"/>
      <c r="E8632" s="1517"/>
      <c r="F8632" s="1517"/>
      <c r="G8632" s="1518"/>
      <c r="H8632" s="271">
        <f>SUM(H8630:H8631)</f>
        <v>0</v>
      </c>
      <c r="I8632" s="1508"/>
      <c r="J8632" s="1509"/>
      <c r="K8632" s="1509"/>
      <c r="L8632" s="1509"/>
      <c r="M8632" s="1509"/>
      <c r="N8632" s="1510"/>
    </row>
    <row r="8633" spans="1:14">
      <c r="A8633" s="1519" t="s">
        <v>2219</v>
      </c>
      <c r="B8633" s="1517"/>
      <c r="C8633" s="1517"/>
      <c r="D8633" s="1517"/>
      <c r="E8633" s="1517"/>
      <c r="F8633" s="1517"/>
      <c r="G8633" s="1518"/>
      <c r="H8633" s="325">
        <v>0</v>
      </c>
      <c r="I8633" s="1508"/>
      <c r="J8633" s="1509"/>
      <c r="K8633" s="1509"/>
      <c r="L8633" s="1509"/>
      <c r="M8633" s="1509"/>
      <c r="N8633" s="1510"/>
    </row>
    <row r="8634" spans="1:14" ht="15.75" thickBot="1">
      <c r="A8634" s="1520" t="s">
        <v>2220</v>
      </c>
      <c r="B8634" s="1521"/>
      <c r="C8634" s="1521"/>
      <c r="D8634" s="1521"/>
      <c r="E8634" s="1521"/>
      <c r="F8634" s="1521"/>
      <c r="G8634" s="1522"/>
      <c r="H8634" s="216">
        <f>H8632-H8633</f>
        <v>0</v>
      </c>
      <c r="I8634" s="1511"/>
      <c r="J8634" s="1512"/>
      <c r="K8634" s="1512"/>
      <c r="L8634" s="1512"/>
      <c r="M8634" s="1512"/>
      <c r="N8634" s="1513"/>
    </row>
    <row r="8635" spans="1:14" ht="15.75" thickBot="1"/>
    <row r="8636" spans="1:14">
      <c r="A8636" s="1084" t="s">
        <v>3829</v>
      </c>
      <c r="B8636" s="1494" t="s">
        <v>3698</v>
      </c>
      <c r="C8636" s="1495"/>
      <c r="D8636" s="1495"/>
      <c r="E8636" s="1495"/>
      <c r="F8636" s="1495"/>
      <c r="G8636" s="1495"/>
      <c r="H8636" s="1495"/>
      <c r="I8636" s="1495"/>
      <c r="J8636" s="1496"/>
      <c r="K8636" s="196" t="s">
        <v>3154</v>
      </c>
      <c r="L8636" s="1497">
        <v>14</v>
      </c>
      <c r="M8636" s="1498"/>
      <c r="N8636" s="197">
        <f>L8636-H8641</f>
        <v>0</v>
      </c>
    </row>
    <row r="8637" spans="1:14">
      <c r="A8637" s="1499"/>
      <c r="B8637" s="1500"/>
      <c r="C8637" s="366"/>
      <c r="D8637" s="367" t="s">
        <v>2183</v>
      </c>
      <c r="E8637" s="1320" t="s">
        <v>2184</v>
      </c>
      <c r="F8637" s="367" t="s">
        <v>2185</v>
      </c>
      <c r="G8637" s="367" t="s">
        <v>2186</v>
      </c>
      <c r="H8637" s="1503" t="s">
        <v>476</v>
      </c>
      <c r="I8637" s="1505"/>
      <c r="J8637" s="1506"/>
      <c r="K8637" s="1506"/>
      <c r="L8637" s="1506"/>
      <c r="M8637" s="1506"/>
      <c r="N8637" s="1507"/>
    </row>
    <row r="8638" spans="1:14" ht="24">
      <c r="A8638" s="1501"/>
      <c r="B8638" s="1502"/>
      <c r="C8638" s="368" t="s">
        <v>2627</v>
      </c>
      <c r="D8638" s="369" t="s">
        <v>2187</v>
      </c>
      <c r="E8638" s="529" t="s">
        <v>3152</v>
      </c>
      <c r="F8638" s="369" t="s">
        <v>2649</v>
      </c>
      <c r="G8638" s="370" t="s">
        <v>2709</v>
      </c>
      <c r="H8638" s="1504"/>
      <c r="I8638" s="1508"/>
      <c r="J8638" s="1509"/>
      <c r="K8638" s="1509"/>
      <c r="L8638" s="1509"/>
      <c r="M8638" s="1509"/>
      <c r="N8638" s="1510"/>
    </row>
    <row r="8639" spans="1:14">
      <c r="A8639" s="1098"/>
      <c r="B8639" s="429"/>
      <c r="C8639" s="756"/>
      <c r="D8639" s="202"/>
      <c r="E8639" s="346"/>
      <c r="F8639" s="346"/>
      <c r="G8639" s="346"/>
      <c r="H8639" s="403"/>
      <c r="I8639" s="1508"/>
      <c r="J8639" s="1509"/>
      <c r="K8639" s="1509"/>
      <c r="L8639" s="1509"/>
      <c r="M8639" s="1509"/>
      <c r="N8639" s="1510"/>
    </row>
    <row r="8640" spans="1:14">
      <c r="A8640" s="1138" t="s">
        <v>4003</v>
      </c>
      <c r="B8640" s="753" t="s">
        <v>3786</v>
      </c>
      <c r="C8640" s="757">
        <v>14</v>
      </c>
      <c r="D8640" s="294"/>
      <c r="E8640" s="348"/>
      <c r="F8640" s="348"/>
      <c r="G8640" s="348"/>
      <c r="H8640" s="349">
        <v>14</v>
      </c>
      <c r="I8640" s="1508"/>
      <c r="J8640" s="1509"/>
      <c r="K8640" s="1509"/>
      <c r="L8640" s="1509"/>
      <c r="M8640" s="1509"/>
      <c r="N8640" s="1510"/>
    </row>
    <row r="8641" spans="1:14">
      <c r="A8641" s="1516" t="s">
        <v>2218</v>
      </c>
      <c r="B8641" s="1517"/>
      <c r="C8641" s="1517"/>
      <c r="D8641" s="1517"/>
      <c r="E8641" s="1517"/>
      <c r="F8641" s="1517"/>
      <c r="G8641" s="1518"/>
      <c r="H8641" s="271">
        <f>SUM(H8639:H8640)</f>
        <v>14</v>
      </c>
      <c r="I8641" s="1508"/>
      <c r="J8641" s="1509"/>
      <c r="K8641" s="1509"/>
      <c r="L8641" s="1509"/>
      <c r="M8641" s="1509"/>
      <c r="N8641" s="1510"/>
    </row>
    <row r="8642" spans="1:14">
      <c r="A8642" s="1519" t="s">
        <v>2219</v>
      </c>
      <c r="B8642" s="1517"/>
      <c r="C8642" s="1517"/>
      <c r="D8642" s="1517"/>
      <c r="E8642" s="1517"/>
      <c r="F8642" s="1517"/>
      <c r="G8642" s="1518"/>
      <c r="H8642" s="325">
        <v>0</v>
      </c>
      <c r="I8642" s="1508"/>
      <c r="J8642" s="1509"/>
      <c r="K8642" s="1509"/>
      <c r="L8642" s="1509"/>
      <c r="M8642" s="1509"/>
      <c r="N8642" s="1510"/>
    </row>
    <row r="8643" spans="1:14" ht="15.75" thickBot="1">
      <c r="A8643" s="1520" t="s">
        <v>2220</v>
      </c>
      <c r="B8643" s="1521"/>
      <c r="C8643" s="1521"/>
      <c r="D8643" s="1521"/>
      <c r="E8643" s="1521"/>
      <c r="F8643" s="1521"/>
      <c r="G8643" s="1522"/>
      <c r="H8643" s="216">
        <f>H8641-H8642</f>
        <v>14</v>
      </c>
      <c r="I8643" s="1511"/>
      <c r="J8643" s="1512"/>
      <c r="K8643" s="1512"/>
      <c r="L8643" s="1512"/>
      <c r="M8643" s="1512"/>
      <c r="N8643" s="1513"/>
    </row>
    <row r="8644" spans="1:14" ht="25.5" customHeight="1" thickBot="1"/>
    <row r="8645" spans="1:14">
      <c r="A8645" s="1084" t="s">
        <v>3830</v>
      </c>
      <c r="B8645" s="1494" t="s">
        <v>3700</v>
      </c>
      <c r="C8645" s="1495"/>
      <c r="D8645" s="1495"/>
      <c r="E8645" s="1495"/>
      <c r="F8645" s="1495"/>
      <c r="G8645" s="1495"/>
      <c r="H8645" s="1495"/>
      <c r="I8645" s="1495"/>
      <c r="J8645" s="1496"/>
      <c r="K8645" s="196" t="s">
        <v>44</v>
      </c>
      <c r="L8645" s="1497">
        <f>'27ª MEDIÇÃO '!F668</f>
        <v>449.84</v>
      </c>
      <c r="M8645" s="1498"/>
      <c r="N8645" s="197">
        <f>L8645-H8650</f>
        <v>0</v>
      </c>
    </row>
    <row r="8646" spans="1:14">
      <c r="A8646" s="1499"/>
      <c r="B8646" s="1500"/>
      <c r="C8646" s="366"/>
      <c r="D8646" s="367" t="s">
        <v>2183</v>
      </c>
      <c r="E8646" s="1320" t="s">
        <v>2184</v>
      </c>
      <c r="F8646" s="367" t="s">
        <v>2185</v>
      </c>
      <c r="G8646" s="367" t="s">
        <v>2186</v>
      </c>
      <c r="H8646" s="1503" t="s">
        <v>476</v>
      </c>
      <c r="I8646" s="1505"/>
      <c r="J8646" s="1506"/>
      <c r="K8646" s="1506"/>
      <c r="L8646" s="1506"/>
      <c r="M8646" s="1506"/>
      <c r="N8646" s="1507"/>
    </row>
    <row r="8647" spans="1:14" ht="24">
      <c r="A8647" s="1501"/>
      <c r="B8647" s="1502"/>
      <c r="C8647" s="368" t="s">
        <v>2627</v>
      </c>
      <c r="D8647" s="369" t="s">
        <v>2187</v>
      </c>
      <c r="E8647" s="529" t="s">
        <v>3152</v>
      </c>
      <c r="F8647" s="369" t="s">
        <v>2649</v>
      </c>
      <c r="G8647" s="370" t="s">
        <v>2709</v>
      </c>
      <c r="H8647" s="1504"/>
      <c r="I8647" s="1508"/>
      <c r="J8647" s="1509"/>
      <c r="K8647" s="1509"/>
      <c r="L8647" s="1509"/>
      <c r="M8647" s="1509"/>
      <c r="N8647" s="1510"/>
    </row>
    <row r="8648" spans="1:14">
      <c r="A8648" s="1514" t="s">
        <v>3745</v>
      </c>
      <c r="B8648" s="429" t="s">
        <v>3524</v>
      </c>
      <c r="C8648" s="756">
        <v>232.39</v>
      </c>
      <c r="D8648" s="202"/>
      <c r="E8648" s="346"/>
      <c r="F8648" s="346"/>
      <c r="G8648" s="346"/>
      <c r="H8648" s="403">
        <f>C8648</f>
        <v>232.39</v>
      </c>
      <c r="I8648" s="1508"/>
      <c r="J8648" s="1509"/>
      <c r="K8648" s="1509"/>
      <c r="L8648" s="1509"/>
      <c r="M8648" s="1509"/>
      <c r="N8648" s="1510"/>
    </row>
    <row r="8649" spans="1:14">
      <c r="A8649" s="1515"/>
      <c r="B8649" s="753" t="s">
        <v>3655</v>
      </c>
      <c r="C8649" s="757">
        <v>217.45</v>
      </c>
      <c r="D8649" s="294"/>
      <c r="E8649" s="348"/>
      <c r="F8649" s="348"/>
      <c r="G8649" s="348"/>
      <c r="H8649" s="349">
        <f>C8649</f>
        <v>217.45</v>
      </c>
      <c r="I8649" s="1508"/>
      <c r="J8649" s="1509"/>
      <c r="K8649" s="1509"/>
      <c r="L8649" s="1509"/>
      <c r="M8649" s="1509"/>
      <c r="N8649" s="1510"/>
    </row>
    <row r="8650" spans="1:14">
      <c r="A8650" s="1516" t="s">
        <v>2218</v>
      </c>
      <c r="B8650" s="1517"/>
      <c r="C8650" s="1517"/>
      <c r="D8650" s="1517"/>
      <c r="E8650" s="1517"/>
      <c r="F8650" s="1517"/>
      <c r="G8650" s="1518"/>
      <c r="H8650" s="271">
        <f>SUM(H8648:H8649)</f>
        <v>449.84</v>
      </c>
      <c r="I8650" s="1508"/>
      <c r="J8650" s="1509"/>
      <c r="K8650" s="1509"/>
      <c r="L8650" s="1509"/>
      <c r="M8650" s="1509"/>
      <c r="N8650" s="1510"/>
    </row>
    <row r="8651" spans="1:14">
      <c r="A8651" s="1519" t="s">
        <v>2219</v>
      </c>
      <c r="B8651" s="1517"/>
      <c r="C8651" s="1517"/>
      <c r="D8651" s="1517"/>
      <c r="E8651" s="1517"/>
      <c r="F8651" s="1517"/>
      <c r="G8651" s="1518"/>
      <c r="H8651" s="325">
        <v>0</v>
      </c>
      <c r="I8651" s="1508"/>
      <c r="J8651" s="1509"/>
      <c r="K8651" s="1509"/>
      <c r="L8651" s="1509"/>
      <c r="M8651" s="1509"/>
      <c r="N8651" s="1510"/>
    </row>
    <row r="8652" spans="1:14" ht="15.75" thickBot="1">
      <c r="A8652" s="1520" t="s">
        <v>2220</v>
      </c>
      <c r="B8652" s="1521"/>
      <c r="C8652" s="1521"/>
      <c r="D8652" s="1521"/>
      <c r="E8652" s="1521"/>
      <c r="F8652" s="1521"/>
      <c r="G8652" s="1522"/>
      <c r="H8652" s="216">
        <f>H8650-H8651</f>
        <v>449.84</v>
      </c>
      <c r="I8652" s="1511"/>
      <c r="J8652" s="1512"/>
      <c r="K8652" s="1512"/>
      <c r="L8652" s="1512"/>
      <c r="M8652" s="1512"/>
      <c r="N8652" s="1513"/>
    </row>
    <row r="8653" spans="1:14" ht="15.75" thickBot="1"/>
    <row r="8654" spans="1:14">
      <c r="A8654" s="1084" t="s">
        <v>3831</v>
      </c>
      <c r="B8654" s="1494" t="s">
        <v>3702</v>
      </c>
      <c r="C8654" s="1495"/>
      <c r="D8654" s="1495"/>
      <c r="E8654" s="1495"/>
      <c r="F8654" s="1495"/>
      <c r="G8654" s="1495"/>
      <c r="H8654" s="1495"/>
      <c r="I8654" s="1495"/>
      <c r="J8654" s="1496"/>
      <c r="K8654" s="196" t="s">
        <v>44</v>
      </c>
      <c r="L8654" s="1497">
        <f>'27ª MEDIÇÃO '!F669</f>
        <v>280.35000000000002</v>
      </c>
      <c r="M8654" s="1498"/>
      <c r="N8654" s="197">
        <f>L8654-H8659</f>
        <v>0</v>
      </c>
    </row>
    <row r="8655" spans="1:14">
      <c r="A8655" s="1499"/>
      <c r="B8655" s="1500"/>
      <c r="C8655" s="366"/>
      <c r="D8655" s="367" t="s">
        <v>2183</v>
      </c>
      <c r="E8655" s="1320" t="s">
        <v>2184</v>
      </c>
      <c r="F8655" s="367" t="s">
        <v>2185</v>
      </c>
      <c r="G8655" s="367" t="s">
        <v>2186</v>
      </c>
      <c r="H8655" s="1503" t="s">
        <v>476</v>
      </c>
      <c r="I8655" s="1505"/>
      <c r="J8655" s="1506"/>
      <c r="K8655" s="1506"/>
      <c r="L8655" s="1506"/>
      <c r="M8655" s="1506"/>
      <c r="N8655" s="1507"/>
    </row>
    <row r="8656" spans="1:14" ht="24">
      <c r="A8656" s="1501"/>
      <c r="B8656" s="1502"/>
      <c r="C8656" s="368" t="s">
        <v>2627</v>
      </c>
      <c r="D8656" s="369" t="s">
        <v>2187</v>
      </c>
      <c r="E8656" s="529" t="s">
        <v>3152</v>
      </c>
      <c r="F8656" s="369" t="s">
        <v>2649</v>
      </c>
      <c r="G8656" s="370" t="s">
        <v>2709</v>
      </c>
      <c r="H8656" s="1504"/>
      <c r="I8656" s="1508"/>
      <c r="J8656" s="1509"/>
      <c r="K8656" s="1509"/>
      <c r="L8656" s="1509"/>
      <c r="M8656" s="1509"/>
      <c r="N8656" s="1510"/>
    </row>
    <row r="8657" spans="1:14">
      <c r="A8657" s="1514" t="s">
        <v>3745</v>
      </c>
      <c r="B8657" s="429" t="s">
        <v>3524</v>
      </c>
      <c r="C8657" s="756">
        <v>189.81</v>
      </c>
      <c r="D8657" s="202"/>
      <c r="E8657" s="346"/>
      <c r="F8657" s="346"/>
      <c r="G8657" s="346"/>
      <c r="H8657" s="403">
        <f>C8657</f>
        <v>189.81</v>
      </c>
      <c r="I8657" s="1508"/>
      <c r="J8657" s="1509"/>
      <c r="K8657" s="1509"/>
      <c r="L8657" s="1509"/>
      <c r="M8657" s="1509"/>
      <c r="N8657" s="1510"/>
    </row>
    <row r="8658" spans="1:14">
      <c r="A8658" s="1515"/>
      <c r="B8658" s="753" t="s">
        <v>3655</v>
      </c>
      <c r="C8658" s="757">
        <v>90.54</v>
      </c>
      <c r="D8658" s="294"/>
      <c r="E8658" s="348"/>
      <c r="F8658" s="348"/>
      <c r="G8658" s="348"/>
      <c r="H8658" s="349">
        <f>C8658</f>
        <v>90.54</v>
      </c>
      <c r="I8658" s="1508"/>
      <c r="J8658" s="1509"/>
      <c r="K8658" s="1509"/>
      <c r="L8658" s="1509"/>
      <c r="M8658" s="1509"/>
      <c r="N8658" s="1510"/>
    </row>
    <row r="8659" spans="1:14">
      <c r="A8659" s="1516" t="s">
        <v>2218</v>
      </c>
      <c r="B8659" s="1517"/>
      <c r="C8659" s="1517"/>
      <c r="D8659" s="1517"/>
      <c r="E8659" s="1517"/>
      <c r="F8659" s="1517"/>
      <c r="G8659" s="1518"/>
      <c r="H8659" s="271">
        <f>SUM(H8657:H8658)</f>
        <v>280.35000000000002</v>
      </c>
      <c r="I8659" s="1508"/>
      <c r="J8659" s="1509"/>
      <c r="K8659" s="1509"/>
      <c r="L8659" s="1509"/>
      <c r="M8659" s="1509"/>
      <c r="N8659" s="1510"/>
    </row>
    <row r="8660" spans="1:14">
      <c r="A8660" s="1519" t="s">
        <v>2219</v>
      </c>
      <c r="B8660" s="1517"/>
      <c r="C8660" s="1517"/>
      <c r="D8660" s="1517"/>
      <c r="E8660" s="1517"/>
      <c r="F8660" s="1517"/>
      <c r="G8660" s="1518"/>
      <c r="H8660" s="325">
        <v>0</v>
      </c>
      <c r="I8660" s="1508"/>
      <c r="J8660" s="1509"/>
      <c r="K8660" s="1509"/>
      <c r="L8660" s="1509"/>
      <c r="M8660" s="1509"/>
      <c r="N8660" s="1510"/>
    </row>
    <row r="8661" spans="1:14" ht="15.75" thickBot="1">
      <c r="A8661" s="1520" t="s">
        <v>2220</v>
      </c>
      <c r="B8661" s="1521"/>
      <c r="C8661" s="1521"/>
      <c r="D8661" s="1521"/>
      <c r="E8661" s="1521"/>
      <c r="F8661" s="1521"/>
      <c r="G8661" s="1522"/>
      <c r="H8661" s="216">
        <f>H8659-H8660</f>
        <v>280.35000000000002</v>
      </c>
      <c r="I8661" s="1511"/>
      <c r="J8661" s="1512"/>
      <c r="K8661" s="1512"/>
      <c r="L8661" s="1512"/>
      <c r="M8661" s="1512"/>
      <c r="N8661" s="1513"/>
    </row>
    <row r="8662" spans="1:14" ht="15.75" thickBot="1"/>
    <row r="8663" spans="1:14">
      <c r="A8663" s="1084" t="s">
        <v>3832</v>
      </c>
      <c r="B8663" s="1494" t="s">
        <v>3704</v>
      </c>
      <c r="C8663" s="1495"/>
      <c r="D8663" s="1495"/>
      <c r="E8663" s="1495"/>
      <c r="F8663" s="1495"/>
      <c r="G8663" s="1495"/>
      <c r="H8663" s="1495"/>
      <c r="I8663" s="1495"/>
      <c r="J8663" s="1496"/>
      <c r="K8663" s="196" t="s">
        <v>2222</v>
      </c>
      <c r="L8663" s="1497">
        <f>'27ª MEDIÇÃO '!F670</f>
        <v>283.38</v>
      </c>
      <c r="M8663" s="1498"/>
      <c r="N8663" s="197">
        <f>L8663-H8674</f>
        <v>7.000000000516593E-4</v>
      </c>
    </row>
    <row r="8664" spans="1:14">
      <c r="A8664" s="1499"/>
      <c r="B8664" s="1500"/>
      <c r="C8664" s="366"/>
      <c r="D8664" s="367" t="s">
        <v>2183</v>
      </c>
      <c r="E8664" s="1320" t="s">
        <v>2184</v>
      </c>
      <c r="F8664" s="367" t="s">
        <v>2185</v>
      </c>
      <c r="G8664" s="367" t="s">
        <v>2186</v>
      </c>
      <c r="H8664" s="1503" t="s">
        <v>476</v>
      </c>
      <c r="I8664" s="1505"/>
      <c r="J8664" s="1506"/>
      <c r="K8664" s="1506"/>
      <c r="L8664" s="1506"/>
      <c r="M8664" s="1506"/>
      <c r="N8664" s="1507"/>
    </row>
    <row r="8665" spans="1:14">
      <c r="A8665" s="1501"/>
      <c r="B8665" s="1502"/>
      <c r="C8665" s="368" t="s">
        <v>2627</v>
      </c>
      <c r="D8665" s="369" t="s">
        <v>2187</v>
      </c>
      <c r="E8665" s="529" t="s">
        <v>3846</v>
      </c>
      <c r="F8665" s="369"/>
      <c r="G8665" s="370" t="s">
        <v>3023</v>
      </c>
      <c r="H8665" s="1504"/>
      <c r="I8665" s="1508"/>
      <c r="J8665" s="1509"/>
      <c r="K8665" s="1509"/>
      <c r="L8665" s="1509"/>
      <c r="M8665" s="1509"/>
      <c r="N8665" s="1510"/>
    </row>
    <row r="8666" spans="1:14" ht="30">
      <c r="A8666" s="1514" t="s">
        <v>3745</v>
      </c>
      <c r="B8666" s="429" t="s">
        <v>3841</v>
      </c>
      <c r="C8666" s="756"/>
      <c r="D8666" s="1175">
        <v>12.7</v>
      </c>
      <c r="E8666" s="1378">
        <v>5.27</v>
      </c>
      <c r="F8666" s="346"/>
      <c r="G8666" s="346">
        <v>20</v>
      </c>
      <c r="H8666" s="403">
        <f>(D8666*E8666)-G8666</f>
        <v>46.928999999999988</v>
      </c>
      <c r="I8666" s="1508"/>
      <c r="J8666" s="1509"/>
      <c r="K8666" s="1509"/>
      <c r="L8666" s="1509"/>
      <c r="M8666" s="1509"/>
      <c r="N8666" s="1510"/>
    </row>
    <row r="8667" spans="1:14">
      <c r="A8667" s="1523"/>
      <c r="B8667" s="953" t="s">
        <v>3842</v>
      </c>
      <c r="C8667" s="956"/>
      <c r="D8667" s="1176">
        <v>7.75</v>
      </c>
      <c r="E8667" s="1378">
        <v>5.27</v>
      </c>
      <c r="F8667" s="693"/>
      <c r="G8667" s="693">
        <v>9.07</v>
      </c>
      <c r="H8667" s="403">
        <f t="shared" ref="H8667:H8672" si="168">(D8667*E8667)-G8667</f>
        <v>31.772499999999994</v>
      </c>
      <c r="I8667" s="1508"/>
      <c r="J8667" s="1509"/>
      <c r="K8667" s="1509"/>
      <c r="L8667" s="1509"/>
      <c r="M8667" s="1509"/>
      <c r="N8667" s="1510"/>
    </row>
    <row r="8668" spans="1:14">
      <c r="A8668" s="1523"/>
      <c r="B8668" s="953" t="s">
        <v>3843</v>
      </c>
      <c r="C8668" s="956"/>
      <c r="D8668" s="1176">
        <v>4.8499999999999996</v>
      </c>
      <c r="E8668" s="1378">
        <v>8.1</v>
      </c>
      <c r="F8668" s="693"/>
      <c r="G8668" s="693">
        <v>7.9</v>
      </c>
      <c r="H8668" s="403">
        <f t="shared" si="168"/>
        <v>31.384999999999998</v>
      </c>
      <c r="I8668" s="1508"/>
      <c r="J8668" s="1509"/>
      <c r="K8668" s="1509"/>
      <c r="L8668" s="1509"/>
      <c r="M8668" s="1509"/>
      <c r="N8668" s="1510"/>
    </row>
    <row r="8669" spans="1:14">
      <c r="A8669" s="1523"/>
      <c r="B8669" s="1174" t="s">
        <v>3726</v>
      </c>
      <c r="C8669" s="956"/>
      <c r="D8669" s="1176">
        <v>5.36</v>
      </c>
      <c r="E8669" s="1378">
        <v>8.1</v>
      </c>
      <c r="F8669" s="693"/>
      <c r="G8669" s="693">
        <v>8.25</v>
      </c>
      <c r="H8669" s="403">
        <f t="shared" si="168"/>
        <v>35.166000000000004</v>
      </c>
      <c r="I8669" s="1508"/>
      <c r="J8669" s="1509"/>
      <c r="K8669" s="1509"/>
      <c r="L8669" s="1509"/>
      <c r="M8669" s="1509"/>
      <c r="N8669" s="1510"/>
    </row>
    <row r="8670" spans="1:14">
      <c r="A8670" s="1523"/>
      <c r="B8670" s="1174" t="s">
        <v>3844</v>
      </c>
      <c r="C8670" s="956"/>
      <c r="D8670" s="1176">
        <v>15.85</v>
      </c>
      <c r="E8670" s="1378">
        <v>1.32</v>
      </c>
      <c r="F8670" s="693"/>
      <c r="G8670" s="693"/>
      <c r="H8670" s="403">
        <f t="shared" si="168"/>
        <v>20.922000000000001</v>
      </c>
      <c r="I8670" s="1508"/>
      <c r="J8670" s="1509"/>
      <c r="K8670" s="1509"/>
      <c r="L8670" s="1509"/>
      <c r="M8670" s="1509"/>
      <c r="N8670" s="1510"/>
    </row>
    <row r="8671" spans="1:14">
      <c r="A8671" s="1523"/>
      <c r="B8671" s="1174"/>
      <c r="C8671" s="956"/>
      <c r="D8671" s="1176">
        <v>9.36</v>
      </c>
      <c r="E8671" s="1378">
        <v>6.77</v>
      </c>
      <c r="F8671" s="693"/>
      <c r="G8671" s="693">
        <v>20.28</v>
      </c>
      <c r="H8671" s="403">
        <f t="shared" si="168"/>
        <v>43.087199999999989</v>
      </c>
      <c r="I8671" s="1508"/>
      <c r="J8671" s="1509"/>
      <c r="K8671" s="1509"/>
      <c r="L8671" s="1509"/>
      <c r="M8671" s="1509"/>
      <c r="N8671" s="1510"/>
    </row>
    <row r="8672" spans="1:14">
      <c r="A8672" s="1523"/>
      <c r="B8672" s="1195" t="s">
        <v>3845</v>
      </c>
      <c r="C8672" s="956"/>
      <c r="D8672" s="1175">
        <v>18.14</v>
      </c>
      <c r="E8672" s="1378">
        <v>4.84</v>
      </c>
      <c r="F8672" s="693"/>
      <c r="G8672" s="693">
        <v>13.68</v>
      </c>
      <c r="H8672" s="403">
        <f t="shared" si="168"/>
        <v>74.11760000000001</v>
      </c>
      <c r="I8672" s="1508"/>
      <c r="J8672" s="1509"/>
      <c r="K8672" s="1509"/>
      <c r="L8672" s="1509"/>
      <c r="M8672" s="1509"/>
      <c r="N8672" s="1510"/>
    </row>
    <row r="8673" spans="1:14">
      <c r="A8673" s="1515"/>
      <c r="B8673" s="753"/>
      <c r="C8673" s="757"/>
      <c r="D8673" s="294"/>
      <c r="E8673" s="348"/>
      <c r="F8673" s="348"/>
      <c r="G8673" s="348"/>
      <c r="H8673" s="349"/>
      <c r="I8673" s="1508"/>
      <c r="J8673" s="1509"/>
      <c r="K8673" s="1509"/>
      <c r="L8673" s="1509"/>
      <c r="M8673" s="1509"/>
      <c r="N8673" s="1510"/>
    </row>
    <row r="8674" spans="1:14">
      <c r="A8674" s="1516" t="s">
        <v>2218</v>
      </c>
      <c r="B8674" s="1517"/>
      <c r="C8674" s="1517"/>
      <c r="D8674" s="1517"/>
      <c r="E8674" s="1517"/>
      <c r="F8674" s="1517"/>
      <c r="G8674" s="1518"/>
      <c r="H8674" s="271">
        <f>SUM(H8666:H8673)</f>
        <v>283.37929999999994</v>
      </c>
      <c r="I8674" s="1508"/>
      <c r="J8674" s="1509"/>
      <c r="K8674" s="1509"/>
      <c r="L8674" s="1509"/>
      <c r="M8674" s="1509"/>
      <c r="N8674" s="1510"/>
    </row>
    <row r="8675" spans="1:14">
      <c r="A8675" s="1519" t="s">
        <v>2219</v>
      </c>
      <c r="B8675" s="1517"/>
      <c r="C8675" s="1517"/>
      <c r="D8675" s="1517"/>
      <c r="E8675" s="1517"/>
      <c r="F8675" s="1517"/>
      <c r="G8675" s="1518"/>
      <c r="H8675" s="325">
        <v>0</v>
      </c>
      <c r="I8675" s="1508"/>
      <c r="J8675" s="1509"/>
      <c r="K8675" s="1509"/>
      <c r="L8675" s="1509"/>
      <c r="M8675" s="1509"/>
      <c r="N8675" s="1510"/>
    </row>
    <row r="8676" spans="1:14" ht="15.75" thickBot="1">
      <c r="A8676" s="1520" t="s">
        <v>2220</v>
      </c>
      <c r="B8676" s="1521"/>
      <c r="C8676" s="1521"/>
      <c r="D8676" s="1521"/>
      <c r="E8676" s="1521"/>
      <c r="F8676" s="1521"/>
      <c r="G8676" s="1522"/>
      <c r="H8676" s="216">
        <f>H8674-H8675</f>
        <v>283.37929999999994</v>
      </c>
      <c r="I8676" s="1511"/>
      <c r="J8676" s="1512"/>
      <c r="K8676" s="1512"/>
      <c r="L8676" s="1512"/>
      <c r="M8676" s="1512"/>
      <c r="N8676" s="1513"/>
    </row>
    <row r="8677" spans="1:14" ht="15.75" thickBot="1"/>
    <row r="8678" spans="1:14">
      <c r="A8678" s="1084" t="s">
        <v>3833</v>
      </c>
      <c r="B8678" s="1494" t="s">
        <v>3706</v>
      </c>
      <c r="C8678" s="1495"/>
      <c r="D8678" s="1495"/>
      <c r="E8678" s="1495"/>
      <c r="F8678" s="1495"/>
      <c r="G8678" s="1495"/>
      <c r="H8678" s="1495"/>
      <c r="I8678" s="1495"/>
      <c r="J8678" s="1496"/>
      <c r="K8678" s="196" t="s">
        <v>3154</v>
      </c>
      <c r="L8678" s="1497">
        <f>'27ª MEDIÇÃO '!F671</f>
        <v>56</v>
      </c>
      <c r="M8678" s="1498"/>
      <c r="N8678" s="197">
        <f>L8678-H8683</f>
        <v>0</v>
      </c>
    </row>
    <row r="8679" spans="1:14">
      <c r="A8679" s="1499"/>
      <c r="B8679" s="1500"/>
      <c r="C8679" s="366"/>
      <c r="D8679" s="367" t="s">
        <v>2183</v>
      </c>
      <c r="E8679" s="1320" t="s">
        <v>2184</v>
      </c>
      <c r="F8679" s="367" t="s">
        <v>2185</v>
      </c>
      <c r="G8679" s="367" t="s">
        <v>2186</v>
      </c>
      <c r="H8679" s="1503" t="s">
        <v>476</v>
      </c>
      <c r="I8679" s="1505"/>
      <c r="J8679" s="1506"/>
      <c r="K8679" s="1506"/>
      <c r="L8679" s="1506"/>
      <c r="M8679" s="1506"/>
      <c r="N8679" s="1507"/>
    </row>
    <row r="8680" spans="1:14" ht="24">
      <c r="A8680" s="1501"/>
      <c r="B8680" s="1502"/>
      <c r="C8680" s="368" t="s">
        <v>2627</v>
      </c>
      <c r="D8680" s="369" t="s">
        <v>2187</v>
      </c>
      <c r="E8680" s="529" t="s">
        <v>3152</v>
      </c>
      <c r="F8680" s="369" t="s">
        <v>2649</v>
      </c>
      <c r="G8680" s="370" t="s">
        <v>2709</v>
      </c>
      <c r="H8680" s="1504"/>
      <c r="I8680" s="1508"/>
      <c r="J8680" s="1509"/>
      <c r="K8680" s="1509"/>
      <c r="L8680" s="1509"/>
      <c r="M8680" s="1509"/>
      <c r="N8680" s="1510"/>
    </row>
    <row r="8681" spans="1:14">
      <c r="A8681" s="1098" t="s">
        <v>3745</v>
      </c>
      <c r="B8681" s="429" t="s">
        <v>3826</v>
      </c>
      <c r="C8681" s="756"/>
      <c r="D8681" s="202">
        <v>56</v>
      </c>
      <c r="E8681" s="346"/>
      <c r="F8681" s="346"/>
      <c r="G8681" s="346"/>
      <c r="H8681" s="403">
        <f>D8681</f>
        <v>56</v>
      </c>
      <c r="I8681" s="1508"/>
      <c r="J8681" s="1509"/>
      <c r="K8681" s="1509"/>
      <c r="L8681" s="1509"/>
      <c r="M8681" s="1509"/>
      <c r="N8681" s="1510"/>
    </row>
    <row r="8682" spans="1:14">
      <c r="A8682" s="1138"/>
      <c r="B8682" s="753"/>
      <c r="C8682" s="757"/>
      <c r="D8682" s="294"/>
      <c r="E8682" s="348"/>
      <c r="F8682" s="348"/>
      <c r="G8682" s="348"/>
      <c r="H8682" s="349"/>
      <c r="I8682" s="1508"/>
      <c r="J8682" s="1509"/>
      <c r="K8682" s="1509"/>
      <c r="L8682" s="1509"/>
      <c r="M8682" s="1509"/>
      <c r="N8682" s="1510"/>
    </row>
    <row r="8683" spans="1:14">
      <c r="A8683" s="1516" t="s">
        <v>2218</v>
      </c>
      <c r="B8683" s="1517"/>
      <c r="C8683" s="1517"/>
      <c r="D8683" s="1517"/>
      <c r="E8683" s="1517"/>
      <c r="F8683" s="1517"/>
      <c r="G8683" s="1518"/>
      <c r="H8683" s="271">
        <f>SUM(H8681:H8682)</f>
        <v>56</v>
      </c>
      <c r="I8683" s="1508"/>
      <c r="J8683" s="1509"/>
      <c r="K8683" s="1509"/>
      <c r="L8683" s="1509"/>
      <c r="M8683" s="1509"/>
      <c r="N8683" s="1510"/>
    </row>
    <row r="8684" spans="1:14">
      <c r="A8684" s="1519" t="s">
        <v>2219</v>
      </c>
      <c r="B8684" s="1517"/>
      <c r="C8684" s="1517"/>
      <c r="D8684" s="1517"/>
      <c r="E8684" s="1517"/>
      <c r="F8684" s="1517"/>
      <c r="G8684" s="1518"/>
      <c r="H8684" s="325">
        <v>0</v>
      </c>
      <c r="I8684" s="1508"/>
      <c r="J8684" s="1509"/>
      <c r="K8684" s="1509"/>
      <c r="L8684" s="1509"/>
      <c r="M8684" s="1509"/>
      <c r="N8684" s="1510"/>
    </row>
    <row r="8685" spans="1:14" ht="15.75" thickBot="1">
      <c r="A8685" s="1520" t="s">
        <v>2220</v>
      </c>
      <c r="B8685" s="1521"/>
      <c r="C8685" s="1521"/>
      <c r="D8685" s="1521"/>
      <c r="E8685" s="1521"/>
      <c r="F8685" s="1521"/>
      <c r="G8685" s="1522"/>
      <c r="H8685" s="216">
        <f>H8683-H8684</f>
        <v>56</v>
      </c>
      <c r="I8685" s="1511"/>
      <c r="J8685" s="1512"/>
      <c r="K8685" s="1512"/>
      <c r="L8685" s="1512"/>
      <c r="M8685" s="1512"/>
      <c r="N8685" s="1513"/>
    </row>
    <row r="8686" spans="1:14" ht="15.75" thickBot="1"/>
    <row r="8687" spans="1:14">
      <c r="A8687" s="1084" t="s">
        <v>3834</v>
      </c>
      <c r="B8687" s="1494" t="s">
        <v>155</v>
      </c>
      <c r="C8687" s="1495"/>
      <c r="D8687" s="1495"/>
      <c r="E8687" s="1495"/>
      <c r="F8687" s="1495"/>
      <c r="G8687" s="1495"/>
      <c r="H8687" s="1495"/>
      <c r="I8687" s="1495"/>
      <c r="J8687" s="1496"/>
      <c r="K8687" s="196" t="s">
        <v>3154</v>
      </c>
      <c r="L8687" s="1497"/>
      <c r="M8687" s="1498"/>
      <c r="N8687" s="197">
        <f>L8687-H8692</f>
        <v>0</v>
      </c>
    </row>
    <row r="8688" spans="1:14">
      <c r="A8688" s="1499"/>
      <c r="B8688" s="1500"/>
      <c r="C8688" s="366"/>
      <c r="D8688" s="367" t="s">
        <v>2183</v>
      </c>
      <c r="E8688" s="1320" t="s">
        <v>2184</v>
      </c>
      <c r="F8688" s="367" t="s">
        <v>2185</v>
      </c>
      <c r="G8688" s="367" t="s">
        <v>2186</v>
      </c>
      <c r="H8688" s="1503" t="s">
        <v>476</v>
      </c>
      <c r="I8688" s="1505"/>
      <c r="J8688" s="1506"/>
      <c r="K8688" s="1506"/>
      <c r="L8688" s="1506"/>
      <c r="M8688" s="1506"/>
      <c r="N8688" s="1507"/>
    </row>
    <row r="8689" spans="1:14" ht="24">
      <c r="A8689" s="1501"/>
      <c r="B8689" s="1502"/>
      <c r="C8689" s="368" t="s">
        <v>2627</v>
      </c>
      <c r="D8689" s="369" t="s">
        <v>2187</v>
      </c>
      <c r="E8689" s="529" t="s">
        <v>3152</v>
      </c>
      <c r="F8689" s="369" t="s">
        <v>2649</v>
      </c>
      <c r="G8689" s="370" t="s">
        <v>2709</v>
      </c>
      <c r="H8689" s="1504"/>
      <c r="I8689" s="1508"/>
      <c r="J8689" s="1509"/>
      <c r="K8689" s="1509"/>
      <c r="L8689" s="1509"/>
      <c r="M8689" s="1509"/>
      <c r="N8689" s="1510"/>
    </row>
    <row r="8690" spans="1:14">
      <c r="A8690" s="1098"/>
      <c r="B8690" s="429"/>
      <c r="C8690" s="756"/>
      <c r="D8690" s="202"/>
      <c r="E8690" s="346"/>
      <c r="F8690" s="346"/>
      <c r="G8690" s="346"/>
      <c r="H8690" s="403"/>
      <c r="I8690" s="1508"/>
      <c r="J8690" s="1509"/>
      <c r="K8690" s="1509"/>
      <c r="L8690" s="1509"/>
      <c r="M8690" s="1509"/>
      <c r="N8690" s="1510"/>
    </row>
    <row r="8691" spans="1:14">
      <c r="A8691" s="1138"/>
      <c r="B8691" s="753"/>
      <c r="C8691" s="757"/>
      <c r="D8691" s="294"/>
      <c r="E8691" s="348"/>
      <c r="F8691" s="348"/>
      <c r="G8691" s="348"/>
      <c r="H8691" s="349"/>
      <c r="I8691" s="1508"/>
      <c r="J8691" s="1509"/>
      <c r="K8691" s="1509"/>
      <c r="L8691" s="1509"/>
      <c r="M8691" s="1509"/>
      <c r="N8691" s="1510"/>
    </row>
    <row r="8692" spans="1:14">
      <c r="A8692" s="1516" t="s">
        <v>2218</v>
      </c>
      <c r="B8692" s="1517"/>
      <c r="C8692" s="1517"/>
      <c r="D8692" s="1517"/>
      <c r="E8692" s="1517"/>
      <c r="F8692" s="1517"/>
      <c r="G8692" s="1518"/>
      <c r="H8692" s="271">
        <f>SUM(H8690:H8691)</f>
        <v>0</v>
      </c>
      <c r="I8692" s="1508"/>
      <c r="J8692" s="1509"/>
      <c r="K8692" s="1509"/>
      <c r="L8692" s="1509"/>
      <c r="M8692" s="1509"/>
      <c r="N8692" s="1510"/>
    </row>
    <row r="8693" spans="1:14">
      <c r="A8693" s="1519" t="s">
        <v>2219</v>
      </c>
      <c r="B8693" s="1517"/>
      <c r="C8693" s="1517"/>
      <c r="D8693" s="1517"/>
      <c r="E8693" s="1517"/>
      <c r="F8693" s="1517"/>
      <c r="G8693" s="1518"/>
      <c r="H8693" s="325">
        <v>0</v>
      </c>
      <c r="I8693" s="1508"/>
      <c r="J8693" s="1509"/>
      <c r="K8693" s="1509"/>
      <c r="L8693" s="1509"/>
      <c r="M8693" s="1509"/>
      <c r="N8693" s="1510"/>
    </row>
    <row r="8694" spans="1:14" ht="15.75" thickBot="1">
      <c r="A8694" s="1520" t="s">
        <v>2220</v>
      </c>
      <c r="B8694" s="1521"/>
      <c r="C8694" s="1521"/>
      <c r="D8694" s="1521"/>
      <c r="E8694" s="1521"/>
      <c r="F8694" s="1521"/>
      <c r="G8694" s="1522"/>
      <c r="H8694" s="216">
        <f>H8692-H8693</f>
        <v>0</v>
      </c>
      <c r="I8694" s="1511"/>
      <c r="J8694" s="1512"/>
      <c r="K8694" s="1512"/>
      <c r="L8694" s="1512"/>
      <c r="M8694" s="1512"/>
      <c r="N8694" s="1513"/>
    </row>
    <row r="8695" spans="1:14" ht="15.75" thickBot="1"/>
    <row r="8696" spans="1:14">
      <c r="A8696" s="1084" t="s">
        <v>3835</v>
      </c>
      <c r="B8696" s="1494" t="s">
        <v>3708</v>
      </c>
      <c r="C8696" s="1495"/>
      <c r="D8696" s="1495"/>
      <c r="E8696" s="1495"/>
      <c r="F8696" s="1495"/>
      <c r="G8696" s="1495"/>
      <c r="H8696" s="1495"/>
      <c r="I8696" s="1495"/>
      <c r="J8696" s="1496"/>
      <c r="K8696" s="196" t="s">
        <v>3154</v>
      </c>
      <c r="L8696" s="1497">
        <v>3</v>
      </c>
      <c r="M8696" s="1498"/>
      <c r="N8696" s="197">
        <f>L8696-H8701</f>
        <v>0</v>
      </c>
    </row>
    <row r="8697" spans="1:14">
      <c r="A8697" s="1499"/>
      <c r="B8697" s="1500"/>
      <c r="C8697" s="366"/>
      <c r="D8697" s="367" t="s">
        <v>2183</v>
      </c>
      <c r="E8697" s="1320" t="s">
        <v>2184</v>
      </c>
      <c r="F8697" s="367" t="s">
        <v>2185</v>
      </c>
      <c r="G8697" s="367" t="s">
        <v>2186</v>
      </c>
      <c r="H8697" s="1503" t="s">
        <v>476</v>
      </c>
      <c r="I8697" s="1505"/>
      <c r="J8697" s="1506"/>
      <c r="K8697" s="1506"/>
      <c r="L8697" s="1506"/>
      <c r="M8697" s="1506"/>
      <c r="N8697" s="1507"/>
    </row>
    <row r="8698" spans="1:14" ht="24">
      <c r="A8698" s="1501"/>
      <c r="B8698" s="1502"/>
      <c r="C8698" s="368" t="s">
        <v>2627</v>
      </c>
      <c r="D8698" s="369" t="s">
        <v>2187</v>
      </c>
      <c r="E8698" s="529" t="s">
        <v>3152</v>
      </c>
      <c r="F8698" s="369" t="s">
        <v>2649</v>
      </c>
      <c r="G8698" s="370" t="s">
        <v>2709</v>
      </c>
      <c r="H8698" s="1504"/>
      <c r="I8698" s="1508"/>
      <c r="J8698" s="1509"/>
      <c r="K8698" s="1509"/>
      <c r="L8698" s="1509"/>
      <c r="M8698" s="1509"/>
      <c r="N8698" s="1510"/>
    </row>
    <row r="8699" spans="1:14">
      <c r="A8699" s="1098" t="s">
        <v>4003</v>
      </c>
      <c r="B8699" s="429" t="s">
        <v>2395</v>
      </c>
      <c r="C8699" s="756">
        <v>3</v>
      </c>
      <c r="D8699" s="202"/>
      <c r="E8699" s="346"/>
      <c r="F8699" s="346"/>
      <c r="G8699" s="346"/>
      <c r="H8699" s="403">
        <v>3</v>
      </c>
      <c r="I8699" s="1508"/>
      <c r="J8699" s="1509"/>
      <c r="K8699" s="1509"/>
      <c r="L8699" s="1509"/>
      <c r="M8699" s="1509"/>
      <c r="N8699" s="1510"/>
    </row>
    <row r="8700" spans="1:14">
      <c r="A8700" s="1138"/>
      <c r="B8700" s="753"/>
      <c r="C8700" s="757"/>
      <c r="D8700" s="294"/>
      <c r="E8700" s="348"/>
      <c r="F8700" s="348"/>
      <c r="G8700" s="348"/>
      <c r="H8700" s="349"/>
      <c r="I8700" s="1508"/>
      <c r="J8700" s="1509"/>
      <c r="K8700" s="1509"/>
      <c r="L8700" s="1509"/>
      <c r="M8700" s="1509"/>
      <c r="N8700" s="1510"/>
    </row>
    <row r="8701" spans="1:14">
      <c r="A8701" s="1516" t="s">
        <v>2218</v>
      </c>
      <c r="B8701" s="1517"/>
      <c r="C8701" s="1517"/>
      <c r="D8701" s="1517"/>
      <c r="E8701" s="1517"/>
      <c r="F8701" s="1517"/>
      <c r="G8701" s="1518"/>
      <c r="H8701" s="271">
        <f>SUM(H8699:H8700)</f>
        <v>3</v>
      </c>
      <c r="I8701" s="1508"/>
      <c r="J8701" s="1509"/>
      <c r="K8701" s="1509"/>
      <c r="L8701" s="1509"/>
      <c r="M8701" s="1509"/>
      <c r="N8701" s="1510"/>
    </row>
    <row r="8702" spans="1:14">
      <c r="A8702" s="1519" t="s">
        <v>2219</v>
      </c>
      <c r="B8702" s="1517"/>
      <c r="C8702" s="1517"/>
      <c r="D8702" s="1517"/>
      <c r="E8702" s="1517"/>
      <c r="F8702" s="1517"/>
      <c r="G8702" s="1518"/>
      <c r="H8702" s="325">
        <v>0</v>
      </c>
      <c r="I8702" s="1508"/>
      <c r="J8702" s="1509"/>
      <c r="K8702" s="1509"/>
      <c r="L8702" s="1509"/>
      <c r="M8702" s="1509"/>
      <c r="N8702" s="1510"/>
    </row>
    <row r="8703" spans="1:14" ht="15.75" thickBot="1">
      <c r="A8703" s="1520" t="s">
        <v>2220</v>
      </c>
      <c r="B8703" s="1521"/>
      <c r="C8703" s="1521"/>
      <c r="D8703" s="1521"/>
      <c r="E8703" s="1521"/>
      <c r="F8703" s="1521"/>
      <c r="G8703" s="1522"/>
      <c r="H8703" s="216">
        <f>H8701-H8702</f>
        <v>3</v>
      </c>
      <c r="I8703" s="1511"/>
      <c r="J8703" s="1512"/>
      <c r="K8703" s="1512"/>
      <c r="L8703" s="1512"/>
      <c r="M8703" s="1512"/>
      <c r="N8703" s="1513"/>
    </row>
    <row r="8704" spans="1:14" ht="15.75" thickBot="1"/>
    <row r="8705" spans="1:14">
      <c r="A8705" s="1084" t="s">
        <v>3836</v>
      </c>
      <c r="B8705" s="1494" t="s">
        <v>3710</v>
      </c>
      <c r="C8705" s="1495"/>
      <c r="D8705" s="1495"/>
      <c r="E8705" s="1495"/>
      <c r="F8705" s="1495"/>
      <c r="G8705" s="1495"/>
      <c r="H8705" s="1495"/>
      <c r="I8705" s="1495"/>
      <c r="J8705" s="1496"/>
      <c r="K8705" s="196" t="s">
        <v>2222</v>
      </c>
      <c r="L8705" s="1497">
        <v>20.78</v>
      </c>
      <c r="M8705" s="1498"/>
      <c r="N8705" s="197">
        <f>L8705-H8710</f>
        <v>20.78</v>
      </c>
    </row>
    <row r="8706" spans="1:14">
      <c r="A8706" s="1499"/>
      <c r="B8706" s="1500"/>
      <c r="C8706" s="366"/>
      <c r="D8706" s="367" t="s">
        <v>2183</v>
      </c>
      <c r="E8706" s="1320" t="s">
        <v>2184</v>
      </c>
      <c r="F8706" s="367" t="s">
        <v>2185</v>
      </c>
      <c r="G8706" s="367" t="s">
        <v>2186</v>
      </c>
      <c r="H8706" s="1503" t="s">
        <v>476</v>
      </c>
      <c r="I8706" s="1505"/>
      <c r="J8706" s="1506"/>
      <c r="K8706" s="1506"/>
      <c r="L8706" s="1506"/>
      <c r="M8706" s="1506"/>
      <c r="N8706" s="1507"/>
    </row>
    <row r="8707" spans="1:14" ht="24">
      <c r="A8707" s="1501"/>
      <c r="B8707" s="1502"/>
      <c r="C8707" s="368" t="s">
        <v>2627</v>
      </c>
      <c r="D8707" s="369" t="s">
        <v>2187</v>
      </c>
      <c r="E8707" s="529" t="s">
        <v>3152</v>
      </c>
      <c r="F8707" s="369" t="s">
        <v>2649</v>
      </c>
      <c r="G8707" s="370" t="s">
        <v>2709</v>
      </c>
      <c r="H8707" s="1504"/>
      <c r="I8707" s="1508"/>
      <c r="J8707" s="1509"/>
      <c r="K8707" s="1509"/>
      <c r="L8707" s="1509"/>
      <c r="M8707" s="1509"/>
      <c r="N8707" s="1510"/>
    </row>
    <row r="8708" spans="1:14">
      <c r="A8708" s="1098" t="s">
        <v>4080</v>
      </c>
      <c r="B8708" s="429" t="s">
        <v>4139</v>
      </c>
      <c r="C8708" s="756"/>
      <c r="D8708" s="202"/>
      <c r="E8708" s="346"/>
      <c r="F8708" s="346"/>
      <c r="G8708" s="346"/>
      <c r="H8708" s="403"/>
      <c r="I8708" s="1508"/>
      <c r="J8708" s="1509"/>
      <c r="K8708" s="1509"/>
      <c r="L8708" s="1509"/>
      <c r="M8708" s="1509"/>
      <c r="N8708" s="1510"/>
    </row>
    <row r="8709" spans="1:14">
      <c r="A8709" s="1138"/>
      <c r="B8709" s="753"/>
      <c r="C8709" s="757"/>
      <c r="D8709" s="294"/>
      <c r="E8709" s="348"/>
      <c r="F8709" s="348"/>
      <c r="G8709" s="348"/>
      <c r="H8709" s="349"/>
      <c r="I8709" s="1508"/>
      <c r="J8709" s="1509"/>
      <c r="K8709" s="1509"/>
      <c r="L8709" s="1509"/>
      <c r="M8709" s="1509"/>
      <c r="N8709" s="1510"/>
    </row>
    <row r="8710" spans="1:14">
      <c r="A8710" s="1516" t="s">
        <v>2218</v>
      </c>
      <c r="B8710" s="1517"/>
      <c r="C8710" s="1517"/>
      <c r="D8710" s="1517"/>
      <c r="E8710" s="1517"/>
      <c r="F8710" s="1517"/>
      <c r="G8710" s="1518"/>
      <c r="H8710" s="271">
        <f>SUM(H8708:H8709)</f>
        <v>0</v>
      </c>
      <c r="I8710" s="1508"/>
      <c r="J8710" s="1509"/>
      <c r="K8710" s="1509"/>
      <c r="L8710" s="1509"/>
      <c r="M8710" s="1509"/>
      <c r="N8710" s="1510"/>
    </row>
    <row r="8711" spans="1:14">
      <c r="A8711" s="1519" t="s">
        <v>2219</v>
      </c>
      <c r="B8711" s="1517"/>
      <c r="C8711" s="1517"/>
      <c r="D8711" s="1517"/>
      <c r="E8711" s="1517"/>
      <c r="F8711" s="1517"/>
      <c r="G8711" s="1518"/>
      <c r="H8711" s="325">
        <v>0</v>
      </c>
      <c r="I8711" s="1508"/>
      <c r="J8711" s="1509"/>
      <c r="K8711" s="1509"/>
      <c r="L8711" s="1509"/>
      <c r="M8711" s="1509"/>
      <c r="N8711" s="1510"/>
    </row>
    <row r="8712" spans="1:14" ht="15.75" thickBot="1">
      <c r="A8712" s="1520" t="s">
        <v>2220</v>
      </c>
      <c r="B8712" s="1521"/>
      <c r="C8712" s="1521"/>
      <c r="D8712" s="1521"/>
      <c r="E8712" s="1521"/>
      <c r="F8712" s="1521"/>
      <c r="G8712" s="1522"/>
      <c r="H8712" s="216">
        <f>H8710-H8711</f>
        <v>0</v>
      </c>
      <c r="I8712" s="1511"/>
      <c r="J8712" s="1512"/>
      <c r="K8712" s="1512"/>
      <c r="L8712" s="1512"/>
      <c r="M8712" s="1512"/>
      <c r="N8712" s="1513"/>
    </row>
    <row r="8713" spans="1:14" ht="15.75" thickBot="1"/>
    <row r="8714" spans="1:14">
      <c r="A8714" s="1084" t="s">
        <v>3837</v>
      </c>
      <c r="B8714" s="1494" t="s">
        <v>3712</v>
      </c>
      <c r="C8714" s="1495"/>
      <c r="D8714" s="1495"/>
      <c r="E8714" s="1495"/>
      <c r="F8714" s="1495"/>
      <c r="G8714" s="1495"/>
      <c r="H8714" s="1495"/>
      <c r="I8714" s="1495"/>
      <c r="J8714" s="1496"/>
      <c r="K8714" s="196" t="s">
        <v>3154</v>
      </c>
      <c r="L8714" s="1497">
        <v>9</v>
      </c>
      <c r="M8714" s="1498"/>
      <c r="N8714" s="197">
        <f>L8714-H8719</f>
        <v>0</v>
      </c>
    </row>
    <row r="8715" spans="1:14">
      <c r="A8715" s="1499"/>
      <c r="B8715" s="1500"/>
      <c r="C8715" s="366"/>
      <c r="D8715" s="367" t="s">
        <v>2183</v>
      </c>
      <c r="E8715" s="1320" t="s">
        <v>2184</v>
      </c>
      <c r="F8715" s="367" t="s">
        <v>2185</v>
      </c>
      <c r="G8715" s="367" t="s">
        <v>2186</v>
      </c>
      <c r="H8715" s="1503" t="s">
        <v>476</v>
      </c>
      <c r="I8715" s="1505"/>
      <c r="J8715" s="1506"/>
      <c r="K8715" s="1506"/>
      <c r="L8715" s="1506"/>
      <c r="M8715" s="1506"/>
      <c r="N8715" s="1507"/>
    </row>
    <row r="8716" spans="1:14" ht="24">
      <c r="A8716" s="1501"/>
      <c r="B8716" s="1502"/>
      <c r="C8716" s="368" t="s">
        <v>2627</v>
      </c>
      <c r="D8716" s="369" t="s">
        <v>2187</v>
      </c>
      <c r="E8716" s="529" t="s">
        <v>3152</v>
      </c>
      <c r="F8716" s="369" t="s">
        <v>2649</v>
      </c>
      <c r="G8716" s="370" t="s">
        <v>2709</v>
      </c>
      <c r="H8716" s="1504"/>
      <c r="I8716" s="1508"/>
      <c r="J8716" s="1509"/>
      <c r="K8716" s="1509"/>
      <c r="L8716" s="1509"/>
      <c r="M8716" s="1509"/>
      <c r="N8716" s="1510"/>
    </row>
    <row r="8717" spans="1:14">
      <c r="A8717" s="1098" t="s">
        <v>4003</v>
      </c>
      <c r="B8717" s="429" t="s">
        <v>4079</v>
      </c>
      <c r="C8717" s="756"/>
      <c r="D8717" s="202">
        <v>9</v>
      </c>
      <c r="E8717" s="346"/>
      <c r="F8717" s="346"/>
      <c r="G8717" s="346"/>
      <c r="H8717" s="403">
        <v>9</v>
      </c>
      <c r="I8717" s="1508"/>
      <c r="J8717" s="1509"/>
      <c r="K8717" s="1509"/>
      <c r="L8717" s="1509"/>
      <c r="M8717" s="1509"/>
      <c r="N8717" s="1510"/>
    </row>
    <row r="8718" spans="1:14">
      <c r="A8718" s="1138"/>
      <c r="B8718" s="753"/>
      <c r="C8718" s="757"/>
      <c r="D8718" s="294"/>
      <c r="E8718" s="348"/>
      <c r="F8718" s="348"/>
      <c r="G8718" s="348"/>
      <c r="H8718" s="349"/>
      <c r="I8718" s="1508"/>
      <c r="J8718" s="1509"/>
      <c r="K8718" s="1509"/>
      <c r="L8718" s="1509"/>
      <c r="M8718" s="1509"/>
      <c r="N8718" s="1510"/>
    </row>
    <row r="8719" spans="1:14">
      <c r="A8719" s="1516" t="s">
        <v>2218</v>
      </c>
      <c r="B8719" s="1517"/>
      <c r="C8719" s="1517"/>
      <c r="D8719" s="1517"/>
      <c r="E8719" s="1517"/>
      <c r="F8719" s="1517"/>
      <c r="G8719" s="1518"/>
      <c r="H8719" s="271">
        <f>SUM(H8717:H8718)</f>
        <v>9</v>
      </c>
      <c r="I8719" s="1508"/>
      <c r="J8719" s="1509"/>
      <c r="K8719" s="1509"/>
      <c r="L8719" s="1509"/>
      <c r="M8719" s="1509"/>
      <c r="N8719" s="1510"/>
    </row>
    <row r="8720" spans="1:14">
      <c r="A8720" s="1519" t="s">
        <v>2219</v>
      </c>
      <c r="B8720" s="1517"/>
      <c r="C8720" s="1517"/>
      <c r="D8720" s="1517"/>
      <c r="E8720" s="1517"/>
      <c r="F8720" s="1517"/>
      <c r="G8720" s="1518"/>
      <c r="H8720" s="325">
        <v>0</v>
      </c>
      <c r="I8720" s="1508"/>
      <c r="J8720" s="1509"/>
      <c r="K8720" s="1509"/>
      <c r="L8720" s="1509"/>
      <c r="M8720" s="1509"/>
      <c r="N8720" s="1510"/>
    </row>
    <row r="8721" spans="1:14" ht="15.75" thickBot="1">
      <c r="A8721" s="1520" t="s">
        <v>2220</v>
      </c>
      <c r="B8721" s="1521"/>
      <c r="C8721" s="1521"/>
      <c r="D8721" s="1521"/>
      <c r="E8721" s="1521"/>
      <c r="F8721" s="1521"/>
      <c r="G8721" s="1522"/>
      <c r="H8721" s="216">
        <f>H8719-H8720</f>
        <v>9</v>
      </c>
      <c r="I8721" s="1511"/>
      <c r="J8721" s="1512"/>
      <c r="K8721" s="1512"/>
      <c r="L8721" s="1512"/>
      <c r="M8721" s="1512"/>
      <c r="N8721" s="1513"/>
    </row>
    <row r="8722" spans="1:14" ht="15.75" thickBot="1"/>
    <row r="8723" spans="1:14">
      <c r="A8723" s="1084" t="s">
        <v>3838</v>
      </c>
      <c r="B8723" s="1494" t="s">
        <v>3714</v>
      </c>
      <c r="C8723" s="1495"/>
      <c r="D8723" s="1495"/>
      <c r="E8723" s="1495"/>
      <c r="F8723" s="1495"/>
      <c r="G8723" s="1495"/>
      <c r="H8723" s="1495"/>
      <c r="I8723" s="1495"/>
      <c r="J8723" s="1496"/>
      <c r="K8723" s="196" t="s">
        <v>3154</v>
      </c>
      <c r="L8723" s="1497">
        <f>'27ª MEDIÇÃO '!F676</f>
        <v>2.5</v>
      </c>
      <c r="M8723" s="1498"/>
      <c r="N8723" s="197">
        <f>L8723-H8728</f>
        <v>0</v>
      </c>
    </row>
    <row r="8724" spans="1:14">
      <c r="A8724" s="1499"/>
      <c r="B8724" s="1500"/>
      <c r="C8724" s="366"/>
      <c r="D8724" s="367" t="s">
        <v>2183</v>
      </c>
      <c r="E8724" s="1320" t="s">
        <v>2184</v>
      </c>
      <c r="F8724" s="367" t="s">
        <v>2185</v>
      </c>
      <c r="G8724" s="367" t="s">
        <v>2186</v>
      </c>
      <c r="H8724" s="1503" t="s">
        <v>476</v>
      </c>
      <c r="I8724" s="1505"/>
      <c r="J8724" s="1506"/>
      <c r="K8724" s="1506"/>
      <c r="L8724" s="1506"/>
      <c r="M8724" s="1506"/>
      <c r="N8724" s="1507"/>
    </row>
    <row r="8725" spans="1:14" ht="24">
      <c r="A8725" s="1501"/>
      <c r="B8725" s="1502"/>
      <c r="C8725" s="368" t="s">
        <v>2627</v>
      </c>
      <c r="D8725" s="369" t="s">
        <v>2187</v>
      </c>
      <c r="E8725" s="529" t="s">
        <v>3152</v>
      </c>
      <c r="F8725" s="369" t="s">
        <v>2649</v>
      </c>
      <c r="G8725" s="370" t="s">
        <v>2709</v>
      </c>
      <c r="H8725" s="1504"/>
      <c r="I8725" s="1508"/>
      <c r="J8725" s="1509"/>
      <c r="K8725" s="1509"/>
      <c r="L8725" s="1509"/>
      <c r="M8725" s="1509"/>
      <c r="N8725" s="1510"/>
    </row>
    <row r="8726" spans="1:14">
      <c r="A8726" s="1098" t="s">
        <v>3850</v>
      </c>
      <c r="B8726" s="429" t="s">
        <v>3524</v>
      </c>
      <c r="C8726" s="756">
        <v>2.5</v>
      </c>
      <c r="D8726" s="202"/>
      <c r="E8726" s="346"/>
      <c r="F8726" s="346"/>
      <c r="G8726" s="346"/>
      <c r="H8726" s="403">
        <f>C8726</f>
        <v>2.5</v>
      </c>
      <c r="I8726" s="1508"/>
      <c r="J8726" s="1509"/>
      <c r="K8726" s="1509"/>
      <c r="L8726" s="1509"/>
      <c r="M8726" s="1509"/>
      <c r="N8726" s="1510"/>
    </row>
    <row r="8727" spans="1:14">
      <c r="A8727" s="1138"/>
      <c r="B8727" s="753"/>
      <c r="C8727" s="757"/>
      <c r="D8727" s="294"/>
      <c r="E8727" s="348"/>
      <c r="F8727" s="348"/>
      <c r="G8727" s="348"/>
      <c r="H8727" s="349"/>
      <c r="I8727" s="1508"/>
      <c r="J8727" s="1509"/>
      <c r="K8727" s="1509"/>
      <c r="L8727" s="1509"/>
      <c r="M8727" s="1509"/>
      <c r="N8727" s="1510"/>
    </row>
    <row r="8728" spans="1:14">
      <c r="A8728" s="1516" t="s">
        <v>2218</v>
      </c>
      <c r="B8728" s="1517"/>
      <c r="C8728" s="1517"/>
      <c r="D8728" s="1517"/>
      <c r="E8728" s="1517"/>
      <c r="F8728" s="1517"/>
      <c r="G8728" s="1518"/>
      <c r="H8728" s="271">
        <f>SUM(H8726:H8727)</f>
        <v>2.5</v>
      </c>
      <c r="I8728" s="1508"/>
      <c r="J8728" s="1509"/>
      <c r="K8728" s="1509"/>
      <c r="L8728" s="1509"/>
      <c r="M8728" s="1509"/>
      <c r="N8728" s="1510"/>
    </row>
    <row r="8729" spans="1:14">
      <c r="A8729" s="1519" t="s">
        <v>2219</v>
      </c>
      <c r="B8729" s="1517"/>
      <c r="C8729" s="1517"/>
      <c r="D8729" s="1517"/>
      <c r="E8729" s="1517"/>
      <c r="F8729" s="1517"/>
      <c r="G8729" s="1518"/>
      <c r="H8729" s="325">
        <v>0</v>
      </c>
      <c r="I8729" s="1508"/>
      <c r="J8729" s="1509"/>
      <c r="K8729" s="1509"/>
      <c r="L8729" s="1509"/>
      <c r="M8729" s="1509"/>
      <c r="N8729" s="1510"/>
    </row>
    <row r="8730" spans="1:14" ht="15.75" thickBot="1">
      <c r="A8730" s="1520" t="s">
        <v>2220</v>
      </c>
      <c r="B8730" s="1521"/>
      <c r="C8730" s="1521"/>
      <c r="D8730" s="1521"/>
      <c r="E8730" s="1521"/>
      <c r="F8730" s="1521"/>
      <c r="G8730" s="1522"/>
      <c r="H8730" s="216">
        <f>H8728-H8729</f>
        <v>2.5</v>
      </c>
      <c r="I8730" s="1511"/>
      <c r="J8730" s="1512"/>
      <c r="K8730" s="1512"/>
      <c r="L8730" s="1512"/>
      <c r="M8730" s="1512"/>
      <c r="N8730" s="1513"/>
    </row>
    <row r="8731" spans="1:14" ht="15.75" thickBot="1"/>
    <row r="8732" spans="1:14">
      <c r="A8732" s="1084" t="s">
        <v>3839</v>
      </c>
      <c r="B8732" s="1494" t="s">
        <v>3716</v>
      </c>
      <c r="C8732" s="1495"/>
      <c r="D8732" s="1495"/>
      <c r="E8732" s="1495"/>
      <c r="F8732" s="1495"/>
      <c r="G8732" s="1495"/>
      <c r="H8732" s="1495"/>
      <c r="I8732" s="1495"/>
      <c r="J8732" s="1496"/>
      <c r="K8732" s="196" t="s">
        <v>3154</v>
      </c>
      <c r="L8732" s="1497">
        <f>'27ª MEDIÇÃO '!F677</f>
        <v>2</v>
      </c>
      <c r="M8732" s="1498"/>
      <c r="N8732" s="197">
        <f>L8732-H8737</f>
        <v>0</v>
      </c>
    </row>
    <row r="8733" spans="1:14">
      <c r="A8733" s="1499"/>
      <c r="B8733" s="1500"/>
      <c r="C8733" s="366"/>
      <c r="D8733" s="367" t="s">
        <v>2183</v>
      </c>
      <c r="E8733" s="1320" t="s">
        <v>2184</v>
      </c>
      <c r="F8733" s="367" t="s">
        <v>2185</v>
      </c>
      <c r="G8733" s="367" t="s">
        <v>2186</v>
      </c>
      <c r="H8733" s="1503" t="s">
        <v>476</v>
      </c>
      <c r="I8733" s="1505"/>
      <c r="J8733" s="1506"/>
      <c r="K8733" s="1506"/>
      <c r="L8733" s="1506"/>
      <c r="M8733" s="1506"/>
      <c r="N8733" s="1507"/>
    </row>
    <row r="8734" spans="1:14" ht="24">
      <c r="A8734" s="1501"/>
      <c r="B8734" s="1502"/>
      <c r="C8734" s="368" t="s">
        <v>2627</v>
      </c>
      <c r="D8734" s="369" t="s">
        <v>2187</v>
      </c>
      <c r="E8734" s="529" t="s">
        <v>3152</v>
      </c>
      <c r="F8734" s="369" t="s">
        <v>2649</v>
      </c>
      <c r="G8734" s="370" t="s">
        <v>2709</v>
      </c>
      <c r="H8734" s="1504"/>
      <c r="I8734" s="1508"/>
      <c r="J8734" s="1509"/>
      <c r="K8734" s="1509"/>
      <c r="L8734" s="1509"/>
      <c r="M8734" s="1509"/>
      <c r="N8734" s="1510"/>
    </row>
    <row r="8735" spans="1:14">
      <c r="A8735" s="1098" t="s">
        <v>3850</v>
      </c>
      <c r="B8735" s="429" t="s">
        <v>3524</v>
      </c>
      <c r="C8735" s="756">
        <v>2</v>
      </c>
      <c r="D8735" s="202"/>
      <c r="E8735" s="346"/>
      <c r="F8735" s="346"/>
      <c r="G8735" s="346"/>
      <c r="H8735" s="403">
        <f>C8735</f>
        <v>2</v>
      </c>
      <c r="I8735" s="1508"/>
      <c r="J8735" s="1509"/>
      <c r="K8735" s="1509"/>
      <c r="L8735" s="1509"/>
      <c r="M8735" s="1509"/>
      <c r="N8735" s="1510"/>
    </row>
    <row r="8736" spans="1:14">
      <c r="A8736" s="1138"/>
      <c r="B8736" s="753"/>
      <c r="C8736" s="757"/>
      <c r="D8736" s="294"/>
      <c r="E8736" s="348"/>
      <c r="F8736" s="348"/>
      <c r="G8736" s="348"/>
      <c r="H8736" s="349"/>
      <c r="I8736" s="1508"/>
      <c r="J8736" s="1509"/>
      <c r="K8736" s="1509"/>
      <c r="L8736" s="1509"/>
      <c r="M8736" s="1509"/>
      <c r="N8736" s="1510"/>
    </row>
    <row r="8737" spans="1:14">
      <c r="A8737" s="1516" t="s">
        <v>2218</v>
      </c>
      <c r="B8737" s="1517"/>
      <c r="C8737" s="1517"/>
      <c r="D8737" s="1517"/>
      <c r="E8737" s="1517"/>
      <c r="F8737" s="1517"/>
      <c r="G8737" s="1518"/>
      <c r="H8737" s="271">
        <f>SUM(H8735:H8736)</f>
        <v>2</v>
      </c>
      <c r="I8737" s="1508"/>
      <c r="J8737" s="1509"/>
      <c r="K8737" s="1509"/>
      <c r="L8737" s="1509"/>
      <c r="M8737" s="1509"/>
      <c r="N8737" s="1510"/>
    </row>
    <row r="8738" spans="1:14">
      <c r="A8738" s="1519" t="s">
        <v>2219</v>
      </c>
      <c r="B8738" s="1517"/>
      <c r="C8738" s="1517"/>
      <c r="D8738" s="1517"/>
      <c r="E8738" s="1517"/>
      <c r="F8738" s="1517"/>
      <c r="G8738" s="1518"/>
      <c r="H8738" s="325">
        <v>0</v>
      </c>
      <c r="I8738" s="1508"/>
      <c r="J8738" s="1509"/>
      <c r="K8738" s="1509"/>
      <c r="L8738" s="1509"/>
      <c r="M8738" s="1509"/>
      <c r="N8738" s="1510"/>
    </row>
    <row r="8739" spans="1:14" ht="15.75" thickBot="1">
      <c r="A8739" s="1520" t="s">
        <v>2220</v>
      </c>
      <c r="B8739" s="1521"/>
      <c r="C8739" s="1521"/>
      <c r="D8739" s="1521"/>
      <c r="E8739" s="1521"/>
      <c r="F8739" s="1521"/>
      <c r="G8739" s="1522"/>
      <c r="H8739" s="216">
        <f>H8737-H8738</f>
        <v>2</v>
      </c>
      <c r="I8739" s="1511"/>
      <c r="J8739" s="1512"/>
      <c r="K8739" s="1512"/>
      <c r="L8739" s="1512"/>
      <c r="M8739" s="1512"/>
      <c r="N8739" s="1513"/>
    </row>
    <row r="8740" spans="1:14" ht="15.75" thickBot="1"/>
    <row r="8741" spans="1:14">
      <c r="A8741" s="1084" t="s">
        <v>3840</v>
      </c>
      <c r="B8741" s="1494" t="s">
        <v>3717</v>
      </c>
      <c r="C8741" s="1495"/>
      <c r="D8741" s="1495"/>
      <c r="E8741" s="1495"/>
      <c r="F8741" s="1495"/>
      <c r="G8741" s="1495"/>
      <c r="H8741" s="1495"/>
      <c r="I8741" s="1495"/>
      <c r="J8741" s="1496"/>
      <c r="K8741" s="196" t="s">
        <v>3154</v>
      </c>
      <c r="L8741" s="1497"/>
      <c r="M8741" s="1498"/>
      <c r="N8741" s="197">
        <f>L8741-H8746</f>
        <v>0</v>
      </c>
    </row>
    <row r="8742" spans="1:14">
      <c r="A8742" s="1499"/>
      <c r="B8742" s="1500"/>
      <c r="C8742" s="366"/>
      <c r="D8742" s="367" t="s">
        <v>2183</v>
      </c>
      <c r="E8742" s="1320" t="s">
        <v>2184</v>
      </c>
      <c r="F8742" s="367" t="s">
        <v>2185</v>
      </c>
      <c r="G8742" s="367" t="s">
        <v>2186</v>
      </c>
      <c r="H8742" s="1503" t="s">
        <v>476</v>
      </c>
      <c r="I8742" s="1505"/>
      <c r="J8742" s="1506"/>
      <c r="K8742" s="1506"/>
      <c r="L8742" s="1506"/>
      <c r="M8742" s="1506"/>
      <c r="N8742" s="1507"/>
    </row>
    <row r="8743" spans="1:14" ht="24">
      <c r="A8743" s="1501"/>
      <c r="B8743" s="1502"/>
      <c r="C8743" s="368" t="s">
        <v>2627</v>
      </c>
      <c r="D8743" s="369" t="s">
        <v>2187</v>
      </c>
      <c r="E8743" s="529" t="s">
        <v>3152</v>
      </c>
      <c r="F8743" s="369" t="s">
        <v>2649</v>
      </c>
      <c r="G8743" s="370" t="s">
        <v>2709</v>
      </c>
      <c r="H8743" s="1504"/>
      <c r="I8743" s="1508"/>
      <c r="J8743" s="1509"/>
      <c r="K8743" s="1509"/>
      <c r="L8743" s="1509"/>
      <c r="M8743" s="1509"/>
      <c r="N8743" s="1510"/>
    </row>
    <row r="8744" spans="1:14">
      <c r="A8744" s="1098"/>
      <c r="B8744" s="429"/>
      <c r="C8744" s="756"/>
      <c r="D8744" s="202"/>
      <c r="E8744" s="346"/>
      <c r="F8744" s="346"/>
      <c r="G8744" s="346"/>
      <c r="H8744" s="403"/>
      <c r="I8744" s="1508"/>
      <c r="J8744" s="1509"/>
      <c r="K8744" s="1509"/>
      <c r="L8744" s="1509"/>
      <c r="M8744" s="1509"/>
      <c r="N8744" s="1510"/>
    </row>
    <row r="8745" spans="1:14">
      <c r="A8745" s="1138"/>
      <c r="B8745" s="753"/>
      <c r="C8745" s="757"/>
      <c r="D8745" s="294"/>
      <c r="E8745" s="348"/>
      <c r="F8745" s="348"/>
      <c r="G8745" s="348"/>
      <c r="H8745" s="349"/>
      <c r="I8745" s="1508"/>
      <c r="J8745" s="1509"/>
      <c r="K8745" s="1509"/>
      <c r="L8745" s="1509"/>
      <c r="M8745" s="1509"/>
      <c r="N8745" s="1510"/>
    </row>
    <row r="8746" spans="1:14">
      <c r="A8746" s="1516" t="s">
        <v>2218</v>
      </c>
      <c r="B8746" s="1517"/>
      <c r="C8746" s="1517"/>
      <c r="D8746" s="1517"/>
      <c r="E8746" s="1517"/>
      <c r="F8746" s="1517"/>
      <c r="G8746" s="1518"/>
      <c r="H8746" s="271">
        <f>SUM(H8744:H8745)</f>
        <v>0</v>
      </c>
      <c r="I8746" s="1508"/>
      <c r="J8746" s="1509"/>
      <c r="K8746" s="1509"/>
      <c r="L8746" s="1509"/>
      <c r="M8746" s="1509"/>
      <c r="N8746" s="1510"/>
    </row>
    <row r="8747" spans="1:14">
      <c r="A8747" s="1519" t="s">
        <v>2219</v>
      </c>
      <c r="B8747" s="1517"/>
      <c r="C8747" s="1517"/>
      <c r="D8747" s="1517"/>
      <c r="E8747" s="1517"/>
      <c r="F8747" s="1517"/>
      <c r="G8747" s="1518"/>
      <c r="H8747" s="325">
        <v>0</v>
      </c>
      <c r="I8747" s="1508"/>
      <c r="J8747" s="1509"/>
      <c r="K8747" s="1509"/>
      <c r="L8747" s="1509"/>
      <c r="M8747" s="1509"/>
      <c r="N8747" s="1510"/>
    </row>
    <row r="8748" spans="1:14" ht="15.75" thickBot="1">
      <c r="A8748" s="1520" t="s">
        <v>2220</v>
      </c>
      <c r="B8748" s="1521"/>
      <c r="C8748" s="1521"/>
      <c r="D8748" s="1521"/>
      <c r="E8748" s="1521"/>
      <c r="F8748" s="1521"/>
      <c r="G8748" s="1522"/>
      <c r="H8748" s="216">
        <f>H8746-H8747</f>
        <v>0</v>
      </c>
      <c r="I8748" s="1511"/>
      <c r="J8748" s="1512"/>
      <c r="K8748" s="1512"/>
      <c r="L8748" s="1512"/>
      <c r="M8748" s="1512"/>
      <c r="N8748" s="1513"/>
    </row>
  </sheetData>
  <mergeCells count="5342">
    <mergeCell ref="L7391:M7391"/>
    <mergeCell ref="A8001:G8001"/>
    <mergeCell ref="A7843:A7848"/>
    <mergeCell ref="A7856:A7868"/>
    <mergeCell ref="A7869:A7875"/>
    <mergeCell ref="B7902:J7902"/>
    <mergeCell ref="L7902:M7902"/>
    <mergeCell ref="A7903:B7904"/>
    <mergeCell ref="H7903:H7904"/>
    <mergeCell ref="I7903:N7910"/>
    <mergeCell ref="A7905:A7907"/>
    <mergeCell ref="A7908:G7908"/>
    <mergeCell ref="A7909:G7909"/>
    <mergeCell ref="A7445:A7446"/>
    <mergeCell ref="A7475:A7477"/>
    <mergeCell ref="A7464:A7474"/>
    <mergeCell ref="A7630:A7632"/>
    <mergeCell ref="A7823:A7842"/>
    <mergeCell ref="B7788:J7788"/>
    <mergeCell ref="H7769:H7770"/>
    <mergeCell ref="A8000:G8000"/>
    <mergeCell ref="B7742:J7742"/>
    <mergeCell ref="A7527:G7527"/>
    <mergeCell ref="A7528:G7528"/>
    <mergeCell ref="A7972:B7973"/>
    <mergeCell ref="H7972:H7973"/>
    <mergeCell ref="I7972:N7978"/>
    <mergeCell ref="A7974:A7975"/>
    <mergeCell ref="A7976:G7976"/>
    <mergeCell ref="A7276:G7276"/>
    <mergeCell ref="A7266:G7266"/>
    <mergeCell ref="A7265:G7265"/>
    <mergeCell ref="H7249:H7250"/>
    <mergeCell ref="I7249:N7256"/>
    <mergeCell ref="A7251:A7253"/>
    <mergeCell ref="A7254:G7254"/>
    <mergeCell ref="A7255:G7255"/>
    <mergeCell ref="A7256:G7256"/>
    <mergeCell ref="B7258:J7258"/>
    <mergeCell ref="L7313:M7313"/>
    <mergeCell ref="A7394:A7398"/>
    <mergeCell ref="A7498:A7515"/>
    <mergeCell ref="A7726:G7726"/>
    <mergeCell ref="L7742:M7742"/>
    <mergeCell ref="A7743:B7744"/>
    <mergeCell ref="H7743:H7744"/>
    <mergeCell ref="I7743:N7765"/>
    <mergeCell ref="A7745:A7750"/>
    <mergeCell ref="A7763:G7763"/>
    <mergeCell ref="A7764:G7764"/>
    <mergeCell ref="H7558:H7559"/>
    <mergeCell ref="B7557:J7557"/>
    <mergeCell ref="I7625:N7635"/>
    <mergeCell ref="A7627:A7629"/>
    <mergeCell ref="A7633:G7633"/>
    <mergeCell ref="I7462:N7480"/>
    <mergeCell ref="H7730:H7731"/>
    <mergeCell ref="I7730:N7740"/>
    <mergeCell ref="A7732:A7734"/>
    <mergeCell ref="I7558:N7583"/>
    <mergeCell ref="B7347:J7347"/>
    <mergeCell ref="B7313:J7313"/>
    <mergeCell ref="A8051:B8052"/>
    <mergeCell ref="A8154:B8155"/>
    <mergeCell ref="H8154:H8155"/>
    <mergeCell ref="I8154:N8163"/>
    <mergeCell ref="A8142:B8143"/>
    <mergeCell ref="H8142:H8143"/>
    <mergeCell ref="I8142:N8151"/>
    <mergeCell ref="A8117:A8119"/>
    <mergeCell ref="A8133:A8135"/>
    <mergeCell ref="A7898:G7898"/>
    <mergeCell ref="A7899:G7899"/>
    <mergeCell ref="A7900:G7900"/>
    <mergeCell ref="B8014:J8014"/>
    <mergeCell ref="L8014:M8014"/>
    <mergeCell ref="A8031:G8031"/>
    <mergeCell ref="L7347:M7347"/>
    <mergeCell ref="A7348:B7349"/>
    <mergeCell ref="H7348:H7349"/>
    <mergeCell ref="I7348:N7356"/>
    <mergeCell ref="A7350:A7351"/>
    <mergeCell ref="A7775:G7775"/>
    <mergeCell ref="A8043:A8045"/>
    <mergeCell ref="A8059:A8061"/>
    <mergeCell ref="A7769:B7770"/>
    <mergeCell ref="A7560:A7580"/>
    <mergeCell ref="A7581:G7581"/>
    <mergeCell ref="A7582:G7582"/>
    <mergeCell ref="A7583:G7583"/>
    <mergeCell ref="A7355:G7355"/>
    <mergeCell ref="A7356:G7356"/>
    <mergeCell ref="B7701:N7701"/>
    <mergeCell ref="A8144:A8148"/>
    <mergeCell ref="A8149:G8149"/>
    <mergeCell ref="A8150:G8150"/>
    <mergeCell ref="A8151:G8151"/>
    <mergeCell ref="L8108:M8108"/>
    <mergeCell ref="A8109:B8110"/>
    <mergeCell ref="H8109:H8110"/>
    <mergeCell ref="I8109:N8122"/>
    <mergeCell ref="A8136:G8136"/>
    <mergeCell ref="A8137:G8137"/>
    <mergeCell ref="A8125:B8126"/>
    <mergeCell ref="H8125:H8126"/>
    <mergeCell ref="A8098:A8100"/>
    <mergeCell ref="A8101:A8103"/>
    <mergeCell ref="A8104:G8104"/>
    <mergeCell ref="A8105:G8105"/>
    <mergeCell ref="A8090:G8090"/>
    <mergeCell ref="A8503:B8504"/>
    <mergeCell ref="L8124:M8124"/>
    <mergeCell ref="A8264:A8267"/>
    <mergeCell ref="B8165:N8165"/>
    <mergeCell ref="B8166:N8166"/>
    <mergeCell ref="B8167:J8167"/>
    <mergeCell ref="L8167:M8167"/>
    <mergeCell ref="A8168:B8168"/>
    <mergeCell ref="A8444:B8445"/>
    <mergeCell ref="H8444:H8445"/>
    <mergeCell ref="I8444:N8450"/>
    <mergeCell ref="A8446:A8447"/>
    <mergeCell ref="A8448:G8448"/>
    <mergeCell ref="A8449:G8449"/>
    <mergeCell ref="A8450:G8450"/>
    <mergeCell ref="A8261:A8263"/>
    <mergeCell ref="A8461:G8461"/>
    <mergeCell ref="A8455:B8456"/>
    <mergeCell ref="H8455:H8456"/>
    <mergeCell ref="I8455:N8463"/>
    <mergeCell ref="B8454:J8454"/>
    <mergeCell ref="L8454:M8454"/>
    <mergeCell ref="A8457:A8458"/>
    <mergeCell ref="A8459:A8460"/>
    <mergeCell ref="A8208:A8239"/>
    <mergeCell ref="A8268:A8290"/>
    <mergeCell ref="B8153:J8153"/>
    <mergeCell ref="L8153:M8153"/>
    <mergeCell ref="A8156:A8160"/>
    <mergeCell ref="A8161:G8161"/>
    <mergeCell ref="A8162:G8162"/>
    <mergeCell ref="B8141:J8141"/>
    <mergeCell ref="B8475:J8475"/>
    <mergeCell ref="A8316:G8316"/>
    <mergeCell ref="A8393:B8394"/>
    <mergeCell ref="A8138:G8138"/>
    <mergeCell ref="A8130:A8132"/>
    <mergeCell ref="L8475:M8475"/>
    <mergeCell ref="A8476:B8477"/>
    <mergeCell ref="A8480:G8480"/>
    <mergeCell ref="A8481:G8481"/>
    <mergeCell ref="A8482:G8482"/>
    <mergeCell ref="I6627:N6633"/>
    <mergeCell ref="A6629:A6630"/>
    <mergeCell ref="A6631:G6631"/>
    <mergeCell ref="A6632:G6632"/>
    <mergeCell ref="A6633:G6633"/>
    <mergeCell ref="A6642:G6642"/>
    <mergeCell ref="A6729:A6730"/>
    <mergeCell ref="B6950:N6950"/>
    <mergeCell ref="B7208:J7208"/>
    <mergeCell ref="L7208:M7208"/>
    <mergeCell ref="A7209:B7210"/>
    <mergeCell ref="H7209:H7210"/>
    <mergeCell ref="I7209:N7216"/>
    <mergeCell ref="A7211:A7213"/>
    <mergeCell ref="A7214:G7214"/>
    <mergeCell ref="H6802:H6803"/>
    <mergeCell ref="I6716:N6722"/>
    <mergeCell ref="B6983:J6983"/>
    <mergeCell ref="L6983:M6983"/>
    <mergeCell ref="A6984:B6985"/>
    <mergeCell ref="H6984:H6985"/>
    <mergeCell ref="A6961:G6961"/>
    <mergeCell ref="A6649:G6649"/>
    <mergeCell ref="A6650:G6650"/>
    <mergeCell ref="A6958:A6960"/>
    <mergeCell ref="A6393:A6394"/>
    <mergeCell ref="A7108:A7111"/>
    <mergeCell ref="B7778:J7778"/>
    <mergeCell ref="L7451:M7451"/>
    <mergeCell ref="A7452:B7453"/>
    <mergeCell ref="H7452:H7453"/>
    <mergeCell ref="I7441:N7449"/>
    <mergeCell ref="A7443:A7444"/>
    <mergeCell ref="A7447:G7447"/>
    <mergeCell ref="A6620:A6621"/>
    <mergeCell ref="B6576:J6576"/>
    <mergeCell ref="L6576:M6576"/>
    <mergeCell ref="A6577:B6578"/>
    <mergeCell ref="H6577:H6578"/>
    <mergeCell ref="B6552:J6552"/>
    <mergeCell ref="L6552:M6552"/>
    <mergeCell ref="A6583:A6584"/>
    <mergeCell ref="B6604:J6604"/>
    <mergeCell ref="L6604:M6604"/>
    <mergeCell ref="B6492:N6492"/>
    <mergeCell ref="A6613:G6613"/>
    <mergeCell ref="A6605:B6606"/>
    <mergeCell ref="B7451:J7451"/>
    <mergeCell ref="B7359:J7359"/>
    <mergeCell ref="I7392:N7407"/>
    <mergeCell ref="A7718:A7723"/>
    <mergeCell ref="B7391:J7391"/>
    <mergeCell ref="H7259:H7260"/>
    <mergeCell ref="I7259:N7266"/>
    <mergeCell ref="A6190:G6190"/>
    <mergeCell ref="A6212:B6213"/>
    <mergeCell ref="A6514:A6515"/>
    <mergeCell ref="A6518:G6518"/>
    <mergeCell ref="B6791:J6791"/>
    <mergeCell ref="L6791:M6791"/>
    <mergeCell ref="A6792:B6793"/>
    <mergeCell ref="H6792:H6793"/>
    <mergeCell ref="I6792:N6799"/>
    <mergeCell ref="A6797:G6797"/>
    <mergeCell ref="A6208:G6208"/>
    <mergeCell ref="A6209:G6209"/>
    <mergeCell ref="A6798:G6798"/>
    <mergeCell ref="A6799:G6799"/>
    <mergeCell ref="B6801:J6801"/>
    <mergeCell ref="L6801:M6801"/>
    <mergeCell ref="A7239:B7240"/>
    <mergeCell ref="H7239:H7240"/>
    <mergeCell ref="I7239:N7246"/>
    <mergeCell ref="A7241:A7243"/>
    <mergeCell ref="A6627:B6628"/>
    <mergeCell ref="H6627:H6628"/>
    <mergeCell ref="I6212:N6218"/>
    <mergeCell ref="A6214:A6215"/>
    <mergeCell ref="A6216:G6216"/>
    <mergeCell ref="A6217:G6217"/>
    <mergeCell ref="A6218:G6218"/>
    <mergeCell ref="B6220:J6220"/>
    <mergeCell ref="L6220:M6220"/>
    <mergeCell ref="A6221:B6222"/>
    <mergeCell ref="H6221:H6222"/>
    <mergeCell ref="I6239:N6245"/>
    <mergeCell ref="H6163:H6164"/>
    <mergeCell ref="I6163:N6171"/>
    <mergeCell ref="A6165:A6166"/>
    <mergeCell ref="A6169:G6169"/>
    <mergeCell ref="I6203:N6209"/>
    <mergeCell ref="A6181:G6181"/>
    <mergeCell ref="B6183:J6183"/>
    <mergeCell ref="L6183:M6183"/>
    <mergeCell ref="A6184:B6185"/>
    <mergeCell ref="H6184:H6185"/>
    <mergeCell ref="I6184:N6191"/>
    <mergeCell ref="L6247:M6247"/>
    <mergeCell ref="A6253:G6253"/>
    <mergeCell ref="A6254:G6254"/>
    <mergeCell ref="A6248:B6249"/>
    <mergeCell ref="H6248:H6249"/>
    <mergeCell ref="L6256:M6256"/>
    <mergeCell ref="B6229:J6229"/>
    <mergeCell ref="L6229:M6229"/>
    <mergeCell ref="A6194:B6195"/>
    <mergeCell ref="H6194:H6195"/>
    <mergeCell ref="A6189:G6189"/>
    <mergeCell ref="A6205:A6206"/>
    <mergeCell ref="A6207:G6207"/>
    <mergeCell ref="I6248:N6254"/>
    <mergeCell ref="B6247:J6247"/>
    <mergeCell ref="I6230:N6236"/>
    <mergeCell ref="A6232:A6233"/>
    <mergeCell ref="A6234:G6234"/>
    <mergeCell ref="A6235:G6235"/>
    <mergeCell ref="A6236:G6236"/>
    <mergeCell ref="H6239:H6240"/>
    <mergeCell ref="A2965:A2981"/>
    <mergeCell ref="A2983:A2987"/>
    <mergeCell ref="A4351:A4352"/>
    <mergeCell ref="B5116:J5116"/>
    <mergeCell ref="L5116:M5116"/>
    <mergeCell ref="A5117:B5118"/>
    <mergeCell ref="H5117:H5118"/>
    <mergeCell ref="I5117:N5123"/>
    <mergeCell ref="A5119:A5120"/>
    <mergeCell ref="A5121:G5121"/>
    <mergeCell ref="A5122:G5122"/>
    <mergeCell ref="A5123:G5123"/>
    <mergeCell ref="B5108:J5108"/>
    <mergeCell ref="A4304:G4304"/>
    <mergeCell ref="A4305:G4305"/>
    <mergeCell ref="B4307:J4307"/>
    <mergeCell ref="L4307:M4307"/>
    <mergeCell ref="A4308:B4309"/>
    <mergeCell ref="B4259:J4259"/>
    <mergeCell ref="L4259:M4259"/>
    <mergeCell ref="A4260:B4261"/>
    <mergeCell ref="A3032:A3036"/>
    <mergeCell ref="L5108:M5108"/>
    <mergeCell ref="A5109:B5110"/>
    <mergeCell ref="H5109:H5110"/>
    <mergeCell ref="I5109:N5115"/>
    <mergeCell ref="A5111:A5112"/>
    <mergeCell ref="A5113:G5113"/>
    <mergeCell ref="A5114:G5114"/>
    <mergeCell ref="A5115:G5115"/>
    <mergeCell ref="B4335:J4335"/>
    <mergeCell ref="L4335:M4335"/>
    <mergeCell ref="A6123:G6123"/>
    <mergeCell ref="A1149:A1150"/>
    <mergeCell ref="A1151:A1152"/>
    <mergeCell ref="A2101:A2102"/>
    <mergeCell ref="B2854:J2854"/>
    <mergeCell ref="L2854:M2854"/>
    <mergeCell ref="I2855:N2863"/>
    <mergeCell ref="A2861:G2861"/>
    <mergeCell ref="A2862:G2862"/>
    <mergeCell ref="A2863:G2863"/>
    <mergeCell ref="A2902:G2902"/>
    <mergeCell ref="A2903:G2903"/>
    <mergeCell ref="A2904:G2904"/>
    <mergeCell ref="B2906:J2906"/>
    <mergeCell ref="L2906:M2906"/>
    <mergeCell ref="A2568:A2586"/>
    <mergeCell ref="A2560:A2562"/>
    <mergeCell ref="A2867:A2869"/>
    <mergeCell ref="A2877:A2879"/>
    <mergeCell ref="A2887:A2889"/>
    <mergeCell ref="B2897:N2897"/>
    <mergeCell ref="B2898:J2898"/>
    <mergeCell ref="A2874:G2874"/>
    <mergeCell ref="A1171:N1171"/>
    <mergeCell ref="B1172:J1172"/>
    <mergeCell ref="L1172:M1172"/>
    <mergeCell ref="A1173:B1174"/>
    <mergeCell ref="H1173:H1174"/>
    <mergeCell ref="I1173:N1181"/>
    <mergeCell ref="L2898:M2898"/>
    <mergeCell ref="I2899:N2904"/>
    <mergeCell ref="A2907:A2909"/>
    <mergeCell ref="I2907:N2912"/>
    <mergeCell ref="I6221:N6227"/>
    <mergeCell ref="A6223:A6224"/>
    <mergeCell ref="A6225:G6225"/>
    <mergeCell ref="A6226:G6226"/>
    <mergeCell ref="A6227:G6227"/>
    <mergeCell ref="H6175:H6176"/>
    <mergeCell ref="A5107:G5107"/>
    <mergeCell ref="B5253:J5253"/>
    <mergeCell ref="L5253:M5253"/>
    <mergeCell ref="A5254:B5255"/>
    <mergeCell ref="H5254:H5255"/>
    <mergeCell ref="I5254:N5262"/>
    <mergeCell ref="A5260:G5260"/>
    <mergeCell ref="A5261:G5261"/>
    <mergeCell ref="A5262:G5262"/>
    <mergeCell ref="A5083:B5084"/>
    <mergeCell ref="L6135:M6135"/>
    <mergeCell ref="A6136:B6137"/>
    <mergeCell ref="A2928:G2928"/>
    <mergeCell ref="A2929:N2929"/>
    <mergeCell ref="B2930:J2930"/>
    <mergeCell ref="L2930:M2930"/>
    <mergeCell ref="I2931:N2936"/>
    <mergeCell ref="A2934:G2934"/>
    <mergeCell ref="A2935:G2935"/>
    <mergeCell ref="A2936:G2936"/>
    <mergeCell ref="B6211:J6211"/>
    <mergeCell ref="L6211:M6211"/>
    <mergeCell ref="B5274:J5274"/>
    <mergeCell ref="L5274:M5274"/>
    <mergeCell ref="A5275:B5276"/>
    <mergeCell ref="A6241:A6242"/>
    <mergeCell ref="A6243:G6243"/>
    <mergeCell ref="A6244:G6244"/>
    <mergeCell ref="A6245:G6245"/>
    <mergeCell ref="B6256:J6256"/>
    <mergeCell ref="B6238:J6238"/>
    <mergeCell ref="L6238:M6238"/>
    <mergeCell ref="A6239:B6240"/>
    <mergeCell ref="A6250:A6251"/>
    <mergeCell ref="A6252:G6252"/>
    <mergeCell ref="H6257:H6258"/>
    <mergeCell ref="I6257:N6263"/>
    <mergeCell ref="A6259:A6260"/>
    <mergeCell ref="I7452:N7459"/>
    <mergeCell ref="A7454:A7456"/>
    <mergeCell ref="A7457:G7457"/>
    <mergeCell ref="A7458:G7458"/>
    <mergeCell ref="A6262:G6262"/>
    <mergeCell ref="A6263:G6263"/>
    <mergeCell ref="A6272:G6272"/>
    <mergeCell ref="I6616:N6624"/>
    <mergeCell ref="L6626:M6626"/>
    <mergeCell ref="A6612:G6612"/>
    <mergeCell ref="A6966:B6967"/>
    <mergeCell ref="H6966:H6967"/>
    <mergeCell ref="I6966:N6973"/>
    <mergeCell ref="A6968:A6970"/>
    <mergeCell ref="A6971:G6971"/>
    <mergeCell ref="A6972:G6972"/>
    <mergeCell ref="A6973:G6973"/>
    <mergeCell ref="A6516:G6516"/>
    <mergeCell ref="A6517:G6517"/>
    <mergeCell ref="A6374:A6375"/>
    <mergeCell ref="A6275:B6276"/>
    <mergeCell ref="H6275:H6276"/>
    <mergeCell ref="I6275:N6281"/>
    <mergeCell ref="A6277:A6278"/>
    <mergeCell ref="A6279:G6279"/>
    <mergeCell ref="A6280:G6280"/>
    <mergeCell ref="A6281:G6281"/>
    <mergeCell ref="A6794:A6796"/>
    <mergeCell ref="L6293:M6293"/>
    <mergeCell ref="A6294:B6295"/>
    <mergeCell ref="H6294:H6295"/>
    <mergeCell ref="I6294:N6300"/>
    <mergeCell ref="A6298:G6298"/>
    <mergeCell ref="A6257:B6258"/>
    <mergeCell ref="H6322:H6323"/>
    <mergeCell ref="A6261:G6261"/>
    <mergeCell ref="B6274:J6274"/>
    <mergeCell ref="L6274:M6274"/>
    <mergeCell ref="A6512:B6513"/>
    <mergeCell ref="H6512:H6513"/>
    <mergeCell ref="I6512:N6518"/>
    <mergeCell ref="A6367:G6367"/>
    <mergeCell ref="A6366:G6366"/>
    <mergeCell ref="A6607:A6608"/>
    <mergeCell ref="A6570:A6571"/>
    <mergeCell ref="I6391:N6398"/>
    <mergeCell ref="L6565:M6565"/>
    <mergeCell ref="H6431:H6432"/>
    <mergeCell ref="L6321:M6321"/>
    <mergeCell ref="A6322:B6323"/>
    <mergeCell ref="A6602:G6602"/>
    <mergeCell ref="H5275:H5276"/>
    <mergeCell ref="I5275:N5282"/>
    <mergeCell ref="A5282:G5282"/>
    <mergeCell ref="A6230:B6231"/>
    <mergeCell ref="H6230:H6231"/>
    <mergeCell ref="B6114:J6114"/>
    <mergeCell ref="L6114:M6114"/>
    <mergeCell ref="A6090:G6090"/>
    <mergeCell ref="B6092:J6092"/>
    <mergeCell ref="L6092:M6092"/>
    <mergeCell ref="A6093:B6094"/>
    <mergeCell ref="H6093:H6094"/>
    <mergeCell ref="I6093:N6101"/>
    <mergeCell ref="A6191:G6191"/>
    <mergeCell ref="A6186:A6187"/>
    <mergeCell ref="H6212:H6213"/>
    <mergeCell ref="B6202:J6202"/>
    <mergeCell ref="L6202:M6202"/>
    <mergeCell ref="A6203:B6204"/>
    <mergeCell ref="H6203:H6204"/>
    <mergeCell ref="A5988:A5989"/>
    <mergeCell ref="A6031:A6033"/>
    <mergeCell ref="A6034:A6036"/>
    <mergeCell ref="H6126:H6127"/>
    <mergeCell ref="I6126:N6133"/>
    <mergeCell ref="A6131:G6131"/>
    <mergeCell ref="B6125:J6125"/>
    <mergeCell ref="B6173:N6173"/>
    <mergeCell ref="A6200:G6200"/>
    <mergeCell ref="I6115:N6123"/>
    <mergeCell ref="A6121:G6121"/>
    <mergeCell ref="A6112:G6112"/>
    <mergeCell ref="B6174:J6174"/>
    <mergeCell ref="L6174:M6174"/>
    <mergeCell ref="A6175:B6176"/>
    <mergeCell ref="A6095:A6098"/>
    <mergeCell ref="A6099:G6099"/>
    <mergeCell ref="A6138:A6141"/>
    <mergeCell ref="A6170:G6170"/>
    <mergeCell ref="A6171:G6171"/>
    <mergeCell ref="H6104:H6105"/>
    <mergeCell ref="A6110:G6110"/>
    <mergeCell ref="A6146:A6149"/>
    <mergeCell ref="A6089:G6089"/>
    <mergeCell ref="I6175:N6181"/>
    <mergeCell ref="H6077:H6078"/>
    <mergeCell ref="L6125:M6125"/>
    <mergeCell ref="A6126:B6127"/>
    <mergeCell ref="A4336:B4337"/>
    <mergeCell ref="H4336:H4337"/>
    <mergeCell ref="I4336:N4343"/>
    <mergeCell ref="A4341:G4341"/>
    <mergeCell ref="A4342:G4342"/>
    <mergeCell ref="A4343:G4343"/>
    <mergeCell ref="B5024:N5024"/>
    <mergeCell ref="B4345:J4345"/>
    <mergeCell ref="L4345:M4345"/>
    <mergeCell ref="A4346:B4347"/>
    <mergeCell ref="H4346:H4347"/>
    <mergeCell ref="I4346:N4358"/>
    <mergeCell ref="A4348:A4350"/>
    <mergeCell ref="A4356:G4356"/>
    <mergeCell ref="A4357:G4357"/>
    <mergeCell ref="A4479:B4480"/>
    <mergeCell ref="H4479:H4480"/>
    <mergeCell ref="I4479:N4491"/>
    <mergeCell ref="A4481:A4485"/>
    <mergeCell ref="A4486:A4488"/>
    <mergeCell ref="A4489:G4489"/>
    <mergeCell ref="A4490:G4490"/>
    <mergeCell ref="A4491:G4491"/>
    <mergeCell ref="A4467:A4473"/>
    <mergeCell ref="A4474:G4474"/>
    <mergeCell ref="A4475:G4475"/>
    <mergeCell ref="A4476:G4476"/>
    <mergeCell ref="B4478:J4478"/>
    <mergeCell ref="L4478:M4478"/>
    <mergeCell ref="A4417:G4417"/>
    <mergeCell ref="A4418:G4418"/>
    <mergeCell ref="A4390:G4390"/>
    <mergeCell ref="A4331:G4331"/>
    <mergeCell ref="A4391:G4391"/>
    <mergeCell ref="A4392:G4392"/>
    <mergeCell ref="B4393:J4393"/>
    <mergeCell ref="L4393:M4393"/>
    <mergeCell ref="A4394:B4395"/>
    <mergeCell ref="H4394:H4395"/>
    <mergeCell ref="I4394:N4418"/>
    <mergeCell ref="A4416:G4416"/>
    <mergeCell ref="A4358:G4358"/>
    <mergeCell ref="B4360:J4360"/>
    <mergeCell ref="L4360:M4360"/>
    <mergeCell ref="B4373:J4373"/>
    <mergeCell ref="L4373:M4373"/>
    <mergeCell ref="A4374:B4375"/>
    <mergeCell ref="H4374:H4375"/>
    <mergeCell ref="H4322:H4323"/>
    <mergeCell ref="I4322:N4333"/>
    <mergeCell ref="A4324:A4327"/>
    <mergeCell ref="A4328:A4330"/>
    <mergeCell ref="A4332:G4332"/>
    <mergeCell ref="A4333:G4333"/>
    <mergeCell ref="B4294:J4294"/>
    <mergeCell ref="L4294:M4294"/>
    <mergeCell ref="A4295:B4296"/>
    <mergeCell ref="H4295:H4296"/>
    <mergeCell ref="I4295:N4305"/>
    <mergeCell ref="A4297:A4299"/>
    <mergeCell ref="A4300:A4302"/>
    <mergeCell ref="A4303:G4303"/>
    <mergeCell ref="H4308:H4309"/>
    <mergeCell ref="I4308:N4318"/>
    <mergeCell ref="A4310:A4312"/>
    <mergeCell ref="A4313:A4315"/>
    <mergeCell ref="A4316:G4316"/>
    <mergeCell ref="A4317:G4317"/>
    <mergeCell ref="A4318:G4318"/>
    <mergeCell ref="B4320:J4320"/>
    <mergeCell ref="L4320:M4320"/>
    <mergeCell ref="B3144:J3144"/>
    <mergeCell ref="L3144:M3144"/>
    <mergeCell ref="A3145:A3165"/>
    <mergeCell ref="I3145:N3187"/>
    <mergeCell ref="A3166:A3172"/>
    <mergeCell ref="A3185:G3185"/>
    <mergeCell ref="A3186:G3186"/>
    <mergeCell ref="A3187:G3187"/>
    <mergeCell ref="A4257:G4257"/>
    <mergeCell ref="B4270:J4270"/>
    <mergeCell ref="L4270:M4270"/>
    <mergeCell ref="A4271:B4272"/>
    <mergeCell ref="H4271:H4272"/>
    <mergeCell ref="I4271:N4278"/>
    <mergeCell ref="A4276:G4276"/>
    <mergeCell ref="A4277:G4277"/>
    <mergeCell ref="A4278:G4278"/>
    <mergeCell ref="A3347:A3349"/>
    <mergeCell ref="A4101:A4108"/>
    <mergeCell ref="I3238:N3246"/>
    <mergeCell ref="A3244:G3244"/>
    <mergeCell ref="A3245:G3245"/>
    <mergeCell ref="A3246:G3246"/>
    <mergeCell ref="B3412:N3412"/>
    <mergeCell ref="A3227:A3232"/>
    <mergeCell ref="I3227:N3235"/>
    <mergeCell ref="A3233:G3233"/>
    <mergeCell ref="A3234:G3234"/>
    <mergeCell ref="A3235:G3235"/>
    <mergeCell ref="B3237:J3237"/>
    <mergeCell ref="L3237:M3237"/>
    <mergeCell ref="B3248:N3248"/>
    <mergeCell ref="B3127:J3127"/>
    <mergeCell ref="L3127:M3127"/>
    <mergeCell ref="A3128:A3131"/>
    <mergeCell ref="A3582:G3582"/>
    <mergeCell ref="A3583:G3583"/>
    <mergeCell ref="A3584:N3584"/>
    <mergeCell ref="I3128:N3140"/>
    <mergeCell ref="A3138:G3138"/>
    <mergeCell ref="A3139:G3139"/>
    <mergeCell ref="A3140:G3140"/>
    <mergeCell ref="A3132:A3133"/>
    <mergeCell ref="A3135:A3137"/>
    <mergeCell ref="A3173:A3175"/>
    <mergeCell ref="A3221:G3221"/>
    <mergeCell ref="A3222:G3222"/>
    <mergeCell ref="A3771:A3774"/>
    <mergeCell ref="A3410:G3410"/>
    <mergeCell ref="B3226:J3226"/>
    <mergeCell ref="L3226:M3226"/>
    <mergeCell ref="A3205:G3205"/>
    <mergeCell ref="A3386:A3401"/>
    <mergeCell ref="A3356:A3385"/>
    <mergeCell ref="B3413:J3413"/>
    <mergeCell ref="L3190:M3190"/>
    <mergeCell ref="A3191:B3192"/>
    <mergeCell ref="H3191:H3192"/>
    <mergeCell ref="I3191:N3206"/>
    <mergeCell ref="A3193:A3197"/>
    <mergeCell ref="A3198:A3200"/>
    <mergeCell ref="A3201:A3203"/>
    <mergeCell ref="A3204:G3204"/>
    <mergeCell ref="A3238:A3243"/>
    <mergeCell ref="I3116:N3125"/>
    <mergeCell ref="A3123:G3123"/>
    <mergeCell ref="A3124:G3124"/>
    <mergeCell ref="A3125:G3125"/>
    <mergeCell ref="A3102:G3102"/>
    <mergeCell ref="A3103:G3103"/>
    <mergeCell ref="A3104:G3104"/>
    <mergeCell ref="A3117:A3118"/>
    <mergeCell ref="A3120:A3121"/>
    <mergeCell ref="B3142:N3142"/>
    <mergeCell ref="B3143:N3143"/>
    <mergeCell ref="L3274:M3274"/>
    <mergeCell ref="B3069:N3069"/>
    <mergeCell ref="B3224:N3224"/>
    <mergeCell ref="B3225:N3225"/>
    <mergeCell ref="L3070:M3070"/>
    <mergeCell ref="A3071:A3075"/>
    <mergeCell ref="I3071:N3078"/>
    <mergeCell ref="A3076:G3076"/>
    <mergeCell ref="A3077:G3077"/>
    <mergeCell ref="A3078:G3078"/>
    <mergeCell ref="A3206:G3206"/>
    <mergeCell ref="B3208:J3208"/>
    <mergeCell ref="L3208:M3208"/>
    <mergeCell ref="A3209:B3210"/>
    <mergeCell ref="H3209:H3210"/>
    <mergeCell ref="I3209:N3222"/>
    <mergeCell ref="A3211:A3216"/>
    <mergeCell ref="A3217:A3219"/>
    <mergeCell ref="A3220:G3220"/>
    <mergeCell ref="B3189:N3189"/>
    <mergeCell ref="B3190:J3190"/>
    <mergeCell ref="I2939:N2944"/>
    <mergeCell ref="A2942:G2942"/>
    <mergeCell ref="A2921:N2921"/>
    <mergeCell ref="B2922:J2922"/>
    <mergeCell ref="L2922:M2922"/>
    <mergeCell ref="I2923:N2928"/>
    <mergeCell ref="A2926:G2926"/>
    <mergeCell ref="A2944:G2944"/>
    <mergeCell ref="A2945:N2945"/>
    <mergeCell ref="B2955:J2955"/>
    <mergeCell ref="L2955:M2955"/>
    <mergeCell ref="I2956:N2962"/>
    <mergeCell ref="A2960:G2960"/>
    <mergeCell ref="A2961:G2961"/>
    <mergeCell ref="A2962:G2962"/>
    <mergeCell ref="A2956:A2957"/>
    <mergeCell ref="A2937:N2937"/>
    <mergeCell ref="A2943:G2943"/>
    <mergeCell ref="A2958:A2959"/>
    <mergeCell ref="B2947:J2947"/>
    <mergeCell ref="L2947:M2947"/>
    <mergeCell ref="A2948:A2950"/>
    <mergeCell ref="I2948:N2953"/>
    <mergeCell ref="A2951:G2951"/>
    <mergeCell ref="A2952:G2952"/>
    <mergeCell ref="A2953:G2953"/>
    <mergeCell ref="O2588:R2588"/>
    <mergeCell ref="A2587:A2606"/>
    <mergeCell ref="A2614:A2616"/>
    <mergeCell ref="A2617:A2620"/>
    <mergeCell ref="A2638:A2640"/>
    <mergeCell ref="A2641:A2643"/>
    <mergeCell ref="A2652:A2653"/>
    <mergeCell ref="A2674:A2676"/>
    <mergeCell ref="A2677:A2680"/>
    <mergeCell ref="A2690:A2705"/>
    <mergeCell ref="A2706:A2718"/>
    <mergeCell ref="A2727:A2728"/>
    <mergeCell ref="A2729:A2730"/>
    <mergeCell ref="A2822:A2826"/>
    <mergeCell ref="B3017:N3017"/>
    <mergeCell ref="B3018:J3018"/>
    <mergeCell ref="L3018:M3018"/>
    <mergeCell ref="B2832:J2832"/>
    <mergeCell ref="L2832:M2832"/>
    <mergeCell ref="A2833:A2839"/>
    <mergeCell ref="I2833:N2842"/>
    <mergeCell ref="A2840:G2840"/>
    <mergeCell ref="A2841:G2841"/>
    <mergeCell ref="A2842:G2842"/>
    <mergeCell ref="B2865:N2865"/>
    <mergeCell ref="B2866:J2866"/>
    <mergeCell ref="L2866:M2866"/>
    <mergeCell ref="I2867:N2874"/>
    <mergeCell ref="A2872:G2872"/>
    <mergeCell ref="A2873:G2873"/>
    <mergeCell ref="L2886:M2886"/>
    <mergeCell ref="A2927:G2927"/>
    <mergeCell ref="O2570:R2570"/>
    <mergeCell ref="O2571:R2571"/>
    <mergeCell ref="O2572:R2572"/>
    <mergeCell ref="O2573:R2573"/>
    <mergeCell ref="O2574:R2574"/>
    <mergeCell ref="O2575:R2575"/>
    <mergeCell ref="O2576:R2576"/>
    <mergeCell ref="O2577:R2577"/>
    <mergeCell ref="O2578:R2578"/>
    <mergeCell ref="O2579:R2579"/>
    <mergeCell ref="O2580:R2580"/>
    <mergeCell ref="O2581:R2581"/>
    <mergeCell ref="O2582:R2582"/>
    <mergeCell ref="O2583:R2583"/>
    <mergeCell ref="O2584:R2584"/>
    <mergeCell ref="O2585:R2585"/>
    <mergeCell ref="O2587:R2587"/>
    <mergeCell ref="O2586:R2586"/>
    <mergeCell ref="A8527:G8527"/>
    <mergeCell ref="A8528:G8528"/>
    <mergeCell ref="A8469:A8470"/>
    <mergeCell ref="B8024:J8024"/>
    <mergeCell ref="L8024:M8024"/>
    <mergeCell ref="A8025:B8026"/>
    <mergeCell ref="H8025:H8026"/>
    <mergeCell ref="I8025:N8032"/>
    <mergeCell ref="I8168:N8307"/>
    <mergeCell ref="A8169:A8204"/>
    <mergeCell ref="A8205:A8207"/>
    <mergeCell ref="A8305:G8305"/>
    <mergeCell ref="A8306:G8306"/>
    <mergeCell ref="A8526:G8526"/>
    <mergeCell ref="A8240:A8260"/>
    <mergeCell ref="A8307:G8307"/>
    <mergeCell ref="A8463:G8463"/>
    <mergeCell ref="A8163:G8163"/>
    <mergeCell ref="B8140:N8140"/>
    <mergeCell ref="B8502:J8502"/>
    <mergeCell ref="L8502:M8502"/>
    <mergeCell ref="A8122:G8122"/>
    <mergeCell ref="B8124:J8124"/>
    <mergeCell ref="B8108:J8108"/>
    <mergeCell ref="H8476:H8477"/>
    <mergeCell ref="I8476:N8482"/>
    <mergeCell ref="I8125:N8138"/>
    <mergeCell ref="A8127:A8129"/>
    <mergeCell ref="A8111:A8113"/>
    <mergeCell ref="A8120:G8120"/>
    <mergeCell ref="A8121:G8121"/>
    <mergeCell ref="A8095:A8097"/>
    <mergeCell ref="A2845:A2847"/>
    <mergeCell ref="A3275:A3304"/>
    <mergeCell ref="A2557:A2559"/>
    <mergeCell ref="L6952:M6952"/>
    <mergeCell ref="B6565:J6565"/>
    <mergeCell ref="L3044:M3044"/>
    <mergeCell ref="A3045:A3054"/>
    <mergeCell ref="I3045:N3057"/>
    <mergeCell ref="A3057:G3057"/>
    <mergeCell ref="B3060:J3060"/>
    <mergeCell ref="L3060:M3060"/>
    <mergeCell ref="H6370:H6371"/>
    <mergeCell ref="A6388:G6388"/>
    <mergeCell ref="A6336:G6336"/>
    <mergeCell ref="B6265:J6265"/>
    <mergeCell ref="L6265:M6265"/>
    <mergeCell ref="A6266:B6267"/>
    <mergeCell ref="H6266:H6267"/>
    <mergeCell ref="I6266:N6272"/>
    <mergeCell ref="A6268:A6269"/>
    <mergeCell ref="A6270:G6270"/>
    <mergeCell ref="A6271:G6271"/>
    <mergeCell ref="A6596:A6597"/>
    <mergeCell ref="A6594:A6595"/>
    <mergeCell ref="A6600:G6600"/>
    <mergeCell ref="A6601:G6601"/>
    <mergeCell ref="I3061:N3067"/>
    <mergeCell ref="A3065:G3065"/>
    <mergeCell ref="A3066:G3066"/>
    <mergeCell ref="A6163:B6164"/>
    <mergeCell ref="H6043:H6044"/>
    <mergeCell ref="I6136:N6160"/>
    <mergeCell ref="O2569:R2569"/>
    <mergeCell ref="A6611:G6611"/>
    <mergeCell ref="B7280:J7280"/>
    <mergeCell ref="L7280:M7280"/>
    <mergeCell ref="A7281:B7282"/>
    <mergeCell ref="H7281:H7282"/>
    <mergeCell ref="I7281:N7297"/>
    <mergeCell ref="A7295:G7295"/>
    <mergeCell ref="A7014:G7014"/>
    <mergeCell ref="A6682:G6682"/>
    <mergeCell ref="B6724:J6724"/>
    <mergeCell ref="L6724:M6724"/>
    <mergeCell ref="A7010:A7013"/>
    <mergeCell ref="B6965:J6965"/>
    <mergeCell ref="L6965:M6965"/>
    <mergeCell ref="A6695:G6695"/>
    <mergeCell ref="L6675:M6675"/>
    <mergeCell ref="A7063:G7063"/>
    <mergeCell ref="A7064:G7064"/>
    <mergeCell ref="A7044:A7046"/>
    <mergeCell ref="B6511:J6511"/>
    <mergeCell ref="L6511:M6511"/>
    <mergeCell ref="A6027:A6030"/>
    <mergeCell ref="B6135:J6135"/>
    <mergeCell ref="I6077:N6090"/>
    <mergeCell ref="A6079:A6081"/>
    <mergeCell ref="A6088:G6088"/>
    <mergeCell ref="B6103:J6103"/>
    <mergeCell ref="L6103:M6103"/>
    <mergeCell ref="A5105:G5105"/>
    <mergeCell ref="A5106:G5106"/>
    <mergeCell ref="A5984:A5986"/>
    <mergeCell ref="A6299:G6299"/>
    <mergeCell ref="A6361:A6362"/>
    <mergeCell ref="A6363:A6364"/>
    <mergeCell ref="A6372:A6373"/>
    <mergeCell ref="A6300:G6300"/>
    <mergeCell ref="B6321:J6321"/>
    <mergeCell ref="L6369:M6369"/>
    <mergeCell ref="A6370:B6371"/>
    <mergeCell ref="A6378:G6378"/>
    <mergeCell ref="A6354:G6354"/>
    <mergeCell ref="A6355:G6355"/>
    <mergeCell ref="A6337:G6337"/>
    <mergeCell ref="H6349:H6350"/>
    <mergeCell ref="I6349:N6355"/>
    <mergeCell ref="A6353:G6353"/>
    <mergeCell ref="A6150:A6153"/>
    <mergeCell ref="A6050:G6050"/>
    <mergeCell ref="A6177:A6178"/>
    <mergeCell ref="A6179:G6179"/>
    <mergeCell ref="A6180:G6180"/>
    <mergeCell ref="A6100:G6100"/>
    <mergeCell ref="A6101:G6101"/>
    <mergeCell ref="I6043:N6051"/>
    <mergeCell ref="A6049:G6049"/>
    <mergeCell ref="A6159:G6159"/>
    <mergeCell ref="A6158:G6158"/>
    <mergeCell ref="H6136:H6137"/>
    <mergeCell ref="A6160:G6160"/>
    <mergeCell ref="A6132:G6132"/>
    <mergeCell ref="A6133:G6133"/>
    <mergeCell ref="A6115:B6116"/>
    <mergeCell ref="H6115:H6116"/>
    <mergeCell ref="B2886:J2886"/>
    <mergeCell ref="A5044:A5046"/>
    <mergeCell ref="A5050:G5050"/>
    <mergeCell ref="A5051:G5051"/>
    <mergeCell ref="A5052:G5052"/>
    <mergeCell ref="B5081:N5081"/>
    <mergeCell ref="B5124:J5124"/>
    <mergeCell ref="L5124:M5124"/>
    <mergeCell ref="A5125:B5126"/>
    <mergeCell ref="B6042:J6042"/>
    <mergeCell ref="L6042:M6042"/>
    <mergeCell ref="A6043:B6044"/>
    <mergeCell ref="I6194:N6200"/>
    <mergeCell ref="A6196:A6197"/>
    <mergeCell ref="A6198:G6198"/>
    <mergeCell ref="A6199:G6199"/>
    <mergeCell ref="B6193:J6193"/>
    <mergeCell ref="L6193:M6193"/>
    <mergeCell ref="B5091:J5091"/>
    <mergeCell ref="L5091:M5091"/>
    <mergeCell ref="A5092:B5093"/>
    <mergeCell ref="H5092:H5093"/>
    <mergeCell ref="I5092:N5099"/>
    <mergeCell ref="A5094:A5096"/>
    <mergeCell ref="A5097:G5097"/>
    <mergeCell ref="A5432:B5433"/>
    <mergeCell ref="B5294:N5294"/>
    <mergeCell ref="B5295:J5295"/>
    <mergeCell ref="L5295:M5295"/>
    <mergeCell ref="A5657:A5658"/>
    <mergeCell ref="L2938:M2938"/>
    <mergeCell ref="A2939:A2941"/>
    <mergeCell ref="B6390:J6390"/>
    <mergeCell ref="L6390:M6390"/>
    <mergeCell ref="A6391:B6392"/>
    <mergeCell ref="B2964:J2964"/>
    <mergeCell ref="L2964:M2964"/>
    <mergeCell ref="I2965:N2990"/>
    <mergeCell ref="A2988:G2988"/>
    <mergeCell ref="H5432:H5433"/>
    <mergeCell ref="I5432:N5442"/>
    <mergeCell ref="A5434:A5435"/>
    <mergeCell ref="A2989:G2989"/>
    <mergeCell ref="A2990:G2990"/>
    <mergeCell ref="B2876:J2876"/>
    <mergeCell ref="L2876:M2876"/>
    <mergeCell ref="A3067:G3067"/>
    <mergeCell ref="B3059:N3059"/>
    <mergeCell ref="A2910:G2910"/>
    <mergeCell ref="A2911:G2911"/>
    <mergeCell ref="A2912:G2912"/>
    <mergeCell ref="A2905:N2905"/>
    <mergeCell ref="A2913:N2913"/>
    <mergeCell ref="B2914:J2914"/>
    <mergeCell ref="L2914:M2914"/>
    <mergeCell ref="I2915:N2920"/>
    <mergeCell ref="A2918:G2918"/>
    <mergeCell ref="A2919:G2919"/>
    <mergeCell ref="A2920:G2920"/>
    <mergeCell ref="B2938:J2938"/>
    <mergeCell ref="A5440:G5440"/>
    <mergeCell ref="B5431:J5431"/>
    <mergeCell ref="L5431:M5431"/>
    <mergeCell ref="A2884:G2884"/>
    <mergeCell ref="H6605:H6606"/>
    <mergeCell ref="I6605:N6613"/>
    <mergeCell ref="I6359:N6367"/>
    <mergeCell ref="A6365:G6365"/>
    <mergeCell ref="L3413:M3413"/>
    <mergeCell ref="B6380:J6380"/>
    <mergeCell ref="L6380:M6380"/>
    <mergeCell ref="A6381:B6382"/>
    <mergeCell ref="H6381:H6382"/>
    <mergeCell ref="I6381:N6388"/>
    <mergeCell ref="A6386:G6386"/>
    <mergeCell ref="A6387:G6387"/>
    <mergeCell ref="A6526:G6526"/>
    <mergeCell ref="A6527:G6527"/>
    <mergeCell ref="A6396:G6396"/>
    <mergeCell ref="B6538:N6538"/>
    <mergeCell ref="B6539:J6539"/>
    <mergeCell ref="L6539:M6539"/>
    <mergeCell ref="L6076:M6076"/>
    <mergeCell ref="A6077:B6078"/>
    <mergeCell ref="A6104:B6105"/>
    <mergeCell ref="A5098:G5098"/>
    <mergeCell ref="A5099:G5099"/>
    <mergeCell ref="H5101:H5102"/>
    <mergeCell ref="I5101:N5107"/>
    <mergeCell ref="A5103:A5104"/>
    <mergeCell ref="A6111:G6111"/>
    <mergeCell ref="A6038:G6038"/>
    <mergeCell ref="A6039:G6039"/>
    <mergeCell ref="A6040:G6040"/>
    <mergeCell ref="L6009:M6009"/>
    <mergeCell ref="A6010:B6011"/>
    <mergeCell ref="B5949:N5949"/>
    <mergeCell ref="H5951:H5952"/>
    <mergeCell ref="I5951:N5971"/>
    <mergeCell ref="A5953:A5956"/>
    <mergeCell ref="A5969:G5969"/>
    <mergeCell ref="A5970:G5970"/>
    <mergeCell ref="I5974:N5992"/>
    <mergeCell ref="A5976:A5979"/>
    <mergeCell ref="A5991:G5991"/>
    <mergeCell ref="A6005:G6005"/>
    <mergeCell ref="A5699:A5701"/>
    <mergeCell ref="A5702:A5704"/>
    <mergeCell ref="A5733:A5735"/>
    <mergeCell ref="B5718:J5718"/>
    <mergeCell ref="L5718:M5718"/>
    <mergeCell ref="A5740:G5740"/>
    <mergeCell ref="A5922:A5924"/>
    <mergeCell ref="A5939:A5941"/>
    <mergeCell ref="A5803:A5805"/>
    <mergeCell ref="A5951:B5952"/>
    <mergeCell ref="A5793:A5794"/>
    <mergeCell ref="B5777:J5777"/>
    <mergeCell ref="L5777:M5777"/>
    <mergeCell ref="A5778:B5779"/>
    <mergeCell ref="H5778:H5779"/>
    <mergeCell ref="I5778:N5784"/>
    <mergeCell ref="A5780:A5781"/>
    <mergeCell ref="A5782:G5782"/>
    <mergeCell ref="A5783:G5783"/>
    <mergeCell ref="A5784:G5784"/>
    <mergeCell ref="B5827:J5827"/>
    <mergeCell ref="L5827:M5827"/>
    <mergeCell ref="A5655:A5656"/>
    <mergeCell ref="A5659:G5659"/>
    <mergeCell ref="A5660:G5660"/>
    <mergeCell ref="B5727:J5727"/>
    <mergeCell ref="B5461:J5461"/>
    <mergeCell ref="A5488:A5489"/>
    <mergeCell ref="A5441:G5441"/>
    <mergeCell ref="A5442:G5442"/>
    <mergeCell ref="A5457:G5457"/>
    <mergeCell ref="A5458:G5458"/>
    <mergeCell ref="L5445:M5445"/>
    <mergeCell ref="A5446:B5447"/>
    <mergeCell ref="B5652:J5652"/>
    <mergeCell ref="L5652:M5652"/>
    <mergeCell ref="A5653:B5654"/>
    <mergeCell ref="H5653:H5654"/>
    <mergeCell ref="I5653:N5661"/>
    <mergeCell ref="I5697:N5707"/>
    <mergeCell ref="A5480:G5480"/>
    <mergeCell ref="A5477:A5478"/>
    <mergeCell ref="A5466:A5467"/>
    <mergeCell ref="A5459:G5459"/>
    <mergeCell ref="B5494:J5494"/>
    <mergeCell ref="L5494:M5494"/>
    <mergeCell ref="B5472:J5472"/>
    <mergeCell ref="L5472:M5472"/>
    <mergeCell ref="A5473:B5474"/>
    <mergeCell ref="H5473:H5474"/>
    <mergeCell ref="I5473:N5481"/>
    <mergeCell ref="A5475:A5476"/>
    <mergeCell ref="A5479:G5479"/>
    <mergeCell ref="B5525:J5525"/>
    <mergeCell ref="A6016:A6019"/>
    <mergeCell ref="A6072:G6072"/>
    <mergeCell ref="A6073:G6073"/>
    <mergeCell ref="A5716:G5716"/>
    <mergeCell ref="A5705:G5705"/>
    <mergeCell ref="A5706:G5706"/>
    <mergeCell ref="A5707:G5707"/>
    <mergeCell ref="B5676:N5676"/>
    <mergeCell ref="H5446:H5447"/>
    <mergeCell ref="I5446:N5459"/>
    <mergeCell ref="A5448:A5450"/>
    <mergeCell ref="A5451:A5453"/>
    <mergeCell ref="A5454:A5456"/>
    <mergeCell ref="A5990:G5990"/>
    <mergeCell ref="I5462:N5470"/>
    <mergeCell ref="A5484:B5485"/>
    <mergeCell ref="H5484:H5485"/>
    <mergeCell ref="I5484:N5492"/>
    <mergeCell ref="A5486:A5487"/>
    <mergeCell ref="A5490:G5490"/>
    <mergeCell ref="A5491:G5491"/>
    <mergeCell ref="A5492:G5492"/>
    <mergeCell ref="A5469:G5469"/>
    <mergeCell ref="A5470:G5470"/>
    <mergeCell ref="B5677:J5677"/>
    <mergeCell ref="I5744:N5750"/>
    <mergeCell ref="A5741:G5741"/>
    <mergeCell ref="H5728:H5729"/>
    <mergeCell ref="I5728:N5741"/>
    <mergeCell ref="B5743:J5743"/>
    <mergeCell ref="L5743:M5743"/>
    <mergeCell ref="A5744:B5745"/>
    <mergeCell ref="A5383:B5384"/>
    <mergeCell ref="H5383:H5384"/>
    <mergeCell ref="I5383:N5391"/>
    <mergeCell ref="A5387:A5388"/>
    <mergeCell ref="A5400:G5400"/>
    <mergeCell ref="A5401:G5401"/>
    <mergeCell ref="A5402:G5402"/>
    <mergeCell ref="A5425:A5427"/>
    <mergeCell ref="A5419:A5421"/>
    <mergeCell ref="A5422:A5424"/>
    <mergeCell ref="A5429:G5429"/>
    <mergeCell ref="A5430:G5430"/>
    <mergeCell ref="B5393:J5393"/>
    <mergeCell ref="A5436:A5437"/>
    <mergeCell ref="A5481:G5481"/>
    <mergeCell ref="B5483:J5483"/>
    <mergeCell ref="A5790:A5792"/>
    <mergeCell ref="A5385:A5386"/>
    <mergeCell ref="A5389:G5389"/>
    <mergeCell ref="A5390:G5390"/>
    <mergeCell ref="A5391:G5391"/>
    <mergeCell ref="B5404:J5404"/>
    <mergeCell ref="L5404:M5404"/>
    <mergeCell ref="A5405:B5406"/>
    <mergeCell ref="H5405:H5406"/>
    <mergeCell ref="I5405:N5430"/>
    <mergeCell ref="A5407:A5409"/>
    <mergeCell ref="A5410:A5412"/>
    <mergeCell ref="A5413:A5415"/>
    <mergeCell ref="A5416:A5418"/>
    <mergeCell ref="A5428:G5428"/>
    <mergeCell ref="L5483:M5483"/>
    <mergeCell ref="A5296:B5297"/>
    <mergeCell ref="A5300:A5301"/>
    <mergeCell ref="A5313:A5314"/>
    <mergeCell ref="A5357:B5358"/>
    <mergeCell ref="H5357:H5358"/>
    <mergeCell ref="I5357:N5367"/>
    <mergeCell ref="A5359:A5360"/>
    <mergeCell ref="A5365:G5365"/>
    <mergeCell ref="A5306:G5306"/>
    <mergeCell ref="B5308:J5308"/>
    <mergeCell ref="L5308:M5308"/>
    <mergeCell ref="A5346:B5347"/>
    <mergeCell ref="H5346:H5347"/>
    <mergeCell ref="A5309:B5310"/>
    <mergeCell ref="I5309:N5319"/>
    <mergeCell ref="A5311:A5312"/>
    <mergeCell ref="A5317:G5317"/>
    <mergeCell ref="B5334:J5334"/>
    <mergeCell ref="A5328:A5329"/>
    <mergeCell ref="A5319:G5319"/>
    <mergeCell ref="H5309:H5310"/>
    <mergeCell ref="A5366:G5366"/>
    <mergeCell ref="A5367:G5367"/>
    <mergeCell ref="B5321:J5321"/>
    <mergeCell ref="L5321:M5321"/>
    <mergeCell ref="A5322:B5323"/>
    <mergeCell ref="H5322:H5323"/>
    <mergeCell ref="I5322:N5332"/>
    <mergeCell ref="A5324:A5325"/>
    <mergeCell ref="A5330:G5330"/>
    <mergeCell ref="A5331:G5331"/>
    <mergeCell ref="A5332:G5332"/>
    <mergeCell ref="A5361:A5362"/>
    <mergeCell ref="A5343:G5343"/>
    <mergeCell ref="B5345:J5345"/>
    <mergeCell ref="L5345:M5345"/>
    <mergeCell ref="A6012:A6015"/>
    <mergeCell ref="I5346:N5354"/>
    <mergeCell ref="B5994:J5994"/>
    <mergeCell ref="L5994:M5994"/>
    <mergeCell ref="A5995:B5996"/>
    <mergeCell ref="H5995:H5996"/>
    <mergeCell ref="I5995:N6007"/>
    <mergeCell ref="A5997:A6000"/>
    <mergeCell ref="H5394:H5395"/>
    <mergeCell ref="I5394:N5402"/>
    <mergeCell ref="A5396:A5397"/>
    <mergeCell ref="A5398:A5399"/>
    <mergeCell ref="B5382:J5382"/>
    <mergeCell ref="L5382:M5382"/>
    <mergeCell ref="A5464:A5465"/>
    <mergeCell ref="A5468:G5468"/>
    <mergeCell ref="B5445:J5445"/>
    <mergeCell ref="L5461:M5461"/>
    <mergeCell ref="A5462:B5463"/>
    <mergeCell ref="H5462:H5463"/>
    <mergeCell ref="B5514:J5514"/>
    <mergeCell ref="L5514:M5514"/>
    <mergeCell ref="A5394:B5395"/>
    <mergeCell ref="B5369:J5369"/>
    <mergeCell ref="L5369:M5369"/>
    <mergeCell ref="A5370:B5371"/>
    <mergeCell ref="H5370:H5371"/>
    <mergeCell ref="I5370:N5380"/>
    <mergeCell ref="A5178:B5179"/>
    <mergeCell ref="H5178:H5179"/>
    <mergeCell ref="I5178:N5184"/>
    <mergeCell ref="A5180:A5181"/>
    <mergeCell ref="A5182:G5182"/>
    <mergeCell ref="A5183:G5183"/>
    <mergeCell ref="A5149:G5149"/>
    <mergeCell ref="A5150:G5150"/>
    <mergeCell ref="H5169:H5170"/>
    <mergeCell ref="I5169:N5175"/>
    <mergeCell ref="B5168:J5168"/>
    <mergeCell ref="A5171:A5172"/>
    <mergeCell ref="A5173:G5173"/>
    <mergeCell ref="A5174:G5174"/>
    <mergeCell ref="A5175:G5175"/>
    <mergeCell ref="I5161:N5167"/>
    <mergeCell ref="A5163:A5164"/>
    <mergeCell ref="A5165:G5165"/>
    <mergeCell ref="A5166:G5166"/>
    <mergeCell ref="A5167:G5167"/>
    <mergeCell ref="A5372:A5373"/>
    <mergeCell ref="A5378:G5378"/>
    <mergeCell ref="A5379:G5379"/>
    <mergeCell ref="B8:J8"/>
    <mergeCell ref="L8:M8"/>
    <mergeCell ref="A9:N9"/>
    <mergeCell ref="A10:N10"/>
    <mergeCell ref="B12:J12"/>
    <mergeCell ref="L12:M12"/>
    <mergeCell ref="A1:N2"/>
    <mergeCell ref="A3:N3"/>
    <mergeCell ref="A4:N4"/>
    <mergeCell ref="A5:N5"/>
    <mergeCell ref="H6:I6"/>
    <mergeCell ref="H7:I7"/>
    <mergeCell ref="B27:C27"/>
    <mergeCell ref="B28:C28"/>
    <mergeCell ref="B29:C29"/>
    <mergeCell ref="B30:C30"/>
    <mergeCell ref="B31:C31"/>
    <mergeCell ref="A13:C14"/>
    <mergeCell ref="H13:H14"/>
    <mergeCell ref="I13:N63"/>
    <mergeCell ref="A15:A34"/>
    <mergeCell ref="B15:C15"/>
    <mergeCell ref="B16:C16"/>
    <mergeCell ref="B17:C17"/>
    <mergeCell ref="B18:C18"/>
    <mergeCell ref="B19:C19"/>
    <mergeCell ref="B20:C20"/>
    <mergeCell ref="B42:C42"/>
    <mergeCell ref="B43:C44"/>
    <mergeCell ref="B33:C33"/>
    <mergeCell ref="B34:C34"/>
    <mergeCell ref="B35:C35"/>
    <mergeCell ref="B73:C73"/>
    <mergeCell ref="B74:C74"/>
    <mergeCell ref="B75:C75"/>
    <mergeCell ref="B76:C76"/>
    <mergeCell ref="B32:C32"/>
    <mergeCell ref="B21:C21"/>
    <mergeCell ref="B22:C22"/>
    <mergeCell ref="B23:C23"/>
    <mergeCell ref="B24:C24"/>
    <mergeCell ref="B25:C25"/>
    <mergeCell ref="B26:C26"/>
    <mergeCell ref="A64:N64"/>
    <mergeCell ref="B65:J65"/>
    <mergeCell ref="L65:M65"/>
    <mergeCell ref="A66:C67"/>
    <mergeCell ref="H66:H67"/>
    <mergeCell ref="I66:N87"/>
    <mergeCell ref="A68:A83"/>
    <mergeCell ref="B68:C68"/>
    <mergeCell ref="B69:C69"/>
    <mergeCell ref="B70:C70"/>
    <mergeCell ref="B84:C84"/>
    <mergeCell ref="A85:G85"/>
    <mergeCell ref="A86:G86"/>
    <mergeCell ref="A87:G87"/>
    <mergeCell ref="A36:A44"/>
    <mergeCell ref="B36:C36"/>
    <mergeCell ref="B37:C37"/>
    <mergeCell ref="B38:C38"/>
    <mergeCell ref="A5130:A5132"/>
    <mergeCell ref="B5152:J5152"/>
    <mergeCell ref="L5152:M5152"/>
    <mergeCell ref="A5153:B5154"/>
    <mergeCell ref="H5153:H5154"/>
    <mergeCell ref="I5153:N5159"/>
    <mergeCell ref="A5155:A5156"/>
    <mergeCell ref="I2877:N2884"/>
    <mergeCell ref="A2882:G2882"/>
    <mergeCell ref="A2883:G2883"/>
    <mergeCell ref="I2887:N2895"/>
    <mergeCell ref="A2893:G2893"/>
    <mergeCell ref="A2894:G2894"/>
    <mergeCell ref="A3090:G3090"/>
    <mergeCell ref="B2844:J2844"/>
    <mergeCell ref="L2844:M2844"/>
    <mergeCell ref="I2845:N2853"/>
    <mergeCell ref="A2851:G2851"/>
    <mergeCell ref="A2852:G2852"/>
    <mergeCell ref="A2853:G2853"/>
    <mergeCell ref="B2946:N2946"/>
    <mergeCell ref="A2895:G2895"/>
    <mergeCell ref="B3080:N3080"/>
    <mergeCell ref="B3081:J3081"/>
    <mergeCell ref="L3081:M3081"/>
    <mergeCell ref="I3082:N3092"/>
    <mergeCell ref="A3091:G3091"/>
    <mergeCell ref="I3019:N3042"/>
    <mergeCell ref="A3040:G3040"/>
    <mergeCell ref="A3041:G3041"/>
    <mergeCell ref="A3042:G3042"/>
    <mergeCell ref="B3115:J3115"/>
    <mergeCell ref="B39:C39"/>
    <mergeCell ref="B40:C40"/>
    <mergeCell ref="B41:C41"/>
    <mergeCell ref="B53:B54"/>
    <mergeCell ref="A45:A59"/>
    <mergeCell ref="B83:C83"/>
    <mergeCell ref="B77:C77"/>
    <mergeCell ref="B78:C78"/>
    <mergeCell ref="B79:C79"/>
    <mergeCell ref="B80:C80"/>
    <mergeCell ref="B81:C81"/>
    <mergeCell ref="B82:C82"/>
    <mergeCell ref="B71:C71"/>
    <mergeCell ref="B72:C72"/>
    <mergeCell ref="A61:G61"/>
    <mergeCell ref="A62:G62"/>
    <mergeCell ref="A63:G63"/>
    <mergeCell ref="B107:C107"/>
    <mergeCell ref="B108:C108"/>
    <mergeCell ref="B97:C97"/>
    <mergeCell ref="B98:C98"/>
    <mergeCell ref="B99:C99"/>
    <mergeCell ref="B100:C100"/>
    <mergeCell ref="B101:C101"/>
    <mergeCell ref="B102:C102"/>
    <mergeCell ref="L89:M89"/>
    <mergeCell ref="A90:C91"/>
    <mergeCell ref="H90:H91"/>
    <mergeCell ref="I90:N119"/>
    <mergeCell ref="A92:A110"/>
    <mergeCell ref="B92:C92"/>
    <mergeCell ref="B93:C93"/>
    <mergeCell ref="B94:C94"/>
    <mergeCell ref="B95:C95"/>
    <mergeCell ref="B103:C103"/>
    <mergeCell ref="B104:C104"/>
    <mergeCell ref="B105:C105"/>
    <mergeCell ref="B96:C96"/>
    <mergeCell ref="B89:J89"/>
    <mergeCell ref="B106:C106"/>
    <mergeCell ref="L121:M121"/>
    <mergeCell ref="A122:C123"/>
    <mergeCell ref="H122:H123"/>
    <mergeCell ref="I122:N143"/>
    <mergeCell ref="A124:A140"/>
    <mergeCell ref="B124:C124"/>
    <mergeCell ref="B125:C125"/>
    <mergeCell ref="B126:C126"/>
    <mergeCell ref="B127:C127"/>
    <mergeCell ref="B128:C128"/>
    <mergeCell ref="B115:C115"/>
    <mergeCell ref="B116:C116"/>
    <mergeCell ref="A117:G117"/>
    <mergeCell ref="A118:G118"/>
    <mergeCell ref="A119:G119"/>
    <mergeCell ref="B121:J121"/>
    <mergeCell ref="B109:C109"/>
    <mergeCell ref="B110:C110"/>
    <mergeCell ref="A111:A114"/>
    <mergeCell ref="B111:C111"/>
    <mergeCell ref="B112:C112"/>
    <mergeCell ref="B113:C113"/>
    <mergeCell ref="B114:C114"/>
    <mergeCell ref="A141:G141"/>
    <mergeCell ref="A142:G142"/>
    <mergeCell ref="A143:G143"/>
    <mergeCell ref="B145:J145"/>
    <mergeCell ref="L145:M145"/>
    <mergeCell ref="A146:C147"/>
    <mergeCell ref="H146:H147"/>
    <mergeCell ref="I146:N172"/>
    <mergeCell ref="A148:A161"/>
    <mergeCell ref="B148:C148"/>
    <mergeCell ref="B135:C135"/>
    <mergeCell ref="B136:C136"/>
    <mergeCell ref="B137:C137"/>
    <mergeCell ref="B138:C138"/>
    <mergeCell ref="B139:C139"/>
    <mergeCell ref="B140:C140"/>
    <mergeCell ref="B129:C129"/>
    <mergeCell ref="B130:C130"/>
    <mergeCell ref="B131:C131"/>
    <mergeCell ref="B132:C132"/>
    <mergeCell ref="B133:C133"/>
    <mergeCell ref="B134:C134"/>
    <mergeCell ref="B161:C161"/>
    <mergeCell ref="A170:G170"/>
    <mergeCell ref="A171:G171"/>
    <mergeCell ref="A172:G172"/>
    <mergeCell ref="A162:A167"/>
    <mergeCell ref="B174:J174"/>
    <mergeCell ref="L174:M174"/>
    <mergeCell ref="B155:C155"/>
    <mergeCell ref="B156:C156"/>
    <mergeCell ref="B157:C157"/>
    <mergeCell ref="B158:C158"/>
    <mergeCell ref="B159:C159"/>
    <mergeCell ref="B160:C160"/>
    <mergeCell ref="B149:C149"/>
    <mergeCell ref="B150:C150"/>
    <mergeCell ref="B151:C151"/>
    <mergeCell ref="B152:C152"/>
    <mergeCell ref="B153:C153"/>
    <mergeCell ref="B154:C154"/>
    <mergeCell ref="B205:C205"/>
    <mergeCell ref="B206:C206"/>
    <mergeCell ref="B207:C207"/>
    <mergeCell ref="B209:C209"/>
    <mergeCell ref="B210:C210"/>
    <mergeCell ref="B218:C218"/>
    <mergeCell ref="B183:C183"/>
    <mergeCell ref="B200:C200"/>
    <mergeCell ref="B201:C201"/>
    <mergeCell ref="B202:C202"/>
    <mergeCell ref="B203:C203"/>
    <mergeCell ref="B204:C204"/>
    <mergeCell ref="A175:C176"/>
    <mergeCell ref="H175:H176"/>
    <mergeCell ref="I175:N223"/>
    <mergeCell ref="A177:A220"/>
    <mergeCell ref="B177:C177"/>
    <mergeCell ref="B178:C178"/>
    <mergeCell ref="B179:C179"/>
    <mergeCell ref="B180:C180"/>
    <mergeCell ref="B181:C181"/>
    <mergeCell ref="B182:C182"/>
    <mergeCell ref="B231:C231"/>
    <mergeCell ref="B232:C232"/>
    <mergeCell ref="A233:A234"/>
    <mergeCell ref="B233:C233"/>
    <mergeCell ref="B234:C234"/>
    <mergeCell ref="A235:G235"/>
    <mergeCell ref="L224:M224"/>
    <mergeCell ref="A225:C226"/>
    <mergeCell ref="H225:H226"/>
    <mergeCell ref="I225:N237"/>
    <mergeCell ref="A227:A230"/>
    <mergeCell ref="B227:C227"/>
    <mergeCell ref="B228:C228"/>
    <mergeCell ref="B229:C229"/>
    <mergeCell ref="B230:C230"/>
    <mergeCell ref="A231:A232"/>
    <mergeCell ref="B219:C219"/>
    <mergeCell ref="B220:C220"/>
    <mergeCell ref="A221:G221"/>
    <mergeCell ref="A222:G222"/>
    <mergeCell ref="A223:G223"/>
    <mergeCell ref="B224:J224"/>
    <mergeCell ref="A249:A251"/>
    <mergeCell ref="B249:C249"/>
    <mergeCell ref="A252:G252"/>
    <mergeCell ref="A253:G253"/>
    <mergeCell ref="A254:G254"/>
    <mergeCell ref="B256:J256"/>
    <mergeCell ref="B244:C244"/>
    <mergeCell ref="B245:C245"/>
    <mergeCell ref="A246:A248"/>
    <mergeCell ref="B246:C246"/>
    <mergeCell ref="B247:C247"/>
    <mergeCell ref="B248:C248"/>
    <mergeCell ref="A236:G236"/>
    <mergeCell ref="A237:G237"/>
    <mergeCell ref="B239:J239"/>
    <mergeCell ref="L239:M239"/>
    <mergeCell ref="A240:C241"/>
    <mergeCell ref="H240:H241"/>
    <mergeCell ref="I240:N254"/>
    <mergeCell ref="A242:A245"/>
    <mergeCell ref="B242:C242"/>
    <mergeCell ref="B243:C243"/>
    <mergeCell ref="A269:G269"/>
    <mergeCell ref="A270:G270"/>
    <mergeCell ref="A271:N271"/>
    <mergeCell ref="B272:J272"/>
    <mergeCell ref="L272:M272"/>
    <mergeCell ref="A273:C274"/>
    <mergeCell ref="H273:H274"/>
    <mergeCell ref="I273:N295"/>
    <mergeCell ref="A275:A288"/>
    <mergeCell ref="B275:C275"/>
    <mergeCell ref="B264:C264"/>
    <mergeCell ref="A265:A266"/>
    <mergeCell ref="B265:C265"/>
    <mergeCell ref="B266:C266"/>
    <mergeCell ref="B267:C267"/>
    <mergeCell ref="A268:G268"/>
    <mergeCell ref="L256:M256"/>
    <mergeCell ref="A257:C258"/>
    <mergeCell ref="H257:H258"/>
    <mergeCell ref="I257:N270"/>
    <mergeCell ref="A259:A264"/>
    <mergeCell ref="B259:C259"/>
    <mergeCell ref="B260:C260"/>
    <mergeCell ref="B261:C261"/>
    <mergeCell ref="B262:C262"/>
    <mergeCell ref="B263:C263"/>
    <mergeCell ref="B288:C288"/>
    <mergeCell ref="A289:A292"/>
    <mergeCell ref="B289:C289"/>
    <mergeCell ref="B290:C290"/>
    <mergeCell ref="B291:C291"/>
    <mergeCell ref="B292:C292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306:C306"/>
    <mergeCell ref="B307:C307"/>
    <mergeCell ref="B308:C308"/>
    <mergeCell ref="B309:C309"/>
    <mergeCell ref="A310:G310"/>
    <mergeCell ref="A311:G311"/>
    <mergeCell ref="A298:C299"/>
    <mergeCell ref="H298:H299"/>
    <mergeCell ref="I298:N312"/>
    <mergeCell ref="A300:A309"/>
    <mergeCell ref="B300:C300"/>
    <mergeCell ref="B301:C301"/>
    <mergeCell ref="B302:C302"/>
    <mergeCell ref="B303:C303"/>
    <mergeCell ref="B304:C304"/>
    <mergeCell ref="B305:C305"/>
    <mergeCell ref="A293:G293"/>
    <mergeCell ref="A294:G294"/>
    <mergeCell ref="A295:G295"/>
    <mergeCell ref="A296:N296"/>
    <mergeCell ref="B297:J297"/>
    <mergeCell ref="L297:M297"/>
    <mergeCell ref="A319:G319"/>
    <mergeCell ref="A320:G320"/>
    <mergeCell ref="A321:G321"/>
    <mergeCell ref="B323:J323"/>
    <mergeCell ref="L323:M323"/>
    <mergeCell ref="A324:C325"/>
    <mergeCell ref="H324:H325"/>
    <mergeCell ref="I324:N347"/>
    <mergeCell ref="A326:A344"/>
    <mergeCell ref="B326:C326"/>
    <mergeCell ref="A312:G312"/>
    <mergeCell ref="A313:N313"/>
    <mergeCell ref="B314:J314"/>
    <mergeCell ref="L314:M314"/>
    <mergeCell ref="A315:C316"/>
    <mergeCell ref="H315:H316"/>
    <mergeCell ref="I315:N321"/>
    <mergeCell ref="A317:A318"/>
    <mergeCell ref="B317:C317"/>
    <mergeCell ref="B318:C318"/>
    <mergeCell ref="B339:C339"/>
    <mergeCell ref="B340:C340"/>
    <mergeCell ref="B341:C341"/>
    <mergeCell ref="B342:C342"/>
    <mergeCell ref="B343:C343"/>
    <mergeCell ref="B344:C344"/>
    <mergeCell ref="B333:C333"/>
    <mergeCell ref="B334:C334"/>
    <mergeCell ref="B335:C335"/>
    <mergeCell ref="B336:C336"/>
    <mergeCell ref="B337:C337"/>
    <mergeCell ref="B338:C338"/>
    <mergeCell ref="B327:C327"/>
    <mergeCell ref="B328:C328"/>
    <mergeCell ref="B329:C329"/>
    <mergeCell ref="B330:C330"/>
    <mergeCell ref="B331:C331"/>
    <mergeCell ref="B332:C332"/>
    <mergeCell ref="A359:G359"/>
    <mergeCell ref="A360:G360"/>
    <mergeCell ref="B362:J362"/>
    <mergeCell ref="L362:M362"/>
    <mergeCell ref="A363:C364"/>
    <mergeCell ref="H363:H364"/>
    <mergeCell ref="I363:N379"/>
    <mergeCell ref="A365:A373"/>
    <mergeCell ref="B365:C365"/>
    <mergeCell ref="B366:C366"/>
    <mergeCell ref="B353:C353"/>
    <mergeCell ref="B354:C354"/>
    <mergeCell ref="B355:C355"/>
    <mergeCell ref="B356:C356"/>
    <mergeCell ref="B357:C357"/>
    <mergeCell ref="A358:G358"/>
    <mergeCell ref="A345:G345"/>
    <mergeCell ref="A346:G346"/>
    <mergeCell ref="A347:G347"/>
    <mergeCell ref="B349:J349"/>
    <mergeCell ref="L349:M349"/>
    <mergeCell ref="A350:C351"/>
    <mergeCell ref="H350:H351"/>
    <mergeCell ref="I350:N360"/>
    <mergeCell ref="A352:A357"/>
    <mergeCell ref="B352:C352"/>
    <mergeCell ref="A378:G378"/>
    <mergeCell ref="A379:G379"/>
    <mergeCell ref="B381:J381"/>
    <mergeCell ref="L381:M381"/>
    <mergeCell ref="A382:C383"/>
    <mergeCell ref="H382:H383"/>
    <mergeCell ref="I382:N392"/>
    <mergeCell ref="A384:A389"/>
    <mergeCell ref="B384:C384"/>
    <mergeCell ref="B385:C385"/>
    <mergeCell ref="B373:C373"/>
    <mergeCell ref="A374:A376"/>
    <mergeCell ref="B374:C374"/>
    <mergeCell ref="B375:C375"/>
    <mergeCell ref="B376:C376"/>
    <mergeCell ref="A377:G377"/>
    <mergeCell ref="B367:C367"/>
    <mergeCell ref="B368:C368"/>
    <mergeCell ref="B369:C369"/>
    <mergeCell ref="B370:C370"/>
    <mergeCell ref="B371:C371"/>
    <mergeCell ref="B372:C372"/>
    <mergeCell ref="B400:C400"/>
    <mergeCell ref="B401:C401"/>
    <mergeCell ref="B402:C402"/>
    <mergeCell ref="A403:G403"/>
    <mergeCell ref="A404:G404"/>
    <mergeCell ref="A405:G405"/>
    <mergeCell ref="A392:G392"/>
    <mergeCell ref="B394:J394"/>
    <mergeCell ref="L394:M394"/>
    <mergeCell ref="A395:C396"/>
    <mergeCell ref="H395:H396"/>
    <mergeCell ref="I395:N405"/>
    <mergeCell ref="A397:A402"/>
    <mergeCell ref="B397:C397"/>
    <mergeCell ref="B398:C398"/>
    <mergeCell ref="B399:C399"/>
    <mergeCell ref="B386:C386"/>
    <mergeCell ref="B387:C387"/>
    <mergeCell ref="B388:C388"/>
    <mergeCell ref="B389:C389"/>
    <mergeCell ref="A390:G390"/>
    <mergeCell ref="A391:G391"/>
    <mergeCell ref="L420:M420"/>
    <mergeCell ref="A421:B422"/>
    <mergeCell ref="H421:H422"/>
    <mergeCell ref="I421:N465"/>
    <mergeCell ref="A423:A462"/>
    <mergeCell ref="B423:C423"/>
    <mergeCell ref="B440:C440"/>
    <mergeCell ref="B441:C441"/>
    <mergeCell ref="B459:C459"/>
    <mergeCell ref="A463:G463"/>
    <mergeCell ref="B414:C414"/>
    <mergeCell ref="B415:C415"/>
    <mergeCell ref="A416:G416"/>
    <mergeCell ref="A417:G417"/>
    <mergeCell ref="A418:G418"/>
    <mergeCell ref="B420:J420"/>
    <mergeCell ref="B407:J407"/>
    <mergeCell ref="L407:M407"/>
    <mergeCell ref="A408:C409"/>
    <mergeCell ref="H408:H409"/>
    <mergeCell ref="I408:N418"/>
    <mergeCell ref="A410:A415"/>
    <mergeCell ref="B410:C410"/>
    <mergeCell ref="B411:C411"/>
    <mergeCell ref="B412:C412"/>
    <mergeCell ref="B413:C413"/>
    <mergeCell ref="A515:B516"/>
    <mergeCell ref="H515:H516"/>
    <mergeCell ref="I515:N522"/>
    <mergeCell ref="A517:A519"/>
    <mergeCell ref="B517:C517"/>
    <mergeCell ref="A520:G520"/>
    <mergeCell ref="A521:G521"/>
    <mergeCell ref="A522:G522"/>
    <mergeCell ref="B488:C488"/>
    <mergeCell ref="A510:G510"/>
    <mergeCell ref="A511:G511"/>
    <mergeCell ref="A512:G512"/>
    <mergeCell ref="A513:N513"/>
    <mergeCell ref="B514:J514"/>
    <mergeCell ref="L514:M514"/>
    <mergeCell ref="A464:G464"/>
    <mergeCell ref="A465:G465"/>
    <mergeCell ref="A466:N466"/>
    <mergeCell ref="B467:J467"/>
    <mergeCell ref="L467:M467"/>
    <mergeCell ref="A468:B469"/>
    <mergeCell ref="H468:H469"/>
    <mergeCell ref="I468:N512"/>
    <mergeCell ref="A470:A509"/>
    <mergeCell ref="B470:C470"/>
    <mergeCell ref="A532:G532"/>
    <mergeCell ref="A533:N533"/>
    <mergeCell ref="B534:J534"/>
    <mergeCell ref="L534:M534"/>
    <mergeCell ref="A535:B536"/>
    <mergeCell ref="H535:H536"/>
    <mergeCell ref="I535:N542"/>
    <mergeCell ref="A537:A539"/>
    <mergeCell ref="A540:G540"/>
    <mergeCell ref="A541:G541"/>
    <mergeCell ref="A523:N523"/>
    <mergeCell ref="B524:J524"/>
    <mergeCell ref="L524:M524"/>
    <mergeCell ref="A525:B526"/>
    <mergeCell ref="H525:H526"/>
    <mergeCell ref="I525:N532"/>
    <mergeCell ref="A527:A529"/>
    <mergeCell ref="B527:C527"/>
    <mergeCell ref="A530:G530"/>
    <mergeCell ref="A531:G531"/>
    <mergeCell ref="A559:G559"/>
    <mergeCell ref="A560:N560"/>
    <mergeCell ref="B561:J561"/>
    <mergeCell ref="L561:M561"/>
    <mergeCell ref="A562:B563"/>
    <mergeCell ref="H562:H563"/>
    <mergeCell ref="I562:N570"/>
    <mergeCell ref="A564:A567"/>
    <mergeCell ref="A568:G568"/>
    <mergeCell ref="A569:G569"/>
    <mergeCell ref="A542:G542"/>
    <mergeCell ref="A543:N543"/>
    <mergeCell ref="B544:J544"/>
    <mergeCell ref="L544:M544"/>
    <mergeCell ref="A545:B546"/>
    <mergeCell ref="H545:H546"/>
    <mergeCell ref="I545:N559"/>
    <mergeCell ref="A547:A556"/>
    <mergeCell ref="A557:G557"/>
    <mergeCell ref="A558:G558"/>
    <mergeCell ref="A649:G649"/>
    <mergeCell ref="A650:G650"/>
    <mergeCell ref="A651:G651"/>
    <mergeCell ref="A653:N653"/>
    <mergeCell ref="B654:J654"/>
    <mergeCell ref="L654:M654"/>
    <mergeCell ref="A608:G608"/>
    <mergeCell ref="B609:J609"/>
    <mergeCell ref="L609:M609"/>
    <mergeCell ref="A610:B611"/>
    <mergeCell ref="H610:H611"/>
    <mergeCell ref="I610:N651"/>
    <mergeCell ref="A612:A623"/>
    <mergeCell ref="A624:A632"/>
    <mergeCell ref="A633:A643"/>
    <mergeCell ref="A644:A648"/>
    <mergeCell ref="A570:G570"/>
    <mergeCell ref="A571:N571"/>
    <mergeCell ref="B572:J572"/>
    <mergeCell ref="L572:M572"/>
    <mergeCell ref="A573:B574"/>
    <mergeCell ref="H573:H574"/>
    <mergeCell ref="I573:N608"/>
    <mergeCell ref="A575:A605"/>
    <mergeCell ref="A606:G606"/>
    <mergeCell ref="A607:G607"/>
    <mergeCell ref="A685:N685"/>
    <mergeCell ref="B686:J686"/>
    <mergeCell ref="L686:M686"/>
    <mergeCell ref="A687:B688"/>
    <mergeCell ref="H687:H688"/>
    <mergeCell ref="I687:N696"/>
    <mergeCell ref="A689:A693"/>
    <mergeCell ref="A694:G694"/>
    <mergeCell ref="A695:G695"/>
    <mergeCell ref="A696:G696"/>
    <mergeCell ref="A655:B656"/>
    <mergeCell ref="H655:H656"/>
    <mergeCell ref="I655:N684"/>
    <mergeCell ref="A657:A678"/>
    <mergeCell ref="A679:A680"/>
    <mergeCell ref="A682:G682"/>
    <mergeCell ref="A683:G683"/>
    <mergeCell ref="A684:G684"/>
    <mergeCell ref="A709:N709"/>
    <mergeCell ref="B710:J710"/>
    <mergeCell ref="L710:M710"/>
    <mergeCell ref="A711:B712"/>
    <mergeCell ref="H711:H712"/>
    <mergeCell ref="I711:N719"/>
    <mergeCell ref="A713:A716"/>
    <mergeCell ref="A717:G717"/>
    <mergeCell ref="A718:G718"/>
    <mergeCell ref="A719:G719"/>
    <mergeCell ref="A697:N697"/>
    <mergeCell ref="B698:J698"/>
    <mergeCell ref="L698:M698"/>
    <mergeCell ref="A699:B700"/>
    <mergeCell ref="H699:H700"/>
    <mergeCell ref="I699:N708"/>
    <mergeCell ref="A701:A705"/>
    <mergeCell ref="A706:G706"/>
    <mergeCell ref="A707:G707"/>
    <mergeCell ref="A708:G708"/>
    <mergeCell ref="A743:N743"/>
    <mergeCell ref="B744:J744"/>
    <mergeCell ref="L744:M744"/>
    <mergeCell ref="A745:B746"/>
    <mergeCell ref="H745:H746"/>
    <mergeCell ref="I745:N759"/>
    <mergeCell ref="A747:A750"/>
    <mergeCell ref="A752:A755"/>
    <mergeCell ref="A757:G757"/>
    <mergeCell ref="A758:G758"/>
    <mergeCell ref="A720:N720"/>
    <mergeCell ref="B721:J721"/>
    <mergeCell ref="L721:M721"/>
    <mergeCell ref="A722:B723"/>
    <mergeCell ref="H722:H723"/>
    <mergeCell ref="I722:N742"/>
    <mergeCell ref="A740:G740"/>
    <mergeCell ref="A741:G741"/>
    <mergeCell ref="A742:G742"/>
    <mergeCell ref="B733:B734"/>
    <mergeCell ref="A725:A739"/>
    <mergeCell ref="A780:B781"/>
    <mergeCell ref="H780:H781"/>
    <mergeCell ref="I780:N791"/>
    <mergeCell ref="B788:G788"/>
    <mergeCell ref="A789:G789"/>
    <mergeCell ref="A790:G790"/>
    <mergeCell ref="A791:G791"/>
    <mergeCell ref="A775:G775"/>
    <mergeCell ref="A776:G776"/>
    <mergeCell ref="A777:G777"/>
    <mergeCell ref="A778:N778"/>
    <mergeCell ref="B779:J779"/>
    <mergeCell ref="L779:M779"/>
    <mergeCell ref="A759:G759"/>
    <mergeCell ref="A760:N760"/>
    <mergeCell ref="B761:J761"/>
    <mergeCell ref="L761:M761"/>
    <mergeCell ref="A762:B763"/>
    <mergeCell ref="H762:H763"/>
    <mergeCell ref="I762:N777"/>
    <mergeCell ref="A764:A765"/>
    <mergeCell ref="A767:A769"/>
    <mergeCell ref="A771:A773"/>
    <mergeCell ref="A839:B840"/>
    <mergeCell ref="H839:H840"/>
    <mergeCell ref="I839:N847"/>
    <mergeCell ref="A841:A844"/>
    <mergeCell ref="A845:G845"/>
    <mergeCell ref="A846:G846"/>
    <mergeCell ref="A847:G847"/>
    <mergeCell ref="A834:G834"/>
    <mergeCell ref="A835:G835"/>
    <mergeCell ref="A836:G836"/>
    <mergeCell ref="A837:N837"/>
    <mergeCell ref="B838:J838"/>
    <mergeCell ref="L838:M838"/>
    <mergeCell ref="A792:N792"/>
    <mergeCell ref="B793:J793"/>
    <mergeCell ref="L793:M793"/>
    <mergeCell ref="A794:B795"/>
    <mergeCell ref="H794:H795"/>
    <mergeCell ref="I794:N836"/>
    <mergeCell ref="A796:A807"/>
    <mergeCell ref="A808:A813"/>
    <mergeCell ref="A814:A816"/>
    <mergeCell ref="B826:B827"/>
    <mergeCell ref="A818:A833"/>
    <mergeCell ref="A859:N859"/>
    <mergeCell ref="B861:J861"/>
    <mergeCell ref="L861:M861"/>
    <mergeCell ref="A862:B863"/>
    <mergeCell ref="H862:H863"/>
    <mergeCell ref="I862:N870"/>
    <mergeCell ref="A864:A867"/>
    <mergeCell ref="A868:G868"/>
    <mergeCell ref="A869:G869"/>
    <mergeCell ref="A870:G870"/>
    <mergeCell ref="A848:N848"/>
    <mergeCell ref="B849:J849"/>
    <mergeCell ref="L849:M849"/>
    <mergeCell ref="A850:B851"/>
    <mergeCell ref="H850:H851"/>
    <mergeCell ref="I850:N858"/>
    <mergeCell ref="A856:G856"/>
    <mergeCell ref="A857:G857"/>
    <mergeCell ref="A858:G858"/>
    <mergeCell ref="A891:G891"/>
    <mergeCell ref="A892:G892"/>
    <mergeCell ref="A893:N893"/>
    <mergeCell ref="B894:J894"/>
    <mergeCell ref="L894:M894"/>
    <mergeCell ref="A895:B896"/>
    <mergeCell ref="H895:H896"/>
    <mergeCell ref="I895:N919"/>
    <mergeCell ref="A871:N871"/>
    <mergeCell ref="B873:J873"/>
    <mergeCell ref="L873:M873"/>
    <mergeCell ref="A874:B875"/>
    <mergeCell ref="H874:H875"/>
    <mergeCell ref="I874:N892"/>
    <mergeCell ref="A876:A879"/>
    <mergeCell ref="A880:A884"/>
    <mergeCell ref="A885:A889"/>
    <mergeCell ref="A890:G890"/>
    <mergeCell ref="A918:G918"/>
    <mergeCell ref="A919:G919"/>
    <mergeCell ref="A910:A914"/>
    <mergeCell ref="A920:N920"/>
    <mergeCell ref="B921:J921"/>
    <mergeCell ref="L921:M921"/>
    <mergeCell ref="A922:B923"/>
    <mergeCell ref="H922:H923"/>
    <mergeCell ref="I922:N944"/>
    <mergeCell ref="A917:G917"/>
    <mergeCell ref="A943:G943"/>
    <mergeCell ref="A944:G944"/>
    <mergeCell ref="A945:N945"/>
    <mergeCell ref="B946:J946"/>
    <mergeCell ref="L946:M946"/>
    <mergeCell ref="A947:B948"/>
    <mergeCell ref="H947:H948"/>
    <mergeCell ref="I947:N969"/>
    <mergeCell ref="A942:G942"/>
    <mergeCell ref="A968:G968"/>
    <mergeCell ref="A969:G969"/>
    <mergeCell ref="A937:A941"/>
    <mergeCell ref="A962:A966"/>
    <mergeCell ref="A970:N970"/>
    <mergeCell ref="B971:J971"/>
    <mergeCell ref="L971:M971"/>
    <mergeCell ref="A972:B973"/>
    <mergeCell ref="H972:H973"/>
    <mergeCell ref="I972:N994"/>
    <mergeCell ref="A967:G967"/>
    <mergeCell ref="A993:G993"/>
    <mergeCell ref="A994:G994"/>
    <mergeCell ref="A995:N995"/>
    <mergeCell ref="B996:J996"/>
    <mergeCell ref="L996:M996"/>
    <mergeCell ref="A997:B998"/>
    <mergeCell ref="H997:H998"/>
    <mergeCell ref="I997:N1005"/>
    <mergeCell ref="A1003:G1003"/>
    <mergeCell ref="A992:G992"/>
    <mergeCell ref="A987:A991"/>
    <mergeCell ref="A1015:G1015"/>
    <mergeCell ref="A1016:G1016"/>
    <mergeCell ref="A1017:N1017"/>
    <mergeCell ref="B1018:J1018"/>
    <mergeCell ref="L1018:M1018"/>
    <mergeCell ref="A1019:B1020"/>
    <mergeCell ref="H1019:H1020"/>
    <mergeCell ref="I1019:N1027"/>
    <mergeCell ref="A1021:A1024"/>
    <mergeCell ref="A1025:G1025"/>
    <mergeCell ref="A1004:G1004"/>
    <mergeCell ref="A1005:G1005"/>
    <mergeCell ref="A1006:N1006"/>
    <mergeCell ref="B1007:J1007"/>
    <mergeCell ref="L1007:M1007"/>
    <mergeCell ref="A1008:B1009"/>
    <mergeCell ref="H1008:H1009"/>
    <mergeCell ref="I1008:N1016"/>
    <mergeCell ref="A1010:A1013"/>
    <mergeCell ref="A1014:G1014"/>
    <mergeCell ref="A1037:G1037"/>
    <mergeCell ref="A1038:G1038"/>
    <mergeCell ref="A1039:N1039"/>
    <mergeCell ref="B1040:J1040"/>
    <mergeCell ref="L1040:M1040"/>
    <mergeCell ref="A1041:B1042"/>
    <mergeCell ref="H1041:H1042"/>
    <mergeCell ref="I1041:N1049"/>
    <mergeCell ref="A1043:A1046"/>
    <mergeCell ref="A1047:G1047"/>
    <mergeCell ref="A1026:G1026"/>
    <mergeCell ref="A1027:G1027"/>
    <mergeCell ref="A1028:N1028"/>
    <mergeCell ref="B1029:J1029"/>
    <mergeCell ref="L1029:M1029"/>
    <mergeCell ref="A1030:B1031"/>
    <mergeCell ref="H1030:H1031"/>
    <mergeCell ref="I1030:N1038"/>
    <mergeCell ref="A1032:A1035"/>
    <mergeCell ref="A1036:G1036"/>
    <mergeCell ref="A1057:G1057"/>
    <mergeCell ref="B1059:J1059"/>
    <mergeCell ref="L1059:M1059"/>
    <mergeCell ref="A1060:B1061"/>
    <mergeCell ref="H1060:H1061"/>
    <mergeCell ref="I1060:N1066"/>
    <mergeCell ref="A1062:A1063"/>
    <mergeCell ref="A1064:G1064"/>
    <mergeCell ref="A1065:G1065"/>
    <mergeCell ref="A1066:G1066"/>
    <mergeCell ref="A1048:G1048"/>
    <mergeCell ref="A1049:G1049"/>
    <mergeCell ref="B1050:J1050"/>
    <mergeCell ref="L1050:M1050"/>
    <mergeCell ref="A1051:B1052"/>
    <mergeCell ref="H1051:H1052"/>
    <mergeCell ref="I1051:N1057"/>
    <mergeCell ref="A1053:A1054"/>
    <mergeCell ref="A1055:G1055"/>
    <mergeCell ref="A1056:G1056"/>
    <mergeCell ref="A1090:A1091"/>
    <mergeCell ref="A1092:A1093"/>
    <mergeCell ref="A1094:A1095"/>
    <mergeCell ref="A1107:G1107"/>
    <mergeCell ref="A1108:G1108"/>
    <mergeCell ref="A1078:N1078"/>
    <mergeCell ref="B1079:J1079"/>
    <mergeCell ref="L1079:M1079"/>
    <mergeCell ref="A1080:B1081"/>
    <mergeCell ref="H1080:H1081"/>
    <mergeCell ref="I1080:N1109"/>
    <mergeCell ref="A1082:A1083"/>
    <mergeCell ref="A1084:A1085"/>
    <mergeCell ref="A1086:A1087"/>
    <mergeCell ref="A1088:A1089"/>
    <mergeCell ref="B1068:J1068"/>
    <mergeCell ref="L1068:M1068"/>
    <mergeCell ref="A1069:B1070"/>
    <mergeCell ref="H1069:H1070"/>
    <mergeCell ref="I1069:N1077"/>
    <mergeCell ref="A1071:A1074"/>
    <mergeCell ref="A1075:G1075"/>
    <mergeCell ref="A1076:G1076"/>
    <mergeCell ref="A1077:G1077"/>
    <mergeCell ref="A1098:A1102"/>
    <mergeCell ref="A1135:N1135"/>
    <mergeCell ref="B1136:J1136"/>
    <mergeCell ref="L1136:M1136"/>
    <mergeCell ref="A1137:B1138"/>
    <mergeCell ref="H1137:H1138"/>
    <mergeCell ref="I1137:N1159"/>
    <mergeCell ref="A1139:A1140"/>
    <mergeCell ref="A1157:G1157"/>
    <mergeCell ref="A1158:G1158"/>
    <mergeCell ref="A1159:G1159"/>
    <mergeCell ref="A1120:A1121"/>
    <mergeCell ref="A1122:A1123"/>
    <mergeCell ref="A1124:A1125"/>
    <mergeCell ref="A1132:G1132"/>
    <mergeCell ref="A1133:G1133"/>
    <mergeCell ref="A1134:G1134"/>
    <mergeCell ref="A1109:G1109"/>
    <mergeCell ref="A1110:N1110"/>
    <mergeCell ref="B1111:J1111"/>
    <mergeCell ref="L1111:M1111"/>
    <mergeCell ref="A1112:B1113"/>
    <mergeCell ref="H1112:H1113"/>
    <mergeCell ref="I1112:N1134"/>
    <mergeCell ref="A1114:A1115"/>
    <mergeCell ref="A1116:A1117"/>
    <mergeCell ref="A1118:A1119"/>
    <mergeCell ref="A1126:A1127"/>
    <mergeCell ref="A1128:A1129"/>
    <mergeCell ref="A1141:A1142"/>
    <mergeCell ref="A1130:A1131"/>
    <mergeCell ref="A1143:A1144"/>
    <mergeCell ref="A1145:A1146"/>
    <mergeCell ref="B1161:J1161"/>
    <mergeCell ref="L1161:M1161"/>
    <mergeCell ref="A1162:B1163"/>
    <mergeCell ref="H1162:H1163"/>
    <mergeCell ref="I1162:N1170"/>
    <mergeCell ref="A1164:A1167"/>
    <mergeCell ref="A1168:G1168"/>
    <mergeCell ref="A1169:G1169"/>
    <mergeCell ref="A1170:G1170"/>
    <mergeCell ref="A1297:A1301"/>
    <mergeCell ref="A1309:G1309"/>
    <mergeCell ref="A1310:G1310"/>
    <mergeCell ref="A1311:G1311"/>
    <mergeCell ref="A1313:N1313"/>
    <mergeCell ref="A1242:G1242"/>
    <mergeCell ref="A1243:G1243"/>
    <mergeCell ref="A1244:G1244"/>
    <mergeCell ref="B1246:J1246"/>
    <mergeCell ref="L1246:M1246"/>
    <mergeCell ref="A1247:B1248"/>
    <mergeCell ref="H1247:H1248"/>
    <mergeCell ref="I1247:N1311"/>
    <mergeCell ref="A1249:A1293"/>
    <mergeCell ref="A1294:A1296"/>
    <mergeCell ref="A1182:N1182"/>
    <mergeCell ref="B1183:J1183"/>
    <mergeCell ref="L1183:M1183"/>
    <mergeCell ref="A1184:B1185"/>
    <mergeCell ref="H1184:H1185"/>
    <mergeCell ref="A1175:A1178"/>
    <mergeCell ref="A1371:G1371"/>
    <mergeCell ref="A1372:N1372"/>
    <mergeCell ref="B1373:J1373"/>
    <mergeCell ref="L1373:M1373"/>
    <mergeCell ref="B1314:J1314"/>
    <mergeCell ref="L1314:M1314"/>
    <mergeCell ref="A1315:B1316"/>
    <mergeCell ref="H1315:H1316"/>
    <mergeCell ref="I1315:N1371"/>
    <mergeCell ref="A1317:A1329"/>
    <mergeCell ref="A1330:A1355"/>
    <mergeCell ref="A1356:A1358"/>
    <mergeCell ref="A1359:A1361"/>
    <mergeCell ref="A1362:A1364"/>
    <mergeCell ref="A1179:G1179"/>
    <mergeCell ref="A1180:G1180"/>
    <mergeCell ref="A1181:G1181"/>
    <mergeCell ref="A1424:A1425"/>
    <mergeCell ref="A1426:A1429"/>
    <mergeCell ref="A1430:A1431"/>
    <mergeCell ref="A1432:G1432"/>
    <mergeCell ref="A1433:G1433"/>
    <mergeCell ref="A1434:G1434"/>
    <mergeCell ref="A1408:G1408"/>
    <mergeCell ref="A1409:N1409"/>
    <mergeCell ref="B1410:J1410"/>
    <mergeCell ref="L1410:M1410"/>
    <mergeCell ref="A1411:B1412"/>
    <mergeCell ref="H1411:H1412"/>
    <mergeCell ref="I1411:N1434"/>
    <mergeCell ref="A1413:A1418"/>
    <mergeCell ref="A1419:A1421"/>
    <mergeCell ref="A1422:A1423"/>
    <mergeCell ref="I1184:N1244"/>
    <mergeCell ref="A1186:A1192"/>
    <mergeCell ref="A1193:A1225"/>
    <mergeCell ref="A1226:A1228"/>
    <mergeCell ref="A1229:A1231"/>
    <mergeCell ref="A1374:B1375"/>
    <mergeCell ref="H1374:H1375"/>
    <mergeCell ref="I1374:N1408"/>
    <mergeCell ref="A1376:A1382"/>
    <mergeCell ref="A1383:A1387"/>
    <mergeCell ref="A1388:A1393"/>
    <mergeCell ref="A1394:A1396"/>
    <mergeCell ref="A1406:G1406"/>
    <mergeCell ref="A1407:G1407"/>
    <mergeCell ref="A1369:G1369"/>
    <mergeCell ref="A1370:G1370"/>
    <mergeCell ref="A1502:A1503"/>
    <mergeCell ref="A1504:A1506"/>
    <mergeCell ref="A1512:G1512"/>
    <mergeCell ref="A1513:G1513"/>
    <mergeCell ref="A1514:G1514"/>
    <mergeCell ref="A1454:G1454"/>
    <mergeCell ref="A1455:G1455"/>
    <mergeCell ref="A1456:N1456"/>
    <mergeCell ref="B1457:J1457"/>
    <mergeCell ref="L1457:M1457"/>
    <mergeCell ref="A1458:B1459"/>
    <mergeCell ref="H1458:H1459"/>
    <mergeCell ref="I1458:N1514"/>
    <mergeCell ref="A1460:A1477"/>
    <mergeCell ref="A1478:A1501"/>
    <mergeCell ref="B1436:J1436"/>
    <mergeCell ref="L1436:M1436"/>
    <mergeCell ref="A1437:B1438"/>
    <mergeCell ref="H1437:H1438"/>
    <mergeCell ref="I1437:N1455"/>
    <mergeCell ref="A1439:A1442"/>
    <mergeCell ref="A1443:A1445"/>
    <mergeCell ref="A1446:A1448"/>
    <mergeCell ref="A1453:G1453"/>
    <mergeCell ref="A1568:G1568"/>
    <mergeCell ref="A1569:N1569"/>
    <mergeCell ref="B1570:J1570"/>
    <mergeCell ref="L1570:M1570"/>
    <mergeCell ref="A1571:B1572"/>
    <mergeCell ref="H1571:H1572"/>
    <mergeCell ref="I1571:N1589"/>
    <mergeCell ref="A1587:G1587"/>
    <mergeCell ref="A1588:G1588"/>
    <mergeCell ref="B1516:J1516"/>
    <mergeCell ref="L1516:M1516"/>
    <mergeCell ref="A1517:B1518"/>
    <mergeCell ref="H1517:H1518"/>
    <mergeCell ref="I1517:N1568"/>
    <mergeCell ref="A1519:A1535"/>
    <mergeCell ref="A1536:A1562"/>
    <mergeCell ref="A1563:A1565"/>
    <mergeCell ref="A1566:G1566"/>
    <mergeCell ref="A1567:G1567"/>
    <mergeCell ref="A1712:G1712"/>
    <mergeCell ref="A1713:G1713"/>
    <mergeCell ref="A1714:G1714"/>
    <mergeCell ref="B1716:J1716"/>
    <mergeCell ref="L1716:M1716"/>
    <mergeCell ref="A1717:B1718"/>
    <mergeCell ref="H1717:H1718"/>
    <mergeCell ref="I1717:N1743"/>
    <mergeCell ref="A1719:A1725"/>
    <mergeCell ref="A1726:A1728"/>
    <mergeCell ref="A1621:A1650"/>
    <mergeCell ref="A1651:A1668"/>
    <mergeCell ref="A1669:A1676"/>
    <mergeCell ref="A1677:A1694"/>
    <mergeCell ref="A1695:A1697"/>
    <mergeCell ref="A1589:G1589"/>
    <mergeCell ref="B1591:N1591"/>
    <mergeCell ref="B1592:J1592"/>
    <mergeCell ref="L1592:M1592"/>
    <mergeCell ref="A1593:B1594"/>
    <mergeCell ref="H1593:H1594"/>
    <mergeCell ref="I1593:N1714"/>
    <mergeCell ref="A1595:A1600"/>
    <mergeCell ref="A1601:A1606"/>
    <mergeCell ref="A1607:A1620"/>
    <mergeCell ref="A1913:G1913"/>
    <mergeCell ref="A1832:G1832"/>
    <mergeCell ref="A1833:N1833"/>
    <mergeCell ref="L1834:M1834"/>
    <mergeCell ref="A1895:A1908"/>
    <mergeCell ref="A1909:A1911"/>
    <mergeCell ref="A1746:B1747"/>
    <mergeCell ref="H1746:H1747"/>
    <mergeCell ref="I1746:N1788"/>
    <mergeCell ref="A1748:A1750"/>
    <mergeCell ref="A1751:A1754"/>
    <mergeCell ref="A1755:A1757"/>
    <mergeCell ref="A1758:A1761"/>
    <mergeCell ref="A1762:A1765"/>
    <mergeCell ref="A1766:A1781"/>
    <mergeCell ref="A1782:A1785"/>
    <mergeCell ref="A1741:G1741"/>
    <mergeCell ref="A1742:G1742"/>
    <mergeCell ref="A1743:G1743"/>
    <mergeCell ref="A1744:N1744"/>
    <mergeCell ref="B1745:J1745"/>
    <mergeCell ref="L1745:M1745"/>
    <mergeCell ref="A1791:B1792"/>
    <mergeCell ref="H1791:H1792"/>
    <mergeCell ref="I1791:N1832"/>
    <mergeCell ref="A1793:A1796"/>
    <mergeCell ref="A1797:A1801"/>
    <mergeCell ref="A1802:A1805"/>
    <mergeCell ref="A1806:A1822"/>
    <mergeCell ref="A1830:G1830"/>
    <mergeCell ref="A1831:G1831"/>
    <mergeCell ref="A1786:G1786"/>
    <mergeCell ref="A1787:G1787"/>
    <mergeCell ref="A1788:G1788"/>
    <mergeCell ref="A1789:N1789"/>
    <mergeCell ref="B1790:J1790"/>
    <mergeCell ref="L1790:M1790"/>
    <mergeCell ref="B1834:J1834"/>
    <mergeCell ref="A1912:G1912"/>
    <mergeCell ref="A1967:G1967"/>
    <mergeCell ref="A1968:G1968"/>
    <mergeCell ref="A1969:G1969"/>
    <mergeCell ref="A1970:N1970"/>
    <mergeCell ref="A1936:G1936"/>
    <mergeCell ref="A1937:N1937"/>
    <mergeCell ref="B1938:J1938"/>
    <mergeCell ref="L1938:M1938"/>
    <mergeCell ref="A1939:B1940"/>
    <mergeCell ref="H1939:H1940"/>
    <mergeCell ref="I1939:N1969"/>
    <mergeCell ref="A1941:A1944"/>
    <mergeCell ref="A1945:A1955"/>
    <mergeCell ref="A1956:A1957"/>
    <mergeCell ref="A1925:G1925"/>
    <mergeCell ref="B1927:N1927"/>
    <mergeCell ref="B1928:J1928"/>
    <mergeCell ref="L1928:M1928"/>
    <mergeCell ref="A1929:B1930"/>
    <mergeCell ref="H1929:H1930"/>
    <mergeCell ref="I1929:N1936"/>
    <mergeCell ref="A1931:A1932"/>
    <mergeCell ref="A1934:G1934"/>
    <mergeCell ref="A1935:G1935"/>
    <mergeCell ref="A1964:A1965"/>
    <mergeCell ref="I1917:N1925"/>
    <mergeCell ref="A1920:A1922"/>
    <mergeCell ref="A1923:G1923"/>
    <mergeCell ref="A1924:G1924"/>
    <mergeCell ref="A1994:G1994"/>
    <mergeCell ref="A1995:G1995"/>
    <mergeCell ref="B1997:J1997"/>
    <mergeCell ref="L1997:M1997"/>
    <mergeCell ref="A1998:B1999"/>
    <mergeCell ref="H1998:H1999"/>
    <mergeCell ref="I1998:N2006"/>
    <mergeCell ref="A2000:A2003"/>
    <mergeCell ref="A2004:G2004"/>
    <mergeCell ref="A2005:G2005"/>
    <mergeCell ref="B1971:J1971"/>
    <mergeCell ref="L1971:M1971"/>
    <mergeCell ref="A1972:B1973"/>
    <mergeCell ref="H1972:H1973"/>
    <mergeCell ref="I1972:N1995"/>
    <mergeCell ref="A1974:A1979"/>
    <mergeCell ref="A1980:A1984"/>
    <mergeCell ref="A1985:A1989"/>
    <mergeCell ref="A1990:A1992"/>
    <mergeCell ref="A1993:G1993"/>
    <mergeCell ref="B2017:J2017"/>
    <mergeCell ref="L2017:M2017"/>
    <mergeCell ref="A2018:B2019"/>
    <mergeCell ref="H2018:H2019"/>
    <mergeCell ref="I2018:N2025"/>
    <mergeCell ref="A2020:A2022"/>
    <mergeCell ref="A2023:G2023"/>
    <mergeCell ref="A2024:G2024"/>
    <mergeCell ref="A2025:G2025"/>
    <mergeCell ref="A2006:G2006"/>
    <mergeCell ref="B2007:J2007"/>
    <mergeCell ref="L2007:M2007"/>
    <mergeCell ref="A2008:B2009"/>
    <mergeCell ref="H2008:H2009"/>
    <mergeCell ref="I2008:N2016"/>
    <mergeCell ref="A2010:A2013"/>
    <mergeCell ref="A2014:G2014"/>
    <mergeCell ref="A2015:G2015"/>
    <mergeCell ref="A2016:G2016"/>
    <mergeCell ref="B2037:N2037"/>
    <mergeCell ref="B2038:J2038"/>
    <mergeCell ref="L2038:M2038"/>
    <mergeCell ref="A2039:B2040"/>
    <mergeCell ref="H2039:H2040"/>
    <mergeCell ref="I2039:N2050"/>
    <mergeCell ref="A2041:A2043"/>
    <mergeCell ref="A2044:A2045"/>
    <mergeCell ref="B2044:B2045"/>
    <mergeCell ref="C2044:C2045"/>
    <mergeCell ref="B2027:J2027"/>
    <mergeCell ref="L2027:M2027"/>
    <mergeCell ref="A2028:B2029"/>
    <mergeCell ref="H2028:H2029"/>
    <mergeCell ref="I2028:N2035"/>
    <mergeCell ref="A2030:A2032"/>
    <mergeCell ref="A2033:G2033"/>
    <mergeCell ref="A2034:G2034"/>
    <mergeCell ref="A2035:G2035"/>
    <mergeCell ref="F2046:F2047"/>
    <mergeCell ref="G2046:G2047"/>
    <mergeCell ref="H2046:H2047"/>
    <mergeCell ref="A2048:G2048"/>
    <mergeCell ref="A2049:G2049"/>
    <mergeCell ref="A2050:G2050"/>
    <mergeCell ref="D2044:D2045"/>
    <mergeCell ref="E2044:E2045"/>
    <mergeCell ref="F2044:F2045"/>
    <mergeCell ref="G2044:G2045"/>
    <mergeCell ref="H2044:H2045"/>
    <mergeCell ref="A2046:A2047"/>
    <mergeCell ref="B2046:B2047"/>
    <mergeCell ref="C2046:C2047"/>
    <mergeCell ref="D2046:D2047"/>
    <mergeCell ref="E2046:E2047"/>
    <mergeCell ref="G2060:G2061"/>
    <mergeCell ref="H2060:H2061"/>
    <mergeCell ref="E2058:E2059"/>
    <mergeCell ref="F2058:F2059"/>
    <mergeCell ref="G2058:G2059"/>
    <mergeCell ref="H2058:H2059"/>
    <mergeCell ref="A2060:A2061"/>
    <mergeCell ref="B2060:B2061"/>
    <mergeCell ref="C2060:C2061"/>
    <mergeCell ref="D2060:D2061"/>
    <mergeCell ref="E2060:E2061"/>
    <mergeCell ref="F2060:F2061"/>
    <mergeCell ref="B2052:J2052"/>
    <mergeCell ref="H2074:H2075"/>
    <mergeCell ref="A2072:A2073"/>
    <mergeCell ref="B2072:B2073"/>
    <mergeCell ref="C2072:C2073"/>
    <mergeCell ref="D2072:D2073"/>
    <mergeCell ref="E2072:E2073"/>
    <mergeCell ref="B2066:J2066"/>
    <mergeCell ref="A2076:G2076"/>
    <mergeCell ref="A2077:G2077"/>
    <mergeCell ref="A2078:G2078"/>
    <mergeCell ref="B2080:J2080"/>
    <mergeCell ref="L2052:M2052"/>
    <mergeCell ref="A2053:B2054"/>
    <mergeCell ref="H2053:H2054"/>
    <mergeCell ref="I2053:N2064"/>
    <mergeCell ref="A2055:A2057"/>
    <mergeCell ref="A2058:A2059"/>
    <mergeCell ref="B2058:B2059"/>
    <mergeCell ref="C2058:C2059"/>
    <mergeCell ref="D2058:D2059"/>
    <mergeCell ref="A2062:G2062"/>
    <mergeCell ref="A2063:G2063"/>
    <mergeCell ref="A2064:G2064"/>
    <mergeCell ref="L2080:M2080"/>
    <mergeCell ref="F2072:F2073"/>
    <mergeCell ref="G2072:G2073"/>
    <mergeCell ref="H2072:H2073"/>
    <mergeCell ref="A2074:A2075"/>
    <mergeCell ref="B2074:B2075"/>
    <mergeCell ref="C2074:C2075"/>
    <mergeCell ref="D2074:D2075"/>
    <mergeCell ref="E2074:E2075"/>
    <mergeCell ref="F2074:F2075"/>
    <mergeCell ref="G2074:G2075"/>
    <mergeCell ref="L2066:M2066"/>
    <mergeCell ref="A2067:B2068"/>
    <mergeCell ref="H2067:H2068"/>
    <mergeCell ref="I2067:N2078"/>
    <mergeCell ref="A2069:A2071"/>
    <mergeCell ref="G2086:G2087"/>
    <mergeCell ref="H2086:H2087"/>
    <mergeCell ref="A2088:A2089"/>
    <mergeCell ref="B2088:B2089"/>
    <mergeCell ref="C2088:C2089"/>
    <mergeCell ref="D2088:D2089"/>
    <mergeCell ref="E2088:E2089"/>
    <mergeCell ref="F2088:F2089"/>
    <mergeCell ref="G2088:G2089"/>
    <mergeCell ref="H2088:H2089"/>
    <mergeCell ref="A2081:B2082"/>
    <mergeCell ref="H2081:H2082"/>
    <mergeCell ref="I2081:N2092"/>
    <mergeCell ref="A2083:A2085"/>
    <mergeCell ref="A2086:A2087"/>
    <mergeCell ref="B2086:B2087"/>
    <mergeCell ref="C2086:C2087"/>
    <mergeCell ref="D2086:D2087"/>
    <mergeCell ref="E2086:E2087"/>
    <mergeCell ref="F2086:F2087"/>
    <mergeCell ref="A2090:G2090"/>
    <mergeCell ref="A2091:G2091"/>
    <mergeCell ref="A2092:G2092"/>
    <mergeCell ref="B2109:J2109"/>
    <mergeCell ref="L2109:M2109"/>
    <mergeCell ref="A2110:B2111"/>
    <mergeCell ref="I2110:I2111"/>
    <mergeCell ref="J2110:N2177"/>
    <mergeCell ref="A2112:A2116"/>
    <mergeCell ref="A2117:A2118"/>
    <mergeCell ref="B2094:J2094"/>
    <mergeCell ref="L2094:M2094"/>
    <mergeCell ref="A2095:B2096"/>
    <mergeCell ref="H2095:H2096"/>
    <mergeCell ref="I2095:N2107"/>
    <mergeCell ref="A2097:A2098"/>
    <mergeCell ref="A2105:G2105"/>
    <mergeCell ref="A2106:G2106"/>
    <mergeCell ref="A2107:G2107"/>
    <mergeCell ref="A2178:N2178"/>
    <mergeCell ref="A2171:A2172"/>
    <mergeCell ref="A2099:A2100"/>
    <mergeCell ref="B2179:J2179"/>
    <mergeCell ref="L2179:M2179"/>
    <mergeCell ref="A2180:B2181"/>
    <mergeCell ref="H2180:H2181"/>
    <mergeCell ref="I2180:N2205"/>
    <mergeCell ref="A2182:A2183"/>
    <mergeCell ref="A2184:A2186"/>
    <mergeCell ref="A2187:A2190"/>
    <mergeCell ref="A2191:A2194"/>
    <mergeCell ref="A2196:A2201"/>
    <mergeCell ref="A2119:A2128"/>
    <mergeCell ref="A2129:A2157"/>
    <mergeCell ref="A2158:A2170"/>
    <mergeCell ref="A2175:H2175"/>
    <mergeCell ref="A2176:H2176"/>
    <mergeCell ref="A2177:H2177"/>
    <mergeCell ref="A2261:A2266"/>
    <mergeCell ref="A2267:A2273"/>
    <mergeCell ref="A2325:A2335"/>
    <mergeCell ref="A2337:A2338"/>
    <mergeCell ref="A2209:B2210"/>
    <mergeCell ref="H2209:H2210"/>
    <mergeCell ref="I2209:N2277"/>
    <mergeCell ref="A2211:A2218"/>
    <mergeCell ref="A2219:A2232"/>
    <mergeCell ref="B2224:B2225"/>
    <mergeCell ref="A2233:A2245"/>
    <mergeCell ref="B2239:B2242"/>
    <mergeCell ref="A2246:A2250"/>
    <mergeCell ref="A2251:A2260"/>
    <mergeCell ref="A2203:G2203"/>
    <mergeCell ref="A2204:G2204"/>
    <mergeCell ref="A2205:G2205"/>
    <mergeCell ref="B2207:N2207"/>
    <mergeCell ref="B2208:J2208"/>
    <mergeCell ref="L2208:M2208"/>
    <mergeCell ref="A2345:A2348"/>
    <mergeCell ref="I2345:N2355"/>
    <mergeCell ref="A2353:G2353"/>
    <mergeCell ref="A2354:G2354"/>
    <mergeCell ref="A2355:G2355"/>
    <mergeCell ref="B2357:J2357"/>
    <mergeCell ref="L2357:M2357"/>
    <mergeCell ref="A2281:A2310"/>
    <mergeCell ref="I2281:N2342"/>
    <mergeCell ref="A2340:G2340"/>
    <mergeCell ref="A2341:G2341"/>
    <mergeCell ref="A2342:G2342"/>
    <mergeCell ref="B2344:J2344"/>
    <mergeCell ref="L2344:M2344"/>
    <mergeCell ref="A2275:G2275"/>
    <mergeCell ref="A2276:G2276"/>
    <mergeCell ref="A2277:G2277"/>
    <mergeCell ref="B2279:N2279"/>
    <mergeCell ref="B2280:J2280"/>
    <mergeCell ref="L2280:M2280"/>
    <mergeCell ref="A2311:A2324"/>
    <mergeCell ref="A2349:A2352"/>
    <mergeCell ref="A2366:B2367"/>
    <mergeCell ref="H2366:H2367"/>
    <mergeCell ref="I2366:N2405"/>
    <mergeCell ref="A2368:A2374"/>
    <mergeCell ref="A2375:A2378"/>
    <mergeCell ref="A2379:A2388"/>
    <mergeCell ref="A2389:A2391"/>
    <mergeCell ref="A2392:A2393"/>
    <mergeCell ref="A2394:A2396"/>
    <mergeCell ref="A2397:A2399"/>
    <mergeCell ref="A2358:A2360"/>
    <mergeCell ref="I2358:N2363"/>
    <mergeCell ref="A2361:G2361"/>
    <mergeCell ref="A2362:G2362"/>
    <mergeCell ref="A2363:G2363"/>
    <mergeCell ref="B2365:J2365"/>
    <mergeCell ref="L2365:M2365"/>
    <mergeCell ref="A2408:B2409"/>
    <mergeCell ref="H2408:H2409"/>
    <mergeCell ref="I2408:N2465"/>
    <mergeCell ref="A2410:A2422"/>
    <mergeCell ref="A2423:A2425"/>
    <mergeCell ref="A2426:A2429"/>
    <mergeCell ref="A2430:A2459"/>
    <mergeCell ref="A2460:A2462"/>
    <mergeCell ref="A2463:G2463"/>
    <mergeCell ref="A2464:G2464"/>
    <mergeCell ref="A2400:A2402"/>
    <mergeCell ref="A2403:G2403"/>
    <mergeCell ref="A2404:G2404"/>
    <mergeCell ref="A2405:G2405"/>
    <mergeCell ref="A2406:N2406"/>
    <mergeCell ref="B2407:J2407"/>
    <mergeCell ref="L2407:M2407"/>
    <mergeCell ref="A2479:G2479"/>
    <mergeCell ref="B2481:J2481"/>
    <mergeCell ref="L2481:M2481"/>
    <mergeCell ref="A2482:A2493"/>
    <mergeCell ref="G2482:G2483"/>
    <mergeCell ref="H2482:H2483"/>
    <mergeCell ref="I2489:N2497"/>
    <mergeCell ref="A2495:G2495"/>
    <mergeCell ref="A2496:G2496"/>
    <mergeCell ref="A2497:G2497"/>
    <mergeCell ref="A2465:G2465"/>
    <mergeCell ref="B2467:N2467"/>
    <mergeCell ref="B2468:J2468"/>
    <mergeCell ref="L2468:M2468"/>
    <mergeCell ref="A2469:A2476"/>
    <mergeCell ref="G2469:G2470"/>
    <mergeCell ref="H2469:H2470"/>
    <mergeCell ref="I2469:N2479"/>
    <mergeCell ref="A2477:G2477"/>
    <mergeCell ref="A2478:G2478"/>
    <mergeCell ref="B2515:J2515"/>
    <mergeCell ref="L2515:M2515"/>
    <mergeCell ref="A2553:G2553"/>
    <mergeCell ref="A2554:G2554"/>
    <mergeCell ref="A2555:G2555"/>
    <mergeCell ref="B2507:J2507"/>
    <mergeCell ref="L2507:M2507"/>
    <mergeCell ref="I2508:N2513"/>
    <mergeCell ref="A2511:G2511"/>
    <mergeCell ref="A2512:G2512"/>
    <mergeCell ref="A2513:G2513"/>
    <mergeCell ref="B2499:J2499"/>
    <mergeCell ref="L2499:M2499"/>
    <mergeCell ref="A2500:A2502"/>
    <mergeCell ref="I2500:N2505"/>
    <mergeCell ref="A2503:G2503"/>
    <mergeCell ref="A2504:G2504"/>
    <mergeCell ref="A2505:G2505"/>
    <mergeCell ref="I2516:N2555"/>
    <mergeCell ref="A2516:A2523"/>
    <mergeCell ref="A2524:A2536"/>
    <mergeCell ref="A2537:A2552"/>
    <mergeCell ref="A2508:A2510"/>
    <mergeCell ref="B2813:N2813"/>
    <mergeCell ref="B2814:J2814"/>
    <mergeCell ref="L2814:M2814"/>
    <mergeCell ref="A2815:A2821"/>
    <mergeCell ref="I2815:N2830"/>
    <mergeCell ref="A2828:G2828"/>
    <mergeCell ref="A2829:G2829"/>
    <mergeCell ref="A2830:G2830"/>
    <mergeCell ref="B2748:N2748"/>
    <mergeCell ref="B2778:N2778"/>
    <mergeCell ref="B2779:J2779"/>
    <mergeCell ref="L2779:M2779"/>
    <mergeCell ref="A2780:A2790"/>
    <mergeCell ref="I2780:N2811"/>
    <mergeCell ref="A2791:A2798"/>
    <mergeCell ref="A2809:G2809"/>
    <mergeCell ref="A2810:G2810"/>
    <mergeCell ref="A2811:G2811"/>
    <mergeCell ref="A2751:B2752"/>
    <mergeCell ref="H2751:H2752"/>
    <mergeCell ref="I2751:N2776"/>
    <mergeCell ref="A2753:A2756"/>
    <mergeCell ref="A2776:G2776"/>
    <mergeCell ref="B2749:N2749"/>
    <mergeCell ref="A2774:G2774"/>
    <mergeCell ref="A2775:G2775"/>
    <mergeCell ref="B2750:J2750"/>
    <mergeCell ref="L2750:M2750"/>
    <mergeCell ref="A2799:A2803"/>
    <mergeCell ref="A2804:A2808"/>
    <mergeCell ref="A2757:A2761"/>
    <mergeCell ref="A2762:A2773"/>
    <mergeCell ref="L3115:M3115"/>
    <mergeCell ref="B3106:N3106"/>
    <mergeCell ref="B3107:J3107"/>
    <mergeCell ref="L3107:M3107"/>
    <mergeCell ref="A3108:A3110"/>
    <mergeCell ref="I3108:N3113"/>
    <mergeCell ref="A3111:G3111"/>
    <mergeCell ref="A3112:G3112"/>
    <mergeCell ref="A3113:G3113"/>
    <mergeCell ref="A3092:G3092"/>
    <mergeCell ref="B3094:N3094"/>
    <mergeCell ref="B3095:J3095"/>
    <mergeCell ref="L3095:M3095"/>
    <mergeCell ref="A3096:A3098"/>
    <mergeCell ref="I3096:N3104"/>
    <mergeCell ref="A3020:A3031"/>
    <mergeCell ref="B3070:J3070"/>
    <mergeCell ref="A3055:G3055"/>
    <mergeCell ref="A3056:G3056"/>
    <mergeCell ref="B3044:J3044"/>
    <mergeCell ref="A3062:A3063"/>
    <mergeCell ref="F3109:G3109"/>
    <mergeCell ref="F3110:G3110"/>
    <mergeCell ref="H3109:H3110"/>
    <mergeCell ref="A3086:A3088"/>
    <mergeCell ref="B3249:J3249"/>
    <mergeCell ref="L3249:M3249"/>
    <mergeCell ref="A3250:A3269"/>
    <mergeCell ref="I3250:N3272"/>
    <mergeCell ref="A3270:G3270"/>
    <mergeCell ref="A3271:G3271"/>
    <mergeCell ref="A3272:G3272"/>
    <mergeCell ref="B3274:J3274"/>
    <mergeCell ref="I3275:N3353"/>
    <mergeCell ref="A3351:G3351"/>
    <mergeCell ref="A3352:G3352"/>
    <mergeCell ref="A3353:G3353"/>
    <mergeCell ref="B3355:J3355"/>
    <mergeCell ref="L3355:M3355"/>
    <mergeCell ref="I3356:N3410"/>
    <mergeCell ref="A3408:G3408"/>
    <mergeCell ref="A3409:G3409"/>
    <mergeCell ref="A3305:A3346"/>
    <mergeCell ref="B3585:J3585"/>
    <mergeCell ref="L3585:M3585"/>
    <mergeCell ref="A3509:A3510"/>
    <mergeCell ref="A3511:A3525"/>
    <mergeCell ref="A3526:A3541"/>
    <mergeCell ref="A3542:A3549"/>
    <mergeCell ref="A3550:A3557"/>
    <mergeCell ref="A3558:A3567"/>
    <mergeCell ref="A3486:G3486"/>
    <mergeCell ref="A3487:G3487"/>
    <mergeCell ref="A3488:N3488"/>
    <mergeCell ref="B3489:J3489"/>
    <mergeCell ref="L3489:M3489"/>
    <mergeCell ref="A3490:B3491"/>
    <mergeCell ref="H3490:H3491"/>
    <mergeCell ref="I3490:N3583"/>
    <mergeCell ref="A3492:A3500"/>
    <mergeCell ref="A3501:A3508"/>
    <mergeCell ref="A3572:A3574"/>
    <mergeCell ref="A3575:A3577"/>
    <mergeCell ref="A3578:A3580"/>
    <mergeCell ref="A3414:B3415"/>
    <mergeCell ref="H3414:H3415"/>
    <mergeCell ref="I3414:N3487"/>
    <mergeCell ref="A3416:A3419"/>
    <mergeCell ref="A3420:A3425"/>
    <mergeCell ref="A3426:A3481"/>
    <mergeCell ref="A3482:A3484"/>
    <mergeCell ref="A3485:G3485"/>
    <mergeCell ref="A3568:A3571"/>
    <mergeCell ref="A3581:G3581"/>
    <mergeCell ref="A3674:G3674"/>
    <mergeCell ref="B3676:N3676"/>
    <mergeCell ref="B3677:J3677"/>
    <mergeCell ref="L3677:M3677"/>
    <mergeCell ref="A3678:A3682"/>
    <mergeCell ref="I3678:N3709"/>
    <mergeCell ref="A3707:G3707"/>
    <mergeCell ref="A3708:G3708"/>
    <mergeCell ref="A3709:G3709"/>
    <mergeCell ref="A3639:A3646"/>
    <mergeCell ref="A3647:A3654"/>
    <mergeCell ref="A3655:A3664"/>
    <mergeCell ref="A3665:A3668"/>
    <mergeCell ref="A3672:G3672"/>
    <mergeCell ref="A3673:G3673"/>
    <mergeCell ref="A3586:B3587"/>
    <mergeCell ref="H3586:H3587"/>
    <mergeCell ref="I3586:N3674"/>
    <mergeCell ref="A3588:A3591"/>
    <mergeCell ref="A3592:A3607"/>
    <mergeCell ref="B3594:B3595"/>
    <mergeCell ref="B3604:B3607"/>
    <mergeCell ref="A3608:A3609"/>
    <mergeCell ref="A3610:A3622"/>
    <mergeCell ref="A3623:A3638"/>
    <mergeCell ref="A3669:A3671"/>
    <mergeCell ref="A3683:A3690"/>
    <mergeCell ref="A3692:A3706"/>
    <mergeCell ref="A3784:B3785"/>
    <mergeCell ref="H3784:H3785"/>
    <mergeCell ref="I3784:N3860"/>
    <mergeCell ref="A3786:A3829"/>
    <mergeCell ref="A3830:A3841"/>
    <mergeCell ref="A3842:A3846"/>
    <mergeCell ref="A3847:A3850"/>
    <mergeCell ref="A3851:A3854"/>
    <mergeCell ref="A3858:G3858"/>
    <mergeCell ref="A3859:G3859"/>
    <mergeCell ref="B3781:J3781"/>
    <mergeCell ref="L3781:M3781"/>
    <mergeCell ref="B3782:J3782"/>
    <mergeCell ref="L3782:M3782"/>
    <mergeCell ref="B3783:J3783"/>
    <mergeCell ref="L3783:M3783"/>
    <mergeCell ref="B3711:J3711"/>
    <mergeCell ref="L3711:M3711"/>
    <mergeCell ref="A3712:A3750"/>
    <mergeCell ref="I3712:N3779"/>
    <mergeCell ref="A3751:A3763"/>
    <mergeCell ref="A3777:G3777"/>
    <mergeCell ref="A3778:G3778"/>
    <mergeCell ref="A3779:G3779"/>
    <mergeCell ref="A3764:A3770"/>
    <mergeCell ref="A3855:A3857"/>
    <mergeCell ref="A3891:G3891"/>
    <mergeCell ref="A3892:G3892"/>
    <mergeCell ref="B3955:J3955"/>
    <mergeCell ref="L3955:M3955"/>
    <mergeCell ref="A3956:B3957"/>
    <mergeCell ref="H3956:H3957"/>
    <mergeCell ref="I3956:N3967"/>
    <mergeCell ref="A3860:G3860"/>
    <mergeCell ref="B3862:J3862"/>
    <mergeCell ref="L3862:M3862"/>
    <mergeCell ref="B3863:J3863"/>
    <mergeCell ref="L3863:M3863"/>
    <mergeCell ref="A3864:B3865"/>
    <mergeCell ref="H3864:H3865"/>
    <mergeCell ref="I3864:N3892"/>
    <mergeCell ref="A3866:A3884"/>
    <mergeCell ref="A3890:G3890"/>
    <mergeCell ref="A3885:B3885"/>
    <mergeCell ref="A3886:A3889"/>
    <mergeCell ref="B3894:J3894"/>
    <mergeCell ref="L3894:M3894"/>
    <mergeCell ref="A3895:B3896"/>
    <mergeCell ref="H3895:H3896"/>
    <mergeCell ref="I3895:N3953"/>
    <mergeCell ref="A3897:A3908"/>
    <mergeCell ref="A3909:A3938"/>
    <mergeCell ref="A3939:A3944"/>
    <mergeCell ref="A3945:A3950"/>
    <mergeCell ref="A3952:G3952"/>
    <mergeCell ref="A3953:G3953"/>
    <mergeCell ref="A3958:A3961"/>
    <mergeCell ref="A3951:G3951"/>
    <mergeCell ref="B4123:J4123"/>
    <mergeCell ref="L4123:M4123"/>
    <mergeCell ref="A4124:B4125"/>
    <mergeCell ref="H4124:H4125"/>
    <mergeCell ref="I4124:N4132"/>
    <mergeCell ref="A4126:A4129"/>
    <mergeCell ref="A4130:G4130"/>
    <mergeCell ref="A4131:G4131"/>
    <mergeCell ref="A4132:G4132"/>
    <mergeCell ref="A3971:B3972"/>
    <mergeCell ref="H3971:H3972"/>
    <mergeCell ref="I3971:N4121"/>
    <mergeCell ref="A3973:A4019"/>
    <mergeCell ref="A4119:G4119"/>
    <mergeCell ref="A4120:G4120"/>
    <mergeCell ref="A4121:G4121"/>
    <mergeCell ref="A3965:G3965"/>
    <mergeCell ref="A3966:G3966"/>
    <mergeCell ref="A3967:G3967"/>
    <mergeCell ref="B3969:J3969"/>
    <mergeCell ref="L3969:M3969"/>
    <mergeCell ref="B3970:J3970"/>
    <mergeCell ref="L3970:M3970"/>
    <mergeCell ref="A4020:A4046"/>
    <mergeCell ref="A4047:A4085"/>
    <mergeCell ref="A4086:A4100"/>
    <mergeCell ref="A4109:A4116"/>
    <mergeCell ref="B4166:J4166"/>
    <mergeCell ref="L4166:M4166"/>
    <mergeCell ref="A4167:B4168"/>
    <mergeCell ref="H4167:H4168"/>
    <mergeCell ref="I4167:N4182"/>
    <mergeCell ref="A4169:A4179"/>
    <mergeCell ref="A4180:G4180"/>
    <mergeCell ref="A4181:G4181"/>
    <mergeCell ref="A4182:G4182"/>
    <mergeCell ref="B4134:J4134"/>
    <mergeCell ref="L4134:M4134"/>
    <mergeCell ref="A4135:B4136"/>
    <mergeCell ref="H4135:H4136"/>
    <mergeCell ref="I4135:N4164"/>
    <mergeCell ref="A4137:A4145"/>
    <mergeCell ref="A4162:G4162"/>
    <mergeCell ref="A4163:G4163"/>
    <mergeCell ref="A4164:G4164"/>
    <mergeCell ref="A4146:A4149"/>
    <mergeCell ref="A4150:A4161"/>
    <mergeCell ref="B4195:J4195"/>
    <mergeCell ref="L4195:M4195"/>
    <mergeCell ref="A4196:B4197"/>
    <mergeCell ref="H4196:H4197"/>
    <mergeCell ref="I4196:N4204"/>
    <mergeCell ref="A4198:A4201"/>
    <mergeCell ref="A4202:G4202"/>
    <mergeCell ref="A4203:G4203"/>
    <mergeCell ref="A4204:G4204"/>
    <mergeCell ref="B4184:J4184"/>
    <mergeCell ref="L4184:M4184"/>
    <mergeCell ref="A4185:B4186"/>
    <mergeCell ref="H4185:H4186"/>
    <mergeCell ref="I4185:N4193"/>
    <mergeCell ref="A4187:A4190"/>
    <mergeCell ref="A4191:G4191"/>
    <mergeCell ref="A4192:G4192"/>
    <mergeCell ref="A4193:G4193"/>
    <mergeCell ref="B4206:J4206"/>
    <mergeCell ref="L4206:M4206"/>
    <mergeCell ref="A4207:B4208"/>
    <mergeCell ref="H4207:H4208"/>
    <mergeCell ref="I4207:N4246"/>
    <mergeCell ref="A4209:A4222"/>
    <mergeCell ref="A4244:G4244"/>
    <mergeCell ref="A4245:G4245"/>
    <mergeCell ref="A4246:G4246"/>
    <mergeCell ref="A4223:A4225"/>
    <mergeCell ref="A4226:A4236"/>
    <mergeCell ref="A4237:A4240"/>
    <mergeCell ref="L4249:M4249"/>
    <mergeCell ref="B4250:J4250"/>
    <mergeCell ref="L4250:M4250"/>
    <mergeCell ref="A4251:B4252"/>
    <mergeCell ref="H4251:H4252"/>
    <mergeCell ref="I4251:N4258"/>
    <mergeCell ref="A4256:G4256"/>
    <mergeCell ref="A4258:G4258"/>
    <mergeCell ref="B4249:J4249"/>
    <mergeCell ref="A4241:A4243"/>
    <mergeCell ref="I4374:N4392"/>
    <mergeCell ref="A4376:A4381"/>
    <mergeCell ref="A4382:A4389"/>
    <mergeCell ref="A4396:A4409"/>
    <mergeCell ref="A4410:A4415"/>
    <mergeCell ref="B4361:J4361"/>
    <mergeCell ref="L4361:M4361"/>
    <mergeCell ref="A4362:B4363"/>
    <mergeCell ref="H4362:H4363"/>
    <mergeCell ref="I4362:N4371"/>
    <mergeCell ref="A4369:G4369"/>
    <mergeCell ref="A4370:G4370"/>
    <mergeCell ref="A4371:G4371"/>
    <mergeCell ref="A4364:A4368"/>
    <mergeCell ref="H4260:H4261"/>
    <mergeCell ref="I4260:N4267"/>
    <mergeCell ref="A4265:G4265"/>
    <mergeCell ref="A4266:G4266"/>
    <mergeCell ref="A4267:G4267"/>
    <mergeCell ref="L4281:M4281"/>
    <mergeCell ref="A4282:B4283"/>
    <mergeCell ref="H4282:H4283"/>
    <mergeCell ref="I4282:N4292"/>
    <mergeCell ref="A4284:A4286"/>
    <mergeCell ref="A4287:A4289"/>
    <mergeCell ref="A4290:G4290"/>
    <mergeCell ref="A4291:G4291"/>
    <mergeCell ref="A4292:G4292"/>
    <mergeCell ref="B4293:J4293"/>
    <mergeCell ref="B4321:J4321"/>
    <mergeCell ref="L4321:M4321"/>
    <mergeCell ref="A4322:B4323"/>
    <mergeCell ref="B4452:N4452"/>
    <mergeCell ref="B4453:J4453"/>
    <mergeCell ref="L4453:M4453"/>
    <mergeCell ref="A4454:B4455"/>
    <mergeCell ref="H4454:H4455"/>
    <mergeCell ref="I4454:N4476"/>
    <mergeCell ref="A4456:A4459"/>
    <mergeCell ref="A4460:A4466"/>
    <mergeCell ref="B4420:J4420"/>
    <mergeCell ref="L4420:M4420"/>
    <mergeCell ref="A4421:B4422"/>
    <mergeCell ref="H4421:H4422"/>
    <mergeCell ref="I4421:N4436"/>
    <mergeCell ref="A4434:G4434"/>
    <mergeCell ref="A4435:G4435"/>
    <mergeCell ref="A4436:G4436"/>
    <mergeCell ref="A4423:A4433"/>
    <mergeCell ref="B4439:N4439"/>
    <mergeCell ref="B4440:J4440"/>
    <mergeCell ref="L4440:M4440"/>
    <mergeCell ref="A4441:B4442"/>
    <mergeCell ref="H4441:H4442"/>
    <mergeCell ref="I4441:N4449"/>
    <mergeCell ref="A4443:A4446"/>
    <mergeCell ref="A4447:G4447"/>
    <mergeCell ref="A4448:G4448"/>
    <mergeCell ref="A4449:G4449"/>
    <mergeCell ref="B4438:N4438"/>
    <mergeCell ref="B4503:N4503"/>
    <mergeCell ref="B4504:J4504"/>
    <mergeCell ref="L4504:M4504"/>
    <mergeCell ref="A4505:B4506"/>
    <mergeCell ref="H4505:H4506"/>
    <mergeCell ref="I4505:N4519"/>
    <mergeCell ref="A4507:A4511"/>
    <mergeCell ref="A4512:A4516"/>
    <mergeCell ref="A4517:G4517"/>
    <mergeCell ref="A4518:G4518"/>
    <mergeCell ref="B4493:J4493"/>
    <mergeCell ref="L4493:M4493"/>
    <mergeCell ref="A4494:B4495"/>
    <mergeCell ref="H4494:H4495"/>
    <mergeCell ref="I4494:N4501"/>
    <mergeCell ref="A4496:A4498"/>
    <mergeCell ref="A4499:G4499"/>
    <mergeCell ref="A4500:G4500"/>
    <mergeCell ref="A4501:G4501"/>
    <mergeCell ref="B4532:J4532"/>
    <mergeCell ref="L4532:M4532"/>
    <mergeCell ref="A4533:B4534"/>
    <mergeCell ref="H4533:H4534"/>
    <mergeCell ref="I4533:N4540"/>
    <mergeCell ref="A4535:A4537"/>
    <mergeCell ref="A4538:G4538"/>
    <mergeCell ref="A4539:G4539"/>
    <mergeCell ref="A4540:G4540"/>
    <mergeCell ref="A4519:G4519"/>
    <mergeCell ref="B4521:J4521"/>
    <mergeCell ref="L4521:M4521"/>
    <mergeCell ref="A4522:B4523"/>
    <mergeCell ref="H4522:H4523"/>
    <mergeCell ref="I4522:N4530"/>
    <mergeCell ref="A4524:A4527"/>
    <mergeCell ref="A4528:G4528"/>
    <mergeCell ref="A4529:G4529"/>
    <mergeCell ref="A4530:G4530"/>
    <mergeCell ref="B4561:J4561"/>
    <mergeCell ref="L4561:M4561"/>
    <mergeCell ref="A4562:B4563"/>
    <mergeCell ref="H4562:H4563"/>
    <mergeCell ref="I4562:N4572"/>
    <mergeCell ref="A4564:A4566"/>
    <mergeCell ref="A4567:A4569"/>
    <mergeCell ref="A4570:G4570"/>
    <mergeCell ref="A4571:G4571"/>
    <mergeCell ref="A4572:G4572"/>
    <mergeCell ref="B4542:J4542"/>
    <mergeCell ref="L4542:M4542"/>
    <mergeCell ref="A4543:B4544"/>
    <mergeCell ref="H4543:H4544"/>
    <mergeCell ref="I4543:N4550"/>
    <mergeCell ref="A4545:A4547"/>
    <mergeCell ref="A4548:G4548"/>
    <mergeCell ref="A4549:G4549"/>
    <mergeCell ref="A4550:G4550"/>
    <mergeCell ref="B4552:J4552"/>
    <mergeCell ref="L4552:M4552"/>
    <mergeCell ref="A4553:B4554"/>
    <mergeCell ref="H4553:H4554"/>
    <mergeCell ref="I4553:N4559"/>
    <mergeCell ref="A4555:A4556"/>
    <mergeCell ref="A4557:G4557"/>
    <mergeCell ref="A4558:G4558"/>
    <mergeCell ref="A4559:G4559"/>
    <mergeCell ref="B4584:J4584"/>
    <mergeCell ref="L4584:M4584"/>
    <mergeCell ref="A4585:B4586"/>
    <mergeCell ref="H4585:H4586"/>
    <mergeCell ref="I4585:N4592"/>
    <mergeCell ref="A4587:A4589"/>
    <mergeCell ref="A4590:G4590"/>
    <mergeCell ref="A4591:G4591"/>
    <mergeCell ref="A4592:G4592"/>
    <mergeCell ref="B4574:J4574"/>
    <mergeCell ref="L4574:M4574"/>
    <mergeCell ref="A4575:B4576"/>
    <mergeCell ref="H4575:H4576"/>
    <mergeCell ref="I4575:N4582"/>
    <mergeCell ref="A4577:A4579"/>
    <mergeCell ref="A4580:G4580"/>
    <mergeCell ref="A4581:G4581"/>
    <mergeCell ref="A4582:G4582"/>
    <mergeCell ref="B4616:J4616"/>
    <mergeCell ref="L4616:M4616"/>
    <mergeCell ref="A4617:A4620"/>
    <mergeCell ref="I4617:N4623"/>
    <mergeCell ref="A4621:G4621"/>
    <mergeCell ref="A4622:G4622"/>
    <mergeCell ref="A4623:G4623"/>
    <mergeCell ref="B4607:J4607"/>
    <mergeCell ref="L4607:M4607"/>
    <mergeCell ref="A4608:A4611"/>
    <mergeCell ref="I4608:N4614"/>
    <mergeCell ref="A4612:G4612"/>
    <mergeCell ref="A4613:G4613"/>
    <mergeCell ref="A4614:G4614"/>
    <mergeCell ref="B4594:J4594"/>
    <mergeCell ref="B4595:J4595"/>
    <mergeCell ref="L4595:M4595"/>
    <mergeCell ref="A4596:A4599"/>
    <mergeCell ref="I4596:N4605"/>
    <mergeCell ref="A4603:G4603"/>
    <mergeCell ref="A4604:G4604"/>
    <mergeCell ref="A4605:G4605"/>
    <mergeCell ref="A4600:A4602"/>
    <mergeCell ref="B4643:J4643"/>
    <mergeCell ref="L4643:M4643"/>
    <mergeCell ref="A4644:A4647"/>
    <mergeCell ref="I4644:N4650"/>
    <mergeCell ref="A4648:G4648"/>
    <mergeCell ref="A4649:G4649"/>
    <mergeCell ref="A4650:G4650"/>
    <mergeCell ref="B4634:J4634"/>
    <mergeCell ref="L4634:M4634"/>
    <mergeCell ref="A4635:A4638"/>
    <mergeCell ref="I4635:N4641"/>
    <mergeCell ref="A4639:G4639"/>
    <mergeCell ref="A4640:G4640"/>
    <mergeCell ref="A4641:G4641"/>
    <mergeCell ref="B4625:J4625"/>
    <mergeCell ref="L4625:M4625"/>
    <mergeCell ref="A4626:A4629"/>
    <mergeCell ref="I4626:N4632"/>
    <mergeCell ref="A4630:G4630"/>
    <mergeCell ref="A4631:G4631"/>
    <mergeCell ref="A4632:G4632"/>
    <mergeCell ref="B4670:J4670"/>
    <mergeCell ref="L4670:M4670"/>
    <mergeCell ref="A4671:A4674"/>
    <mergeCell ref="I4671:N4677"/>
    <mergeCell ref="A4675:G4675"/>
    <mergeCell ref="A4676:G4676"/>
    <mergeCell ref="A4677:G4677"/>
    <mergeCell ref="B4661:J4661"/>
    <mergeCell ref="L4661:M4661"/>
    <mergeCell ref="A4662:A4665"/>
    <mergeCell ref="I4662:N4668"/>
    <mergeCell ref="A4666:G4666"/>
    <mergeCell ref="A4667:G4667"/>
    <mergeCell ref="A4668:G4668"/>
    <mergeCell ref="B4652:J4652"/>
    <mergeCell ref="L4652:M4652"/>
    <mergeCell ref="A4653:A4656"/>
    <mergeCell ref="I4653:N4659"/>
    <mergeCell ref="A4657:G4657"/>
    <mergeCell ref="A4658:G4658"/>
    <mergeCell ref="A4659:G4659"/>
    <mergeCell ref="B4697:J4697"/>
    <mergeCell ref="L4697:M4697"/>
    <mergeCell ref="A4698:A4701"/>
    <mergeCell ref="I4698:N4704"/>
    <mergeCell ref="A4702:G4702"/>
    <mergeCell ref="A4703:G4703"/>
    <mergeCell ref="A4704:G4704"/>
    <mergeCell ref="B4688:J4688"/>
    <mergeCell ref="L4688:M4688"/>
    <mergeCell ref="A4689:A4692"/>
    <mergeCell ref="I4689:N4695"/>
    <mergeCell ref="A4693:G4693"/>
    <mergeCell ref="A4694:G4694"/>
    <mergeCell ref="A4695:G4695"/>
    <mergeCell ref="B4679:J4679"/>
    <mergeCell ref="L4679:M4679"/>
    <mergeCell ref="A4680:A4683"/>
    <mergeCell ref="I4680:N4686"/>
    <mergeCell ref="A4684:G4684"/>
    <mergeCell ref="A4685:G4685"/>
    <mergeCell ref="A4686:G4686"/>
    <mergeCell ref="B4724:J4724"/>
    <mergeCell ref="L4724:M4724"/>
    <mergeCell ref="A4725:A4728"/>
    <mergeCell ref="I4725:N4731"/>
    <mergeCell ref="A4729:G4729"/>
    <mergeCell ref="A4730:G4730"/>
    <mergeCell ref="A4731:G4731"/>
    <mergeCell ref="B4715:J4715"/>
    <mergeCell ref="L4715:M4715"/>
    <mergeCell ref="A4716:A4719"/>
    <mergeCell ref="I4716:N4722"/>
    <mergeCell ref="A4720:G4720"/>
    <mergeCell ref="A4721:G4721"/>
    <mergeCell ref="A4722:G4722"/>
    <mergeCell ref="B4706:J4706"/>
    <mergeCell ref="L4706:M4706"/>
    <mergeCell ref="A4707:A4710"/>
    <mergeCell ref="I4707:N4713"/>
    <mergeCell ref="A4711:G4711"/>
    <mergeCell ref="A4712:G4712"/>
    <mergeCell ref="A4713:G4713"/>
    <mergeCell ref="B4751:J4751"/>
    <mergeCell ref="L4751:M4751"/>
    <mergeCell ref="A4752:A4755"/>
    <mergeCell ref="I4752:N4758"/>
    <mergeCell ref="A4756:G4756"/>
    <mergeCell ref="A4757:G4757"/>
    <mergeCell ref="A4758:G4758"/>
    <mergeCell ref="B4742:J4742"/>
    <mergeCell ref="L4742:M4742"/>
    <mergeCell ref="A4743:A4746"/>
    <mergeCell ref="I4743:N4749"/>
    <mergeCell ref="A4747:G4747"/>
    <mergeCell ref="A4748:G4748"/>
    <mergeCell ref="A4749:G4749"/>
    <mergeCell ref="B4733:J4733"/>
    <mergeCell ref="L4733:M4733"/>
    <mergeCell ref="A4734:A4737"/>
    <mergeCell ref="I4734:N4740"/>
    <mergeCell ref="A4738:G4738"/>
    <mergeCell ref="A4739:G4739"/>
    <mergeCell ref="A4740:G4740"/>
    <mergeCell ref="B4768:J4768"/>
    <mergeCell ref="B4769:J4769"/>
    <mergeCell ref="L4769:M4769"/>
    <mergeCell ref="A4770:B4771"/>
    <mergeCell ref="H4770:H4771"/>
    <mergeCell ref="I4770:N4785"/>
    <mergeCell ref="A4772:A4776"/>
    <mergeCell ref="A4777:A4779"/>
    <mergeCell ref="A4780:A4782"/>
    <mergeCell ref="A4783:G4783"/>
    <mergeCell ref="B4760:J4760"/>
    <mergeCell ref="L4760:M4760"/>
    <mergeCell ref="A4761:A4764"/>
    <mergeCell ref="I4761:N4767"/>
    <mergeCell ref="A4765:G4765"/>
    <mergeCell ref="A4766:G4766"/>
    <mergeCell ref="A4767:G4767"/>
    <mergeCell ref="A4812:B4813"/>
    <mergeCell ref="H4812:H4813"/>
    <mergeCell ref="I4812:N4820"/>
    <mergeCell ref="A4814:A4817"/>
    <mergeCell ref="A4818:G4818"/>
    <mergeCell ref="A4819:G4819"/>
    <mergeCell ref="A4820:G4820"/>
    <mergeCell ref="A4803:A4806"/>
    <mergeCell ref="A4807:G4807"/>
    <mergeCell ref="A4808:G4808"/>
    <mergeCell ref="A4809:G4809"/>
    <mergeCell ref="B4811:J4811"/>
    <mergeCell ref="L4811:M4811"/>
    <mergeCell ref="A4784:G4784"/>
    <mergeCell ref="A4785:G4785"/>
    <mergeCell ref="B4787:J4787"/>
    <mergeCell ref="L4787:M4787"/>
    <mergeCell ref="A4788:B4789"/>
    <mergeCell ref="H4788:H4789"/>
    <mergeCell ref="I4788:N4809"/>
    <mergeCell ref="A4790:A4794"/>
    <mergeCell ref="A4795:A4798"/>
    <mergeCell ref="A4799:A4802"/>
    <mergeCell ref="A4841:G4841"/>
    <mergeCell ref="A4842:G4842"/>
    <mergeCell ref="B4844:J4844"/>
    <mergeCell ref="L4844:M4844"/>
    <mergeCell ref="A4845:B4846"/>
    <mergeCell ref="H4845:H4846"/>
    <mergeCell ref="I4845:N4852"/>
    <mergeCell ref="A4847:A4849"/>
    <mergeCell ref="A4850:G4850"/>
    <mergeCell ref="A4851:G4851"/>
    <mergeCell ref="B4822:J4822"/>
    <mergeCell ref="L4822:M4822"/>
    <mergeCell ref="A4823:B4824"/>
    <mergeCell ref="H4823:H4824"/>
    <mergeCell ref="I4823:N4842"/>
    <mergeCell ref="A4825:A4828"/>
    <mergeCell ref="A4829:A4833"/>
    <mergeCell ref="A4834:A4836"/>
    <mergeCell ref="A4837:A4839"/>
    <mergeCell ref="A4840:G4840"/>
    <mergeCell ref="B4864:J4864"/>
    <mergeCell ref="L4864:M4864"/>
    <mergeCell ref="A4865:B4866"/>
    <mergeCell ref="H4865:H4866"/>
    <mergeCell ref="I4865:N4872"/>
    <mergeCell ref="A4867:A4869"/>
    <mergeCell ref="A4870:G4870"/>
    <mergeCell ref="A4871:G4871"/>
    <mergeCell ref="A4872:G4872"/>
    <mergeCell ref="A4852:G4852"/>
    <mergeCell ref="B4854:J4854"/>
    <mergeCell ref="L4854:M4854"/>
    <mergeCell ref="A4855:B4856"/>
    <mergeCell ref="H4855:H4856"/>
    <mergeCell ref="I4855:N4862"/>
    <mergeCell ref="A4857:A4859"/>
    <mergeCell ref="A4860:G4860"/>
    <mergeCell ref="A4861:G4861"/>
    <mergeCell ref="A4862:G4862"/>
    <mergeCell ref="B4887:J4887"/>
    <mergeCell ref="L4887:M4887"/>
    <mergeCell ref="A4888:B4889"/>
    <mergeCell ref="H4888:H4889"/>
    <mergeCell ref="I4888:N4898"/>
    <mergeCell ref="A4890:A4892"/>
    <mergeCell ref="A4896:G4896"/>
    <mergeCell ref="A4897:G4897"/>
    <mergeCell ref="A4898:G4898"/>
    <mergeCell ref="B4873:J4873"/>
    <mergeCell ref="B4874:J4874"/>
    <mergeCell ref="L4874:M4874"/>
    <mergeCell ref="A4875:B4876"/>
    <mergeCell ref="H4875:H4876"/>
    <mergeCell ref="I4875:N4885"/>
    <mergeCell ref="A4877:A4879"/>
    <mergeCell ref="A4883:G4883"/>
    <mergeCell ref="A4884:G4884"/>
    <mergeCell ref="A4885:G4885"/>
    <mergeCell ref="A4880:A4882"/>
    <mergeCell ref="A4893:A4895"/>
    <mergeCell ref="B4910:J4910"/>
    <mergeCell ref="L4910:M4910"/>
    <mergeCell ref="A4911:B4912"/>
    <mergeCell ref="H4911:H4912"/>
    <mergeCell ref="I4911:N4920"/>
    <mergeCell ref="A4913:A4917"/>
    <mergeCell ref="A4918:G4918"/>
    <mergeCell ref="A4919:G4919"/>
    <mergeCell ref="A4920:G4920"/>
    <mergeCell ref="B4900:J4900"/>
    <mergeCell ref="L4900:M4900"/>
    <mergeCell ref="A4901:B4902"/>
    <mergeCell ref="H4901:H4902"/>
    <mergeCell ref="I4901:N4908"/>
    <mergeCell ref="A4903:A4905"/>
    <mergeCell ref="A4906:G4906"/>
    <mergeCell ref="A4907:G4907"/>
    <mergeCell ref="A4908:G4908"/>
    <mergeCell ref="B4945:N4945"/>
    <mergeCell ref="B4946:J4946"/>
    <mergeCell ref="L4946:M4946"/>
    <mergeCell ref="A4947:A4950"/>
    <mergeCell ref="I4947:N4953"/>
    <mergeCell ref="A4951:G4951"/>
    <mergeCell ref="A4952:G4952"/>
    <mergeCell ref="A4953:G4953"/>
    <mergeCell ref="B4922:J4922"/>
    <mergeCell ref="L4922:M4922"/>
    <mergeCell ref="A4923:B4924"/>
    <mergeCell ref="H4923:H4924"/>
    <mergeCell ref="I4923:N4933"/>
    <mergeCell ref="A4925:A4930"/>
    <mergeCell ref="A4931:G4931"/>
    <mergeCell ref="A4932:G4932"/>
    <mergeCell ref="A4933:G4933"/>
    <mergeCell ref="B4935:J4935"/>
    <mergeCell ref="L4935:M4935"/>
    <mergeCell ref="A4936:B4937"/>
    <mergeCell ref="H4936:H4937"/>
    <mergeCell ref="I4936:N4943"/>
    <mergeCell ref="A4938:A4940"/>
    <mergeCell ref="A4941:G4941"/>
    <mergeCell ref="A4942:G4942"/>
    <mergeCell ref="A4943:G4943"/>
    <mergeCell ref="B4955:J4955"/>
    <mergeCell ref="L4955:M4955"/>
    <mergeCell ref="A4956:A4959"/>
    <mergeCell ref="I4956:N4962"/>
    <mergeCell ref="A4960:G4960"/>
    <mergeCell ref="A4961:G4961"/>
    <mergeCell ref="A4962:G4962"/>
    <mergeCell ref="L5008:M5008"/>
    <mergeCell ref="B4965:J4965"/>
    <mergeCell ref="L4965:M4965"/>
    <mergeCell ref="A4966:B4967"/>
    <mergeCell ref="H4966:H4967"/>
    <mergeCell ref="I4966:N4977"/>
    <mergeCell ref="A4968:A4969"/>
    <mergeCell ref="A4975:G4975"/>
    <mergeCell ref="A4976:G4976"/>
    <mergeCell ref="A4977:G4977"/>
    <mergeCell ref="A4970:A4971"/>
    <mergeCell ref="B4979:J4979"/>
    <mergeCell ref="L4979:M4979"/>
    <mergeCell ref="A4980:B4981"/>
    <mergeCell ref="H4980:H4981"/>
    <mergeCell ref="B4964:N4964"/>
    <mergeCell ref="B4996:J4996"/>
    <mergeCell ref="L4996:M4996"/>
    <mergeCell ref="A4997:B4998"/>
    <mergeCell ref="H4997:H4998"/>
    <mergeCell ref="I4997:N5006"/>
    <mergeCell ref="A4999:A5000"/>
    <mergeCell ref="A5004:G5004"/>
    <mergeCell ref="A5005:G5005"/>
    <mergeCell ref="A5006:G5006"/>
    <mergeCell ref="B5072:J5072"/>
    <mergeCell ref="A5073:B5073"/>
    <mergeCell ref="I5073:N5078"/>
    <mergeCell ref="A5074:A5075"/>
    <mergeCell ref="A5076:G5076"/>
    <mergeCell ref="A5077:G5077"/>
    <mergeCell ref="A5078:G5078"/>
    <mergeCell ref="A5033:A5035"/>
    <mergeCell ref="A5047:A5049"/>
    <mergeCell ref="A5037:G5037"/>
    <mergeCell ref="A5038:G5038"/>
    <mergeCell ref="B5040:J5040"/>
    <mergeCell ref="L5040:M5040"/>
    <mergeCell ref="A5041:B5041"/>
    <mergeCell ref="I5041:N5052"/>
    <mergeCell ref="A5042:A5043"/>
    <mergeCell ref="L5072:M5072"/>
    <mergeCell ref="B5062:J5062"/>
    <mergeCell ref="L5062:M5062"/>
    <mergeCell ref="A5063:B5063"/>
    <mergeCell ref="I5063:N5070"/>
    <mergeCell ref="A5064:A5067"/>
    <mergeCell ref="A5068:G5068"/>
    <mergeCell ref="A5069:G5069"/>
    <mergeCell ref="A5070:G5070"/>
    <mergeCell ref="A5380:G5380"/>
    <mergeCell ref="A5374:A5375"/>
    <mergeCell ref="A5376:A5377"/>
    <mergeCell ref="A5090:G5090"/>
    <mergeCell ref="B5100:J5100"/>
    <mergeCell ref="L5100:M5100"/>
    <mergeCell ref="A5101:B5102"/>
    <mergeCell ref="A5133:A5135"/>
    <mergeCell ref="B5143:J5143"/>
    <mergeCell ref="L5143:M5143"/>
    <mergeCell ref="A5144:B5145"/>
    <mergeCell ref="A5280:G5280"/>
    <mergeCell ref="A5281:G5281"/>
    <mergeCell ref="B5264:J5264"/>
    <mergeCell ref="L5264:M5264"/>
    <mergeCell ref="A5302:A5303"/>
    <mergeCell ref="A5315:A5316"/>
    <mergeCell ref="A5127:A5129"/>
    <mergeCell ref="A5140:G5140"/>
    <mergeCell ref="B5186:J5186"/>
    <mergeCell ref="L5186:M5186"/>
    <mergeCell ref="A5187:B5188"/>
    <mergeCell ref="H5187:H5188"/>
    <mergeCell ref="I5187:N5193"/>
    <mergeCell ref="A5326:A5327"/>
    <mergeCell ref="L5204:M5204"/>
    <mergeCell ref="A5205:B5206"/>
    <mergeCell ref="L5233:M5233"/>
    <mergeCell ref="A5234:B5235"/>
    <mergeCell ref="H5234:H5235"/>
    <mergeCell ref="I5234:N5242"/>
    <mergeCell ref="A5236:A5237"/>
    <mergeCell ref="L5393:M5393"/>
    <mergeCell ref="B5503:J5503"/>
    <mergeCell ref="L5503:M5503"/>
    <mergeCell ref="A5504:B5505"/>
    <mergeCell ref="H5504:H5505"/>
    <mergeCell ref="I5504:N5512"/>
    <mergeCell ref="A5506:A5507"/>
    <mergeCell ref="A5510:G5510"/>
    <mergeCell ref="A5511:G5511"/>
    <mergeCell ref="A5512:G5512"/>
    <mergeCell ref="A5495:B5496"/>
    <mergeCell ref="H5495:H5496"/>
    <mergeCell ref="I5495:N5501"/>
    <mergeCell ref="A5497:A5498"/>
    <mergeCell ref="A5499:G5499"/>
    <mergeCell ref="A5500:G5500"/>
    <mergeCell ref="A5501:G5501"/>
    <mergeCell ref="A5508:A5509"/>
    <mergeCell ref="L5525:M5525"/>
    <mergeCell ref="A5526:B5527"/>
    <mergeCell ref="H5526:H5527"/>
    <mergeCell ref="I5526:N5534"/>
    <mergeCell ref="A5528:A5529"/>
    <mergeCell ref="A5530:A5531"/>
    <mergeCell ref="A5532:G5532"/>
    <mergeCell ref="A5533:G5533"/>
    <mergeCell ref="A5534:G5534"/>
    <mergeCell ref="A5515:B5516"/>
    <mergeCell ref="H5515:H5516"/>
    <mergeCell ref="I5515:N5523"/>
    <mergeCell ref="A5517:A5518"/>
    <mergeCell ref="A5521:G5521"/>
    <mergeCell ref="A5522:G5522"/>
    <mergeCell ref="A5523:G5523"/>
    <mergeCell ref="A5519:A5520"/>
    <mergeCell ref="B5547:J5547"/>
    <mergeCell ref="L5547:M5547"/>
    <mergeCell ref="A5548:B5549"/>
    <mergeCell ref="H5548:H5549"/>
    <mergeCell ref="I5548:N5554"/>
    <mergeCell ref="A5550:A5551"/>
    <mergeCell ref="A5552:G5552"/>
    <mergeCell ref="A5553:G5553"/>
    <mergeCell ref="A5554:G5554"/>
    <mergeCell ref="A5562:A5564"/>
    <mergeCell ref="B5569:J5569"/>
    <mergeCell ref="L5569:M5569"/>
    <mergeCell ref="A5570:B5571"/>
    <mergeCell ref="H5570:H5571"/>
    <mergeCell ref="B5536:J5536"/>
    <mergeCell ref="L5536:M5536"/>
    <mergeCell ref="A5537:B5538"/>
    <mergeCell ref="H5537:H5538"/>
    <mergeCell ref="I5537:N5545"/>
    <mergeCell ref="A5539:A5540"/>
    <mergeCell ref="A5541:A5542"/>
    <mergeCell ref="A5543:G5543"/>
    <mergeCell ref="A5544:G5544"/>
    <mergeCell ref="A5545:G5545"/>
    <mergeCell ref="A5606:G5606"/>
    <mergeCell ref="A6544:A6545"/>
    <mergeCell ref="A5596:A5597"/>
    <mergeCell ref="A5613:A5614"/>
    <mergeCell ref="A5624:A5625"/>
    <mergeCell ref="A6085:A6087"/>
    <mergeCell ref="B5556:J5556"/>
    <mergeCell ref="L5556:M5556"/>
    <mergeCell ref="A5557:B5558"/>
    <mergeCell ref="H5557:H5558"/>
    <mergeCell ref="I5557:N5567"/>
    <mergeCell ref="A5559:A5561"/>
    <mergeCell ref="A5565:G5565"/>
    <mergeCell ref="A5566:G5566"/>
    <mergeCell ref="A5567:G5567"/>
    <mergeCell ref="A5574:A5575"/>
    <mergeCell ref="A5816:A5818"/>
    <mergeCell ref="A5830:A5832"/>
    <mergeCell ref="A5844:A5846"/>
    <mergeCell ref="A6416:G6416"/>
    <mergeCell ref="B6529:J6529"/>
    <mergeCell ref="A6122:G6122"/>
    <mergeCell ref="I6494:N6500"/>
    <mergeCell ref="A6496:A6497"/>
    <mergeCell ref="A6498:G6498"/>
    <mergeCell ref="A6499:G6499"/>
    <mergeCell ref="B6491:N6491"/>
    <mergeCell ref="A6397:G6397"/>
    <mergeCell ref="A6074:G6074"/>
    <mergeCell ref="B6076:J6076"/>
    <mergeCell ref="A6025:B6026"/>
    <mergeCell ref="H6025:H6026"/>
    <mergeCell ref="A5589:G5589"/>
    <mergeCell ref="A6540:B6541"/>
    <mergeCell ref="H6540:H6541"/>
    <mergeCell ref="I6540:N6550"/>
    <mergeCell ref="A6542:A6543"/>
    <mergeCell ref="A6548:G6548"/>
    <mergeCell ref="A6549:G6549"/>
    <mergeCell ref="A6550:G6550"/>
    <mergeCell ref="I6104:N6112"/>
    <mergeCell ref="A6106:A6109"/>
    <mergeCell ref="A6500:G6500"/>
    <mergeCell ref="B6369:J6369"/>
    <mergeCell ref="I6370:N6378"/>
    <mergeCell ref="A6376:G6376"/>
    <mergeCell ref="A6377:G6377"/>
    <mergeCell ref="L5630:M5630"/>
    <mergeCell ref="A5631:B5632"/>
    <mergeCell ref="A5635:A5636"/>
    <mergeCell ref="A5646:A5647"/>
    <mergeCell ref="B5608:J5608"/>
    <mergeCell ref="L5608:M5608"/>
    <mergeCell ref="L5619:M5619"/>
    <mergeCell ref="A5620:B5621"/>
    <mergeCell ref="H5620:H5621"/>
    <mergeCell ref="I5620:N5628"/>
    <mergeCell ref="A5622:A5623"/>
    <mergeCell ref="A5626:G5626"/>
    <mergeCell ref="A5627:G5627"/>
    <mergeCell ref="I5592:N5606"/>
    <mergeCell ref="A5594:A5595"/>
    <mergeCell ref="A5604:G5604"/>
    <mergeCell ref="A5605:G5605"/>
    <mergeCell ref="B5082:J5082"/>
    <mergeCell ref="L5082:M5082"/>
    <mergeCell ref="H5144:H5145"/>
    <mergeCell ref="I5144:N5150"/>
    <mergeCell ref="A5146:A5147"/>
    <mergeCell ref="A5184:G5184"/>
    <mergeCell ref="H5083:H5084"/>
    <mergeCell ref="I5083:N5090"/>
    <mergeCell ref="A5085:A5087"/>
    <mergeCell ref="A5088:G5088"/>
    <mergeCell ref="A5089:G5089"/>
    <mergeCell ref="A5971:G5971"/>
    <mergeCell ref="A6051:G6051"/>
    <mergeCell ref="B6162:J6162"/>
    <mergeCell ref="L6162:M6162"/>
    <mergeCell ref="B6053:J6053"/>
    <mergeCell ref="L6053:M6053"/>
    <mergeCell ref="A6054:B6055"/>
    <mergeCell ref="H6054:H6055"/>
    <mergeCell ref="I6054:N6074"/>
    <mergeCell ref="A6056:A6059"/>
    <mergeCell ref="A6006:G6006"/>
    <mergeCell ref="A5363:A5364"/>
    <mergeCell ref="B5973:J5973"/>
    <mergeCell ref="B5950:J5950"/>
    <mergeCell ref="L5950:M5950"/>
    <mergeCell ref="A5616:G5616"/>
    <mergeCell ref="A5617:G5617"/>
    <mergeCell ref="B5641:J5641"/>
    <mergeCell ref="L5641:M5641"/>
    <mergeCell ref="A5642:B5643"/>
    <mergeCell ref="I5570:N5578"/>
    <mergeCell ref="A5572:A5573"/>
    <mergeCell ref="A5576:G5576"/>
    <mergeCell ref="A5577:G5577"/>
    <mergeCell ref="A5578:G5578"/>
    <mergeCell ref="B5580:J5580"/>
    <mergeCell ref="L5580:M5580"/>
    <mergeCell ref="A5581:B5582"/>
    <mergeCell ref="H5581:H5582"/>
    <mergeCell ref="I5581:N5589"/>
    <mergeCell ref="A5583:A5584"/>
    <mergeCell ref="A5587:G5587"/>
    <mergeCell ref="L5973:M5973"/>
    <mergeCell ref="A5974:B5975"/>
    <mergeCell ref="H5974:H5975"/>
    <mergeCell ref="I6577:N6589"/>
    <mergeCell ref="A6579:A6580"/>
    <mergeCell ref="A6587:G6587"/>
    <mergeCell ref="A6588:G6588"/>
    <mergeCell ref="A6589:G6589"/>
    <mergeCell ref="A6566:B6567"/>
    <mergeCell ref="H6566:H6567"/>
    <mergeCell ref="I6566:N6574"/>
    <mergeCell ref="A6568:A6569"/>
    <mergeCell ref="A6572:G6572"/>
    <mergeCell ref="H5592:H5593"/>
    <mergeCell ref="A5592:B5593"/>
    <mergeCell ref="A5602:A5603"/>
    <mergeCell ref="B5696:J5696"/>
    <mergeCell ref="A5856:A5858"/>
    <mergeCell ref="A5878:A5879"/>
    <mergeCell ref="A5609:B5610"/>
    <mergeCell ref="B5619:J5619"/>
    <mergeCell ref="B6644:J6644"/>
    <mergeCell ref="L6644:M6644"/>
    <mergeCell ref="A6645:B6646"/>
    <mergeCell ref="H6645:H6646"/>
    <mergeCell ref="I6645:N6651"/>
    <mergeCell ref="A6647:A6648"/>
    <mergeCell ref="A6662:G6662"/>
    <mergeCell ref="A6678:A6679"/>
    <mergeCell ref="A6651:G6651"/>
    <mergeCell ref="A6982:G6982"/>
    <mergeCell ref="B6686:J6686"/>
    <mergeCell ref="L6686:M6686"/>
    <mergeCell ref="A6687:B6688"/>
    <mergeCell ref="H6687:H6688"/>
    <mergeCell ref="I6687:N6695"/>
    <mergeCell ref="A6689:A6690"/>
    <mergeCell ref="A6676:B6677"/>
    <mergeCell ref="A6834:A6836"/>
    <mergeCell ref="A6837:G6837"/>
    <mergeCell ref="A6838:G6838"/>
    <mergeCell ref="A6802:B6803"/>
    <mergeCell ref="A6848:G6848"/>
    <mergeCell ref="A6849:G6849"/>
    <mergeCell ref="A6863:B6864"/>
    <mergeCell ref="H6863:H6864"/>
    <mergeCell ref="I6863:N6871"/>
    <mergeCell ref="A6865:A6868"/>
    <mergeCell ref="A6869:G6869"/>
    <mergeCell ref="A6870:G6870"/>
    <mergeCell ref="A6871:G6871"/>
    <mergeCell ref="B6873:J6873"/>
    <mergeCell ref="L6873:M6873"/>
    <mergeCell ref="A5628:G5628"/>
    <mergeCell ref="H5631:H5632"/>
    <mergeCell ref="I5631:N5639"/>
    <mergeCell ref="A5633:A5634"/>
    <mergeCell ref="A5637:G5637"/>
    <mergeCell ref="A5638:G5638"/>
    <mergeCell ref="A5639:G5639"/>
    <mergeCell ref="B5630:J5630"/>
    <mergeCell ref="L7729:M7729"/>
    <mergeCell ref="A7389:G7389"/>
    <mergeCell ref="A7092:G7092"/>
    <mergeCell ref="A7093:G7093"/>
    <mergeCell ref="A7094:G7094"/>
    <mergeCell ref="A6007:G6007"/>
    <mergeCell ref="B7440:J7440"/>
    <mergeCell ref="L7440:M7440"/>
    <mergeCell ref="A7441:B7442"/>
    <mergeCell ref="H7441:H7442"/>
    <mergeCell ref="A6573:G6573"/>
    <mergeCell ref="A6581:A6582"/>
    <mergeCell ref="B6615:J6615"/>
    <mergeCell ref="L6615:M6615"/>
    <mergeCell ref="A6555:A6556"/>
    <mergeCell ref="A6561:G6561"/>
    <mergeCell ref="B5932:J5932"/>
    <mergeCell ref="L5932:M5932"/>
    <mergeCell ref="H6676:H6677"/>
    <mergeCell ref="A6694:G6694"/>
    <mergeCell ref="A6716:B6717"/>
    <mergeCell ref="H6716:H6717"/>
    <mergeCell ref="H6832:H6833"/>
    <mergeCell ref="I6832:N6839"/>
    <mergeCell ref="A5649:G5649"/>
    <mergeCell ref="A5650:G5650"/>
    <mergeCell ref="A6562:G6562"/>
    <mergeCell ref="A6563:G6563"/>
    <mergeCell ref="B6591:J6591"/>
    <mergeCell ref="L6591:M6591"/>
    <mergeCell ref="A6592:B6593"/>
    <mergeCell ref="H6592:H6593"/>
    <mergeCell ref="I6592:N6602"/>
    <mergeCell ref="A6398:G6398"/>
    <mergeCell ref="A6553:B6554"/>
    <mergeCell ref="H6553:H6554"/>
    <mergeCell ref="I6553:N6563"/>
    <mergeCell ref="A6574:G6574"/>
    <mergeCell ref="A6557:A6558"/>
    <mergeCell ref="L6410:M6410"/>
    <mergeCell ref="A5697:B5698"/>
    <mergeCell ref="H5697:H5698"/>
    <mergeCell ref="A5661:G5661"/>
    <mergeCell ref="A5670:A5671"/>
    <mergeCell ref="B5709:J5709"/>
    <mergeCell ref="L5709:M5709"/>
    <mergeCell ref="A5710:B5711"/>
    <mergeCell ref="H5710:H5711"/>
    <mergeCell ref="I5710:N5716"/>
    <mergeCell ref="A5712:A5713"/>
    <mergeCell ref="A5714:G5714"/>
    <mergeCell ref="A5715:G5715"/>
    <mergeCell ref="I6025:N6040"/>
    <mergeCell ref="B6009:J6009"/>
    <mergeCell ref="A6020:G6020"/>
    <mergeCell ref="A6021:G6021"/>
    <mergeCell ref="B6493:J6493"/>
    <mergeCell ref="L6493:M6493"/>
    <mergeCell ref="A6494:B6495"/>
    <mergeCell ref="H6494:H6495"/>
    <mergeCell ref="H6530:H6531"/>
    <mergeCell ref="I6530:N6536"/>
    <mergeCell ref="A6534:G6534"/>
    <mergeCell ref="A6535:G6535"/>
    <mergeCell ref="A6536:G6536"/>
    <mergeCell ref="B6520:J6520"/>
    <mergeCell ref="L6520:M6520"/>
    <mergeCell ref="A6521:B6522"/>
    <mergeCell ref="H6521:H6522"/>
    <mergeCell ref="I6521:N6527"/>
    <mergeCell ref="A6525:G6525"/>
    <mergeCell ref="B6502:J6502"/>
    <mergeCell ref="L6502:M6502"/>
    <mergeCell ref="A6503:B6504"/>
    <mergeCell ref="H6503:H6504"/>
    <mergeCell ref="I6503:N6509"/>
    <mergeCell ref="A6530:B6531"/>
    <mergeCell ref="A6505:A6506"/>
    <mergeCell ref="A6507:G6507"/>
    <mergeCell ref="A6508:G6508"/>
    <mergeCell ref="A6585:A6586"/>
    <mergeCell ref="A6609:A6610"/>
    <mergeCell ref="I6676:N6684"/>
    <mergeCell ref="B6626:J6626"/>
    <mergeCell ref="A6683:G6683"/>
    <mergeCell ref="A6684:G6684"/>
    <mergeCell ref="B6664:J6664"/>
    <mergeCell ref="L6664:M6664"/>
    <mergeCell ref="A6665:B6666"/>
    <mergeCell ref="H6665:H6666"/>
    <mergeCell ref="I6665:N6673"/>
    <mergeCell ref="A6667:A6668"/>
    <mergeCell ref="A6671:G6671"/>
    <mergeCell ref="A6672:G6672"/>
    <mergeCell ref="A6673:G6673"/>
    <mergeCell ref="B6653:J6653"/>
    <mergeCell ref="L6653:M6653"/>
    <mergeCell ref="A6654:B6655"/>
    <mergeCell ref="A6616:B6617"/>
    <mergeCell ref="A6680:A6681"/>
    <mergeCell ref="H6616:H6617"/>
    <mergeCell ref="B6675:J6675"/>
    <mergeCell ref="A6656:A6657"/>
    <mergeCell ref="B6635:J6635"/>
    <mergeCell ref="L6635:M6635"/>
    <mergeCell ref="A6636:B6637"/>
    <mergeCell ref="H6636:H6637"/>
    <mergeCell ref="I6636:N6642"/>
    <mergeCell ref="A6638:A6639"/>
    <mergeCell ref="A6640:G6640"/>
    <mergeCell ref="A6641:G6641"/>
    <mergeCell ref="A6618:A6619"/>
    <mergeCell ref="A7199:B7200"/>
    <mergeCell ref="H7199:H7200"/>
    <mergeCell ref="I7199:N7206"/>
    <mergeCell ref="A7201:A7203"/>
    <mergeCell ref="A7204:G7204"/>
    <mergeCell ref="B6697:J6697"/>
    <mergeCell ref="L6697:M6697"/>
    <mergeCell ref="A6698:B6699"/>
    <mergeCell ref="H6698:H6699"/>
    <mergeCell ref="A6725:B6726"/>
    <mergeCell ref="H6725:H6726"/>
    <mergeCell ref="I6725:N6733"/>
    <mergeCell ref="A6727:A6728"/>
    <mergeCell ref="A6731:G6731"/>
    <mergeCell ref="A6732:G6732"/>
    <mergeCell ref="A6739:A6741"/>
    <mergeCell ref="A6742:G6742"/>
    <mergeCell ref="A6743:G6743"/>
    <mergeCell ref="I6852:N6860"/>
    <mergeCell ref="A6854:A6857"/>
    <mergeCell ref="B6952:J6952"/>
    <mergeCell ref="L7188:M7188"/>
    <mergeCell ref="A7189:B7190"/>
    <mergeCell ref="I7189:N7196"/>
    <mergeCell ref="A7191:A7193"/>
    <mergeCell ref="A7194:G7194"/>
    <mergeCell ref="A7114:G7114"/>
    <mergeCell ref="B7066:J7066"/>
    <mergeCell ref="L7066:M7066"/>
    <mergeCell ref="A7067:B7068"/>
    <mergeCell ref="H7067:H7068"/>
    <mergeCell ref="I7067:N7079"/>
    <mergeCell ref="L7198:M7198"/>
    <mergeCell ref="A6693:G6693"/>
    <mergeCell ref="A6691:A6692"/>
    <mergeCell ref="A7031:A7033"/>
    <mergeCell ref="A7125:G7125"/>
    <mergeCell ref="A7112:G7112"/>
    <mergeCell ref="I7029:N7036"/>
    <mergeCell ref="A7052:B7053"/>
    <mergeCell ref="H7052:H7053"/>
    <mergeCell ref="I7128:N7135"/>
    <mergeCell ref="A7130:A7132"/>
    <mergeCell ref="A7073:A7076"/>
    <mergeCell ref="L7038:M7038"/>
    <mergeCell ref="A7039:B7040"/>
    <mergeCell ref="H7039:H7040"/>
    <mergeCell ref="I7039:N7049"/>
    <mergeCell ref="A7041:A7043"/>
    <mergeCell ref="A7047:G7047"/>
    <mergeCell ref="A7058:A7061"/>
    <mergeCell ref="B7157:J7157"/>
    <mergeCell ref="L7157:M7157"/>
    <mergeCell ref="A7123:G7123"/>
    <mergeCell ref="A7124:G7124"/>
    <mergeCell ref="A6758:G6758"/>
    <mergeCell ref="A6759:G6759"/>
    <mergeCell ref="H7158:H7159"/>
    <mergeCell ref="I7158:N7165"/>
    <mergeCell ref="A7160:A7162"/>
    <mergeCell ref="A7163:G7163"/>
    <mergeCell ref="A7185:G7185"/>
    <mergeCell ref="A7186:G7186"/>
    <mergeCell ref="A6962:G6962"/>
    <mergeCell ref="H6654:H6655"/>
    <mergeCell ref="I6654:N6662"/>
    <mergeCell ref="A6658:A6659"/>
    <mergeCell ref="A6660:G6660"/>
    <mergeCell ref="A6661:G6661"/>
    <mergeCell ref="B7018:J7018"/>
    <mergeCell ref="L7018:M7018"/>
    <mergeCell ref="A7019:B7020"/>
    <mergeCell ref="H7019:H7020"/>
    <mergeCell ref="A7062:G7062"/>
    <mergeCell ref="A7387:G7387"/>
    <mergeCell ref="A7388:G7388"/>
    <mergeCell ref="A7437:G7437"/>
    <mergeCell ref="A7448:G7448"/>
    <mergeCell ref="A7449:G7449"/>
    <mergeCell ref="B7439:N7439"/>
    <mergeCell ref="L7409:M7409"/>
    <mergeCell ref="A7215:G7215"/>
    <mergeCell ref="A7216:G7216"/>
    <mergeCell ref="B7218:J7218"/>
    <mergeCell ref="L7218:M7218"/>
    <mergeCell ref="A7360:B7361"/>
    <mergeCell ref="H7360:H7361"/>
    <mergeCell ref="L7081:M7081"/>
    <mergeCell ref="A7082:B7083"/>
    <mergeCell ref="H7082:H7083"/>
    <mergeCell ref="I7082:N7094"/>
    <mergeCell ref="A7084:A7087"/>
    <mergeCell ref="A7128:B7129"/>
    <mergeCell ref="A7088:A7091"/>
    <mergeCell ref="B7096:N7096"/>
    <mergeCell ref="B7198:J7198"/>
    <mergeCell ref="I7427:N7437"/>
    <mergeCell ref="H8035:H8036"/>
    <mergeCell ref="A7417:A7420"/>
    <mergeCell ref="H7789:H7790"/>
    <mergeCell ref="B7702:N7702"/>
    <mergeCell ref="B7703:J7703"/>
    <mergeCell ref="A7977:G7977"/>
    <mergeCell ref="A7978:G7978"/>
    <mergeCell ref="B7912:N7912"/>
    <mergeCell ref="B7913:J7913"/>
    <mergeCell ref="B7819:N7819"/>
    <mergeCell ref="A7738:G7738"/>
    <mergeCell ref="A7739:G7739"/>
    <mergeCell ref="A7740:G7740"/>
    <mergeCell ref="L7798:M7798"/>
    <mergeCell ref="L7557:M7557"/>
    <mergeCell ref="A7558:B7559"/>
    <mergeCell ref="B7889:J7889"/>
    <mergeCell ref="L7889:M7889"/>
    <mergeCell ref="A7890:B7891"/>
    <mergeCell ref="B8004:J8004"/>
    <mergeCell ref="L8004:M8004"/>
    <mergeCell ref="A8005:B8006"/>
    <mergeCell ref="A7910:G7910"/>
    <mergeCell ref="A7916:A7935"/>
    <mergeCell ref="L7482:M7482"/>
    <mergeCell ref="A7483:B7484"/>
    <mergeCell ref="A7429:A7432"/>
    <mergeCell ref="B7729:J7729"/>
    <mergeCell ref="A7730:B7731"/>
    <mergeCell ref="A7459:G7459"/>
    <mergeCell ref="A7392:B7393"/>
    <mergeCell ref="H7392:H7393"/>
    <mergeCell ref="A7048:G7048"/>
    <mergeCell ref="A7405:G7405"/>
    <mergeCell ref="A7433:A7434"/>
    <mergeCell ref="H7128:H7129"/>
    <mergeCell ref="A7311:G7311"/>
    <mergeCell ref="A7312:G7312"/>
    <mergeCell ref="A7133:G7133"/>
    <mergeCell ref="A7496:B7497"/>
    <mergeCell ref="A7435:G7435"/>
    <mergeCell ref="A7436:G7436"/>
    <mergeCell ref="A7478:G7478"/>
    <mergeCell ref="A7479:G7479"/>
    <mergeCell ref="A7480:G7480"/>
    <mergeCell ref="B7147:J7147"/>
    <mergeCell ref="B7482:J7482"/>
    <mergeCell ref="B7097:J7097"/>
    <mergeCell ref="A7098:B7099"/>
    <mergeCell ref="H7098:H7099"/>
    <mergeCell ref="I7098:N7114"/>
    <mergeCell ref="A7100:A7103"/>
    <mergeCell ref="B7116:J7116"/>
    <mergeCell ref="B7127:J7127"/>
    <mergeCell ref="L7127:M7127"/>
    <mergeCell ref="L7228:M7228"/>
    <mergeCell ref="A7158:B7159"/>
    <mergeCell ref="B7426:J7426"/>
    <mergeCell ref="A7336:B7337"/>
    <mergeCell ref="L7426:M7426"/>
    <mergeCell ref="A7427:B7428"/>
    <mergeCell ref="H7427:H7428"/>
    <mergeCell ref="A6559:A6560"/>
    <mergeCell ref="A6598:A6599"/>
    <mergeCell ref="A5961:A5964"/>
    <mergeCell ref="A6001:A6004"/>
    <mergeCell ref="A6318:G6318"/>
    <mergeCell ref="A6319:G6319"/>
    <mergeCell ref="B6284:J6284"/>
    <mergeCell ref="A6622:G6622"/>
    <mergeCell ref="A6623:G6623"/>
    <mergeCell ref="A6624:G6624"/>
    <mergeCell ref="A8114:A8116"/>
    <mergeCell ref="B8034:J8034"/>
    <mergeCell ref="A7134:G7134"/>
    <mergeCell ref="A7135:G7135"/>
    <mergeCell ref="L7324:M7324"/>
    <mergeCell ref="A7325:B7326"/>
    <mergeCell ref="H7325:H7326"/>
    <mergeCell ref="A7406:G7406"/>
    <mergeCell ref="A7407:G7407"/>
    <mergeCell ref="A7399:A7403"/>
    <mergeCell ref="A7352:A7353"/>
    <mergeCell ref="A7314:B7315"/>
    <mergeCell ref="A7354:G7354"/>
    <mergeCell ref="B7358:N7358"/>
    <mergeCell ref="A8106:G8106"/>
    <mergeCell ref="H7410:H7411"/>
    <mergeCell ref="I7410:N7424"/>
    <mergeCell ref="A7412:A7416"/>
    <mergeCell ref="A7422:G7422"/>
    <mergeCell ref="A7423:G7423"/>
    <mergeCell ref="A7424:G7424"/>
    <mergeCell ref="A8056:A8058"/>
    <mergeCell ref="A5854:B5855"/>
    <mergeCell ref="H5854:H5855"/>
    <mergeCell ref="I5854:N5863"/>
    <mergeCell ref="A5861:G5861"/>
    <mergeCell ref="A5862:G5862"/>
    <mergeCell ref="A6546:A6547"/>
    <mergeCell ref="A6022:G6022"/>
    <mergeCell ref="H6010:H6011"/>
    <mergeCell ref="I6010:N6022"/>
    <mergeCell ref="B6024:J6024"/>
    <mergeCell ref="L6024:M6024"/>
    <mergeCell ref="A6064:A6067"/>
    <mergeCell ref="A5992:G5992"/>
    <mergeCell ref="A6411:B6412"/>
    <mergeCell ref="H6411:H6412"/>
    <mergeCell ref="I6411:N6418"/>
    <mergeCell ref="A6413:A6415"/>
    <mergeCell ref="B6450:N6450"/>
    <mergeCell ref="A6473:G6473"/>
    <mergeCell ref="B6475:J6475"/>
    <mergeCell ref="L6529:M6529"/>
    <mergeCell ref="A5880:A5881"/>
    <mergeCell ref="A5866:B5867"/>
    <mergeCell ref="H5866:H5867"/>
    <mergeCell ref="I5866:N5873"/>
    <mergeCell ref="I6441:N6448"/>
    <mergeCell ref="A6443:A6445"/>
    <mergeCell ref="A6446:G6446"/>
    <mergeCell ref="A6447:G6447"/>
    <mergeCell ref="A6448:G6448"/>
    <mergeCell ref="A5912:G5912"/>
    <mergeCell ref="B6420:J6420"/>
    <mergeCell ref="H5744:H5745"/>
    <mergeCell ref="B5761:J5761"/>
    <mergeCell ref="A5730:A5732"/>
    <mergeCell ref="L5727:M5727"/>
    <mergeCell ref="A5728:B5729"/>
    <mergeCell ref="A5863:G5863"/>
    <mergeCell ref="B5915:J5915"/>
    <mergeCell ref="L5915:M5915"/>
    <mergeCell ref="A5916:B5917"/>
    <mergeCell ref="H5916:H5917"/>
    <mergeCell ref="I5916:N5930"/>
    <mergeCell ref="A5918:A5921"/>
    <mergeCell ref="A5928:G5928"/>
    <mergeCell ref="A5929:G5929"/>
    <mergeCell ref="A5930:G5930"/>
    <mergeCell ref="A5868:A5870"/>
    <mergeCell ref="A5871:G5871"/>
    <mergeCell ref="A5872:G5872"/>
    <mergeCell ref="A5873:G5873"/>
    <mergeCell ref="B5875:J5875"/>
    <mergeCell ref="L5875:M5875"/>
    <mergeCell ref="A5876:B5877"/>
    <mergeCell ref="H5876:H5877"/>
    <mergeCell ref="I5876:N5884"/>
    <mergeCell ref="A5882:G5882"/>
    <mergeCell ref="A5883:G5883"/>
    <mergeCell ref="A5884:G5884"/>
    <mergeCell ref="A5814:B5815"/>
    <mergeCell ref="H5814:H5815"/>
    <mergeCell ref="I5814:N5825"/>
    <mergeCell ref="A5823:G5823"/>
    <mergeCell ref="A5824:G5824"/>
    <mergeCell ref="H5828:H5829"/>
    <mergeCell ref="I5828:N5839"/>
    <mergeCell ref="A5838:G5838"/>
    <mergeCell ref="A6807:G6807"/>
    <mergeCell ref="A6808:G6808"/>
    <mergeCell ref="A6809:G6809"/>
    <mergeCell ref="B2556:J2556"/>
    <mergeCell ref="L2556:M2556"/>
    <mergeCell ref="I2557:N2565"/>
    <mergeCell ref="A2563:G2563"/>
    <mergeCell ref="A2564:G2564"/>
    <mergeCell ref="A2565:G2565"/>
    <mergeCell ref="B2567:J2567"/>
    <mergeCell ref="L2567:M2567"/>
    <mergeCell ref="I2568:N2611"/>
    <mergeCell ref="A2609:G2609"/>
    <mergeCell ref="A2610:G2610"/>
    <mergeCell ref="A2611:G2611"/>
    <mergeCell ref="B2613:J2613"/>
    <mergeCell ref="L2613:M2613"/>
    <mergeCell ref="A5809:G5809"/>
    <mergeCell ref="A5810:G5810"/>
    <mergeCell ref="I5788:N5798"/>
    <mergeCell ref="A5796:G5796"/>
    <mergeCell ref="A5913:G5913"/>
    <mergeCell ref="A5914:G5914"/>
    <mergeCell ref="A5903:G5903"/>
    <mergeCell ref="A5904:G5904"/>
    <mergeCell ref="B5865:J5865"/>
    <mergeCell ref="L5865:M5865"/>
    <mergeCell ref="B5813:J5813"/>
    <mergeCell ref="L5813:M5813"/>
    <mergeCell ref="A5839:G5839"/>
    <mergeCell ref="B5841:J5841"/>
    <mergeCell ref="L5841:M5841"/>
    <mergeCell ref="A5666:A5667"/>
    <mergeCell ref="A5672:G5672"/>
    <mergeCell ref="A5673:G5673"/>
    <mergeCell ref="A5692:G5692"/>
    <mergeCell ref="A5693:G5693"/>
    <mergeCell ref="H5678:H5679"/>
    <mergeCell ref="A5689:A5691"/>
    <mergeCell ref="A5339:A5340"/>
    <mergeCell ref="A5350:A5351"/>
    <mergeCell ref="I5609:N5617"/>
    <mergeCell ref="A5611:A5612"/>
    <mergeCell ref="L5769:M5769"/>
    <mergeCell ref="A5770:B5771"/>
    <mergeCell ref="H5770:H5771"/>
    <mergeCell ref="I5770:N5776"/>
    <mergeCell ref="L5761:M5761"/>
    <mergeCell ref="A5762:B5763"/>
    <mergeCell ref="H5762:H5763"/>
    <mergeCell ref="A5755:A5756"/>
    <mergeCell ref="A5757:G5757"/>
    <mergeCell ref="A5758:G5758"/>
    <mergeCell ref="A5759:G5759"/>
    <mergeCell ref="A5719:B5720"/>
    <mergeCell ref="H5719:H5720"/>
    <mergeCell ref="I5719:N5725"/>
    <mergeCell ref="A5721:A5722"/>
    <mergeCell ref="A5723:G5723"/>
    <mergeCell ref="A5724:G5724"/>
    <mergeCell ref="A5725:G5725"/>
    <mergeCell ref="A5842:B5843"/>
    <mergeCell ref="H5842:H5843"/>
    <mergeCell ref="I5842:N5851"/>
    <mergeCell ref="A5849:G5849"/>
    <mergeCell ref="A5850:G5850"/>
    <mergeCell ref="A5851:G5851"/>
    <mergeCell ref="A7000:G7000"/>
    <mergeCell ref="B6735:N6735"/>
    <mergeCell ref="B6736:J6736"/>
    <mergeCell ref="L6736:M6736"/>
    <mergeCell ref="A6707:B6708"/>
    <mergeCell ref="H6707:H6708"/>
    <mergeCell ref="I6707:N6713"/>
    <mergeCell ref="A6709:A6710"/>
    <mergeCell ref="A6711:G6711"/>
    <mergeCell ref="A6289:G6289"/>
    <mergeCell ref="A6290:G6290"/>
    <mergeCell ref="A6291:G6291"/>
    <mergeCell ref="B6293:J6293"/>
    <mergeCell ref="B5853:J5853"/>
    <mergeCell ref="A6313:B6314"/>
    <mergeCell ref="H6313:H6314"/>
    <mergeCell ref="A6744:G6744"/>
    <mergeCell ref="B6746:J6746"/>
    <mergeCell ref="L6746:M6746"/>
    <mergeCell ref="A6747:B6748"/>
    <mergeCell ref="H6747:H6748"/>
    <mergeCell ref="I6313:N6319"/>
    <mergeCell ref="I5906:N5914"/>
    <mergeCell ref="L6284:M6284"/>
    <mergeCell ref="A6441:B6442"/>
    <mergeCell ref="H6441:H6442"/>
    <mergeCell ref="A5674:G5674"/>
    <mergeCell ref="A5668:A5669"/>
    <mergeCell ref="B2649:J2649"/>
    <mergeCell ref="A2667:G2667"/>
    <mergeCell ref="A2668:G2668"/>
    <mergeCell ref="A2669:G2669"/>
    <mergeCell ref="L2724:M2724"/>
    <mergeCell ref="A5438:A5439"/>
    <mergeCell ref="A5585:A5586"/>
    <mergeCell ref="A5598:A5599"/>
    <mergeCell ref="A5353:G5353"/>
    <mergeCell ref="A5354:G5354"/>
    <mergeCell ref="B5356:J5356"/>
    <mergeCell ref="L5356:M5356"/>
    <mergeCell ref="H5609:H5610"/>
    <mergeCell ref="A5615:G5615"/>
    <mergeCell ref="L5334:M5334"/>
    <mergeCell ref="A5335:B5336"/>
    <mergeCell ref="H5335:H5336"/>
    <mergeCell ref="I5335:N5343"/>
    <mergeCell ref="A5348:A5349"/>
    <mergeCell ref="A5352:G5352"/>
    <mergeCell ref="A5337:A5338"/>
    <mergeCell ref="A5341:G5341"/>
    <mergeCell ref="A5342:G5342"/>
    <mergeCell ref="A5588:G5588"/>
    <mergeCell ref="B5663:J5663"/>
    <mergeCell ref="L5663:M5663"/>
    <mergeCell ref="H5642:H5643"/>
    <mergeCell ref="I5642:N5650"/>
    <mergeCell ref="A5644:A5645"/>
    <mergeCell ref="A5648:G5648"/>
    <mergeCell ref="A5664:B5665"/>
    <mergeCell ref="H5664:H5665"/>
    <mergeCell ref="I5664:N5674"/>
    <mergeCell ref="B5222:J5222"/>
    <mergeCell ref="A2685:G2685"/>
    <mergeCell ref="B2687:J2687"/>
    <mergeCell ref="L2687:M2687"/>
    <mergeCell ref="A2688:B2689"/>
    <mergeCell ref="B2724:J2724"/>
    <mergeCell ref="A5192:G5192"/>
    <mergeCell ref="A5193:G5193"/>
    <mergeCell ref="A5142:G5142"/>
    <mergeCell ref="A5318:G5318"/>
    <mergeCell ref="H5296:H5297"/>
    <mergeCell ref="I5296:N5306"/>
    <mergeCell ref="A5298:A5299"/>
    <mergeCell ref="A5304:G5304"/>
    <mergeCell ref="A5305:G5305"/>
    <mergeCell ref="A5141:G5141"/>
    <mergeCell ref="A5148:G5148"/>
    <mergeCell ref="L5168:M5168"/>
    <mergeCell ref="A5169:B5170"/>
    <mergeCell ref="A5207:A5208"/>
    <mergeCell ref="A5209:G5209"/>
    <mergeCell ref="A5210:G5210"/>
    <mergeCell ref="A5211:G5211"/>
    <mergeCell ref="B3008:J3008"/>
    <mergeCell ref="L3008:M3008"/>
    <mergeCell ref="A3009:A3011"/>
    <mergeCell ref="I3009:N3014"/>
    <mergeCell ref="A3012:G3012"/>
    <mergeCell ref="A3013:G3013"/>
    <mergeCell ref="A3014:G3014"/>
    <mergeCell ref="A3037:A3038"/>
    <mergeCell ref="L5222:M5222"/>
    <mergeCell ref="A5223:B5224"/>
    <mergeCell ref="A5776:G5776"/>
    <mergeCell ref="I5762:N5768"/>
    <mergeCell ref="A5764:A5765"/>
    <mergeCell ref="A5766:G5766"/>
    <mergeCell ref="A5767:G5767"/>
    <mergeCell ref="A5768:G5768"/>
    <mergeCell ref="A5825:G5825"/>
    <mergeCell ref="A5753:B5754"/>
    <mergeCell ref="I5678:N5694"/>
    <mergeCell ref="A5680:A5682"/>
    <mergeCell ref="A5683:A5685"/>
    <mergeCell ref="B5752:J5752"/>
    <mergeCell ref="L5752:M5752"/>
    <mergeCell ref="A5694:G5694"/>
    <mergeCell ref="H5753:H5754"/>
    <mergeCell ref="I5753:N5759"/>
    <mergeCell ref="A5801:B5802"/>
    <mergeCell ref="H5801:H5802"/>
    <mergeCell ref="I5801:N5811"/>
    <mergeCell ref="A5811:G5811"/>
    <mergeCell ref="B5786:N5786"/>
    <mergeCell ref="B5787:J5787"/>
    <mergeCell ref="L5787:M5787"/>
    <mergeCell ref="A5788:B5789"/>
    <mergeCell ref="H5788:H5789"/>
    <mergeCell ref="A5686:A5688"/>
    <mergeCell ref="A5797:G5797"/>
    <mergeCell ref="A5798:G5798"/>
    <mergeCell ref="B5800:J5800"/>
    <mergeCell ref="L5800:M5800"/>
    <mergeCell ref="A5736:A5738"/>
    <mergeCell ref="A5739:G5739"/>
    <mergeCell ref="L5591:M5591"/>
    <mergeCell ref="A5746:A5747"/>
    <mergeCell ref="A5748:G5748"/>
    <mergeCell ref="A5749:G5749"/>
    <mergeCell ref="A5750:G5750"/>
    <mergeCell ref="L5696:M5696"/>
    <mergeCell ref="B2635:J2635"/>
    <mergeCell ref="L2635:M2635"/>
    <mergeCell ref="A2636:B2637"/>
    <mergeCell ref="H2636:H2637"/>
    <mergeCell ref="I2636:N2647"/>
    <mergeCell ref="A2725:B2726"/>
    <mergeCell ref="H2725:H2726"/>
    <mergeCell ref="I2725:N2733"/>
    <mergeCell ref="A2731:G2731"/>
    <mergeCell ref="A2732:G2732"/>
    <mergeCell ref="A2733:G2733"/>
    <mergeCell ref="B2671:J2671"/>
    <mergeCell ref="L2671:M2671"/>
    <mergeCell ref="A2672:B2673"/>
    <mergeCell ref="H2672:H2673"/>
    <mergeCell ref="A5251:G5251"/>
    <mergeCell ref="A4986:A4989"/>
    <mergeCell ref="A5001:A5002"/>
    <mergeCell ref="A5015:A5018"/>
    <mergeCell ref="B5054:J5054"/>
    <mergeCell ref="L5054:M5054"/>
    <mergeCell ref="A5055:B5055"/>
    <mergeCell ref="L5677:M5677"/>
    <mergeCell ref="A5678:B5679"/>
    <mergeCell ref="A1147:A1148"/>
    <mergeCell ref="A1302:A1303"/>
    <mergeCell ref="A1305:A1307"/>
    <mergeCell ref="A1365:A1367"/>
    <mergeCell ref="B1365:B1366"/>
    <mergeCell ref="A1397:A1399"/>
    <mergeCell ref="A1400:A1404"/>
    <mergeCell ref="A1449:A1450"/>
    <mergeCell ref="A1507:A1508"/>
    <mergeCell ref="A1573:A1583"/>
    <mergeCell ref="A1698:A1699"/>
    <mergeCell ref="A1729:A1731"/>
    <mergeCell ref="A1733:A1735"/>
    <mergeCell ref="A1823:A1824"/>
    <mergeCell ref="A1826:A1828"/>
    <mergeCell ref="A1961:A1962"/>
    <mergeCell ref="A1958:A1960"/>
    <mergeCell ref="A1914:G1914"/>
    <mergeCell ref="A1915:N1915"/>
    <mergeCell ref="B1916:J1916"/>
    <mergeCell ref="L1916:M1916"/>
    <mergeCell ref="A1917:B1918"/>
    <mergeCell ref="H1917:H1918"/>
    <mergeCell ref="A1857:A1875"/>
    <mergeCell ref="A1876:A1893"/>
    <mergeCell ref="A1153:A1154"/>
    <mergeCell ref="A1835:B1836"/>
    <mergeCell ref="H1835:H1836"/>
    <mergeCell ref="I1835:N1914"/>
    <mergeCell ref="A1837:A1842"/>
    <mergeCell ref="A1843:A1848"/>
    <mergeCell ref="A1849:A1856"/>
    <mergeCell ref="B5591:J5591"/>
    <mergeCell ref="I2614:N2624"/>
    <mergeCell ref="A2622:G2622"/>
    <mergeCell ref="A2623:G2623"/>
    <mergeCell ref="A2624:G2624"/>
    <mergeCell ref="B2634:N2634"/>
    <mergeCell ref="B6302:J6302"/>
    <mergeCell ref="L6302:M6302"/>
    <mergeCell ref="A6303:B6304"/>
    <mergeCell ref="H6303:H6304"/>
    <mergeCell ref="I6303:N6310"/>
    <mergeCell ref="A6308:G6308"/>
    <mergeCell ref="A6309:G6309"/>
    <mergeCell ref="A6310:G6310"/>
    <mergeCell ref="B6312:J6312"/>
    <mergeCell ref="L6312:M6312"/>
    <mergeCell ref="L5895:M5895"/>
    <mergeCell ref="A5896:B5897"/>
    <mergeCell ref="H5896:H5897"/>
    <mergeCell ref="I5896:N5904"/>
    <mergeCell ref="A5898:A5901"/>
    <mergeCell ref="A5902:G5902"/>
    <mergeCell ref="A5933:B5934"/>
    <mergeCell ref="H5933:H5934"/>
    <mergeCell ref="I5933:N5947"/>
    <mergeCell ref="L5853:M5853"/>
    <mergeCell ref="B5905:J5905"/>
    <mergeCell ref="L5905:M5905"/>
    <mergeCell ref="A5906:B5907"/>
    <mergeCell ref="H5906:H5907"/>
    <mergeCell ref="A5828:B5829"/>
    <mergeCell ref="A5600:A5601"/>
    <mergeCell ref="B5769:J5769"/>
    <mergeCell ref="L6430:M6430"/>
    <mergeCell ref="A6431:B6432"/>
    <mergeCell ref="A5837:G5837"/>
    <mergeCell ref="A5965:A5968"/>
    <mergeCell ref="A6045:A6046"/>
    <mergeCell ref="A6068:A6071"/>
    <mergeCell ref="A6154:A6157"/>
    <mergeCell ref="A6167:A6168"/>
    <mergeCell ref="B5885:J5885"/>
    <mergeCell ref="L5885:M5885"/>
    <mergeCell ref="A5886:B5887"/>
    <mergeCell ref="H5886:H5887"/>
    <mergeCell ref="I5886:N5894"/>
    <mergeCell ref="A5892:G5892"/>
    <mergeCell ref="A5893:G5893"/>
    <mergeCell ref="A5894:G5894"/>
    <mergeCell ref="B5895:J5895"/>
    <mergeCell ref="A6345:G6345"/>
    <mergeCell ref="A6346:G6346"/>
    <mergeCell ref="B6348:J6348"/>
    <mergeCell ref="L6348:M6348"/>
    <mergeCell ref="A6349:B6350"/>
    <mergeCell ref="B6400:J6400"/>
    <mergeCell ref="L6400:M6400"/>
    <mergeCell ref="B6430:J6430"/>
    <mergeCell ref="A5908:A5911"/>
    <mergeCell ref="A5772:A5773"/>
    <mergeCell ref="A5774:G5774"/>
    <mergeCell ref="A5775:G5775"/>
    <mergeCell ref="B6706:J6706"/>
    <mergeCell ref="L6706:M6706"/>
    <mergeCell ref="A6718:A6719"/>
    <mergeCell ref="A6720:G6720"/>
    <mergeCell ref="A6721:G6721"/>
    <mergeCell ref="A6722:G6722"/>
    <mergeCell ref="A6712:G6712"/>
    <mergeCell ref="A6713:G6713"/>
    <mergeCell ref="B6715:J6715"/>
    <mergeCell ref="L6715:M6715"/>
    <mergeCell ref="B7081:J7081"/>
    <mergeCell ref="I6747:N6759"/>
    <mergeCell ref="A6749:A6751"/>
    <mergeCell ref="A6757:G6757"/>
    <mergeCell ref="I6737:N6744"/>
    <mergeCell ref="A6733:G6733"/>
    <mergeCell ref="A7054:A7057"/>
    <mergeCell ref="B7028:J7028"/>
    <mergeCell ref="L7028:M7028"/>
    <mergeCell ref="A7029:B7030"/>
    <mergeCell ref="H7029:H7030"/>
    <mergeCell ref="A6824:A6826"/>
    <mergeCell ref="B6974:J6974"/>
    <mergeCell ref="L6974:M6974"/>
    <mergeCell ref="A7069:A7072"/>
    <mergeCell ref="A7021:A7023"/>
    <mergeCell ref="A7024:G7024"/>
    <mergeCell ref="A7025:G7025"/>
    <mergeCell ref="A7026:G7026"/>
    <mergeCell ref="A6963:G6963"/>
    <mergeCell ref="I6772:N6779"/>
    <mergeCell ref="A6774:A6776"/>
    <mergeCell ref="A8494:B8495"/>
    <mergeCell ref="H8494:H8495"/>
    <mergeCell ref="I8494:N8500"/>
    <mergeCell ref="A8498:G8498"/>
    <mergeCell ref="A8499:G8499"/>
    <mergeCell ref="A8500:G8500"/>
    <mergeCell ref="A6975:B6976"/>
    <mergeCell ref="A7794:G7794"/>
    <mergeCell ref="A7795:G7795"/>
    <mergeCell ref="A7796:G7796"/>
    <mergeCell ref="A7706:A7711"/>
    <mergeCell ref="A7725:G7725"/>
    <mergeCell ref="A7634:G7634"/>
    <mergeCell ref="A7635:G7635"/>
    <mergeCell ref="I7496:N7518"/>
    <mergeCell ref="A7892:A7894"/>
    <mergeCell ref="A7895:A7897"/>
    <mergeCell ref="B7944:J7944"/>
    <mergeCell ref="L7944:M7944"/>
    <mergeCell ref="A7945:B7946"/>
    <mergeCell ref="H7945:H7946"/>
    <mergeCell ref="L7703:M7703"/>
    <mergeCell ref="A7704:B7705"/>
    <mergeCell ref="A7332:G7332"/>
    <mergeCell ref="A7333:G7333"/>
    <mergeCell ref="B7335:J7335"/>
    <mergeCell ref="A8062:G8062"/>
    <mergeCell ref="A8063:G8063"/>
    <mergeCell ref="L7335:M7335"/>
    <mergeCell ref="A7367:A7370"/>
    <mergeCell ref="A7371:A7382"/>
    <mergeCell ref="B7409:J7409"/>
    <mergeCell ref="A6669:A6670"/>
    <mergeCell ref="L7778:M7778"/>
    <mergeCell ref="A7779:B7780"/>
    <mergeCell ref="H8015:H8016"/>
    <mergeCell ref="A7518:G7518"/>
    <mergeCell ref="A7712:A7717"/>
    <mergeCell ref="A7751:A7756"/>
    <mergeCell ref="A6827:G6827"/>
    <mergeCell ref="A6828:G6828"/>
    <mergeCell ref="I6698:N6704"/>
    <mergeCell ref="A6700:A6701"/>
    <mergeCell ref="A6702:G6702"/>
    <mergeCell ref="A6703:G6703"/>
    <mergeCell ref="A6704:G6704"/>
    <mergeCell ref="A6509:G6509"/>
    <mergeCell ref="I7360:N7389"/>
    <mergeCell ref="A6829:G6829"/>
    <mergeCell ref="B6851:J6851"/>
    <mergeCell ref="H6852:H6853"/>
    <mergeCell ref="I6984:N6991"/>
    <mergeCell ref="A6986:A6988"/>
    <mergeCell ref="A6989:G6989"/>
    <mergeCell ref="A6990:G6990"/>
    <mergeCell ref="A6991:G6991"/>
    <mergeCell ref="A6858:G6858"/>
    <mergeCell ref="A6859:G6859"/>
    <mergeCell ref="A6860:G6860"/>
    <mergeCell ref="B6862:J6862"/>
    <mergeCell ref="L6862:M6862"/>
    <mergeCell ref="B6831:J6831"/>
    <mergeCell ref="L6831:M6831"/>
    <mergeCell ref="A7300:B7301"/>
    <mergeCell ref="H7336:H7337"/>
    <mergeCell ref="A6755:A6756"/>
    <mergeCell ref="B7324:J7324"/>
    <mergeCell ref="A7113:G7113"/>
    <mergeCell ref="I7325:N7333"/>
    <mergeCell ref="A7327:A7328"/>
    <mergeCell ref="A7329:A7330"/>
    <mergeCell ref="A7331:G7331"/>
    <mergeCell ref="A6782:B6783"/>
    <mergeCell ref="H6782:H6783"/>
    <mergeCell ref="I6782:N6789"/>
    <mergeCell ref="A6784:A6786"/>
    <mergeCell ref="A6787:G6787"/>
    <mergeCell ref="A6788:G6788"/>
    <mergeCell ref="A6789:G6789"/>
    <mergeCell ref="I7219:N7226"/>
    <mergeCell ref="A7221:A7223"/>
    <mergeCell ref="A7224:G7224"/>
    <mergeCell ref="A7225:G7225"/>
    <mergeCell ref="A7226:G7226"/>
    <mergeCell ref="B7228:J7228"/>
    <mergeCell ref="A7229:B7230"/>
    <mergeCell ref="H7229:H7230"/>
    <mergeCell ref="I7229:N7236"/>
    <mergeCell ref="A7104:A7107"/>
    <mergeCell ref="A7316:A7319"/>
    <mergeCell ref="A7320:G7320"/>
    <mergeCell ref="A7321:G7321"/>
    <mergeCell ref="A7322:G7322"/>
    <mergeCell ref="L7097:M7097"/>
    <mergeCell ref="B7188:J7188"/>
    <mergeCell ref="A7231:A7233"/>
    <mergeCell ref="B8627:J8627"/>
    <mergeCell ref="L8627:M8627"/>
    <mergeCell ref="A8072:A8074"/>
    <mergeCell ref="B8466:J8466"/>
    <mergeCell ref="L8466:M8466"/>
    <mergeCell ref="A6401:B6402"/>
    <mergeCell ref="H6401:H6402"/>
    <mergeCell ref="I6401:N6408"/>
    <mergeCell ref="A6403:A6405"/>
    <mergeCell ref="B8521:J8521"/>
    <mergeCell ref="L8521:M8521"/>
    <mergeCell ref="A8557:A8567"/>
    <mergeCell ref="I8535:M8535"/>
    <mergeCell ref="I8536:M8536"/>
    <mergeCell ref="I8537:M8537"/>
    <mergeCell ref="B8484:J8484"/>
    <mergeCell ref="L8484:M8484"/>
    <mergeCell ref="A8485:B8486"/>
    <mergeCell ref="H8485:H8486"/>
    <mergeCell ref="I8485:N8491"/>
    <mergeCell ref="A8489:G8489"/>
    <mergeCell ref="A7410:B7411"/>
    <mergeCell ref="B6440:J6440"/>
    <mergeCell ref="L6440:M6440"/>
    <mergeCell ref="I8541:M8541"/>
    <mergeCell ref="A7362:A7366"/>
    <mergeCell ref="L8034:M8034"/>
    <mergeCell ref="A8035:B8036"/>
    <mergeCell ref="A8490:G8490"/>
    <mergeCell ref="A8491:G8491"/>
    <mergeCell ref="B8493:J8493"/>
    <mergeCell ref="L8493:M8493"/>
    <mergeCell ref="A8628:B8629"/>
    <mergeCell ref="H8628:H8629"/>
    <mergeCell ref="I8628:N8634"/>
    <mergeCell ref="A8632:G8632"/>
    <mergeCell ref="A8633:G8633"/>
    <mergeCell ref="A8634:G8634"/>
    <mergeCell ref="B8531:J8531"/>
    <mergeCell ref="L8531:M8531"/>
    <mergeCell ref="A8532:B8533"/>
    <mergeCell ref="H8532:H8533"/>
    <mergeCell ref="A8534:A8545"/>
    <mergeCell ref="A8605:G8605"/>
    <mergeCell ref="A8606:G8606"/>
    <mergeCell ref="A8607:G8607"/>
    <mergeCell ref="I8538:M8538"/>
    <mergeCell ref="I8539:M8539"/>
    <mergeCell ref="I8540:M8540"/>
    <mergeCell ref="A8568:A8578"/>
    <mergeCell ref="A8546:A8556"/>
    <mergeCell ref="I8542:M8542"/>
    <mergeCell ref="I8543:M8543"/>
    <mergeCell ref="I8544:M8544"/>
    <mergeCell ref="I8534:M8534"/>
    <mergeCell ref="A8579:A8591"/>
    <mergeCell ref="B8618:J8618"/>
    <mergeCell ref="L8618:M8618"/>
    <mergeCell ref="A8619:B8620"/>
    <mergeCell ref="H8619:H8620"/>
    <mergeCell ref="I8619:N8625"/>
    <mergeCell ref="A8623:G8623"/>
    <mergeCell ref="A8624:G8624"/>
    <mergeCell ref="A8625:G8625"/>
    <mergeCell ref="B8636:J8636"/>
    <mergeCell ref="L8636:M8636"/>
    <mergeCell ref="A8637:B8638"/>
    <mergeCell ref="H8637:H8638"/>
    <mergeCell ref="I8637:N8643"/>
    <mergeCell ref="A8641:G8641"/>
    <mergeCell ref="A8642:G8642"/>
    <mergeCell ref="A8643:G8643"/>
    <mergeCell ref="B8645:J8645"/>
    <mergeCell ref="L8645:M8645"/>
    <mergeCell ref="A8646:B8647"/>
    <mergeCell ref="H8646:H8647"/>
    <mergeCell ref="I8646:N8652"/>
    <mergeCell ref="A8650:G8650"/>
    <mergeCell ref="A8651:G8651"/>
    <mergeCell ref="A8652:G8652"/>
    <mergeCell ref="B8654:J8654"/>
    <mergeCell ref="L8654:M8654"/>
    <mergeCell ref="A8655:B8656"/>
    <mergeCell ref="H8655:H8656"/>
    <mergeCell ref="I8655:N8661"/>
    <mergeCell ref="A8659:G8659"/>
    <mergeCell ref="A8660:G8660"/>
    <mergeCell ref="A8661:G8661"/>
    <mergeCell ref="B8663:J8663"/>
    <mergeCell ref="L8663:M8663"/>
    <mergeCell ref="A8664:B8665"/>
    <mergeCell ref="H8664:H8665"/>
    <mergeCell ref="I8664:N8676"/>
    <mergeCell ref="A8674:G8674"/>
    <mergeCell ref="A8675:G8675"/>
    <mergeCell ref="A8676:G8676"/>
    <mergeCell ref="B8678:J8678"/>
    <mergeCell ref="L8678:M8678"/>
    <mergeCell ref="A8679:B8680"/>
    <mergeCell ref="H8679:H8680"/>
    <mergeCell ref="I8679:N8685"/>
    <mergeCell ref="A8683:G8683"/>
    <mergeCell ref="A8684:G8684"/>
    <mergeCell ref="A8685:G8685"/>
    <mergeCell ref="A8721:G8721"/>
    <mergeCell ref="B8723:J8723"/>
    <mergeCell ref="L8723:M8723"/>
    <mergeCell ref="A8724:B8725"/>
    <mergeCell ref="H8724:H8725"/>
    <mergeCell ref="I8724:N8730"/>
    <mergeCell ref="A8728:G8728"/>
    <mergeCell ref="A8729:G8729"/>
    <mergeCell ref="A8730:G8730"/>
    <mergeCell ref="B8687:J8687"/>
    <mergeCell ref="L8687:M8687"/>
    <mergeCell ref="A8688:B8689"/>
    <mergeCell ref="H8688:H8689"/>
    <mergeCell ref="I8688:N8694"/>
    <mergeCell ref="A8692:G8692"/>
    <mergeCell ref="A8693:G8693"/>
    <mergeCell ref="A8694:G8694"/>
    <mergeCell ref="B8696:J8696"/>
    <mergeCell ref="L8696:M8696"/>
    <mergeCell ref="A8697:B8698"/>
    <mergeCell ref="H8697:H8698"/>
    <mergeCell ref="I8697:N8703"/>
    <mergeCell ref="A8701:G8701"/>
    <mergeCell ref="A8702:G8702"/>
    <mergeCell ref="A8703:G8703"/>
    <mergeCell ref="B8705:J8705"/>
    <mergeCell ref="L8705:M8705"/>
    <mergeCell ref="B8732:J8732"/>
    <mergeCell ref="L8732:M8732"/>
    <mergeCell ref="A8733:B8734"/>
    <mergeCell ref="H8733:H8734"/>
    <mergeCell ref="I8733:N8739"/>
    <mergeCell ref="A8737:G8737"/>
    <mergeCell ref="A8738:G8738"/>
    <mergeCell ref="A8739:G8739"/>
    <mergeCell ref="B8741:J8741"/>
    <mergeCell ref="L8741:M8741"/>
    <mergeCell ref="A8742:B8743"/>
    <mergeCell ref="H8742:H8743"/>
    <mergeCell ref="I8742:N8748"/>
    <mergeCell ref="A8746:G8746"/>
    <mergeCell ref="A8747:G8747"/>
    <mergeCell ref="A8748:G8748"/>
    <mergeCell ref="A8648:A8649"/>
    <mergeCell ref="A8657:A8658"/>
    <mergeCell ref="A8666:A8673"/>
    <mergeCell ref="A8706:B8707"/>
    <mergeCell ref="H8706:H8707"/>
    <mergeCell ref="I8706:N8712"/>
    <mergeCell ref="A8710:G8710"/>
    <mergeCell ref="A8711:G8711"/>
    <mergeCell ref="A8712:G8712"/>
    <mergeCell ref="B8714:J8714"/>
    <mergeCell ref="L8714:M8714"/>
    <mergeCell ref="A8715:B8716"/>
    <mergeCell ref="H8715:H8716"/>
    <mergeCell ref="I8715:N8721"/>
    <mergeCell ref="A8719:G8719"/>
    <mergeCell ref="A8720:G8720"/>
    <mergeCell ref="A6421:B6422"/>
    <mergeCell ref="H6421:H6422"/>
    <mergeCell ref="I6421:N6428"/>
    <mergeCell ref="A6423:A6425"/>
    <mergeCell ref="A6426:G6426"/>
    <mergeCell ref="A6427:G6427"/>
    <mergeCell ref="A6428:G6428"/>
    <mergeCell ref="I6322:N6328"/>
    <mergeCell ref="A6326:G6326"/>
    <mergeCell ref="A6327:G6327"/>
    <mergeCell ref="A6328:G6328"/>
    <mergeCell ref="B6330:J6330"/>
    <mergeCell ref="L6330:M6330"/>
    <mergeCell ref="A6331:B6332"/>
    <mergeCell ref="H6331:H6332"/>
    <mergeCell ref="I6331:N6337"/>
    <mergeCell ref="A6335:G6335"/>
    <mergeCell ref="A6406:G6406"/>
    <mergeCell ref="A6407:G6407"/>
    <mergeCell ref="A6408:G6408"/>
    <mergeCell ref="B6410:J6410"/>
    <mergeCell ref="B6339:J6339"/>
    <mergeCell ref="L6339:M6339"/>
    <mergeCell ref="A6340:B6341"/>
    <mergeCell ref="H6340:H6341"/>
    <mergeCell ref="I6340:N6346"/>
    <mergeCell ref="A6342:A6343"/>
    <mergeCell ref="A6344:G6344"/>
    <mergeCell ref="H6391:H6392"/>
    <mergeCell ref="B6358:J6358"/>
    <mergeCell ref="L6358:M6358"/>
    <mergeCell ref="B6357:N6357"/>
    <mergeCell ref="B7798:J7798"/>
    <mergeCell ref="I7769:N7776"/>
    <mergeCell ref="A7781:A7783"/>
    <mergeCell ref="A7784:G7784"/>
    <mergeCell ref="A7785:G7785"/>
    <mergeCell ref="A7786:G7786"/>
    <mergeCell ref="B7768:J7768"/>
    <mergeCell ref="L7768:M7768"/>
    <mergeCell ref="A8015:B8016"/>
    <mergeCell ref="I7789:N7796"/>
    <mergeCell ref="A7791:A7793"/>
    <mergeCell ref="I8015:N8022"/>
    <mergeCell ref="A8020:G8020"/>
    <mergeCell ref="A8021:G8021"/>
    <mergeCell ref="A8022:G8022"/>
    <mergeCell ref="A7799:B7800"/>
    <mergeCell ref="H7799:H7800"/>
    <mergeCell ref="I7799:N7807"/>
    <mergeCell ref="B7993:J7993"/>
    <mergeCell ref="L7993:M7993"/>
    <mergeCell ref="A7994:B7995"/>
    <mergeCell ref="H7994:H7995"/>
    <mergeCell ref="I7994:N8001"/>
    <mergeCell ref="A7996:A7998"/>
    <mergeCell ref="A7999:G7999"/>
    <mergeCell ref="I7779:N7786"/>
    <mergeCell ref="B7585:J7585"/>
    <mergeCell ref="H7890:H7891"/>
    <mergeCell ref="I7890:N7900"/>
    <mergeCell ref="B7820:J7820"/>
    <mergeCell ref="L7820:M7820"/>
    <mergeCell ref="A7821:B7822"/>
    <mergeCell ref="H7821:H7822"/>
    <mergeCell ref="L7585:M7585"/>
    <mergeCell ref="A7586:B7587"/>
    <mergeCell ref="H7586:H7587"/>
    <mergeCell ref="I7586:N7611"/>
    <mergeCell ref="A7588:A7608"/>
    <mergeCell ref="A7609:G7609"/>
    <mergeCell ref="A7610:G7610"/>
    <mergeCell ref="A7611:G7611"/>
    <mergeCell ref="B7612:J7612"/>
    <mergeCell ref="L7612:M7612"/>
    <mergeCell ref="A7735:A7737"/>
    <mergeCell ref="A7757:A7762"/>
    <mergeCell ref="A7621:G7621"/>
    <mergeCell ref="A7622:G7622"/>
    <mergeCell ref="B7809:J7809"/>
    <mergeCell ref="L7809:M7809"/>
    <mergeCell ref="A7810:B7811"/>
    <mergeCell ref="H7810:H7811"/>
    <mergeCell ref="I7821:N7851"/>
    <mergeCell ref="A7849:G7849"/>
    <mergeCell ref="A7850:G7850"/>
    <mergeCell ref="A7851:G7851"/>
    <mergeCell ref="A7765:G7765"/>
    <mergeCell ref="B7767:N7767"/>
    <mergeCell ref="B2626:J2626"/>
    <mergeCell ref="L2626:M2626"/>
    <mergeCell ref="A2627:A2629"/>
    <mergeCell ref="I2627:N2632"/>
    <mergeCell ref="A2630:G2630"/>
    <mergeCell ref="A2631:G2631"/>
    <mergeCell ref="A2632:G2632"/>
    <mergeCell ref="A2607:A2608"/>
    <mergeCell ref="B2735:J2735"/>
    <mergeCell ref="L2735:M2735"/>
    <mergeCell ref="A2736:B2737"/>
    <mergeCell ref="H2736:H2737"/>
    <mergeCell ref="I2736:N2746"/>
    <mergeCell ref="A2744:G2744"/>
    <mergeCell ref="A2745:G2745"/>
    <mergeCell ref="A2746:G2746"/>
    <mergeCell ref="A2738:A2743"/>
    <mergeCell ref="A2645:G2645"/>
    <mergeCell ref="A2646:G2646"/>
    <mergeCell ref="A2647:G2647"/>
    <mergeCell ref="H2688:H2689"/>
    <mergeCell ref="I2688:N2722"/>
    <mergeCell ref="A2720:G2720"/>
    <mergeCell ref="A2721:G2721"/>
    <mergeCell ref="A2722:G2722"/>
    <mergeCell ref="L2649:M2649"/>
    <mergeCell ref="A2650:B2651"/>
    <mergeCell ref="H2650:H2651"/>
    <mergeCell ref="I2650:N2669"/>
    <mergeCell ref="I2672:N2685"/>
    <mergeCell ref="A2683:G2683"/>
    <mergeCell ref="A2684:G2684"/>
    <mergeCell ref="L7359:M7359"/>
    <mergeCell ref="B7461:J7461"/>
    <mergeCell ref="L7461:M7461"/>
    <mergeCell ref="A7462:B7463"/>
    <mergeCell ref="H7462:H7463"/>
    <mergeCell ref="B6461:J6461"/>
    <mergeCell ref="L6461:M6461"/>
    <mergeCell ref="A6462:B6463"/>
    <mergeCell ref="H6462:H6463"/>
    <mergeCell ref="I6462:N6473"/>
    <mergeCell ref="A6464:A6467"/>
    <mergeCell ref="A6471:G6471"/>
    <mergeCell ref="A6472:G6472"/>
    <mergeCell ref="H6737:H6738"/>
    <mergeCell ref="I7336:N7345"/>
    <mergeCell ref="A7338:A7340"/>
    <mergeCell ref="A7341:A7342"/>
    <mergeCell ref="A7343:G7343"/>
    <mergeCell ref="A7344:G7344"/>
    <mergeCell ref="A7345:G7345"/>
    <mergeCell ref="A7296:G7296"/>
    <mergeCell ref="A7297:G7297"/>
    <mergeCell ref="H7314:H7315"/>
    <mergeCell ref="I7314:N7322"/>
    <mergeCell ref="A7219:B7220"/>
    <mergeCell ref="H7219:H7220"/>
    <mergeCell ref="H7300:H7301"/>
    <mergeCell ref="I7300:N7312"/>
    <mergeCell ref="A6832:B6833"/>
    <mergeCell ref="A6752:A6754"/>
    <mergeCell ref="I6802:N6809"/>
    <mergeCell ref="A6804:A6806"/>
    <mergeCell ref="A7302:A7305"/>
    <mergeCell ref="A7310:G7310"/>
    <mergeCell ref="A7234:G7234"/>
    <mergeCell ref="A7235:G7235"/>
    <mergeCell ref="A7236:G7236"/>
    <mergeCell ref="B7238:J7238"/>
    <mergeCell ref="L7238:M7238"/>
    <mergeCell ref="L7299:M7299"/>
    <mergeCell ref="L7258:M7258"/>
    <mergeCell ref="A7259:B7260"/>
    <mergeCell ref="A7264:G7264"/>
    <mergeCell ref="B7248:J7248"/>
    <mergeCell ref="L7248:M7248"/>
    <mergeCell ref="A7249:B7250"/>
    <mergeCell ref="B7278:N7278"/>
    <mergeCell ref="B7279:N7279"/>
    <mergeCell ref="B7299:J7299"/>
    <mergeCell ref="A7261:A7263"/>
    <mergeCell ref="A7283:A7286"/>
    <mergeCell ref="A7287:A7294"/>
    <mergeCell ref="A7306:A7309"/>
    <mergeCell ref="A7244:G7244"/>
    <mergeCell ref="A7245:G7245"/>
    <mergeCell ref="A7246:G7246"/>
    <mergeCell ref="B7268:J7268"/>
    <mergeCell ref="L7268:M7268"/>
    <mergeCell ref="A7269:B7270"/>
    <mergeCell ref="H7269:H7270"/>
    <mergeCell ref="I7269:N7276"/>
    <mergeCell ref="A7271:A7273"/>
    <mergeCell ref="A7274:G7274"/>
    <mergeCell ref="A7275:G7275"/>
    <mergeCell ref="B6821:J6821"/>
    <mergeCell ref="L6821:M6821"/>
    <mergeCell ref="A6822:B6823"/>
    <mergeCell ref="H6822:H6823"/>
    <mergeCell ref="I6822:N6829"/>
    <mergeCell ref="L6851:M6851"/>
    <mergeCell ref="A6852:B6853"/>
    <mergeCell ref="A6839:G6839"/>
    <mergeCell ref="B6841:J6841"/>
    <mergeCell ref="B6810:N6810"/>
    <mergeCell ref="B6811:J6811"/>
    <mergeCell ref="L6811:M6811"/>
    <mergeCell ref="A6812:B6813"/>
    <mergeCell ref="H6812:H6813"/>
    <mergeCell ref="I6812:N6819"/>
    <mergeCell ref="A6814:A6816"/>
    <mergeCell ref="A6817:G6817"/>
    <mergeCell ref="A6818:G6818"/>
    <mergeCell ref="A6819:G6819"/>
    <mergeCell ref="L6841:M6841"/>
    <mergeCell ref="A6842:B6843"/>
    <mergeCell ref="H6842:H6843"/>
    <mergeCell ref="I6842:N6849"/>
    <mergeCell ref="A6844:A6846"/>
    <mergeCell ref="A6847:G6847"/>
    <mergeCell ref="I7483:N7492"/>
    <mergeCell ref="A7485:A7489"/>
    <mergeCell ref="A7490:G7490"/>
    <mergeCell ref="A7491:G7491"/>
    <mergeCell ref="A7492:G7492"/>
    <mergeCell ref="B7530:J7530"/>
    <mergeCell ref="L7530:M7530"/>
    <mergeCell ref="A7531:B7532"/>
    <mergeCell ref="H7531:H7532"/>
    <mergeCell ref="I7531:N7555"/>
    <mergeCell ref="A7533:A7552"/>
    <mergeCell ref="A7553:G7553"/>
    <mergeCell ref="A7554:G7554"/>
    <mergeCell ref="A7555:G7555"/>
    <mergeCell ref="B7494:N7494"/>
    <mergeCell ref="B7520:J7520"/>
    <mergeCell ref="L7520:M7520"/>
    <mergeCell ref="A7516:G7516"/>
    <mergeCell ref="A7517:G7517"/>
    <mergeCell ref="A7526:G7526"/>
    <mergeCell ref="A7521:B7522"/>
    <mergeCell ref="H7521:H7522"/>
    <mergeCell ref="I7521:N7528"/>
    <mergeCell ref="B7495:J7495"/>
    <mergeCell ref="L7495:M7495"/>
    <mergeCell ref="A7523:A7525"/>
    <mergeCell ref="H7496:H7497"/>
    <mergeCell ref="I7810:N7817"/>
    <mergeCell ref="A7812:A7814"/>
    <mergeCell ref="A7815:G7815"/>
    <mergeCell ref="A7816:G7816"/>
    <mergeCell ref="B7655:J7655"/>
    <mergeCell ref="L7655:M7655"/>
    <mergeCell ref="A7656:B7657"/>
    <mergeCell ref="H7656:H7657"/>
    <mergeCell ref="I7656:N7669"/>
    <mergeCell ref="A7658:A7661"/>
    <mergeCell ref="A7667:G7667"/>
    <mergeCell ref="A7668:G7668"/>
    <mergeCell ref="A7669:G7669"/>
    <mergeCell ref="B7670:J7670"/>
    <mergeCell ref="L7670:M7670"/>
    <mergeCell ref="A7671:B7672"/>
    <mergeCell ref="H7671:H7672"/>
    <mergeCell ref="I7671:N7684"/>
    <mergeCell ref="A7673:A7681"/>
    <mergeCell ref="A7682:G7682"/>
    <mergeCell ref="A7683:G7683"/>
    <mergeCell ref="A7774:G7774"/>
    <mergeCell ref="A7789:B7790"/>
    <mergeCell ref="H7704:H7705"/>
    <mergeCell ref="I7704:N7727"/>
    <mergeCell ref="H7779:H7780"/>
    <mergeCell ref="A7771:A7773"/>
    <mergeCell ref="A7805:G7805"/>
    <mergeCell ref="A7806:G7806"/>
    <mergeCell ref="A7807:G7807"/>
    <mergeCell ref="B7685:J7685"/>
    <mergeCell ref="L7685:M7685"/>
    <mergeCell ref="L7880:M7880"/>
    <mergeCell ref="A7881:B7882"/>
    <mergeCell ref="H7881:H7882"/>
    <mergeCell ref="I7881:N7887"/>
    <mergeCell ref="A7883:A7884"/>
    <mergeCell ref="A7885:G7885"/>
    <mergeCell ref="A7886:G7886"/>
    <mergeCell ref="A7887:G7887"/>
    <mergeCell ref="A7960:A7966"/>
    <mergeCell ref="A8067:B8068"/>
    <mergeCell ref="H8067:H8068"/>
    <mergeCell ref="I8067:N8080"/>
    <mergeCell ref="A8069:A8071"/>
    <mergeCell ref="A8078:G8078"/>
    <mergeCell ref="A8079:G8079"/>
    <mergeCell ref="H8051:H8052"/>
    <mergeCell ref="I8051:N8064"/>
    <mergeCell ref="B8003:N8003"/>
    <mergeCell ref="A7936:A7939"/>
    <mergeCell ref="A8040:A8042"/>
    <mergeCell ref="I7945:N7969"/>
    <mergeCell ref="A7967:G7967"/>
    <mergeCell ref="A7968:G7968"/>
    <mergeCell ref="A7969:G7969"/>
    <mergeCell ref="B7971:J7971"/>
    <mergeCell ref="L7971:M7971"/>
    <mergeCell ref="A8080:G8080"/>
    <mergeCell ref="H8393:H8394"/>
    <mergeCell ref="B7980:J7980"/>
    <mergeCell ref="L7980:M7980"/>
    <mergeCell ref="A7981:B7982"/>
    <mergeCell ref="H7981:H7982"/>
    <mergeCell ref="I7981:N7991"/>
    <mergeCell ref="A7983:A7988"/>
    <mergeCell ref="A7989:G7989"/>
    <mergeCell ref="A7990:G7990"/>
    <mergeCell ref="A7991:G7991"/>
    <mergeCell ref="B8309:J8309"/>
    <mergeCell ref="L8309:M8309"/>
    <mergeCell ref="A8310:B8311"/>
    <mergeCell ref="H8310:H8311"/>
    <mergeCell ref="I8310:N8316"/>
    <mergeCell ref="A8312:A8313"/>
    <mergeCell ref="A8314:G8314"/>
    <mergeCell ref="I8035:N8048"/>
    <mergeCell ref="A8037:A8039"/>
    <mergeCell ref="A8046:G8046"/>
    <mergeCell ref="A8047:G8047"/>
    <mergeCell ref="A8048:G8048"/>
    <mergeCell ref="B8050:J8050"/>
    <mergeCell ref="L8050:M8050"/>
    <mergeCell ref="A8083:B8084"/>
    <mergeCell ref="L8082:M8082"/>
    <mergeCell ref="H8083:H8084"/>
    <mergeCell ref="I8083:N8090"/>
    <mergeCell ref="I8093:N8106"/>
    <mergeCell ref="A8089:G8089"/>
    <mergeCell ref="B8082:J8082"/>
    <mergeCell ref="L8141:M8141"/>
    <mergeCell ref="A8440:G8440"/>
    <mergeCell ref="H8503:H8504"/>
    <mergeCell ref="L8513:M8513"/>
    <mergeCell ref="A8032:G8032"/>
    <mergeCell ref="B8092:J8092"/>
    <mergeCell ref="L8092:M8092"/>
    <mergeCell ref="A8093:B8094"/>
    <mergeCell ref="H8093:H8094"/>
    <mergeCell ref="A5238:A5239"/>
    <mergeCell ref="B6781:J6781"/>
    <mergeCell ref="L6781:M6781"/>
    <mergeCell ref="B6771:J6771"/>
    <mergeCell ref="L6771:M6771"/>
    <mergeCell ref="B5244:J5244"/>
    <mergeCell ref="L5244:M5244"/>
    <mergeCell ref="A5245:B5246"/>
    <mergeCell ref="H5245:H5246"/>
    <mergeCell ref="I5245:N5251"/>
    <mergeCell ref="A5247:A5248"/>
    <mergeCell ref="A5249:G5249"/>
    <mergeCell ref="A5250:G5250"/>
    <mergeCell ref="A6737:B6738"/>
    <mergeCell ref="B6452:N6452"/>
    <mergeCell ref="B6453:J6453"/>
    <mergeCell ref="L6453:M6453"/>
    <mergeCell ref="A8053:A8055"/>
    <mergeCell ref="A7947:A7959"/>
    <mergeCell ref="L7913:M7913"/>
    <mergeCell ref="A8010:G8010"/>
    <mergeCell ref="A8011:G8011"/>
    <mergeCell ref="A8027:A8029"/>
    <mergeCell ref="A8030:G8030"/>
    <mergeCell ref="A5270:G5270"/>
    <mergeCell ref="A5271:G5271"/>
    <mergeCell ref="A5272:G5272"/>
    <mergeCell ref="B5284:J5284"/>
    <mergeCell ref="L5284:M5284"/>
    <mergeCell ref="I6431:N6438"/>
    <mergeCell ref="A6433:A6435"/>
    <mergeCell ref="A6436:G6436"/>
    <mergeCell ref="A6437:G6437"/>
    <mergeCell ref="A6438:G6438"/>
    <mergeCell ref="A6317:G6317"/>
    <mergeCell ref="A6285:B6286"/>
    <mergeCell ref="H6285:H6286"/>
    <mergeCell ref="I6285:N6291"/>
    <mergeCell ref="A8315:G8315"/>
    <mergeCell ref="A8064:G8064"/>
    <mergeCell ref="B8066:J8066"/>
    <mergeCell ref="L8066:M8066"/>
    <mergeCell ref="A8075:A8077"/>
    <mergeCell ref="A8085:A8087"/>
    <mergeCell ref="A8088:G8088"/>
    <mergeCell ref="A5935:A5938"/>
    <mergeCell ref="A5945:G5945"/>
    <mergeCell ref="A5946:G5946"/>
    <mergeCell ref="H8005:H8006"/>
    <mergeCell ref="I8005:N8012"/>
    <mergeCell ref="A8007:A8009"/>
    <mergeCell ref="A8012:G8012"/>
    <mergeCell ref="A8017:A8019"/>
    <mergeCell ref="A7684:G7684"/>
    <mergeCell ref="A7662:A7666"/>
    <mergeCell ref="A7776:G7776"/>
    <mergeCell ref="I8514:N8520"/>
    <mergeCell ref="A8518:G8518"/>
    <mergeCell ref="A8519:G8519"/>
    <mergeCell ref="A8520:G8520"/>
    <mergeCell ref="B8380:J8380"/>
    <mergeCell ref="L8380:M8380"/>
    <mergeCell ref="A8381:B8382"/>
    <mergeCell ref="H8381:H8382"/>
    <mergeCell ref="I8381:N8390"/>
    <mergeCell ref="A8388:G8388"/>
    <mergeCell ref="A8389:G8389"/>
    <mergeCell ref="A8390:G8390"/>
    <mergeCell ref="A8383:A8387"/>
    <mergeCell ref="B8379:N8379"/>
    <mergeCell ref="B8452:N8452"/>
    <mergeCell ref="B8512:N8512"/>
    <mergeCell ref="A6489:G6489"/>
    <mergeCell ref="A6490:G6490"/>
    <mergeCell ref="A6907:B6908"/>
    <mergeCell ref="H6907:H6908"/>
    <mergeCell ref="I6907:N6915"/>
    <mergeCell ref="A6909:A6912"/>
    <mergeCell ref="A6913:G6913"/>
    <mergeCell ref="A6914:G6914"/>
    <mergeCell ref="A6915:G6915"/>
    <mergeCell ref="B6917:J6917"/>
    <mergeCell ref="L6917:M6917"/>
    <mergeCell ref="A6874:B6875"/>
    <mergeCell ref="H6874:H6875"/>
    <mergeCell ref="I6874:N6882"/>
    <mergeCell ref="A6876:A6879"/>
    <mergeCell ref="A6880:G6880"/>
    <mergeCell ref="A5136:A5137"/>
    <mergeCell ref="B5160:J5160"/>
    <mergeCell ref="L5160:M5160"/>
    <mergeCell ref="A5161:B5162"/>
    <mergeCell ref="H5161:H5162"/>
    <mergeCell ref="H5205:H5206"/>
    <mergeCell ref="I5285:N5292"/>
    <mergeCell ref="I5205:N5211"/>
    <mergeCell ref="A5291:G5291"/>
    <mergeCell ref="A5292:G5292"/>
    <mergeCell ref="H5223:H5224"/>
    <mergeCell ref="I5223:N5231"/>
    <mergeCell ref="A5225:A5226"/>
    <mergeCell ref="A5229:G5229"/>
    <mergeCell ref="A5230:G5230"/>
    <mergeCell ref="A5231:G5231"/>
    <mergeCell ref="A5285:B5286"/>
    <mergeCell ref="H5285:H5286"/>
    <mergeCell ref="A5240:G5240"/>
    <mergeCell ref="A5241:G5241"/>
    <mergeCell ref="A5242:G5242"/>
    <mergeCell ref="B5233:J5233"/>
    <mergeCell ref="A5191:G5191"/>
    <mergeCell ref="A5189:A5190"/>
    <mergeCell ref="A5157:G5157"/>
    <mergeCell ref="A5158:G5158"/>
    <mergeCell ref="A5159:G5159"/>
    <mergeCell ref="B5177:J5177"/>
    <mergeCell ref="L5177:M5177"/>
    <mergeCell ref="A5265:B5266"/>
    <mergeCell ref="H5265:H5266"/>
    <mergeCell ref="I5265:N5272"/>
    <mergeCell ref="B2991:N2991"/>
    <mergeCell ref="B2992:J2992"/>
    <mergeCell ref="L2992:M2992"/>
    <mergeCell ref="A2993:A2995"/>
    <mergeCell ref="I2993:N2998"/>
    <mergeCell ref="A2996:G2996"/>
    <mergeCell ref="A2997:G2997"/>
    <mergeCell ref="A2998:G2998"/>
    <mergeCell ref="B3000:J3000"/>
    <mergeCell ref="L3000:M3000"/>
    <mergeCell ref="A3001:A3003"/>
    <mergeCell ref="I3001:N3006"/>
    <mergeCell ref="A3004:G3004"/>
    <mergeCell ref="A3005:G3005"/>
    <mergeCell ref="A3006:G3006"/>
    <mergeCell ref="B4281:J4281"/>
    <mergeCell ref="A5202:G5202"/>
    <mergeCell ref="H5196:H5197"/>
    <mergeCell ref="I5196:N5202"/>
    <mergeCell ref="A5058:G5058"/>
    <mergeCell ref="A5059:G5059"/>
    <mergeCell ref="A5060:G5060"/>
    <mergeCell ref="I5055:N5060"/>
    <mergeCell ref="A5056:A5057"/>
    <mergeCell ref="I4980:N4994"/>
    <mergeCell ref="A4982:A4985"/>
    <mergeCell ref="A4992:G4992"/>
    <mergeCell ref="A4993:G4993"/>
    <mergeCell ref="A4994:G4994"/>
    <mergeCell ref="A5026:B5027"/>
    <mergeCell ref="H5026:H5027"/>
    <mergeCell ref="I5026:N5038"/>
    <mergeCell ref="B5008:J5008"/>
    <mergeCell ref="A5009:B5010"/>
    <mergeCell ref="H5009:H5010"/>
    <mergeCell ref="I5009:N5022"/>
    <mergeCell ref="A5011:A5014"/>
    <mergeCell ref="A5020:G5020"/>
    <mergeCell ref="A5021:G5021"/>
    <mergeCell ref="A5022:G5022"/>
    <mergeCell ref="B5025:J5025"/>
    <mergeCell ref="L5025:M5025"/>
    <mergeCell ref="A5218:G5218"/>
    <mergeCell ref="A5219:G5219"/>
    <mergeCell ref="A5220:G5220"/>
    <mergeCell ref="A5227:A5228"/>
    <mergeCell ref="B5213:J5213"/>
    <mergeCell ref="L5213:M5213"/>
    <mergeCell ref="A5214:B5215"/>
    <mergeCell ref="H5214:H5215"/>
    <mergeCell ref="I5214:N5220"/>
    <mergeCell ref="B5204:J5204"/>
    <mergeCell ref="H5125:H5126"/>
    <mergeCell ref="I5125:N5142"/>
    <mergeCell ref="B5195:J5195"/>
    <mergeCell ref="L5195:M5195"/>
    <mergeCell ref="A5196:B5197"/>
    <mergeCell ref="A5216:A5217"/>
    <mergeCell ref="A5028:A5032"/>
    <mergeCell ref="A5036:G5036"/>
    <mergeCell ref="B5080:N5080"/>
    <mergeCell ref="A5198:A5199"/>
    <mergeCell ref="A5200:G5200"/>
    <mergeCell ref="A5201:G5201"/>
    <mergeCell ref="A6777:G6777"/>
    <mergeCell ref="A6778:G6778"/>
    <mergeCell ref="A6779:G6779"/>
    <mergeCell ref="B6474:N6474"/>
    <mergeCell ref="B6483:J6483"/>
    <mergeCell ref="L6483:M6483"/>
    <mergeCell ref="A6484:B6485"/>
    <mergeCell ref="H6484:H6485"/>
    <mergeCell ref="A5947:G5947"/>
    <mergeCell ref="A5957:A5960"/>
    <mergeCell ref="A5980:A5983"/>
    <mergeCell ref="A6060:A6063"/>
    <mergeCell ref="A6082:A6084"/>
    <mergeCell ref="A6142:A6145"/>
    <mergeCell ref="A6417:G6417"/>
    <mergeCell ref="A6418:G6418"/>
    <mergeCell ref="A6482:G6482"/>
    <mergeCell ref="B6451:N6451"/>
    <mergeCell ref="A6359:B6360"/>
    <mergeCell ref="H6359:H6360"/>
    <mergeCell ref="A6454:B6455"/>
    <mergeCell ref="I6484:N6490"/>
    <mergeCell ref="A6486:A6487"/>
    <mergeCell ref="L6475:M6475"/>
    <mergeCell ref="H6454:H6455"/>
    <mergeCell ref="I6454:N6460"/>
    <mergeCell ref="A6456:A6457"/>
    <mergeCell ref="A6458:G6458"/>
    <mergeCell ref="A6459:G6459"/>
    <mergeCell ref="A6460:G6460"/>
    <mergeCell ref="A6287:A6288"/>
    <mergeCell ref="L6420:M6420"/>
    <mergeCell ref="A6881:G6881"/>
    <mergeCell ref="A6882:G6882"/>
    <mergeCell ref="B6884:J6884"/>
    <mergeCell ref="L6884:M6884"/>
    <mergeCell ref="A6885:B6886"/>
    <mergeCell ref="H6885:H6886"/>
    <mergeCell ref="I6885:N6893"/>
    <mergeCell ref="A6887:A6890"/>
    <mergeCell ref="A6891:G6891"/>
    <mergeCell ref="A6892:G6892"/>
    <mergeCell ref="A6893:G6893"/>
    <mergeCell ref="B6895:J6895"/>
    <mergeCell ref="L6895:M6895"/>
    <mergeCell ref="B6951:N6951"/>
    <mergeCell ref="A6896:B6897"/>
    <mergeCell ref="H6896:H6897"/>
    <mergeCell ref="I6896:N6904"/>
    <mergeCell ref="A6898:A6901"/>
    <mergeCell ref="A6902:G6902"/>
    <mergeCell ref="A6903:G6903"/>
    <mergeCell ref="A6904:G6904"/>
    <mergeCell ref="B6906:J6906"/>
    <mergeCell ref="L6906:M6906"/>
    <mergeCell ref="A6918:B6919"/>
    <mergeCell ref="H6918:H6919"/>
    <mergeCell ref="I6918:N6926"/>
    <mergeCell ref="A6920:A6923"/>
    <mergeCell ref="A6924:G6924"/>
    <mergeCell ref="A6925:G6925"/>
    <mergeCell ref="B7002:N7002"/>
    <mergeCell ref="B7003:J7003"/>
    <mergeCell ref="L7003:M7003"/>
    <mergeCell ref="A7004:B7005"/>
    <mergeCell ref="H7004:H7005"/>
    <mergeCell ref="I7004:N7016"/>
    <mergeCell ref="A7006:A7009"/>
    <mergeCell ref="B6992:J6992"/>
    <mergeCell ref="L6992:M6992"/>
    <mergeCell ref="A6993:B6994"/>
    <mergeCell ref="H6993:H6994"/>
    <mergeCell ref="A6937:G6937"/>
    <mergeCell ref="A6931:A6934"/>
    <mergeCell ref="A6935:G6935"/>
    <mergeCell ref="A6936:G6936"/>
    <mergeCell ref="A6977:A6979"/>
    <mergeCell ref="A6980:G6980"/>
    <mergeCell ref="A6981:G6981"/>
    <mergeCell ref="I6993:N7000"/>
    <mergeCell ref="A6995:A6997"/>
    <mergeCell ref="A6953:B6954"/>
    <mergeCell ref="H6975:H6976"/>
    <mergeCell ref="I6975:N6982"/>
    <mergeCell ref="B7168:J7168"/>
    <mergeCell ref="L7168:M7168"/>
    <mergeCell ref="A7169:B7170"/>
    <mergeCell ref="H7169:H7170"/>
    <mergeCell ref="I7169:N7176"/>
    <mergeCell ref="A7171:A7173"/>
    <mergeCell ref="A7174:G7174"/>
    <mergeCell ref="A7175:G7175"/>
    <mergeCell ref="A7176:G7176"/>
    <mergeCell ref="B7167:N7167"/>
    <mergeCell ref="A7165:G7165"/>
    <mergeCell ref="B7137:J7137"/>
    <mergeCell ref="L7116:M7116"/>
    <mergeCell ref="A7117:B7118"/>
    <mergeCell ref="H7117:H7118"/>
    <mergeCell ref="I7117:N7125"/>
    <mergeCell ref="A7119:A7122"/>
    <mergeCell ref="L7147:M7147"/>
    <mergeCell ref="A7148:B7149"/>
    <mergeCell ref="H7148:H7149"/>
    <mergeCell ref="I7148:N7155"/>
    <mergeCell ref="A7150:A7152"/>
    <mergeCell ref="A7153:G7153"/>
    <mergeCell ref="A7164:G7164"/>
    <mergeCell ref="A2855:A2859"/>
    <mergeCell ref="B6939:J6939"/>
    <mergeCell ref="L6939:M6939"/>
    <mergeCell ref="A6940:B6941"/>
    <mergeCell ref="H6940:H6941"/>
    <mergeCell ref="I6940:N6948"/>
    <mergeCell ref="A6942:A6945"/>
    <mergeCell ref="A6946:G6946"/>
    <mergeCell ref="A6947:G6947"/>
    <mergeCell ref="A6948:G6948"/>
    <mergeCell ref="B6760:J6760"/>
    <mergeCell ref="L6760:M6760"/>
    <mergeCell ref="A6761:B6762"/>
    <mergeCell ref="H6761:H6762"/>
    <mergeCell ref="I6761:N6768"/>
    <mergeCell ref="A6763:A6765"/>
    <mergeCell ref="A6766:G6766"/>
    <mergeCell ref="A6767:G6767"/>
    <mergeCell ref="A6768:G6768"/>
    <mergeCell ref="L6928:M6928"/>
    <mergeCell ref="A6926:G6926"/>
    <mergeCell ref="B6928:J6928"/>
    <mergeCell ref="A6476:B6477"/>
    <mergeCell ref="H6476:H6477"/>
    <mergeCell ref="I6476:N6482"/>
    <mergeCell ref="A6478:A6479"/>
    <mergeCell ref="A6480:G6480"/>
    <mergeCell ref="A6481:G6481"/>
    <mergeCell ref="A6488:G6488"/>
    <mergeCell ref="A5290:G5290"/>
    <mergeCell ref="A6772:B6773"/>
    <mergeCell ref="H6772:H6773"/>
    <mergeCell ref="A6929:B6930"/>
    <mergeCell ref="H6929:H6930"/>
    <mergeCell ref="I6929:N6937"/>
    <mergeCell ref="A6998:G6998"/>
    <mergeCell ref="A6999:G6999"/>
    <mergeCell ref="A7016:G7016"/>
    <mergeCell ref="H6953:H6954"/>
    <mergeCell ref="I6953:N6963"/>
    <mergeCell ref="A6955:A6957"/>
    <mergeCell ref="A7154:G7154"/>
    <mergeCell ref="A7155:G7155"/>
    <mergeCell ref="A7034:G7034"/>
    <mergeCell ref="A7035:G7035"/>
    <mergeCell ref="A7036:G7036"/>
    <mergeCell ref="B7038:J7038"/>
    <mergeCell ref="L7051:M7051"/>
    <mergeCell ref="A7015:G7015"/>
    <mergeCell ref="L7137:M7137"/>
    <mergeCell ref="A7138:B7139"/>
    <mergeCell ref="H7138:H7139"/>
    <mergeCell ref="I7138:N7145"/>
    <mergeCell ref="A7140:A7142"/>
    <mergeCell ref="A7143:G7143"/>
    <mergeCell ref="A7144:G7144"/>
    <mergeCell ref="A7145:G7145"/>
    <mergeCell ref="I7019:N7026"/>
    <mergeCell ref="A7049:G7049"/>
    <mergeCell ref="B7051:J7051"/>
    <mergeCell ref="I7052:N7064"/>
    <mergeCell ref="A7077:G7077"/>
    <mergeCell ref="A7078:G7078"/>
    <mergeCell ref="A7079:G7079"/>
    <mergeCell ref="B7637:J7637"/>
    <mergeCell ref="L7637:M7637"/>
    <mergeCell ref="A7638:B7639"/>
    <mergeCell ref="H7638:H7639"/>
    <mergeCell ref="I7638:N7653"/>
    <mergeCell ref="A7640:A7645"/>
    <mergeCell ref="A7646:A7650"/>
    <mergeCell ref="A7651:G7651"/>
    <mergeCell ref="A7652:G7652"/>
    <mergeCell ref="A7653:G7653"/>
    <mergeCell ref="A7205:G7205"/>
    <mergeCell ref="A7206:G7206"/>
    <mergeCell ref="B7178:J7178"/>
    <mergeCell ref="L7178:M7178"/>
    <mergeCell ref="A7179:B7180"/>
    <mergeCell ref="H7179:H7180"/>
    <mergeCell ref="I7179:N7186"/>
    <mergeCell ref="A7181:A7183"/>
    <mergeCell ref="A7184:G7184"/>
    <mergeCell ref="A7613:B7614"/>
    <mergeCell ref="H7613:H7614"/>
    <mergeCell ref="I7613:N7622"/>
    <mergeCell ref="A7615:A7619"/>
    <mergeCell ref="A7620:G7620"/>
    <mergeCell ref="H7189:H7190"/>
    <mergeCell ref="B7624:J7624"/>
    <mergeCell ref="L7624:M7624"/>
    <mergeCell ref="A7625:B7626"/>
    <mergeCell ref="H7625:H7626"/>
    <mergeCell ref="A7195:G7195"/>
    <mergeCell ref="A7196:G7196"/>
    <mergeCell ref="H7483:H7484"/>
    <mergeCell ref="A7686:B7687"/>
    <mergeCell ref="H7686:H7687"/>
    <mergeCell ref="I7686:N7699"/>
    <mergeCell ref="A7688:A7696"/>
    <mergeCell ref="A7697:G7697"/>
    <mergeCell ref="A7698:G7698"/>
    <mergeCell ref="A7699:G7699"/>
    <mergeCell ref="B8318:J8318"/>
    <mergeCell ref="L8318:M8318"/>
    <mergeCell ref="A8319:B8320"/>
    <mergeCell ref="H8319:H8320"/>
    <mergeCell ref="I8319:N8347"/>
    <mergeCell ref="A8321:A8322"/>
    <mergeCell ref="A8323:A8344"/>
    <mergeCell ref="A8345:G8345"/>
    <mergeCell ref="A8346:G8346"/>
    <mergeCell ref="A8347:G8347"/>
    <mergeCell ref="A8291:A8304"/>
    <mergeCell ref="A7727:G7727"/>
    <mergeCell ref="A7817:G7817"/>
    <mergeCell ref="A7801:A7802"/>
    <mergeCell ref="L7788:M7788"/>
    <mergeCell ref="A7914:B7915"/>
    <mergeCell ref="H7914:H7915"/>
    <mergeCell ref="I7914:N7942"/>
    <mergeCell ref="A7854:B7855"/>
    <mergeCell ref="H7854:H7855"/>
    <mergeCell ref="I7854:N7878"/>
    <mergeCell ref="A7876:G7876"/>
    <mergeCell ref="A7877:G7877"/>
    <mergeCell ref="A7878:G7878"/>
    <mergeCell ref="B7880:J7880"/>
    <mergeCell ref="A8375:G8375"/>
    <mergeCell ref="A8376:G8376"/>
    <mergeCell ref="A8377:G8377"/>
    <mergeCell ref="B8453:N8453"/>
    <mergeCell ref="B8513:J8513"/>
    <mergeCell ref="A7940:G7940"/>
    <mergeCell ref="A7941:G7941"/>
    <mergeCell ref="A7942:G7942"/>
    <mergeCell ref="B7853:J7853"/>
    <mergeCell ref="L7853:M7853"/>
    <mergeCell ref="B8497:H8497"/>
    <mergeCell ref="A8592:A8604"/>
    <mergeCell ref="A8439:G8439"/>
    <mergeCell ref="A8514:B8515"/>
    <mergeCell ref="H8514:H8515"/>
    <mergeCell ref="A8467:B8468"/>
    <mergeCell ref="H8467:H8468"/>
    <mergeCell ref="I8467:N8473"/>
    <mergeCell ref="A8471:G8471"/>
    <mergeCell ref="A8472:G8472"/>
    <mergeCell ref="A8473:G8473"/>
    <mergeCell ref="I8393:N8441"/>
    <mergeCell ref="A8395:A8396"/>
    <mergeCell ref="I8503:N8509"/>
    <mergeCell ref="A8507:G8507"/>
    <mergeCell ref="A8508:G8508"/>
    <mergeCell ref="A8509:G8509"/>
    <mergeCell ref="L8366:M8366"/>
    <mergeCell ref="A8367:B8368"/>
    <mergeCell ref="H8367:H8368"/>
    <mergeCell ref="I8367:N8377"/>
    <mergeCell ref="A8369:A8374"/>
    <mergeCell ref="B8608:N8608"/>
    <mergeCell ref="B8609:J8609"/>
    <mergeCell ref="L8609:M8609"/>
    <mergeCell ref="A8610:B8611"/>
    <mergeCell ref="H8610:H8611"/>
    <mergeCell ref="I8610:N8616"/>
    <mergeCell ref="A8612:A8613"/>
    <mergeCell ref="A8614:G8614"/>
    <mergeCell ref="A8615:G8615"/>
    <mergeCell ref="A8616:G8616"/>
    <mergeCell ref="B8348:J8348"/>
    <mergeCell ref="L8348:M8348"/>
    <mergeCell ref="A8349:B8350"/>
    <mergeCell ref="H8349:H8350"/>
    <mergeCell ref="I8349:N8364"/>
    <mergeCell ref="A8351:A8361"/>
    <mergeCell ref="A8362:G8362"/>
    <mergeCell ref="A8363:G8363"/>
    <mergeCell ref="A8364:G8364"/>
    <mergeCell ref="B8366:J8366"/>
    <mergeCell ref="B8465:N8465"/>
    <mergeCell ref="A8397:A8438"/>
    <mergeCell ref="A8522:B8523"/>
    <mergeCell ref="H8522:H8523"/>
    <mergeCell ref="I8522:N8528"/>
    <mergeCell ref="L8443:M8443"/>
    <mergeCell ref="B8443:J8443"/>
    <mergeCell ref="B8530:N8530"/>
    <mergeCell ref="B8392:J8392"/>
    <mergeCell ref="L8392:M8392"/>
    <mergeCell ref="A8441:G8441"/>
    <mergeCell ref="A8462:G8462"/>
  </mergeCells>
  <phoneticPr fontId="75" type="noConversion"/>
  <printOptions horizontalCentered="1"/>
  <pageMargins left="0.98425196850393704" right="0.39370078740157483" top="0.19685039370078741" bottom="0.59055118110236227" header="0" footer="0.39370078740157483"/>
  <pageSetup paperSize="9" scale="57" orientation="portrait" r:id="rId1"/>
  <headerFooter alignWithMargins="0">
    <oddFooter>&amp;R&amp;"Arial,Normal"&amp;10Página 0&amp;P/0&amp;N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CFDDC-8C0B-42C7-A4DF-CD605637F4A9}">
  <dimension ref="A1:F19"/>
  <sheetViews>
    <sheetView workbookViewId="0">
      <selection sqref="A1:F21"/>
    </sheetView>
  </sheetViews>
  <sheetFormatPr defaultRowHeight="15"/>
  <cols>
    <col min="2" max="2" width="10.42578125" bestFit="1" customWidth="1"/>
    <col min="3" max="3" width="24.7109375" customWidth="1"/>
    <col min="5" max="5" width="12" customWidth="1"/>
  </cols>
  <sheetData>
    <row r="1" spans="1:6">
      <c r="A1" s="1432" t="s">
        <v>2176</v>
      </c>
      <c r="B1" s="1432" t="s">
        <v>4181</v>
      </c>
      <c r="C1" s="1432" t="s">
        <v>4178</v>
      </c>
      <c r="D1" s="1883" t="s">
        <v>4179</v>
      </c>
      <c r="E1" s="1883"/>
    </row>
    <row r="2" spans="1:6">
      <c r="A2" s="1426">
        <v>10117</v>
      </c>
      <c r="B2" s="1433">
        <v>1</v>
      </c>
      <c r="C2" s="1426">
        <v>0.56999999999999995</v>
      </c>
      <c r="D2" s="1427">
        <f>C2*0.0863</f>
        <v>4.9190999999999999E-2</v>
      </c>
      <c r="E2" s="1428">
        <v>8.6300000000000002E-2</v>
      </c>
    </row>
    <row r="3" spans="1:6">
      <c r="A3">
        <v>150217</v>
      </c>
      <c r="B3" s="468">
        <v>8</v>
      </c>
      <c r="C3">
        <v>194.96</v>
      </c>
      <c r="D3" s="897">
        <f>C3*0.1231</f>
        <v>23.999576000000001</v>
      </c>
      <c r="E3" s="1429">
        <v>0.1231</v>
      </c>
    </row>
    <row r="4" spans="1:6">
      <c r="A4">
        <v>10401</v>
      </c>
      <c r="B4" s="468">
        <v>13</v>
      </c>
      <c r="C4">
        <v>0.12</v>
      </c>
      <c r="D4" s="897">
        <f>C4*0.1231</f>
        <v>1.4772E-2</v>
      </c>
      <c r="E4" s="1429">
        <v>0.1231</v>
      </c>
    </row>
    <row r="5" spans="1:6">
      <c r="A5" s="1426">
        <v>10401</v>
      </c>
      <c r="B5" s="1433">
        <v>19</v>
      </c>
      <c r="C5" s="1426">
        <v>0.12</v>
      </c>
      <c r="D5" s="1427">
        <f>C5*0.2065</f>
        <v>2.4779999999999996E-2</v>
      </c>
      <c r="E5" s="1428">
        <v>0.20649999999999999</v>
      </c>
    </row>
    <row r="6" spans="1:6">
      <c r="A6" s="1426">
        <v>70301</v>
      </c>
      <c r="B6" s="1433">
        <v>20</v>
      </c>
      <c r="C6" s="1426">
        <v>28.3</v>
      </c>
      <c r="D6" s="1427">
        <f t="shared" ref="D6:D15" si="0">C6*0.2065</f>
        <v>5.8439499999999995</v>
      </c>
      <c r="E6" s="1428">
        <v>0.20649999999999999</v>
      </c>
    </row>
    <row r="7" spans="1:6">
      <c r="A7" s="1426">
        <v>50201</v>
      </c>
      <c r="B7" s="1433">
        <v>20</v>
      </c>
      <c r="C7" s="1426">
        <v>2017.42</v>
      </c>
      <c r="D7" s="1427">
        <f t="shared" si="0"/>
        <v>416.59722999999997</v>
      </c>
      <c r="E7" s="1428">
        <v>0.20649999999999999</v>
      </c>
    </row>
    <row r="8" spans="1:6">
      <c r="A8" s="1426">
        <v>10401</v>
      </c>
      <c r="B8" s="1433">
        <v>21</v>
      </c>
      <c r="C8" s="1426">
        <v>0.12</v>
      </c>
      <c r="D8" s="1427">
        <f t="shared" si="0"/>
        <v>2.4779999999999996E-2</v>
      </c>
      <c r="E8" s="1428">
        <v>0.20649999999999999</v>
      </c>
    </row>
    <row r="9" spans="1:6">
      <c r="A9" s="1426">
        <v>40101</v>
      </c>
      <c r="B9" s="1433">
        <v>21</v>
      </c>
      <c r="C9" s="1426">
        <v>1768.86</v>
      </c>
      <c r="D9" s="1427">
        <f t="shared" si="0"/>
        <v>365.26958999999994</v>
      </c>
      <c r="E9" s="1428">
        <v>0.20649999999999999</v>
      </c>
    </row>
    <row r="10" spans="1:6">
      <c r="A10" s="1426">
        <v>40102</v>
      </c>
      <c r="B10" s="1433">
        <v>21</v>
      </c>
      <c r="C10" s="1426">
        <v>153.57</v>
      </c>
      <c r="D10" s="1427">
        <f t="shared" si="0"/>
        <v>31.712204999999997</v>
      </c>
      <c r="E10" s="1428">
        <v>0.20649999999999999</v>
      </c>
    </row>
    <row r="11" spans="1:6">
      <c r="A11" s="1426">
        <v>40103</v>
      </c>
      <c r="B11" s="1433">
        <v>21</v>
      </c>
      <c r="C11" s="1426">
        <v>2836.15</v>
      </c>
      <c r="D11" s="1427">
        <f t="shared" si="0"/>
        <v>585.66497500000003</v>
      </c>
      <c r="E11" s="1428">
        <v>0.20649999999999999</v>
      </c>
    </row>
    <row r="12" spans="1:6">
      <c r="A12" s="1426">
        <v>30101</v>
      </c>
      <c r="B12" s="1433">
        <v>22</v>
      </c>
      <c r="C12" s="1426">
        <v>465.87</v>
      </c>
      <c r="D12" s="1427">
        <f t="shared" si="0"/>
        <v>96.202154999999991</v>
      </c>
      <c r="E12" s="1428">
        <v>0.20649999999999999</v>
      </c>
    </row>
    <row r="13" spans="1:6">
      <c r="A13" s="1426">
        <v>141104</v>
      </c>
      <c r="B13" s="1433">
        <v>22</v>
      </c>
      <c r="C13" s="1426">
        <v>2.4500000000000002</v>
      </c>
      <c r="D13" s="1427">
        <f t="shared" si="0"/>
        <v>0.50592499999999996</v>
      </c>
      <c r="E13" s="1428">
        <v>0.20649999999999999</v>
      </c>
    </row>
    <row r="14" spans="1:6">
      <c r="A14" s="1426">
        <v>141105</v>
      </c>
      <c r="B14" s="1433">
        <v>22</v>
      </c>
      <c r="C14" s="1426">
        <v>7.84</v>
      </c>
      <c r="D14" s="1427">
        <f t="shared" si="0"/>
        <v>1.61896</v>
      </c>
      <c r="E14" s="1428">
        <v>0.20649999999999999</v>
      </c>
    </row>
    <row r="15" spans="1:6">
      <c r="A15" s="1426">
        <v>141106</v>
      </c>
      <c r="B15" s="1433">
        <v>22</v>
      </c>
      <c r="C15" s="1426">
        <v>10.01</v>
      </c>
      <c r="D15" s="1427">
        <f t="shared" si="0"/>
        <v>2.0670649999999999</v>
      </c>
      <c r="E15" s="1428">
        <v>0.20649999999999999</v>
      </c>
    </row>
    <row r="16" spans="1:6">
      <c r="B16" s="53" t="s">
        <v>476</v>
      </c>
      <c r="C16" s="53">
        <f>SUM(C3:C15)+C2</f>
        <v>7486.3599999999988</v>
      </c>
      <c r="D16" s="1431">
        <f>SUM(D3:D15)+D2</f>
        <v>1529.5951540000001</v>
      </c>
      <c r="F16" s="897"/>
    </row>
    <row r="17" spans="1:4">
      <c r="B17" s="1434" t="s">
        <v>4182</v>
      </c>
      <c r="C17" s="1434"/>
      <c r="D17" s="1435">
        <f>C16+D16</f>
        <v>9015.9551539999993</v>
      </c>
    </row>
    <row r="19" spans="1:4">
      <c r="A19">
        <v>20208</v>
      </c>
      <c r="B19">
        <v>2</v>
      </c>
      <c r="C19">
        <v>2989.2</v>
      </c>
      <c r="D19" t="s">
        <v>4180</v>
      </c>
    </row>
  </sheetData>
  <mergeCells count="1">
    <mergeCell ref="D1:E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9:AQ168"/>
  <sheetViews>
    <sheetView topLeftCell="A97" workbookViewId="0">
      <selection activeCell="AI180" sqref="AI180"/>
    </sheetView>
  </sheetViews>
  <sheetFormatPr defaultRowHeight="15"/>
  <cols>
    <col min="2" max="2" width="12" customWidth="1"/>
    <col min="3" max="3" width="18" customWidth="1"/>
    <col min="4" max="4" width="36.5703125" customWidth="1"/>
    <col min="5" max="5" width="9.28515625" customWidth="1"/>
    <col min="6" max="6" width="12.7109375" customWidth="1"/>
    <col min="7" max="7" width="12.140625" customWidth="1"/>
    <col min="8" max="8" width="13.140625" customWidth="1"/>
    <col min="9" max="10" width="12.7109375" customWidth="1"/>
    <col min="11" max="34" width="12.7109375" hidden="1" customWidth="1"/>
    <col min="36" max="36" width="5.85546875" bestFit="1" customWidth="1"/>
    <col min="37" max="37" width="11.7109375" customWidth="1"/>
    <col min="38" max="38" width="16.7109375" customWidth="1"/>
    <col min="39" max="39" width="45.85546875" customWidth="1"/>
    <col min="40" max="40" width="8.140625" bestFit="1" customWidth="1"/>
    <col min="41" max="41" width="14.7109375" bestFit="1" customWidth="1"/>
    <col min="42" max="42" width="11.42578125" bestFit="1" customWidth="1"/>
    <col min="43" max="43" width="12" bestFit="1" customWidth="1"/>
  </cols>
  <sheetData>
    <row r="9" spans="1:43" ht="63" customHeight="1">
      <c r="A9" s="1888" t="s">
        <v>0</v>
      </c>
      <c r="B9" s="1889"/>
      <c r="C9" s="1889"/>
      <c r="D9" s="1889"/>
      <c r="E9" s="1889"/>
      <c r="F9" s="1889"/>
      <c r="G9" s="1889"/>
      <c r="H9" s="1890"/>
      <c r="I9" s="1891" t="s">
        <v>463</v>
      </c>
      <c r="J9" s="1891"/>
      <c r="K9" s="1887" t="s">
        <v>464</v>
      </c>
      <c r="L9" s="1887"/>
      <c r="M9" s="1887" t="s">
        <v>465</v>
      </c>
      <c r="N9" s="1887"/>
      <c r="O9" s="1887" t="s">
        <v>466</v>
      </c>
      <c r="P9" s="1887"/>
      <c r="Q9" s="1887" t="s">
        <v>467</v>
      </c>
      <c r="R9" s="1887"/>
      <c r="S9" s="1887" t="s">
        <v>468</v>
      </c>
      <c r="T9" s="1887"/>
      <c r="U9" s="1887" t="s">
        <v>469</v>
      </c>
      <c r="V9" s="1887"/>
      <c r="W9" s="1887" t="s">
        <v>470</v>
      </c>
      <c r="X9" s="1887"/>
      <c r="Y9" s="1887" t="s">
        <v>471</v>
      </c>
      <c r="Z9" s="1887"/>
      <c r="AA9" s="1887" t="s">
        <v>472</v>
      </c>
      <c r="AB9" s="1887"/>
      <c r="AC9" s="1887" t="s">
        <v>473</v>
      </c>
      <c r="AD9" s="1887"/>
      <c r="AE9" s="1894" t="s">
        <v>477</v>
      </c>
      <c r="AF9" s="1895"/>
      <c r="AG9" s="1896" t="s">
        <v>474</v>
      </c>
      <c r="AH9" s="1897"/>
      <c r="AJ9" s="6"/>
      <c r="AK9" s="7"/>
      <c r="AL9" s="7"/>
      <c r="AM9" s="8" t="s">
        <v>0</v>
      </c>
      <c r="AN9" s="7"/>
      <c r="AO9" s="9"/>
      <c r="AP9" s="10"/>
      <c r="AQ9" s="9"/>
    </row>
    <row r="10" spans="1:43" ht="38.25" customHeight="1">
      <c r="A10" s="40"/>
      <c r="B10" s="41" t="s">
        <v>1</v>
      </c>
      <c r="C10" s="42" t="s">
        <v>2</v>
      </c>
      <c r="D10" s="43" t="s">
        <v>3</v>
      </c>
      <c r="E10" s="44" t="s">
        <v>4</v>
      </c>
      <c r="F10" s="45" t="s">
        <v>5</v>
      </c>
      <c r="G10" s="46" t="s">
        <v>6</v>
      </c>
      <c r="H10" s="45" t="s">
        <v>7</v>
      </c>
      <c r="I10" s="39" t="s">
        <v>475</v>
      </c>
      <c r="J10" s="39" t="s">
        <v>476</v>
      </c>
      <c r="K10" s="21" t="s">
        <v>475</v>
      </c>
      <c r="L10" s="21" t="s">
        <v>476</v>
      </c>
      <c r="M10" s="21" t="s">
        <v>475</v>
      </c>
      <c r="N10" s="21" t="s">
        <v>476</v>
      </c>
      <c r="O10" s="21" t="s">
        <v>475</v>
      </c>
      <c r="P10" s="21" t="s">
        <v>476</v>
      </c>
      <c r="Q10" s="21" t="s">
        <v>475</v>
      </c>
      <c r="R10" s="21" t="s">
        <v>476</v>
      </c>
      <c r="S10" s="21" t="s">
        <v>475</v>
      </c>
      <c r="T10" s="21" t="s">
        <v>476</v>
      </c>
      <c r="U10" s="21" t="s">
        <v>475</v>
      </c>
      <c r="V10" s="21" t="s">
        <v>476</v>
      </c>
      <c r="W10" s="21" t="s">
        <v>475</v>
      </c>
      <c r="X10" s="21" t="s">
        <v>476</v>
      </c>
      <c r="Y10" s="21" t="s">
        <v>475</v>
      </c>
      <c r="Z10" s="21" t="s">
        <v>476</v>
      </c>
      <c r="AA10" s="21" t="s">
        <v>475</v>
      </c>
      <c r="AB10" s="21" t="s">
        <v>476</v>
      </c>
      <c r="AC10" s="21" t="s">
        <v>475</v>
      </c>
      <c r="AD10" s="21" t="s">
        <v>476</v>
      </c>
      <c r="AE10" s="36" t="s">
        <v>475</v>
      </c>
      <c r="AF10" s="36" t="s">
        <v>476</v>
      </c>
      <c r="AG10" s="37" t="s">
        <v>475</v>
      </c>
      <c r="AH10" s="38" t="s">
        <v>476</v>
      </c>
      <c r="AJ10" s="11"/>
      <c r="AK10" s="12" t="s">
        <v>1</v>
      </c>
      <c r="AL10" s="12" t="s">
        <v>2</v>
      </c>
      <c r="AM10" s="13" t="s">
        <v>3</v>
      </c>
      <c r="AN10" s="12" t="s">
        <v>4</v>
      </c>
      <c r="AO10" s="14" t="s">
        <v>5</v>
      </c>
      <c r="AP10" s="15" t="s">
        <v>6</v>
      </c>
      <c r="AQ10" s="14" t="s">
        <v>7</v>
      </c>
    </row>
    <row r="11" spans="1:43" ht="89.25" customHeight="1">
      <c r="A11" s="16" t="s">
        <v>8</v>
      </c>
      <c r="B11" s="17" t="s">
        <v>9</v>
      </c>
      <c r="C11" s="17" t="s">
        <v>479</v>
      </c>
      <c r="D11" s="18" t="s">
        <v>480</v>
      </c>
      <c r="E11" s="17" t="s">
        <v>12</v>
      </c>
      <c r="F11" s="19">
        <v>10.14</v>
      </c>
      <c r="G11" s="20">
        <v>28</v>
      </c>
      <c r="H11" s="19">
        <f>G11*F11</f>
        <v>283.92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8"/>
      <c r="AJ11" s="16" t="s">
        <v>8</v>
      </c>
      <c r="AK11" s="17" t="s">
        <v>9</v>
      </c>
      <c r="AL11" s="17" t="s">
        <v>479</v>
      </c>
      <c r="AM11" s="18" t="s">
        <v>480</v>
      </c>
      <c r="AN11" s="17" t="s">
        <v>12</v>
      </c>
      <c r="AO11" s="19">
        <v>10.14</v>
      </c>
      <c r="AP11" s="20">
        <v>28</v>
      </c>
      <c r="AQ11" s="19">
        <f>AP11*AO11</f>
        <v>283.92</v>
      </c>
    </row>
    <row r="12" spans="1:43" ht="76.5" customHeight="1">
      <c r="A12" s="16" t="s">
        <v>13</v>
      </c>
      <c r="B12" s="17" t="s">
        <v>9</v>
      </c>
      <c r="C12" s="17" t="s">
        <v>10</v>
      </c>
      <c r="D12" s="18" t="s">
        <v>11</v>
      </c>
      <c r="E12" s="17" t="s">
        <v>12</v>
      </c>
      <c r="F12" s="19">
        <v>36.24</v>
      </c>
      <c r="G12" s="20">
        <v>73.92</v>
      </c>
      <c r="H12" s="19">
        <f t="shared" ref="H12:H75" si="0">G12*F12</f>
        <v>2678.8608000000004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8"/>
      <c r="AJ12" s="16" t="s">
        <v>13</v>
      </c>
      <c r="AK12" s="17" t="s">
        <v>9</v>
      </c>
      <c r="AL12" s="17" t="s">
        <v>10</v>
      </c>
      <c r="AM12" s="18" t="s">
        <v>11</v>
      </c>
      <c r="AN12" s="17" t="s">
        <v>12</v>
      </c>
      <c r="AO12" s="19">
        <v>36.24</v>
      </c>
      <c r="AP12" s="20">
        <v>73.92</v>
      </c>
      <c r="AQ12" s="19">
        <f t="shared" ref="AQ12:AQ75" si="1">AP12*AO12</f>
        <v>2678.8608000000004</v>
      </c>
    </row>
    <row r="13" spans="1:43" ht="89.25" customHeight="1">
      <c r="A13" s="16" t="s">
        <v>16</v>
      </c>
      <c r="B13" s="17" t="s">
        <v>9</v>
      </c>
      <c r="C13" s="17" t="s">
        <v>14</v>
      </c>
      <c r="D13" s="18" t="s">
        <v>15</v>
      </c>
      <c r="E13" s="17" t="s">
        <v>12</v>
      </c>
      <c r="F13" s="19">
        <v>7.25</v>
      </c>
      <c r="G13" s="20">
        <v>89</v>
      </c>
      <c r="H13" s="19">
        <f t="shared" si="0"/>
        <v>645.25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8"/>
      <c r="AJ13" s="16" t="s">
        <v>16</v>
      </c>
      <c r="AK13" s="17" t="s">
        <v>9</v>
      </c>
      <c r="AL13" s="17" t="s">
        <v>14</v>
      </c>
      <c r="AM13" s="18" t="s">
        <v>15</v>
      </c>
      <c r="AN13" s="17" t="s">
        <v>12</v>
      </c>
      <c r="AO13" s="19">
        <v>7.25</v>
      </c>
      <c r="AP13" s="20">
        <v>89</v>
      </c>
      <c r="AQ13" s="19">
        <f t="shared" si="1"/>
        <v>645.25</v>
      </c>
    </row>
    <row r="14" spans="1:43" ht="127.5" customHeight="1">
      <c r="A14" s="16" t="s">
        <v>19</v>
      </c>
      <c r="B14" s="17" t="s">
        <v>9</v>
      </c>
      <c r="C14" s="17" t="s">
        <v>17</v>
      </c>
      <c r="D14" s="18" t="s">
        <v>18</v>
      </c>
      <c r="E14" s="17" t="s">
        <v>12</v>
      </c>
      <c r="F14" s="19">
        <v>11.6</v>
      </c>
      <c r="G14" s="20">
        <v>24.3</v>
      </c>
      <c r="H14" s="19">
        <f t="shared" si="0"/>
        <v>281.88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8"/>
      <c r="AJ14" s="16" t="s">
        <v>19</v>
      </c>
      <c r="AK14" s="17" t="s">
        <v>9</v>
      </c>
      <c r="AL14" s="17" t="s">
        <v>17</v>
      </c>
      <c r="AM14" s="18" t="s">
        <v>18</v>
      </c>
      <c r="AN14" s="17" t="s">
        <v>12</v>
      </c>
      <c r="AO14" s="19">
        <v>11.6</v>
      </c>
      <c r="AP14" s="20">
        <v>24.3</v>
      </c>
      <c r="AQ14" s="19">
        <f t="shared" si="1"/>
        <v>281.88</v>
      </c>
    </row>
    <row r="15" spans="1:43" ht="76.5" customHeight="1">
      <c r="A15" s="16" t="s">
        <v>22</v>
      </c>
      <c r="B15" s="17" t="s">
        <v>9</v>
      </c>
      <c r="C15" s="17" t="s">
        <v>20</v>
      </c>
      <c r="D15" s="18" t="s">
        <v>21</v>
      </c>
      <c r="E15" s="17" t="s">
        <v>12</v>
      </c>
      <c r="F15" s="19">
        <v>7.25</v>
      </c>
      <c r="G15" s="20">
        <v>7.5</v>
      </c>
      <c r="H15" s="19">
        <f t="shared" si="0"/>
        <v>54.375</v>
      </c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8"/>
      <c r="AJ15" s="16" t="s">
        <v>22</v>
      </c>
      <c r="AK15" s="17" t="s">
        <v>9</v>
      </c>
      <c r="AL15" s="17" t="s">
        <v>20</v>
      </c>
      <c r="AM15" s="18" t="s">
        <v>21</v>
      </c>
      <c r="AN15" s="17" t="s">
        <v>12</v>
      </c>
      <c r="AO15" s="19">
        <v>7.25</v>
      </c>
      <c r="AP15" s="20">
        <v>7.5</v>
      </c>
      <c r="AQ15" s="19">
        <f t="shared" si="1"/>
        <v>54.375</v>
      </c>
    </row>
    <row r="16" spans="1:43" ht="76.5" customHeight="1">
      <c r="A16" s="16" t="s">
        <v>25</v>
      </c>
      <c r="B16" s="17" t="s">
        <v>9</v>
      </c>
      <c r="C16" s="17" t="s">
        <v>23</v>
      </c>
      <c r="D16" s="18" t="s">
        <v>24</v>
      </c>
      <c r="E16" s="17" t="s">
        <v>12</v>
      </c>
      <c r="F16" s="19">
        <v>9.35</v>
      </c>
      <c r="G16" s="20">
        <v>14</v>
      </c>
      <c r="H16" s="19">
        <f t="shared" si="0"/>
        <v>130.9</v>
      </c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8"/>
      <c r="AJ16" s="16" t="s">
        <v>25</v>
      </c>
      <c r="AK16" s="17" t="s">
        <v>9</v>
      </c>
      <c r="AL16" s="17" t="s">
        <v>23</v>
      </c>
      <c r="AM16" s="18" t="s">
        <v>24</v>
      </c>
      <c r="AN16" s="17" t="s">
        <v>12</v>
      </c>
      <c r="AO16" s="19">
        <v>9.35</v>
      </c>
      <c r="AP16" s="20">
        <v>14</v>
      </c>
      <c r="AQ16" s="19">
        <f t="shared" si="1"/>
        <v>130.9</v>
      </c>
    </row>
    <row r="17" spans="1:43" ht="76.5" customHeight="1">
      <c r="A17" s="16" t="s">
        <v>29</v>
      </c>
      <c r="B17" s="17" t="s">
        <v>9</v>
      </c>
      <c r="C17" s="17" t="s">
        <v>26</v>
      </c>
      <c r="D17" s="18" t="s">
        <v>27</v>
      </c>
      <c r="E17" s="17" t="s">
        <v>28</v>
      </c>
      <c r="F17" s="19">
        <v>15.07</v>
      </c>
      <c r="G17" s="20">
        <v>2</v>
      </c>
      <c r="H17" s="19">
        <f t="shared" si="0"/>
        <v>30.14</v>
      </c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8"/>
      <c r="AJ17" s="16" t="s">
        <v>29</v>
      </c>
      <c r="AK17" s="17" t="s">
        <v>9</v>
      </c>
      <c r="AL17" s="17" t="s">
        <v>26</v>
      </c>
      <c r="AM17" s="18" t="s">
        <v>27</v>
      </c>
      <c r="AN17" s="17" t="s">
        <v>28</v>
      </c>
      <c r="AO17" s="19">
        <v>15.07</v>
      </c>
      <c r="AP17" s="20">
        <v>2</v>
      </c>
      <c r="AQ17" s="19">
        <f t="shared" si="1"/>
        <v>30.14</v>
      </c>
    </row>
    <row r="18" spans="1:43" ht="63.75" customHeight="1">
      <c r="A18" s="16" t="s">
        <v>32</v>
      </c>
      <c r="B18" s="17" t="s">
        <v>9</v>
      </c>
      <c r="C18" s="17" t="s">
        <v>30</v>
      </c>
      <c r="D18" s="18" t="s">
        <v>31</v>
      </c>
      <c r="E18" s="17" t="s">
        <v>28</v>
      </c>
      <c r="F18" s="19">
        <v>18.07</v>
      </c>
      <c r="G18" s="20">
        <v>1</v>
      </c>
      <c r="H18" s="19">
        <f t="shared" si="0"/>
        <v>18.07</v>
      </c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8"/>
      <c r="AJ18" s="16" t="s">
        <v>32</v>
      </c>
      <c r="AK18" s="17" t="s">
        <v>9</v>
      </c>
      <c r="AL18" s="17" t="s">
        <v>30</v>
      </c>
      <c r="AM18" s="18" t="s">
        <v>31</v>
      </c>
      <c r="AN18" s="17" t="s">
        <v>28</v>
      </c>
      <c r="AO18" s="19">
        <v>18.07</v>
      </c>
      <c r="AP18" s="20">
        <v>1</v>
      </c>
      <c r="AQ18" s="19">
        <f t="shared" si="1"/>
        <v>18.07</v>
      </c>
    </row>
    <row r="19" spans="1:43" ht="51" customHeight="1">
      <c r="A19" s="16" t="s">
        <v>35</v>
      </c>
      <c r="B19" s="17" t="s">
        <v>9</v>
      </c>
      <c r="C19" s="17" t="s">
        <v>33</v>
      </c>
      <c r="D19" s="18" t="s">
        <v>34</v>
      </c>
      <c r="E19" s="17" t="s">
        <v>12</v>
      </c>
      <c r="F19" s="19">
        <v>18.07</v>
      </c>
      <c r="G19" s="20">
        <v>1</v>
      </c>
      <c r="H19" s="19">
        <f t="shared" si="0"/>
        <v>18.07</v>
      </c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8"/>
      <c r="AJ19" s="16" t="s">
        <v>35</v>
      </c>
      <c r="AK19" s="17" t="s">
        <v>9</v>
      </c>
      <c r="AL19" s="17" t="s">
        <v>33</v>
      </c>
      <c r="AM19" s="18" t="s">
        <v>34</v>
      </c>
      <c r="AN19" s="17" t="s">
        <v>12</v>
      </c>
      <c r="AO19" s="19">
        <v>18.07</v>
      </c>
      <c r="AP19" s="20">
        <v>1</v>
      </c>
      <c r="AQ19" s="19">
        <f t="shared" si="1"/>
        <v>18.07</v>
      </c>
    </row>
    <row r="20" spans="1:43" ht="127.5" customHeight="1">
      <c r="A20" s="16" t="s">
        <v>38</v>
      </c>
      <c r="B20" s="17" t="s">
        <v>9</v>
      </c>
      <c r="C20" s="17" t="s">
        <v>36</v>
      </c>
      <c r="D20" s="18" t="s">
        <v>37</v>
      </c>
      <c r="E20" s="17" t="s">
        <v>28</v>
      </c>
      <c r="F20" s="19">
        <v>8</v>
      </c>
      <c r="G20" s="20">
        <v>60</v>
      </c>
      <c r="H20" s="19">
        <f t="shared" si="0"/>
        <v>480</v>
      </c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8"/>
      <c r="AJ20" s="16" t="s">
        <v>38</v>
      </c>
      <c r="AK20" s="17" t="s">
        <v>9</v>
      </c>
      <c r="AL20" s="17" t="s">
        <v>36</v>
      </c>
      <c r="AM20" s="18" t="s">
        <v>37</v>
      </c>
      <c r="AN20" s="17" t="s">
        <v>28</v>
      </c>
      <c r="AO20" s="19">
        <v>8</v>
      </c>
      <c r="AP20" s="20">
        <v>60</v>
      </c>
      <c r="AQ20" s="19">
        <f t="shared" si="1"/>
        <v>480</v>
      </c>
    </row>
    <row r="21" spans="1:43" ht="140.25" customHeight="1">
      <c r="A21" s="16" t="s">
        <v>41</v>
      </c>
      <c r="B21" s="17" t="s">
        <v>9</v>
      </c>
      <c r="C21" s="17" t="s">
        <v>39</v>
      </c>
      <c r="D21" s="18" t="s">
        <v>40</v>
      </c>
      <c r="E21" s="17" t="s">
        <v>12</v>
      </c>
      <c r="F21" s="19">
        <v>5.56</v>
      </c>
      <c r="G21" s="20">
        <v>28</v>
      </c>
      <c r="H21" s="19">
        <f t="shared" si="0"/>
        <v>155.67999999999998</v>
      </c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8"/>
      <c r="AJ21" s="16" t="s">
        <v>41</v>
      </c>
      <c r="AK21" s="17" t="s">
        <v>9</v>
      </c>
      <c r="AL21" s="17" t="s">
        <v>39</v>
      </c>
      <c r="AM21" s="18" t="s">
        <v>40</v>
      </c>
      <c r="AN21" s="17" t="s">
        <v>12</v>
      </c>
      <c r="AO21" s="19">
        <v>5.56</v>
      </c>
      <c r="AP21" s="20">
        <v>28</v>
      </c>
      <c r="AQ21" s="19">
        <f t="shared" si="1"/>
        <v>155.67999999999998</v>
      </c>
    </row>
    <row r="22" spans="1:43" ht="102" customHeight="1">
      <c r="A22" s="16" t="s">
        <v>45</v>
      </c>
      <c r="B22" s="17" t="s">
        <v>9</v>
      </c>
      <c r="C22" s="17" t="s">
        <v>42</v>
      </c>
      <c r="D22" s="18" t="s">
        <v>43</v>
      </c>
      <c r="E22" s="17" t="s">
        <v>44</v>
      </c>
      <c r="F22" s="19">
        <v>1.68</v>
      </c>
      <c r="G22" s="20">
        <v>110</v>
      </c>
      <c r="H22" s="19">
        <f t="shared" si="0"/>
        <v>184.79999999999998</v>
      </c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8"/>
      <c r="AJ22" s="16" t="s">
        <v>45</v>
      </c>
      <c r="AK22" s="17" t="s">
        <v>9</v>
      </c>
      <c r="AL22" s="17" t="s">
        <v>42</v>
      </c>
      <c r="AM22" s="18" t="s">
        <v>43</v>
      </c>
      <c r="AN22" s="17" t="s">
        <v>44</v>
      </c>
      <c r="AO22" s="19">
        <v>1.68</v>
      </c>
      <c r="AP22" s="20">
        <v>110</v>
      </c>
      <c r="AQ22" s="19">
        <f t="shared" si="1"/>
        <v>184.79999999999998</v>
      </c>
    </row>
    <row r="23" spans="1:43" ht="76.5" customHeight="1">
      <c r="A23" s="16" t="s">
        <v>48</v>
      </c>
      <c r="B23" s="17" t="s">
        <v>9</v>
      </c>
      <c r="C23" s="17" t="s">
        <v>46</v>
      </c>
      <c r="D23" s="18" t="s">
        <v>47</v>
      </c>
      <c r="E23" s="17" t="s">
        <v>28</v>
      </c>
      <c r="F23" s="19">
        <v>8</v>
      </c>
      <c r="G23" s="20">
        <v>5</v>
      </c>
      <c r="H23" s="19">
        <f t="shared" si="0"/>
        <v>40</v>
      </c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8"/>
      <c r="AJ23" s="16" t="s">
        <v>48</v>
      </c>
      <c r="AK23" s="17" t="s">
        <v>9</v>
      </c>
      <c r="AL23" s="17" t="s">
        <v>46</v>
      </c>
      <c r="AM23" s="18" t="s">
        <v>47</v>
      </c>
      <c r="AN23" s="17" t="s">
        <v>28</v>
      </c>
      <c r="AO23" s="19">
        <v>8</v>
      </c>
      <c r="AP23" s="20">
        <v>5</v>
      </c>
      <c r="AQ23" s="19">
        <f t="shared" si="1"/>
        <v>40</v>
      </c>
    </row>
    <row r="24" spans="1:43" ht="395.25" customHeight="1">
      <c r="A24" s="16" t="s">
        <v>52</v>
      </c>
      <c r="B24" s="17" t="s">
        <v>9</v>
      </c>
      <c r="C24" s="17" t="s">
        <v>49</v>
      </c>
      <c r="D24" s="18" t="s">
        <v>50</v>
      </c>
      <c r="E24" s="17" t="s">
        <v>51</v>
      </c>
      <c r="F24" s="19">
        <v>50.36</v>
      </c>
      <c r="G24" s="20">
        <v>145</v>
      </c>
      <c r="H24" s="19">
        <f t="shared" si="0"/>
        <v>7302.2</v>
      </c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8"/>
      <c r="AJ24" s="16" t="s">
        <v>52</v>
      </c>
      <c r="AK24" s="17" t="s">
        <v>9</v>
      </c>
      <c r="AL24" s="17" t="s">
        <v>49</v>
      </c>
      <c r="AM24" s="18" t="s">
        <v>50</v>
      </c>
      <c r="AN24" s="17" t="s">
        <v>51</v>
      </c>
      <c r="AO24" s="19">
        <v>50.36</v>
      </c>
      <c r="AP24" s="20">
        <v>145</v>
      </c>
      <c r="AQ24" s="19">
        <f t="shared" si="1"/>
        <v>7302.2</v>
      </c>
    </row>
    <row r="25" spans="1:43" ht="89.25" customHeight="1">
      <c r="A25" s="16" t="s">
        <v>55</v>
      </c>
      <c r="B25" s="17" t="s">
        <v>9</v>
      </c>
      <c r="C25" s="17" t="s">
        <v>53</v>
      </c>
      <c r="D25" s="18" t="s">
        <v>54</v>
      </c>
      <c r="E25" s="17" t="s">
        <v>12</v>
      </c>
      <c r="F25" s="19">
        <v>21.33</v>
      </c>
      <c r="G25" s="20">
        <v>28</v>
      </c>
      <c r="H25" s="19">
        <f t="shared" si="0"/>
        <v>597.24</v>
      </c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8"/>
      <c r="AJ25" s="16" t="s">
        <v>55</v>
      </c>
      <c r="AK25" s="17" t="s">
        <v>9</v>
      </c>
      <c r="AL25" s="17" t="s">
        <v>53</v>
      </c>
      <c r="AM25" s="18" t="s">
        <v>54</v>
      </c>
      <c r="AN25" s="17" t="s">
        <v>12</v>
      </c>
      <c r="AO25" s="19">
        <v>21.33</v>
      </c>
      <c r="AP25" s="20">
        <v>28</v>
      </c>
      <c r="AQ25" s="19">
        <f t="shared" si="1"/>
        <v>597.24</v>
      </c>
    </row>
    <row r="26" spans="1:43" ht="114.75" customHeight="1">
      <c r="A26" s="16" t="s">
        <v>58</v>
      </c>
      <c r="B26" s="17" t="s">
        <v>9</v>
      </c>
      <c r="C26" s="17" t="s">
        <v>481</v>
      </c>
      <c r="D26" s="18" t="s">
        <v>482</v>
      </c>
      <c r="E26" s="17" t="s">
        <v>51</v>
      </c>
      <c r="F26" s="19">
        <v>240.18</v>
      </c>
      <c r="G26" s="20">
        <v>4</v>
      </c>
      <c r="H26" s="19">
        <f t="shared" si="0"/>
        <v>960.72</v>
      </c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8"/>
      <c r="AJ26" s="16" t="s">
        <v>58</v>
      </c>
      <c r="AK26" s="17" t="s">
        <v>9</v>
      </c>
      <c r="AL26" s="17" t="s">
        <v>481</v>
      </c>
      <c r="AM26" s="18" t="s">
        <v>482</v>
      </c>
      <c r="AN26" s="17" t="s">
        <v>51</v>
      </c>
      <c r="AO26" s="19">
        <v>240.18</v>
      </c>
      <c r="AP26" s="20">
        <v>4</v>
      </c>
      <c r="AQ26" s="19">
        <f t="shared" si="1"/>
        <v>960.72</v>
      </c>
    </row>
    <row r="27" spans="1:43" ht="102" customHeight="1">
      <c r="A27" s="16" t="s">
        <v>61</v>
      </c>
      <c r="B27" s="17" t="s">
        <v>9</v>
      </c>
      <c r="C27" s="17" t="s">
        <v>56</v>
      </c>
      <c r="D27" s="18" t="s">
        <v>57</v>
      </c>
      <c r="E27" s="17" t="s">
        <v>12</v>
      </c>
      <c r="F27" s="19">
        <v>12.77</v>
      </c>
      <c r="G27" s="20">
        <v>24.1</v>
      </c>
      <c r="H27" s="19">
        <f t="shared" si="0"/>
        <v>307.75700000000001</v>
      </c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8"/>
      <c r="AJ27" s="16" t="s">
        <v>61</v>
      </c>
      <c r="AK27" s="17" t="s">
        <v>9</v>
      </c>
      <c r="AL27" s="17" t="s">
        <v>56</v>
      </c>
      <c r="AM27" s="18" t="s">
        <v>57</v>
      </c>
      <c r="AN27" s="17" t="s">
        <v>12</v>
      </c>
      <c r="AO27" s="19">
        <v>12.77</v>
      </c>
      <c r="AP27" s="20">
        <v>24.1</v>
      </c>
      <c r="AQ27" s="19">
        <f t="shared" si="1"/>
        <v>307.75700000000001</v>
      </c>
    </row>
    <row r="28" spans="1:43" ht="51" customHeight="1">
      <c r="A28" s="16" t="s">
        <v>483</v>
      </c>
      <c r="B28" s="17" t="s">
        <v>9</v>
      </c>
      <c r="C28" s="17" t="s">
        <v>59</v>
      </c>
      <c r="D28" s="18" t="s">
        <v>60</v>
      </c>
      <c r="E28" s="17" t="s">
        <v>51</v>
      </c>
      <c r="F28" s="19">
        <v>43.5</v>
      </c>
      <c r="G28" s="20">
        <v>15</v>
      </c>
      <c r="H28" s="19">
        <f t="shared" si="0"/>
        <v>652.5</v>
      </c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8"/>
      <c r="AJ28" s="16" t="s">
        <v>483</v>
      </c>
      <c r="AK28" s="17" t="s">
        <v>9</v>
      </c>
      <c r="AL28" s="17" t="s">
        <v>59</v>
      </c>
      <c r="AM28" s="18" t="s">
        <v>60</v>
      </c>
      <c r="AN28" s="17" t="s">
        <v>51</v>
      </c>
      <c r="AO28" s="19">
        <v>43.5</v>
      </c>
      <c r="AP28" s="20">
        <v>15</v>
      </c>
      <c r="AQ28" s="19">
        <f t="shared" si="1"/>
        <v>652.5</v>
      </c>
    </row>
    <row r="29" spans="1:43" ht="51" customHeight="1">
      <c r="A29" s="16" t="s">
        <v>484</v>
      </c>
      <c r="B29" s="17" t="s">
        <v>9</v>
      </c>
      <c r="C29" s="17" t="s">
        <v>62</v>
      </c>
      <c r="D29" s="18" t="s">
        <v>63</v>
      </c>
      <c r="E29" s="17" t="s">
        <v>44</v>
      </c>
      <c r="F29" s="19">
        <v>7.25</v>
      </c>
      <c r="G29" s="20">
        <v>20</v>
      </c>
      <c r="H29" s="19">
        <f t="shared" si="0"/>
        <v>145</v>
      </c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8"/>
      <c r="AJ29" s="16" t="s">
        <v>484</v>
      </c>
      <c r="AK29" s="17" t="s">
        <v>9</v>
      </c>
      <c r="AL29" s="17" t="s">
        <v>62</v>
      </c>
      <c r="AM29" s="18" t="s">
        <v>63</v>
      </c>
      <c r="AN29" s="17" t="s">
        <v>44</v>
      </c>
      <c r="AO29" s="19">
        <v>7.25</v>
      </c>
      <c r="AP29" s="20">
        <v>20</v>
      </c>
      <c r="AQ29" s="19">
        <f t="shared" si="1"/>
        <v>145</v>
      </c>
    </row>
    <row r="30" spans="1:43" ht="76.5" customHeight="1">
      <c r="A30" s="16" t="s">
        <v>485</v>
      </c>
      <c r="B30" s="17" t="s">
        <v>9</v>
      </c>
      <c r="C30" s="17" t="s">
        <v>486</v>
      </c>
      <c r="D30" s="18" t="s">
        <v>487</v>
      </c>
      <c r="E30" s="17" t="s">
        <v>12</v>
      </c>
      <c r="F30" s="19">
        <v>4.6900000000000004</v>
      </c>
      <c r="G30" s="20">
        <v>359.25</v>
      </c>
      <c r="H30" s="19">
        <f t="shared" si="0"/>
        <v>1684.8825000000002</v>
      </c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8"/>
      <c r="AJ30" s="16" t="s">
        <v>485</v>
      </c>
      <c r="AK30" s="17" t="s">
        <v>9</v>
      </c>
      <c r="AL30" s="17" t="s">
        <v>486</v>
      </c>
      <c r="AM30" s="18" t="s">
        <v>487</v>
      </c>
      <c r="AN30" s="17" t="s">
        <v>12</v>
      </c>
      <c r="AO30" s="19">
        <v>4.6900000000000004</v>
      </c>
      <c r="AP30" s="20">
        <v>359.25</v>
      </c>
      <c r="AQ30" s="19">
        <f t="shared" si="1"/>
        <v>1684.8825000000002</v>
      </c>
    </row>
    <row r="31" spans="1:43" ht="255" customHeight="1">
      <c r="A31" s="16" t="s">
        <v>64</v>
      </c>
      <c r="B31" s="17" t="s">
        <v>9</v>
      </c>
      <c r="C31" s="17" t="s">
        <v>66</v>
      </c>
      <c r="D31" s="18" t="s">
        <v>67</v>
      </c>
      <c r="E31" s="17" t="s">
        <v>12</v>
      </c>
      <c r="F31" s="19">
        <v>11.97</v>
      </c>
      <c r="G31" s="20">
        <v>311</v>
      </c>
      <c r="H31" s="19">
        <f t="shared" si="0"/>
        <v>3722.67</v>
      </c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8"/>
      <c r="AJ31" s="16" t="s">
        <v>64</v>
      </c>
      <c r="AK31" s="17" t="s">
        <v>9</v>
      </c>
      <c r="AL31" s="17" t="s">
        <v>66</v>
      </c>
      <c r="AM31" s="18" t="s">
        <v>67</v>
      </c>
      <c r="AN31" s="17" t="s">
        <v>12</v>
      </c>
      <c r="AO31" s="19">
        <v>11.97</v>
      </c>
      <c r="AP31" s="20">
        <v>311</v>
      </c>
      <c r="AQ31" s="19">
        <f t="shared" si="1"/>
        <v>3722.67</v>
      </c>
    </row>
    <row r="32" spans="1:43" ht="382.5" customHeight="1">
      <c r="A32" s="16" t="s">
        <v>488</v>
      </c>
      <c r="B32" s="17" t="s">
        <v>9</v>
      </c>
      <c r="C32" s="17" t="s">
        <v>69</v>
      </c>
      <c r="D32" s="18" t="s">
        <v>70</v>
      </c>
      <c r="E32" s="17" t="s">
        <v>12</v>
      </c>
      <c r="F32" s="19">
        <v>20.76</v>
      </c>
      <c r="G32" s="20">
        <v>311</v>
      </c>
      <c r="H32" s="19">
        <f t="shared" si="0"/>
        <v>6456.3600000000006</v>
      </c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8"/>
      <c r="AJ32" s="16" t="s">
        <v>488</v>
      </c>
      <c r="AK32" s="17" t="s">
        <v>9</v>
      </c>
      <c r="AL32" s="17" t="s">
        <v>69</v>
      </c>
      <c r="AM32" s="18" t="s">
        <v>70</v>
      </c>
      <c r="AN32" s="17" t="s">
        <v>12</v>
      </c>
      <c r="AO32" s="19">
        <v>20.76</v>
      </c>
      <c r="AP32" s="20">
        <v>311</v>
      </c>
      <c r="AQ32" s="19">
        <f t="shared" si="1"/>
        <v>6456.3600000000006</v>
      </c>
    </row>
    <row r="33" spans="1:43" ht="409.5" customHeight="1">
      <c r="A33" s="16" t="s">
        <v>489</v>
      </c>
      <c r="B33" s="17" t="s">
        <v>9</v>
      </c>
      <c r="C33" s="17" t="s">
        <v>71</v>
      </c>
      <c r="D33" s="18" t="s">
        <v>72</v>
      </c>
      <c r="E33" s="17" t="s">
        <v>44</v>
      </c>
      <c r="F33" s="19">
        <v>170.49</v>
      </c>
      <c r="G33" s="20">
        <v>20</v>
      </c>
      <c r="H33" s="19">
        <f t="shared" si="0"/>
        <v>3409.8</v>
      </c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8"/>
      <c r="AJ33" s="16" t="s">
        <v>489</v>
      </c>
      <c r="AK33" s="17" t="s">
        <v>9</v>
      </c>
      <c r="AL33" s="17" t="s">
        <v>71</v>
      </c>
      <c r="AM33" s="18" t="s">
        <v>72</v>
      </c>
      <c r="AN33" s="17" t="s">
        <v>44</v>
      </c>
      <c r="AO33" s="19">
        <v>170.49</v>
      </c>
      <c r="AP33" s="20">
        <v>20</v>
      </c>
      <c r="AQ33" s="19">
        <f t="shared" si="1"/>
        <v>3409.8</v>
      </c>
    </row>
    <row r="34" spans="1:43" ht="102" customHeight="1">
      <c r="A34" s="16" t="s">
        <v>65</v>
      </c>
      <c r="B34" s="17" t="s">
        <v>9</v>
      </c>
      <c r="C34" s="17" t="s">
        <v>73</v>
      </c>
      <c r="D34" s="18" t="s">
        <v>74</v>
      </c>
      <c r="E34" s="17" t="s">
        <v>12</v>
      </c>
      <c r="F34" s="19">
        <v>21.69</v>
      </c>
      <c r="G34" s="20">
        <v>61.75</v>
      </c>
      <c r="H34" s="19">
        <f t="shared" si="0"/>
        <v>1339.3575000000001</v>
      </c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8"/>
      <c r="AJ34" s="16" t="s">
        <v>65</v>
      </c>
      <c r="AK34" s="17" t="s">
        <v>9</v>
      </c>
      <c r="AL34" s="17" t="s">
        <v>73</v>
      </c>
      <c r="AM34" s="18" t="s">
        <v>74</v>
      </c>
      <c r="AN34" s="17" t="s">
        <v>12</v>
      </c>
      <c r="AO34" s="19">
        <v>21.69</v>
      </c>
      <c r="AP34" s="20">
        <v>61.75</v>
      </c>
      <c r="AQ34" s="19">
        <f t="shared" si="1"/>
        <v>1339.3575000000001</v>
      </c>
    </row>
    <row r="35" spans="1:43" ht="38.25" customHeight="1">
      <c r="A35" s="16" t="s">
        <v>68</v>
      </c>
      <c r="B35" s="17" t="s">
        <v>9</v>
      </c>
      <c r="C35" s="17" t="s">
        <v>75</v>
      </c>
      <c r="D35" s="18" t="s">
        <v>76</v>
      </c>
      <c r="E35" s="17" t="s">
        <v>51</v>
      </c>
      <c r="F35" s="19">
        <v>144.97999999999999</v>
      </c>
      <c r="G35" s="20">
        <v>9.26</v>
      </c>
      <c r="H35" s="19">
        <f t="shared" si="0"/>
        <v>1342.5147999999999</v>
      </c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8"/>
      <c r="AJ35" s="16" t="s">
        <v>68</v>
      </c>
      <c r="AK35" s="17" t="s">
        <v>9</v>
      </c>
      <c r="AL35" s="17" t="s">
        <v>75</v>
      </c>
      <c r="AM35" s="18" t="s">
        <v>76</v>
      </c>
      <c r="AN35" s="17" t="s">
        <v>51</v>
      </c>
      <c r="AO35" s="19">
        <v>144.97999999999999</v>
      </c>
      <c r="AP35" s="20">
        <v>9.26</v>
      </c>
      <c r="AQ35" s="19">
        <f t="shared" si="1"/>
        <v>1342.5147999999999</v>
      </c>
    </row>
    <row r="36" spans="1:43" ht="204" customHeight="1">
      <c r="A36" s="16" t="s">
        <v>77</v>
      </c>
      <c r="B36" s="17" t="s">
        <v>9</v>
      </c>
      <c r="C36" s="17" t="s">
        <v>78</v>
      </c>
      <c r="D36" s="18" t="s">
        <v>79</v>
      </c>
      <c r="E36" s="17" t="s">
        <v>12</v>
      </c>
      <c r="F36" s="19">
        <v>108.09</v>
      </c>
      <c r="G36" s="20">
        <v>42</v>
      </c>
      <c r="H36" s="19">
        <f t="shared" si="0"/>
        <v>4539.78</v>
      </c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8"/>
      <c r="AJ36" s="16" t="s">
        <v>77</v>
      </c>
      <c r="AK36" s="17" t="s">
        <v>9</v>
      </c>
      <c r="AL36" s="17" t="s">
        <v>78</v>
      </c>
      <c r="AM36" s="18" t="s">
        <v>79</v>
      </c>
      <c r="AN36" s="17" t="s">
        <v>12</v>
      </c>
      <c r="AO36" s="19">
        <v>108.09</v>
      </c>
      <c r="AP36" s="20">
        <v>42</v>
      </c>
      <c r="AQ36" s="19">
        <f t="shared" si="1"/>
        <v>4539.78</v>
      </c>
    </row>
    <row r="37" spans="1:43" ht="204" customHeight="1">
      <c r="A37" s="16" t="s">
        <v>80</v>
      </c>
      <c r="B37" s="17" t="s">
        <v>9</v>
      </c>
      <c r="C37" s="17" t="s">
        <v>81</v>
      </c>
      <c r="D37" s="18" t="s">
        <v>82</v>
      </c>
      <c r="E37" s="17" t="s">
        <v>12</v>
      </c>
      <c r="F37" s="19">
        <v>63.81</v>
      </c>
      <c r="G37" s="20">
        <v>42</v>
      </c>
      <c r="H37" s="19">
        <f t="shared" si="0"/>
        <v>2680.02</v>
      </c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8"/>
      <c r="AJ37" s="16" t="s">
        <v>80</v>
      </c>
      <c r="AK37" s="17" t="s">
        <v>9</v>
      </c>
      <c r="AL37" s="17" t="s">
        <v>81</v>
      </c>
      <c r="AM37" s="18" t="s">
        <v>82</v>
      </c>
      <c r="AN37" s="17" t="s">
        <v>12</v>
      </c>
      <c r="AO37" s="19">
        <v>63.81</v>
      </c>
      <c r="AP37" s="20">
        <v>42</v>
      </c>
      <c r="AQ37" s="19">
        <f t="shared" si="1"/>
        <v>2680.02</v>
      </c>
    </row>
    <row r="38" spans="1:43" ht="306" customHeight="1">
      <c r="A38" s="16" t="s">
        <v>83</v>
      </c>
      <c r="B38" s="17" t="s">
        <v>9</v>
      </c>
      <c r="C38" s="17" t="s">
        <v>84</v>
      </c>
      <c r="D38" s="18" t="s">
        <v>85</v>
      </c>
      <c r="E38" s="17" t="s">
        <v>12</v>
      </c>
      <c r="F38" s="19">
        <v>19.14</v>
      </c>
      <c r="G38" s="20">
        <v>42</v>
      </c>
      <c r="H38" s="19">
        <f t="shared" si="0"/>
        <v>803.88</v>
      </c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8"/>
      <c r="AJ38" s="16" t="s">
        <v>83</v>
      </c>
      <c r="AK38" s="17" t="s">
        <v>9</v>
      </c>
      <c r="AL38" s="17" t="s">
        <v>84</v>
      </c>
      <c r="AM38" s="18" t="s">
        <v>85</v>
      </c>
      <c r="AN38" s="17" t="s">
        <v>12</v>
      </c>
      <c r="AO38" s="19">
        <v>19.14</v>
      </c>
      <c r="AP38" s="20">
        <v>42</v>
      </c>
      <c r="AQ38" s="19">
        <f t="shared" si="1"/>
        <v>803.88</v>
      </c>
    </row>
    <row r="39" spans="1:43" ht="165.75" customHeight="1">
      <c r="A39" s="16" t="s">
        <v>86</v>
      </c>
      <c r="B39" s="17" t="s">
        <v>9</v>
      </c>
      <c r="C39" s="17" t="s">
        <v>87</v>
      </c>
      <c r="D39" s="18" t="s">
        <v>88</v>
      </c>
      <c r="E39" s="17" t="s">
        <v>12</v>
      </c>
      <c r="F39" s="19">
        <v>59.21</v>
      </c>
      <c r="G39" s="20">
        <v>42</v>
      </c>
      <c r="H39" s="19">
        <f t="shared" si="0"/>
        <v>2486.8200000000002</v>
      </c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8"/>
      <c r="AJ39" s="16" t="s">
        <v>86</v>
      </c>
      <c r="AK39" s="17" t="s">
        <v>9</v>
      </c>
      <c r="AL39" s="17" t="s">
        <v>87</v>
      </c>
      <c r="AM39" s="18" t="s">
        <v>88</v>
      </c>
      <c r="AN39" s="17" t="s">
        <v>12</v>
      </c>
      <c r="AO39" s="19">
        <v>59.21</v>
      </c>
      <c r="AP39" s="20">
        <v>42</v>
      </c>
      <c r="AQ39" s="19">
        <f t="shared" si="1"/>
        <v>2486.8200000000002</v>
      </c>
    </row>
    <row r="40" spans="1:43" ht="63.75" customHeight="1">
      <c r="A40" s="16" t="s">
        <v>89</v>
      </c>
      <c r="B40" s="17" t="s">
        <v>9</v>
      </c>
      <c r="C40" s="17" t="s">
        <v>90</v>
      </c>
      <c r="D40" s="18" t="s">
        <v>91</v>
      </c>
      <c r="E40" s="17" t="s">
        <v>92</v>
      </c>
      <c r="F40" s="19">
        <v>3.84</v>
      </c>
      <c r="G40" s="20">
        <v>42</v>
      </c>
      <c r="H40" s="19">
        <f t="shared" si="0"/>
        <v>161.28</v>
      </c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8"/>
      <c r="AJ40" s="16" t="s">
        <v>89</v>
      </c>
      <c r="AK40" s="17" t="s">
        <v>9</v>
      </c>
      <c r="AL40" s="17" t="s">
        <v>90</v>
      </c>
      <c r="AM40" s="18" t="s">
        <v>91</v>
      </c>
      <c r="AN40" s="17" t="s">
        <v>92</v>
      </c>
      <c r="AO40" s="19">
        <v>3.84</v>
      </c>
      <c r="AP40" s="20">
        <v>42</v>
      </c>
      <c r="AQ40" s="19">
        <f t="shared" si="1"/>
        <v>161.28</v>
      </c>
    </row>
    <row r="41" spans="1:43" ht="216.75" customHeight="1">
      <c r="A41" s="16" t="s">
        <v>93</v>
      </c>
      <c r="B41" s="17" t="s">
        <v>9</v>
      </c>
      <c r="C41" s="17" t="s">
        <v>94</v>
      </c>
      <c r="D41" s="18" t="s">
        <v>95</v>
      </c>
      <c r="E41" s="17" t="s">
        <v>12</v>
      </c>
      <c r="F41" s="19">
        <v>319.98</v>
      </c>
      <c r="G41" s="20">
        <v>42</v>
      </c>
      <c r="H41" s="19">
        <f t="shared" si="0"/>
        <v>13439.16</v>
      </c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8"/>
      <c r="AJ41" s="16" t="s">
        <v>93</v>
      </c>
      <c r="AK41" s="17" t="s">
        <v>9</v>
      </c>
      <c r="AL41" s="17" t="s">
        <v>94</v>
      </c>
      <c r="AM41" s="18" t="s">
        <v>95</v>
      </c>
      <c r="AN41" s="17" t="s">
        <v>12</v>
      </c>
      <c r="AO41" s="19">
        <v>319.98</v>
      </c>
      <c r="AP41" s="20">
        <v>42</v>
      </c>
      <c r="AQ41" s="19">
        <f t="shared" si="1"/>
        <v>13439.16</v>
      </c>
    </row>
    <row r="42" spans="1:43" ht="140.25" customHeight="1">
      <c r="A42" s="16" t="s">
        <v>96</v>
      </c>
      <c r="B42" s="17" t="s">
        <v>9</v>
      </c>
      <c r="C42" s="17" t="s">
        <v>97</v>
      </c>
      <c r="D42" s="18" t="s">
        <v>98</v>
      </c>
      <c r="E42" s="17" t="s">
        <v>12</v>
      </c>
      <c r="F42" s="19">
        <v>12.59</v>
      </c>
      <c r="G42" s="20">
        <v>42</v>
      </c>
      <c r="H42" s="19">
        <f t="shared" si="0"/>
        <v>528.78</v>
      </c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8"/>
      <c r="AJ42" s="16" t="s">
        <v>96</v>
      </c>
      <c r="AK42" s="17" t="s">
        <v>9</v>
      </c>
      <c r="AL42" s="17" t="s">
        <v>97</v>
      </c>
      <c r="AM42" s="18" t="s">
        <v>98</v>
      </c>
      <c r="AN42" s="17" t="s">
        <v>12</v>
      </c>
      <c r="AO42" s="19">
        <v>12.59</v>
      </c>
      <c r="AP42" s="20">
        <v>42</v>
      </c>
      <c r="AQ42" s="19">
        <f t="shared" si="1"/>
        <v>528.78</v>
      </c>
    </row>
    <row r="43" spans="1:43" ht="216.75" customHeight="1">
      <c r="A43" s="16" t="s">
        <v>99</v>
      </c>
      <c r="B43" s="17" t="s">
        <v>9</v>
      </c>
      <c r="C43" s="17" t="s">
        <v>100</v>
      </c>
      <c r="D43" s="18" t="s">
        <v>101</v>
      </c>
      <c r="E43" s="17" t="s">
        <v>51</v>
      </c>
      <c r="F43" s="19">
        <v>616.84</v>
      </c>
      <c r="G43" s="20">
        <v>12.35</v>
      </c>
      <c r="H43" s="19">
        <f t="shared" si="0"/>
        <v>7617.9740000000002</v>
      </c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8"/>
      <c r="AJ43" s="16" t="s">
        <v>99</v>
      </c>
      <c r="AK43" s="17" t="s">
        <v>9</v>
      </c>
      <c r="AL43" s="17" t="s">
        <v>100</v>
      </c>
      <c r="AM43" s="18" t="s">
        <v>101</v>
      </c>
      <c r="AN43" s="17" t="s">
        <v>51</v>
      </c>
      <c r="AO43" s="19">
        <v>616.84</v>
      </c>
      <c r="AP43" s="20">
        <v>12.35</v>
      </c>
      <c r="AQ43" s="19">
        <f t="shared" si="1"/>
        <v>7617.9740000000002</v>
      </c>
    </row>
    <row r="44" spans="1:43" ht="191.25" customHeight="1">
      <c r="A44" s="16" t="s">
        <v>102</v>
      </c>
      <c r="B44" s="17" t="s">
        <v>9</v>
      </c>
      <c r="C44" s="17" t="s">
        <v>103</v>
      </c>
      <c r="D44" s="18" t="s">
        <v>104</v>
      </c>
      <c r="E44" s="17" t="s">
        <v>92</v>
      </c>
      <c r="F44" s="19">
        <v>12.75</v>
      </c>
      <c r="G44" s="20">
        <v>50</v>
      </c>
      <c r="H44" s="19">
        <f t="shared" si="0"/>
        <v>637.5</v>
      </c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8"/>
      <c r="AJ44" s="16" t="s">
        <v>102</v>
      </c>
      <c r="AK44" s="17" t="s">
        <v>9</v>
      </c>
      <c r="AL44" s="17" t="s">
        <v>103</v>
      </c>
      <c r="AM44" s="18" t="s">
        <v>104</v>
      </c>
      <c r="AN44" s="17" t="s">
        <v>92</v>
      </c>
      <c r="AO44" s="19">
        <v>12.75</v>
      </c>
      <c r="AP44" s="20">
        <v>50</v>
      </c>
      <c r="AQ44" s="19">
        <f t="shared" si="1"/>
        <v>637.5</v>
      </c>
    </row>
    <row r="45" spans="1:43" ht="204" customHeight="1">
      <c r="A45" s="16" t="s">
        <v>105</v>
      </c>
      <c r="B45" s="17" t="s">
        <v>9</v>
      </c>
      <c r="C45" s="17" t="s">
        <v>106</v>
      </c>
      <c r="D45" s="18" t="s">
        <v>107</v>
      </c>
      <c r="E45" s="17" t="s">
        <v>92</v>
      </c>
      <c r="F45" s="19">
        <v>12.84</v>
      </c>
      <c r="G45" s="20">
        <v>20</v>
      </c>
      <c r="H45" s="19">
        <f t="shared" si="0"/>
        <v>256.8</v>
      </c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8"/>
      <c r="AJ45" s="16" t="s">
        <v>105</v>
      </c>
      <c r="AK45" s="17" t="s">
        <v>9</v>
      </c>
      <c r="AL45" s="17" t="s">
        <v>106</v>
      </c>
      <c r="AM45" s="18" t="s">
        <v>107</v>
      </c>
      <c r="AN45" s="17" t="s">
        <v>92</v>
      </c>
      <c r="AO45" s="19">
        <v>12.84</v>
      </c>
      <c r="AP45" s="20">
        <v>20</v>
      </c>
      <c r="AQ45" s="19">
        <f t="shared" si="1"/>
        <v>256.8</v>
      </c>
    </row>
    <row r="46" spans="1:43" ht="178.5" customHeight="1">
      <c r="A46" s="16" t="s">
        <v>108</v>
      </c>
      <c r="B46" s="17" t="s">
        <v>9</v>
      </c>
      <c r="C46" s="17" t="s">
        <v>109</v>
      </c>
      <c r="D46" s="18" t="s">
        <v>110</v>
      </c>
      <c r="E46" s="17" t="s">
        <v>92</v>
      </c>
      <c r="F46" s="19">
        <v>15.21</v>
      </c>
      <c r="G46" s="20">
        <v>102</v>
      </c>
      <c r="H46" s="19">
        <f t="shared" si="0"/>
        <v>1551.42</v>
      </c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8"/>
      <c r="AJ46" s="16" t="s">
        <v>108</v>
      </c>
      <c r="AK46" s="17" t="s">
        <v>9</v>
      </c>
      <c r="AL46" s="17" t="s">
        <v>109</v>
      </c>
      <c r="AM46" s="18" t="s">
        <v>110</v>
      </c>
      <c r="AN46" s="17" t="s">
        <v>92</v>
      </c>
      <c r="AO46" s="19">
        <v>15.21</v>
      </c>
      <c r="AP46" s="20">
        <v>102</v>
      </c>
      <c r="AQ46" s="19">
        <f t="shared" si="1"/>
        <v>1551.42</v>
      </c>
    </row>
    <row r="47" spans="1:43" ht="409.5" customHeight="1">
      <c r="A47" s="16" t="s">
        <v>111</v>
      </c>
      <c r="B47" s="17" t="s">
        <v>9</v>
      </c>
      <c r="C47" s="17" t="s">
        <v>112</v>
      </c>
      <c r="D47" s="18" t="s">
        <v>113</v>
      </c>
      <c r="E47" s="17" t="s">
        <v>12</v>
      </c>
      <c r="F47" s="19">
        <v>84.99</v>
      </c>
      <c r="G47" s="20">
        <v>9</v>
      </c>
      <c r="H47" s="19">
        <f t="shared" si="0"/>
        <v>764.91</v>
      </c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8"/>
      <c r="AJ47" s="16" t="s">
        <v>111</v>
      </c>
      <c r="AK47" s="17" t="s">
        <v>9</v>
      </c>
      <c r="AL47" s="17" t="s">
        <v>112</v>
      </c>
      <c r="AM47" s="18" t="s">
        <v>113</v>
      </c>
      <c r="AN47" s="17" t="s">
        <v>12</v>
      </c>
      <c r="AO47" s="19">
        <v>84.99</v>
      </c>
      <c r="AP47" s="20">
        <v>9</v>
      </c>
      <c r="AQ47" s="19">
        <f t="shared" si="1"/>
        <v>764.91</v>
      </c>
    </row>
    <row r="48" spans="1:43" ht="293.25" customHeight="1">
      <c r="A48" s="16" t="s">
        <v>114</v>
      </c>
      <c r="B48" s="17" t="s">
        <v>9</v>
      </c>
      <c r="C48" s="17" t="s">
        <v>115</v>
      </c>
      <c r="D48" s="18" t="s">
        <v>116</v>
      </c>
      <c r="E48" s="17" t="s">
        <v>44</v>
      </c>
      <c r="F48" s="19">
        <v>63.41</v>
      </c>
      <c r="G48" s="20">
        <v>20</v>
      </c>
      <c r="H48" s="19">
        <f t="shared" si="0"/>
        <v>1268.1999999999998</v>
      </c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8"/>
      <c r="AJ48" s="16" t="s">
        <v>114</v>
      </c>
      <c r="AK48" s="17" t="s">
        <v>9</v>
      </c>
      <c r="AL48" s="17" t="s">
        <v>115</v>
      </c>
      <c r="AM48" s="18" t="s">
        <v>116</v>
      </c>
      <c r="AN48" s="17" t="s">
        <v>44</v>
      </c>
      <c r="AO48" s="19">
        <v>63.41</v>
      </c>
      <c r="AP48" s="20">
        <v>20</v>
      </c>
      <c r="AQ48" s="19">
        <f t="shared" si="1"/>
        <v>1268.1999999999998</v>
      </c>
    </row>
    <row r="49" spans="1:43" ht="204" customHeight="1">
      <c r="A49" s="16" t="s">
        <v>117</v>
      </c>
      <c r="B49" s="17" t="s">
        <v>9</v>
      </c>
      <c r="C49" s="17" t="s">
        <v>118</v>
      </c>
      <c r="D49" s="18" t="s">
        <v>119</v>
      </c>
      <c r="E49" s="17" t="s">
        <v>44</v>
      </c>
      <c r="F49" s="19">
        <v>8.59</v>
      </c>
      <c r="G49" s="20">
        <v>7.5</v>
      </c>
      <c r="H49" s="19">
        <f t="shared" si="0"/>
        <v>64.424999999999997</v>
      </c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8"/>
      <c r="AJ49" s="16" t="s">
        <v>117</v>
      </c>
      <c r="AK49" s="17" t="s">
        <v>9</v>
      </c>
      <c r="AL49" s="17" t="s">
        <v>118</v>
      </c>
      <c r="AM49" s="18" t="s">
        <v>119</v>
      </c>
      <c r="AN49" s="17" t="s">
        <v>44</v>
      </c>
      <c r="AO49" s="19">
        <v>8.59</v>
      </c>
      <c r="AP49" s="20">
        <v>7.5</v>
      </c>
      <c r="AQ49" s="19">
        <f t="shared" si="1"/>
        <v>64.424999999999997</v>
      </c>
    </row>
    <row r="50" spans="1:43" ht="357" customHeight="1">
      <c r="A50" s="16" t="s">
        <v>120</v>
      </c>
      <c r="B50" s="17" t="s">
        <v>9</v>
      </c>
      <c r="C50" s="17" t="s">
        <v>121</v>
      </c>
      <c r="D50" s="18" t="s">
        <v>122</v>
      </c>
      <c r="E50" s="17" t="s">
        <v>12</v>
      </c>
      <c r="F50" s="19">
        <v>178.28</v>
      </c>
      <c r="G50" s="20">
        <v>80.75</v>
      </c>
      <c r="H50" s="19">
        <f t="shared" si="0"/>
        <v>14396.11</v>
      </c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8"/>
      <c r="AJ50" s="16" t="s">
        <v>120</v>
      </c>
      <c r="AK50" s="17" t="s">
        <v>9</v>
      </c>
      <c r="AL50" s="17" t="s">
        <v>121</v>
      </c>
      <c r="AM50" s="18" t="s">
        <v>122</v>
      </c>
      <c r="AN50" s="17" t="s">
        <v>12</v>
      </c>
      <c r="AO50" s="19">
        <v>178.28</v>
      </c>
      <c r="AP50" s="20">
        <v>80.75</v>
      </c>
      <c r="AQ50" s="19">
        <f t="shared" si="1"/>
        <v>14396.11</v>
      </c>
    </row>
    <row r="51" spans="1:43" ht="331.5" customHeight="1">
      <c r="A51" s="16" t="s">
        <v>123</v>
      </c>
      <c r="B51" s="17" t="s">
        <v>9</v>
      </c>
      <c r="C51" s="17" t="s">
        <v>124</v>
      </c>
      <c r="D51" s="18" t="s">
        <v>125</v>
      </c>
      <c r="E51" s="17" t="s">
        <v>44</v>
      </c>
      <c r="F51" s="19">
        <v>20.93</v>
      </c>
      <c r="G51" s="20">
        <v>40</v>
      </c>
      <c r="H51" s="19">
        <f t="shared" si="0"/>
        <v>837.2</v>
      </c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8"/>
      <c r="AJ51" s="16" t="s">
        <v>123</v>
      </c>
      <c r="AK51" s="17" t="s">
        <v>9</v>
      </c>
      <c r="AL51" s="17" t="s">
        <v>124</v>
      </c>
      <c r="AM51" s="18" t="s">
        <v>125</v>
      </c>
      <c r="AN51" s="17" t="s">
        <v>44</v>
      </c>
      <c r="AO51" s="19">
        <v>20.93</v>
      </c>
      <c r="AP51" s="20">
        <v>40</v>
      </c>
      <c r="AQ51" s="19">
        <f t="shared" si="1"/>
        <v>837.2</v>
      </c>
    </row>
    <row r="52" spans="1:43" ht="255" customHeight="1">
      <c r="A52" s="16" t="s">
        <v>126</v>
      </c>
      <c r="B52" s="17" t="s">
        <v>9</v>
      </c>
      <c r="C52" s="17" t="s">
        <v>127</v>
      </c>
      <c r="D52" s="18" t="s">
        <v>128</v>
      </c>
      <c r="E52" s="17" t="s">
        <v>28</v>
      </c>
      <c r="F52" s="19">
        <v>295.95</v>
      </c>
      <c r="G52" s="20">
        <v>9</v>
      </c>
      <c r="H52" s="19">
        <f t="shared" si="0"/>
        <v>2663.5499999999997</v>
      </c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8"/>
      <c r="AJ52" s="16" t="s">
        <v>126</v>
      </c>
      <c r="AK52" s="17" t="s">
        <v>9</v>
      </c>
      <c r="AL52" s="17" t="s">
        <v>127</v>
      </c>
      <c r="AM52" s="18" t="s">
        <v>128</v>
      </c>
      <c r="AN52" s="17" t="s">
        <v>28</v>
      </c>
      <c r="AO52" s="19">
        <v>295.95</v>
      </c>
      <c r="AP52" s="20">
        <v>9</v>
      </c>
      <c r="AQ52" s="19">
        <f t="shared" si="1"/>
        <v>2663.5499999999997</v>
      </c>
    </row>
    <row r="53" spans="1:43" ht="255" customHeight="1">
      <c r="A53" s="16" t="s">
        <v>129</v>
      </c>
      <c r="B53" s="17" t="s">
        <v>9</v>
      </c>
      <c r="C53" s="17" t="s">
        <v>130</v>
      </c>
      <c r="D53" s="18" t="s">
        <v>131</v>
      </c>
      <c r="E53" s="17" t="s">
        <v>28</v>
      </c>
      <c r="F53" s="19">
        <v>295.95</v>
      </c>
      <c r="G53" s="20">
        <v>2</v>
      </c>
      <c r="H53" s="19">
        <f t="shared" si="0"/>
        <v>591.9</v>
      </c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8"/>
      <c r="AJ53" s="16" t="s">
        <v>129</v>
      </c>
      <c r="AK53" s="17" t="s">
        <v>9</v>
      </c>
      <c r="AL53" s="17" t="s">
        <v>130</v>
      </c>
      <c r="AM53" s="18" t="s">
        <v>131</v>
      </c>
      <c r="AN53" s="17" t="s">
        <v>28</v>
      </c>
      <c r="AO53" s="19">
        <v>295.95</v>
      </c>
      <c r="AP53" s="20">
        <v>2</v>
      </c>
      <c r="AQ53" s="19">
        <f t="shared" si="1"/>
        <v>591.9</v>
      </c>
    </row>
    <row r="54" spans="1:43" ht="409.5" customHeight="1">
      <c r="A54" s="16" t="s">
        <v>132</v>
      </c>
      <c r="B54" s="17" t="s">
        <v>9</v>
      </c>
      <c r="C54" s="17" t="s">
        <v>133</v>
      </c>
      <c r="D54" s="18" t="s">
        <v>134</v>
      </c>
      <c r="E54" s="17" t="s">
        <v>28</v>
      </c>
      <c r="F54" s="19">
        <v>804.28</v>
      </c>
      <c r="G54" s="20">
        <v>2</v>
      </c>
      <c r="H54" s="19">
        <f t="shared" si="0"/>
        <v>1608.56</v>
      </c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8"/>
      <c r="AJ54" s="16" t="s">
        <v>132</v>
      </c>
      <c r="AK54" s="17" t="s">
        <v>9</v>
      </c>
      <c r="AL54" s="17" t="s">
        <v>133</v>
      </c>
      <c r="AM54" s="18" t="s">
        <v>134</v>
      </c>
      <c r="AN54" s="17" t="s">
        <v>28</v>
      </c>
      <c r="AO54" s="19">
        <v>804.28</v>
      </c>
      <c r="AP54" s="20">
        <v>2</v>
      </c>
      <c r="AQ54" s="19">
        <f t="shared" si="1"/>
        <v>1608.56</v>
      </c>
    </row>
    <row r="55" spans="1:43" ht="409.5" customHeight="1">
      <c r="A55" s="16" t="s">
        <v>135</v>
      </c>
      <c r="B55" s="17" t="s">
        <v>9</v>
      </c>
      <c r="C55" s="17" t="s">
        <v>136</v>
      </c>
      <c r="D55" s="18" t="s">
        <v>137</v>
      </c>
      <c r="E55" s="17" t="s">
        <v>28</v>
      </c>
      <c r="F55" s="19">
        <v>822.54</v>
      </c>
      <c r="G55" s="20">
        <v>9</v>
      </c>
      <c r="H55" s="19">
        <f t="shared" si="0"/>
        <v>7402.86</v>
      </c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8"/>
      <c r="AJ55" s="16" t="s">
        <v>135</v>
      </c>
      <c r="AK55" s="17" t="s">
        <v>9</v>
      </c>
      <c r="AL55" s="17" t="s">
        <v>136</v>
      </c>
      <c r="AM55" s="18" t="s">
        <v>137</v>
      </c>
      <c r="AN55" s="17" t="s">
        <v>28</v>
      </c>
      <c r="AO55" s="19">
        <v>822.54</v>
      </c>
      <c r="AP55" s="20">
        <v>9</v>
      </c>
      <c r="AQ55" s="19">
        <f t="shared" si="1"/>
        <v>7402.86</v>
      </c>
    </row>
    <row r="56" spans="1:43" ht="409.5" customHeight="1">
      <c r="A56" s="16" t="s">
        <v>138</v>
      </c>
      <c r="B56" s="17" t="s">
        <v>9</v>
      </c>
      <c r="C56" s="17" t="s">
        <v>142</v>
      </c>
      <c r="D56" s="18" t="s">
        <v>143</v>
      </c>
      <c r="E56" s="17" t="s">
        <v>28</v>
      </c>
      <c r="F56" s="19">
        <v>1200.92</v>
      </c>
      <c r="G56" s="20">
        <v>1</v>
      </c>
      <c r="H56" s="19">
        <f t="shared" si="0"/>
        <v>1200.92</v>
      </c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8"/>
      <c r="AJ56" s="16" t="s">
        <v>138</v>
      </c>
      <c r="AK56" s="17" t="s">
        <v>9</v>
      </c>
      <c r="AL56" s="17" t="s">
        <v>142</v>
      </c>
      <c r="AM56" s="18" t="s">
        <v>143</v>
      </c>
      <c r="AN56" s="17" t="s">
        <v>28</v>
      </c>
      <c r="AO56" s="19">
        <v>1200.92</v>
      </c>
      <c r="AP56" s="20">
        <v>1</v>
      </c>
      <c r="AQ56" s="19">
        <f t="shared" si="1"/>
        <v>1200.92</v>
      </c>
    </row>
    <row r="57" spans="1:43" ht="114.75" customHeight="1">
      <c r="A57" s="16" t="s">
        <v>144</v>
      </c>
      <c r="B57" s="17" t="s">
        <v>9</v>
      </c>
      <c r="C57" s="17" t="s">
        <v>145</v>
      </c>
      <c r="D57" s="18" t="s">
        <v>146</v>
      </c>
      <c r="E57" s="17" t="s">
        <v>12</v>
      </c>
      <c r="F57" s="19">
        <v>285.83</v>
      </c>
      <c r="G57" s="20">
        <v>30</v>
      </c>
      <c r="H57" s="19">
        <f t="shared" si="0"/>
        <v>8574.9</v>
      </c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8"/>
      <c r="AJ57" s="16" t="s">
        <v>144</v>
      </c>
      <c r="AK57" s="17" t="s">
        <v>9</v>
      </c>
      <c r="AL57" s="17" t="s">
        <v>145</v>
      </c>
      <c r="AM57" s="18" t="s">
        <v>146</v>
      </c>
      <c r="AN57" s="17" t="s">
        <v>12</v>
      </c>
      <c r="AO57" s="19">
        <v>285.83</v>
      </c>
      <c r="AP57" s="20">
        <v>30</v>
      </c>
      <c r="AQ57" s="19">
        <f t="shared" si="1"/>
        <v>8574.9</v>
      </c>
    </row>
    <row r="58" spans="1:43" ht="140.25" customHeight="1">
      <c r="A58" s="16" t="s">
        <v>147</v>
      </c>
      <c r="B58" s="17" t="s">
        <v>9</v>
      </c>
      <c r="C58" s="17" t="s">
        <v>148</v>
      </c>
      <c r="D58" s="18" t="s">
        <v>149</v>
      </c>
      <c r="E58" s="17" t="s">
        <v>12</v>
      </c>
      <c r="F58" s="19">
        <v>577.84</v>
      </c>
      <c r="G58" s="20">
        <v>3.35</v>
      </c>
      <c r="H58" s="19">
        <f t="shared" si="0"/>
        <v>1935.7640000000001</v>
      </c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8"/>
      <c r="AJ58" s="16" t="s">
        <v>147</v>
      </c>
      <c r="AK58" s="17" t="s">
        <v>9</v>
      </c>
      <c r="AL58" s="17" t="s">
        <v>148</v>
      </c>
      <c r="AM58" s="18" t="s">
        <v>149</v>
      </c>
      <c r="AN58" s="17" t="s">
        <v>12</v>
      </c>
      <c r="AO58" s="19">
        <v>577.84</v>
      </c>
      <c r="AP58" s="20">
        <v>3.35</v>
      </c>
      <c r="AQ58" s="19">
        <f t="shared" si="1"/>
        <v>1935.7640000000001</v>
      </c>
    </row>
    <row r="59" spans="1:43" ht="153" customHeight="1">
      <c r="A59" s="16" t="s">
        <v>150</v>
      </c>
      <c r="B59" s="17" t="s">
        <v>9</v>
      </c>
      <c r="C59" s="17" t="s">
        <v>151</v>
      </c>
      <c r="D59" s="18" t="s">
        <v>152</v>
      </c>
      <c r="E59" s="17" t="s">
        <v>12</v>
      </c>
      <c r="F59" s="19">
        <v>839.4</v>
      </c>
      <c r="G59" s="20">
        <v>3.78</v>
      </c>
      <c r="H59" s="19">
        <f t="shared" si="0"/>
        <v>3172.9319999999998</v>
      </c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8"/>
      <c r="AJ59" s="16" t="s">
        <v>150</v>
      </c>
      <c r="AK59" s="17" t="s">
        <v>9</v>
      </c>
      <c r="AL59" s="17" t="s">
        <v>151</v>
      </c>
      <c r="AM59" s="18" t="s">
        <v>152</v>
      </c>
      <c r="AN59" s="17" t="s">
        <v>12</v>
      </c>
      <c r="AO59" s="19">
        <v>839.4</v>
      </c>
      <c r="AP59" s="20">
        <v>3.78</v>
      </c>
      <c r="AQ59" s="19">
        <f t="shared" si="1"/>
        <v>3172.9319999999998</v>
      </c>
    </row>
    <row r="60" spans="1:43" ht="306" customHeight="1">
      <c r="A60" s="16" t="s">
        <v>153</v>
      </c>
      <c r="B60" s="17" t="s">
        <v>9</v>
      </c>
      <c r="C60" s="17" t="s">
        <v>154</v>
      </c>
      <c r="D60" s="18" t="s">
        <v>155</v>
      </c>
      <c r="E60" s="17" t="s">
        <v>12</v>
      </c>
      <c r="F60" s="19">
        <v>557.64</v>
      </c>
      <c r="G60" s="20">
        <v>7.5</v>
      </c>
      <c r="H60" s="19">
        <f t="shared" si="0"/>
        <v>4182.3</v>
      </c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8"/>
      <c r="AJ60" s="16" t="s">
        <v>153</v>
      </c>
      <c r="AK60" s="17" t="s">
        <v>9</v>
      </c>
      <c r="AL60" s="17" t="s">
        <v>154</v>
      </c>
      <c r="AM60" s="18" t="s">
        <v>155</v>
      </c>
      <c r="AN60" s="17" t="s">
        <v>12</v>
      </c>
      <c r="AO60" s="19">
        <v>557.64</v>
      </c>
      <c r="AP60" s="20">
        <v>7.5</v>
      </c>
      <c r="AQ60" s="19">
        <f t="shared" si="1"/>
        <v>4182.3</v>
      </c>
    </row>
    <row r="61" spans="1:43" ht="242.25" customHeight="1">
      <c r="A61" s="16" t="s">
        <v>156</v>
      </c>
      <c r="B61" s="17" t="s">
        <v>9</v>
      </c>
      <c r="C61" s="17" t="s">
        <v>157</v>
      </c>
      <c r="D61" s="18" t="s">
        <v>158</v>
      </c>
      <c r="E61" s="17" t="s">
        <v>12</v>
      </c>
      <c r="F61" s="19">
        <v>662.86</v>
      </c>
      <c r="G61" s="20">
        <v>1.08</v>
      </c>
      <c r="H61" s="19">
        <f t="shared" si="0"/>
        <v>715.88880000000006</v>
      </c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8"/>
      <c r="AJ61" s="16" t="s">
        <v>156</v>
      </c>
      <c r="AK61" s="17" t="s">
        <v>9</v>
      </c>
      <c r="AL61" s="17" t="s">
        <v>157</v>
      </c>
      <c r="AM61" s="18" t="s">
        <v>158</v>
      </c>
      <c r="AN61" s="17" t="s">
        <v>12</v>
      </c>
      <c r="AO61" s="19">
        <v>662.86</v>
      </c>
      <c r="AP61" s="20">
        <v>1.08</v>
      </c>
      <c r="AQ61" s="19">
        <f t="shared" si="1"/>
        <v>715.88880000000006</v>
      </c>
    </row>
    <row r="62" spans="1:43" ht="255" customHeight="1">
      <c r="A62" s="16" t="s">
        <v>159</v>
      </c>
      <c r="B62" s="17" t="s">
        <v>9</v>
      </c>
      <c r="C62" s="17" t="s">
        <v>160</v>
      </c>
      <c r="D62" s="18" t="s">
        <v>161</v>
      </c>
      <c r="E62" s="17" t="s">
        <v>12</v>
      </c>
      <c r="F62" s="19">
        <v>994.44</v>
      </c>
      <c r="G62" s="20">
        <v>3.35</v>
      </c>
      <c r="H62" s="19">
        <f t="shared" si="0"/>
        <v>3331.3740000000003</v>
      </c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8"/>
      <c r="AJ62" s="16" t="s">
        <v>159</v>
      </c>
      <c r="AK62" s="17" t="s">
        <v>9</v>
      </c>
      <c r="AL62" s="17" t="s">
        <v>160</v>
      </c>
      <c r="AM62" s="18" t="s">
        <v>161</v>
      </c>
      <c r="AN62" s="17" t="s">
        <v>12</v>
      </c>
      <c r="AO62" s="19">
        <v>994.44</v>
      </c>
      <c r="AP62" s="20">
        <v>3.35</v>
      </c>
      <c r="AQ62" s="19">
        <f t="shared" si="1"/>
        <v>3331.3740000000003</v>
      </c>
    </row>
    <row r="63" spans="1:43" ht="344.25" customHeight="1">
      <c r="A63" s="16" t="s">
        <v>162</v>
      </c>
      <c r="B63" s="17" t="s">
        <v>9</v>
      </c>
      <c r="C63" s="17" t="s">
        <v>163</v>
      </c>
      <c r="D63" s="18" t="s">
        <v>164</v>
      </c>
      <c r="E63" s="17" t="s">
        <v>12</v>
      </c>
      <c r="F63" s="19">
        <v>585.79999999999995</v>
      </c>
      <c r="G63" s="20">
        <v>3</v>
      </c>
      <c r="H63" s="19">
        <f t="shared" si="0"/>
        <v>1757.3999999999999</v>
      </c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8"/>
      <c r="AJ63" s="16" t="s">
        <v>162</v>
      </c>
      <c r="AK63" s="17" t="s">
        <v>9</v>
      </c>
      <c r="AL63" s="17" t="s">
        <v>163</v>
      </c>
      <c r="AM63" s="18" t="s">
        <v>164</v>
      </c>
      <c r="AN63" s="17" t="s">
        <v>12</v>
      </c>
      <c r="AO63" s="19">
        <v>585.79999999999995</v>
      </c>
      <c r="AP63" s="20">
        <v>3</v>
      </c>
      <c r="AQ63" s="19">
        <f t="shared" si="1"/>
        <v>1757.3999999999999</v>
      </c>
    </row>
    <row r="64" spans="1:43" ht="102" customHeight="1">
      <c r="A64" s="16" t="s">
        <v>165</v>
      </c>
      <c r="B64" s="17" t="s">
        <v>9</v>
      </c>
      <c r="C64" s="17" t="s">
        <v>166</v>
      </c>
      <c r="D64" s="18" t="s">
        <v>167</v>
      </c>
      <c r="E64" s="17" t="s">
        <v>12</v>
      </c>
      <c r="F64" s="19">
        <v>286.64</v>
      </c>
      <c r="G64" s="20">
        <v>1.08</v>
      </c>
      <c r="H64" s="19">
        <f t="shared" si="0"/>
        <v>309.57120000000003</v>
      </c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8"/>
      <c r="AJ64" s="16" t="s">
        <v>165</v>
      </c>
      <c r="AK64" s="17" t="s">
        <v>9</v>
      </c>
      <c r="AL64" s="17" t="s">
        <v>166</v>
      </c>
      <c r="AM64" s="18" t="s">
        <v>167</v>
      </c>
      <c r="AN64" s="17" t="s">
        <v>12</v>
      </c>
      <c r="AO64" s="19">
        <v>286.64</v>
      </c>
      <c r="AP64" s="20">
        <v>1.08</v>
      </c>
      <c r="AQ64" s="19">
        <f t="shared" si="1"/>
        <v>309.57120000000003</v>
      </c>
    </row>
    <row r="65" spans="1:43" ht="76.5" customHeight="1">
      <c r="A65" s="16" t="s">
        <v>168</v>
      </c>
      <c r="B65" s="17" t="s">
        <v>9</v>
      </c>
      <c r="C65" s="17" t="s">
        <v>169</v>
      </c>
      <c r="D65" s="18" t="s">
        <v>170</v>
      </c>
      <c r="E65" s="17" t="s">
        <v>12</v>
      </c>
      <c r="F65" s="19">
        <v>911.48</v>
      </c>
      <c r="G65" s="20">
        <v>10.85</v>
      </c>
      <c r="H65" s="19">
        <f t="shared" si="0"/>
        <v>9889.5579999999991</v>
      </c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8"/>
      <c r="AJ65" s="16" t="s">
        <v>168</v>
      </c>
      <c r="AK65" s="17" t="s">
        <v>9</v>
      </c>
      <c r="AL65" s="17" t="s">
        <v>169</v>
      </c>
      <c r="AM65" s="18" t="s">
        <v>170</v>
      </c>
      <c r="AN65" s="17" t="s">
        <v>12</v>
      </c>
      <c r="AO65" s="19">
        <v>911.48</v>
      </c>
      <c r="AP65" s="20">
        <v>10.85</v>
      </c>
      <c r="AQ65" s="19">
        <f t="shared" si="1"/>
        <v>9889.5579999999991</v>
      </c>
    </row>
    <row r="66" spans="1:43" ht="114.75" customHeight="1">
      <c r="A66" s="16" t="s">
        <v>171</v>
      </c>
      <c r="B66" s="17" t="s">
        <v>9</v>
      </c>
      <c r="C66" s="17" t="s">
        <v>172</v>
      </c>
      <c r="D66" s="18" t="s">
        <v>173</v>
      </c>
      <c r="E66" s="17" t="s">
        <v>174</v>
      </c>
      <c r="F66" s="19">
        <v>80.27</v>
      </c>
      <c r="G66" s="20">
        <v>4</v>
      </c>
      <c r="H66" s="19">
        <f t="shared" si="0"/>
        <v>321.08</v>
      </c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8"/>
      <c r="AJ66" s="16" t="s">
        <v>171</v>
      </c>
      <c r="AK66" s="17" t="s">
        <v>9</v>
      </c>
      <c r="AL66" s="17" t="s">
        <v>172</v>
      </c>
      <c r="AM66" s="18" t="s">
        <v>173</v>
      </c>
      <c r="AN66" s="17" t="s">
        <v>174</v>
      </c>
      <c r="AO66" s="19">
        <v>80.27</v>
      </c>
      <c r="AP66" s="20">
        <v>4</v>
      </c>
      <c r="AQ66" s="19">
        <f t="shared" si="1"/>
        <v>321.08</v>
      </c>
    </row>
    <row r="67" spans="1:43" ht="127.5" customHeight="1">
      <c r="A67" s="16" t="s">
        <v>175</v>
      </c>
      <c r="B67" s="17" t="s">
        <v>9</v>
      </c>
      <c r="C67" s="17" t="s">
        <v>176</v>
      </c>
      <c r="D67" s="18" t="s">
        <v>177</v>
      </c>
      <c r="E67" s="17" t="s">
        <v>174</v>
      </c>
      <c r="F67" s="19">
        <v>188.11</v>
      </c>
      <c r="G67" s="20">
        <v>1</v>
      </c>
      <c r="H67" s="19">
        <f t="shared" si="0"/>
        <v>188.11</v>
      </c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8"/>
      <c r="AJ67" s="16" t="s">
        <v>175</v>
      </c>
      <c r="AK67" s="17" t="s">
        <v>9</v>
      </c>
      <c r="AL67" s="17" t="s">
        <v>176</v>
      </c>
      <c r="AM67" s="18" t="s">
        <v>177</v>
      </c>
      <c r="AN67" s="17" t="s">
        <v>174</v>
      </c>
      <c r="AO67" s="19">
        <v>188.11</v>
      </c>
      <c r="AP67" s="20">
        <v>1</v>
      </c>
      <c r="AQ67" s="19">
        <f t="shared" si="1"/>
        <v>188.11</v>
      </c>
    </row>
    <row r="68" spans="1:43" ht="89.25" customHeight="1">
      <c r="A68" s="16" t="s">
        <v>178</v>
      </c>
      <c r="B68" s="17" t="s">
        <v>9</v>
      </c>
      <c r="C68" s="17" t="s">
        <v>179</v>
      </c>
      <c r="D68" s="18" t="s">
        <v>180</v>
      </c>
      <c r="E68" s="17" t="s">
        <v>174</v>
      </c>
      <c r="F68" s="19">
        <v>97.04</v>
      </c>
      <c r="G68" s="20">
        <v>3</v>
      </c>
      <c r="H68" s="19">
        <f t="shared" si="0"/>
        <v>291.12</v>
      </c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8"/>
      <c r="AJ68" s="16" t="s">
        <v>178</v>
      </c>
      <c r="AK68" s="17" t="s">
        <v>9</v>
      </c>
      <c r="AL68" s="17" t="s">
        <v>179</v>
      </c>
      <c r="AM68" s="18" t="s">
        <v>180</v>
      </c>
      <c r="AN68" s="17" t="s">
        <v>174</v>
      </c>
      <c r="AO68" s="19">
        <v>97.04</v>
      </c>
      <c r="AP68" s="20">
        <v>3</v>
      </c>
      <c r="AQ68" s="19">
        <f t="shared" si="1"/>
        <v>291.12</v>
      </c>
    </row>
    <row r="69" spans="1:43" ht="140.25" customHeight="1">
      <c r="A69" s="16" t="s">
        <v>181</v>
      </c>
      <c r="B69" s="17" t="s">
        <v>9</v>
      </c>
      <c r="C69" s="17" t="s">
        <v>182</v>
      </c>
      <c r="D69" s="18" t="s">
        <v>183</v>
      </c>
      <c r="E69" s="17" t="s">
        <v>174</v>
      </c>
      <c r="F69" s="19">
        <v>76.45</v>
      </c>
      <c r="G69" s="20">
        <v>4</v>
      </c>
      <c r="H69" s="19">
        <f t="shared" si="0"/>
        <v>305.8</v>
      </c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8"/>
      <c r="AJ69" s="16" t="s">
        <v>181</v>
      </c>
      <c r="AK69" s="17" t="s">
        <v>9</v>
      </c>
      <c r="AL69" s="17" t="s">
        <v>182</v>
      </c>
      <c r="AM69" s="18" t="s">
        <v>183</v>
      </c>
      <c r="AN69" s="17" t="s">
        <v>174</v>
      </c>
      <c r="AO69" s="19">
        <v>76.45</v>
      </c>
      <c r="AP69" s="20">
        <v>4</v>
      </c>
      <c r="AQ69" s="19">
        <f t="shared" si="1"/>
        <v>305.8</v>
      </c>
    </row>
    <row r="70" spans="1:43" ht="178.5" customHeight="1">
      <c r="A70" s="16" t="s">
        <v>184</v>
      </c>
      <c r="B70" s="17" t="s">
        <v>9</v>
      </c>
      <c r="C70" s="17" t="s">
        <v>185</v>
      </c>
      <c r="D70" s="18" t="s">
        <v>186</v>
      </c>
      <c r="E70" s="17" t="s">
        <v>174</v>
      </c>
      <c r="F70" s="19">
        <v>136.13</v>
      </c>
      <c r="G70" s="20">
        <v>3</v>
      </c>
      <c r="H70" s="19">
        <f t="shared" si="0"/>
        <v>408.39</v>
      </c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8"/>
      <c r="AJ70" s="16" t="s">
        <v>184</v>
      </c>
      <c r="AK70" s="17" t="s">
        <v>9</v>
      </c>
      <c r="AL70" s="17" t="s">
        <v>185</v>
      </c>
      <c r="AM70" s="18" t="s">
        <v>186</v>
      </c>
      <c r="AN70" s="17" t="s">
        <v>174</v>
      </c>
      <c r="AO70" s="19">
        <v>136.13</v>
      </c>
      <c r="AP70" s="20">
        <v>3</v>
      </c>
      <c r="AQ70" s="19">
        <f t="shared" si="1"/>
        <v>408.39</v>
      </c>
    </row>
    <row r="71" spans="1:43" ht="165.75" customHeight="1">
      <c r="A71" s="16" t="s">
        <v>187</v>
      </c>
      <c r="B71" s="17" t="s">
        <v>9</v>
      </c>
      <c r="C71" s="17" t="s">
        <v>188</v>
      </c>
      <c r="D71" s="18" t="s">
        <v>189</v>
      </c>
      <c r="E71" s="17" t="s">
        <v>174</v>
      </c>
      <c r="F71" s="19">
        <v>72.08</v>
      </c>
      <c r="G71" s="20">
        <v>4</v>
      </c>
      <c r="H71" s="19">
        <f t="shared" si="0"/>
        <v>288.32</v>
      </c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8"/>
      <c r="AJ71" s="16" t="s">
        <v>187</v>
      </c>
      <c r="AK71" s="17" t="s">
        <v>9</v>
      </c>
      <c r="AL71" s="17" t="s">
        <v>188</v>
      </c>
      <c r="AM71" s="18" t="s">
        <v>189</v>
      </c>
      <c r="AN71" s="17" t="s">
        <v>174</v>
      </c>
      <c r="AO71" s="19">
        <v>72.08</v>
      </c>
      <c r="AP71" s="20">
        <v>4</v>
      </c>
      <c r="AQ71" s="19">
        <f t="shared" si="1"/>
        <v>288.32</v>
      </c>
    </row>
    <row r="72" spans="1:43" ht="153" customHeight="1">
      <c r="A72" s="16" t="s">
        <v>190</v>
      </c>
      <c r="B72" s="17" t="s">
        <v>9</v>
      </c>
      <c r="C72" s="17" t="s">
        <v>191</v>
      </c>
      <c r="D72" s="18" t="s">
        <v>192</v>
      </c>
      <c r="E72" s="17" t="s">
        <v>44</v>
      </c>
      <c r="F72" s="19">
        <v>16.28</v>
      </c>
      <c r="G72" s="20">
        <v>75</v>
      </c>
      <c r="H72" s="19">
        <f t="shared" si="0"/>
        <v>1221</v>
      </c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8"/>
      <c r="AJ72" s="16" t="s">
        <v>190</v>
      </c>
      <c r="AK72" s="17" t="s">
        <v>9</v>
      </c>
      <c r="AL72" s="17" t="s">
        <v>191</v>
      </c>
      <c r="AM72" s="18" t="s">
        <v>192</v>
      </c>
      <c r="AN72" s="17" t="s">
        <v>44</v>
      </c>
      <c r="AO72" s="19">
        <v>16.28</v>
      </c>
      <c r="AP72" s="20">
        <v>75</v>
      </c>
      <c r="AQ72" s="19">
        <f t="shared" si="1"/>
        <v>1221</v>
      </c>
    </row>
    <row r="73" spans="1:43" ht="153" customHeight="1">
      <c r="A73" s="16" t="s">
        <v>193</v>
      </c>
      <c r="B73" s="17" t="s">
        <v>9</v>
      </c>
      <c r="C73" s="17" t="s">
        <v>194</v>
      </c>
      <c r="D73" s="18" t="s">
        <v>195</v>
      </c>
      <c r="E73" s="17" t="s">
        <v>44</v>
      </c>
      <c r="F73" s="19">
        <v>19.29</v>
      </c>
      <c r="G73" s="20">
        <v>75</v>
      </c>
      <c r="H73" s="19">
        <f t="shared" si="0"/>
        <v>1446.75</v>
      </c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8"/>
      <c r="AJ73" s="16" t="s">
        <v>193</v>
      </c>
      <c r="AK73" s="17" t="s">
        <v>9</v>
      </c>
      <c r="AL73" s="17" t="s">
        <v>194</v>
      </c>
      <c r="AM73" s="18" t="s">
        <v>195</v>
      </c>
      <c r="AN73" s="17" t="s">
        <v>44</v>
      </c>
      <c r="AO73" s="19">
        <v>19.29</v>
      </c>
      <c r="AP73" s="20">
        <v>75</v>
      </c>
      <c r="AQ73" s="19">
        <f t="shared" si="1"/>
        <v>1446.75</v>
      </c>
    </row>
    <row r="74" spans="1:43" ht="153" customHeight="1">
      <c r="A74" s="16" t="s">
        <v>196</v>
      </c>
      <c r="B74" s="17" t="s">
        <v>9</v>
      </c>
      <c r="C74" s="17" t="s">
        <v>197</v>
      </c>
      <c r="D74" s="18" t="s">
        <v>198</v>
      </c>
      <c r="E74" s="17" t="s">
        <v>44</v>
      </c>
      <c r="F74" s="19">
        <v>25.2</v>
      </c>
      <c r="G74" s="20">
        <v>75</v>
      </c>
      <c r="H74" s="19">
        <f t="shared" si="0"/>
        <v>1890</v>
      </c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8"/>
      <c r="AJ74" s="16" t="s">
        <v>196</v>
      </c>
      <c r="AK74" s="17" t="s">
        <v>9</v>
      </c>
      <c r="AL74" s="17" t="s">
        <v>197</v>
      </c>
      <c r="AM74" s="18" t="s">
        <v>198</v>
      </c>
      <c r="AN74" s="17" t="s">
        <v>44</v>
      </c>
      <c r="AO74" s="19">
        <v>25.2</v>
      </c>
      <c r="AP74" s="20">
        <v>75</v>
      </c>
      <c r="AQ74" s="19">
        <f t="shared" si="1"/>
        <v>1890</v>
      </c>
    </row>
    <row r="75" spans="1:43" ht="153" customHeight="1">
      <c r="A75" s="16" t="s">
        <v>199</v>
      </c>
      <c r="B75" s="17" t="s">
        <v>9</v>
      </c>
      <c r="C75" s="17" t="s">
        <v>200</v>
      </c>
      <c r="D75" s="18" t="s">
        <v>201</v>
      </c>
      <c r="E75" s="17" t="s">
        <v>44</v>
      </c>
      <c r="F75" s="19">
        <v>32.86</v>
      </c>
      <c r="G75" s="20">
        <v>75</v>
      </c>
      <c r="H75" s="19">
        <f t="shared" si="0"/>
        <v>2464.5</v>
      </c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8"/>
      <c r="AJ75" s="16" t="s">
        <v>199</v>
      </c>
      <c r="AK75" s="17" t="s">
        <v>9</v>
      </c>
      <c r="AL75" s="17" t="s">
        <v>200</v>
      </c>
      <c r="AM75" s="18" t="s">
        <v>201</v>
      </c>
      <c r="AN75" s="17" t="s">
        <v>44</v>
      </c>
      <c r="AO75" s="19">
        <v>32.86</v>
      </c>
      <c r="AP75" s="20">
        <v>75</v>
      </c>
      <c r="AQ75" s="19">
        <f t="shared" si="1"/>
        <v>2464.5</v>
      </c>
    </row>
    <row r="76" spans="1:43" ht="178.5" customHeight="1">
      <c r="A76" s="16" t="s">
        <v>202</v>
      </c>
      <c r="B76" s="17" t="s">
        <v>9</v>
      </c>
      <c r="C76" s="17" t="s">
        <v>203</v>
      </c>
      <c r="D76" s="18" t="s">
        <v>204</v>
      </c>
      <c r="E76" s="17" t="s">
        <v>44</v>
      </c>
      <c r="F76" s="19">
        <v>29.08</v>
      </c>
      <c r="G76" s="20">
        <v>75</v>
      </c>
      <c r="H76" s="19">
        <f t="shared" ref="H76:H139" si="2">G76*F76</f>
        <v>2181</v>
      </c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8"/>
      <c r="AJ76" s="16" t="s">
        <v>202</v>
      </c>
      <c r="AK76" s="17" t="s">
        <v>9</v>
      </c>
      <c r="AL76" s="17" t="s">
        <v>203</v>
      </c>
      <c r="AM76" s="18" t="s">
        <v>204</v>
      </c>
      <c r="AN76" s="17" t="s">
        <v>44</v>
      </c>
      <c r="AO76" s="19">
        <v>29.08</v>
      </c>
      <c r="AP76" s="20">
        <v>75</v>
      </c>
      <c r="AQ76" s="19">
        <f t="shared" ref="AQ76:AQ139" si="3">AP76*AO76</f>
        <v>2181</v>
      </c>
    </row>
    <row r="77" spans="1:43" ht="178.5" customHeight="1">
      <c r="A77" s="16" t="s">
        <v>205</v>
      </c>
      <c r="B77" s="17" t="s">
        <v>9</v>
      </c>
      <c r="C77" s="17" t="s">
        <v>206</v>
      </c>
      <c r="D77" s="18" t="s">
        <v>207</v>
      </c>
      <c r="E77" s="17" t="s">
        <v>44</v>
      </c>
      <c r="F77" s="19">
        <v>36.92</v>
      </c>
      <c r="G77" s="20">
        <v>75</v>
      </c>
      <c r="H77" s="19">
        <f t="shared" si="2"/>
        <v>2769</v>
      </c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8"/>
      <c r="AJ77" s="16" t="s">
        <v>205</v>
      </c>
      <c r="AK77" s="17" t="s">
        <v>9</v>
      </c>
      <c r="AL77" s="17" t="s">
        <v>206</v>
      </c>
      <c r="AM77" s="18" t="s">
        <v>207</v>
      </c>
      <c r="AN77" s="17" t="s">
        <v>44</v>
      </c>
      <c r="AO77" s="19">
        <v>36.92</v>
      </c>
      <c r="AP77" s="20">
        <v>75</v>
      </c>
      <c r="AQ77" s="19">
        <f t="shared" si="3"/>
        <v>2769</v>
      </c>
    </row>
    <row r="78" spans="1:43" ht="178.5" customHeight="1">
      <c r="A78" s="16" t="s">
        <v>208</v>
      </c>
      <c r="B78" s="17" t="s">
        <v>9</v>
      </c>
      <c r="C78" s="17" t="s">
        <v>209</v>
      </c>
      <c r="D78" s="18" t="s">
        <v>210</v>
      </c>
      <c r="E78" s="17" t="s">
        <v>44</v>
      </c>
      <c r="F78" s="19">
        <v>55.18</v>
      </c>
      <c r="G78" s="20">
        <v>75</v>
      </c>
      <c r="H78" s="19">
        <f t="shared" si="2"/>
        <v>4138.5</v>
      </c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8"/>
      <c r="AJ78" s="16" t="s">
        <v>208</v>
      </c>
      <c r="AK78" s="17" t="s">
        <v>9</v>
      </c>
      <c r="AL78" s="17" t="s">
        <v>209</v>
      </c>
      <c r="AM78" s="18" t="s">
        <v>210</v>
      </c>
      <c r="AN78" s="17" t="s">
        <v>44</v>
      </c>
      <c r="AO78" s="19">
        <v>55.18</v>
      </c>
      <c r="AP78" s="20">
        <v>75</v>
      </c>
      <c r="AQ78" s="19">
        <f t="shared" si="3"/>
        <v>4138.5</v>
      </c>
    </row>
    <row r="79" spans="1:43" ht="191.25" customHeight="1">
      <c r="A79" s="16" t="s">
        <v>211</v>
      </c>
      <c r="B79" s="17" t="s">
        <v>9</v>
      </c>
      <c r="C79" s="17" t="s">
        <v>212</v>
      </c>
      <c r="D79" s="18" t="s">
        <v>213</v>
      </c>
      <c r="E79" s="17" t="s">
        <v>44</v>
      </c>
      <c r="F79" s="19">
        <v>61.34</v>
      </c>
      <c r="G79" s="20">
        <v>75</v>
      </c>
      <c r="H79" s="19">
        <f t="shared" si="2"/>
        <v>4600.5</v>
      </c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8"/>
      <c r="AJ79" s="16" t="s">
        <v>211</v>
      </c>
      <c r="AK79" s="17" t="s">
        <v>9</v>
      </c>
      <c r="AL79" s="17" t="s">
        <v>212</v>
      </c>
      <c r="AM79" s="18" t="s">
        <v>213</v>
      </c>
      <c r="AN79" s="17" t="s">
        <v>44</v>
      </c>
      <c r="AO79" s="19">
        <v>61.34</v>
      </c>
      <c r="AP79" s="20">
        <v>75</v>
      </c>
      <c r="AQ79" s="19">
        <f t="shared" si="3"/>
        <v>4600.5</v>
      </c>
    </row>
    <row r="80" spans="1:43" ht="191.25" customHeight="1">
      <c r="A80" s="16" t="s">
        <v>214</v>
      </c>
      <c r="B80" s="17" t="s">
        <v>9</v>
      </c>
      <c r="C80" s="17" t="s">
        <v>215</v>
      </c>
      <c r="D80" s="18" t="s">
        <v>216</v>
      </c>
      <c r="E80" s="17" t="s">
        <v>44</v>
      </c>
      <c r="F80" s="19">
        <v>96.3</v>
      </c>
      <c r="G80" s="20">
        <v>75</v>
      </c>
      <c r="H80" s="19">
        <f t="shared" si="2"/>
        <v>7222.5</v>
      </c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8"/>
      <c r="AJ80" s="16" t="s">
        <v>214</v>
      </c>
      <c r="AK80" s="17" t="s">
        <v>9</v>
      </c>
      <c r="AL80" s="17" t="s">
        <v>215</v>
      </c>
      <c r="AM80" s="18" t="s">
        <v>216</v>
      </c>
      <c r="AN80" s="17" t="s">
        <v>44</v>
      </c>
      <c r="AO80" s="19">
        <v>96.3</v>
      </c>
      <c r="AP80" s="20">
        <v>75</v>
      </c>
      <c r="AQ80" s="19">
        <f t="shared" si="3"/>
        <v>7222.5</v>
      </c>
    </row>
    <row r="81" spans="1:43" ht="191.25" customHeight="1">
      <c r="A81" s="16" t="s">
        <v>217</v>
      </c>
      <c r="B81" s="17" t="s">
        <v>9</v>
      </c>
      <c r="C81" s="17" t="s">
        <v>218</v>
      </c>
      <c r="D81" s="18" t="s">
        <v>219</v>
      </c>
      <c r="E81" s="17" t="s">
        <v>44</v>
      </c>
      <c r="F81" s="19">
        <v>9.34</v>
      </c>
      <c r="G81" s="20">
        <v>75</v>
      </c>
      <c r="H81" s="19">
        <f t="shared" si="2"/>
        <v>700.5</v>
      </c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8"/>
      <c r="AJ81" s="16" t="s">
        <v>217</v>
      </c>
      <c r="AK81" s="17" t="s">
        <v>9</v>
      </c>
      <c r="AL81" s="17" t="s">
        <v>218</v>
      </c>
      <c r="AM81" s="18" t="s">
        <v>219</v>
      </c>
      <c r="AN81" s="17" t="s">
        <v>44</v>
      </c>
      <c r="AO81" s="19">
        <v>9.34</v>
      </c>
      <c r="AP81" s="20">
        <v>75</v>
      </c>
      <c r="AQ81" s="19">
        <f t="shared" si="3"/>
        <v>700.5</v>
      </c>
    </row>
    <row r="82" spans="1:43" ht="191.25" customHeight="1">
      <c r="A82" s="16" t="s">
        <v>220</v>
      </c>
      <c r="B82" s="17" t="s">
        <v>9</v>
      </c>
      <c r="C82" s="17" t="s">
        <v>221</v>
      </c>
      <c r="D82" s="18" t="s">
        <v>222</v>
      </c>
      <c r="E82" s="17" t="s">
        <v>44</v>
      </c>
      <c r="F82" s="19">
        <v>13.99</v>
      </c>
      <c r="G82" s="20">
        <v>75</v>
      </c>
      <c r="H82" s="19">
        <f t="shared" si="2"/>
        <v>1049.25</v>
      </c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8"/>
      <c r="AJ82" s="16" t="s">
        <v>220</v>
      </c>
      <c r="AK82" s="17" t="s">
        <v>9</v>
      </c>
      <c r="AL82" s="17" t="s">
        <v>221</v>
      </c>
      <c r="AM82" s="18" t="s">
        <v>222</v>
      </c>
      <c r="AN82" s="17" t="s">
        <v>44</v>
      </c>
      <c r="AO82" s="19">
        <v>13.99</v>
      </c>
      <c r="AP82" s="20">
        <v>75</v>
      </c>
      <c r="AQ82" s="19">
        <f t="shared" si="3"/>
        <v>1049.25</v>
      </c>
    </row>
    <row r="83" spans="1:43" ht="191.25" customHeight="1">
      <c r="A83" s="16" t="s">
        <v>223</v>
      </c>
      <c r="B83" s="17" t="s">
        <v>9</v>
      </c>
      <c r="C83" s="17" t="s">
        <v>224</v>
      </c>
      <c r="D83" s="18" t="s">
        <v>225</v>
      </c>
      <c r="E83" s="17" t="s">
        <v>44</v>
      </c>
      <c r="F83" s="19">
        <v>21.06</v>
      </c>
      <c r="G83" s="20">
        <v>75</v>
      </c>
      <c r="H83" s="19">
        <f t="shared" si="2"/>
        <v>1579.5</v>
      </c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8"/>
      <c r="AJ83" s="16" t="s">
        <v>223</v>
      </c>
      <c r="AK83" s="17" t="s">
        <v>9</v>
      </c>
      <c r="AL83" s="17" t="s">
        <v>224</v>
      </c>
      <c r="AM83" s="18" t="s">
        <v>225</v>
      </c>
      <c r="AN83" s="17" t="s">
        <v>44</v>
      </c>
      <c r="AO83" s="19">
        <v>21.06</v>
      </c>
      <c r="AP83" s="20">
        <v>75</v>
      </c>
      <c r="AQ83" s="19">
        <f t="shared" si="3"/>
        <v>1579.5</v>
      </c>
    </row>
    <row r="84" spans="1:43" ht="191.25" customHeight="1">
      <c r="A84" s="16" t="s">
        <v>226</v>
      </c>
      <c r="B84" s="17" t="s">
        <v>9</v>
      </c>
      <c r="C84" s="17" t="s">
        <v>227</v>
      </c>
      <c r="D84" s="18" t="s">
        <v>228</v>
      </c>
      <c r="E84" s="17" t="s">
        <v>44</v>
      </c>
      <c r="F84" s="19">
        <v>17.809999999999999</v>
      </c>
      <c r="G84" s="20">
        <v>25</v>
      </c>
      <c r="H84" s="19">
        <f t="shared" si="2"/>
        <v>445.24999999999994</v>
      </c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8"/>
      <c r="AJ84" s="16" t="s">
        <v>226</v>
      </c>
      <c r="AK84" s="17" t="s">
        <v>9</v>
      </c>
      <c r="AL84" s="17" t="s">
        <v>227</v>
      </c>
      <c r="AM84" s="18" t="s">
        <v>228</v>
      </c>
      <c r="AN84" s="17" t="s">
        <v>44</v>
      </c>
      <c r="AO84" s="19">
        <v>17.809999999999999</v>
      </c>
      <c r="AP84" s="20">
        <v>25</v>
      </c>
      <c r="AQ84" s="19">
        <f t="shared" si="3"/>
        <v>445.24999999999994</v>
      </c>
    </row>
    <row r="85" spans="1:43" ht="191.25" customHeight="1">
      <c r="A85" s="16" t="s">
        <v>229</v>
      </c>
      <c r="B85" s="17" t="s">
        <v>9</v>
      </c>
      <c r="C85" s="17" t="s">
        <v>230</v>
      </c>
      <c r="D85" s="18" t="s">
        <v>231</v>
      </c>
      <c r="E85" s="17" t="s">
        <v>44</v>
      </c>
      <c r="F85" s="19">
        <v>27.13</v>
      </c>
      <c r="G85" s="20">
        <v>25</v>
      </c>
      <c r="H85" s="19">
        <f t="shared" si="2"/>
        <v>678.25</v>
      </c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8"/>
      <c r="AJ85" s="16" t="s">
        <v>229</v>
      </c>
      <c r="AK85" s="17" t="s">
        <v>9</v>
      </c>
      <c r="AL85" s="17" t="s">
        <v>230</v>
      </c>
      <c r="AM85" s="18" t="s">
        <v>231</v>
      </c>
      <c r="AN85" s="17" t="s">
        <v>44</v>
      </c>
      <c r="AO85" s="19">
        <v>27.13</v>
      </c>
      <c r="AP85" s="20">
        <v>25</v>
      </c>
      <c r="AQ85" s="19">
        <f t="shared" si="3"/>
        <v>678.25</v>
      </c>
    </row>
    <row r="86" spans="1:43" ht="178.5" customHeight="1">
      <c r="A86" s="16" t="s">
        <v>232</v>
      </c>
      <c r="B86" s="17" t="s">
        <v>9</v>
      </c>
      <c r="C86" s="17" t="s">
        <v>233</v>
      </c>
      <c r="D86" s="18" t="s">
        <v>234</v>
      </c>
      <c r="E86" s="17" t="s">
        <v>44</v>
      </c>
      <c r="F86" s="19">
        <v>39.479999999999997</v>
      </c>
      <c r="G86" s="20">
        <v>25</v>
      </c>
      <c r="H86" s="19">
        <f t="shared" si="2"/>
        <v>986.99999999999989</v>
      </c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8"/>
      <c r="AJ86" s="16" t="s">
        <v>232</v>
      </c>
      <c r="AK86" s="17" t="s">
        <v>9</v>
      </c>
      <c r="AL86" s="17" t="s">
        <v>233</v>
      </c>
      <c r="AM86" s="18" t="s">
        <v>234</v>
      </c>
      <c r="AN86" s="17" t="s">
        <v>44</v>
      </c>
      <c r="AO86" s="19">
        <v>39.479999999999997</v>
      </c>
      <c r="AP86" s="20">
        <v>25</v>
      </c>
      <c r="AQ86" s="19">
        <f t="shared" si="3"/>
        <v>986.99999999999989</v>
      </c>
    </row>
    <row r="87" spans="1:43" ht="114.75" customHeight="1">
      <c r="A87" s="16" t="s">
        <v>235</v>
      </c>
      <c r="B87" s="17" t="s">
        <v>9</v>
      </c>
      <c r="C87" s="17" t="s">
        <v>236</v>
      </c>
      <c r="D87" s="18" t="s">
        <v>237</v>
      </c>
      <c r="E87" s="17" t="s">
        <v>28</v>
      </c>
      <c r="F87" s="19">
        <v>30.71</v>
      </c>
      <c r="G87" s="20">
        <v>4</v>
      </c>
      <c r="H87" s="19">
        <f t="shared" si="2"/>
        <v>122.84</v>
      </c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8"/>
      <c r="AJ87" s="16" t="s">
        <v>235</v>
      </c>
      <c r="AK87" s="17" t="s">
        <v>9</v>
      </c>
      <c r="AL87" s="17" t="s">
        <v>236</v>
      </c>
      <c r="AM87" s="18" t="s">
        <v>237</v>
      </c>
      <c r="AN87" s="17" t="s">
        <v>28</v>
      </c>
      <c r="AO87" s="19">
        <v>30.71</v>
      </c>
      <c r="AP87" s="20">
        <v>4</v>
      </c>
      <c r="AQ87" s="19">
        <f t="shared" si="3"/>
        <v>122.84</v>
      </c>
    </row>
    <row r="88" spans="1:43" ht="76.5" customHeight="1">
      <c r="A88" s="16" t="s">
        <v>238</v>
      </c>
      <c r="B88" s="17" t="s">
        <v>9</v>
      </c>
      <c r="C88" s="17" t="s">
        <v>239</v>
      </c>
      <c r="D88" s="18" t="s">
        <v>240</v>
      </c>
      <c r="E88" s="17" t="s">
        <v>28</v>
      </c>
      <c r="F88" s="19">
        <v>13.88</v>
      </c>
      <c r="G88" s="20">
        <v>4</v>
      </c>
      <c r="H88" s="19">
        <f t="shared" si="2"/>
        <v>55.52</v>
      </c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8"/>
      <c r="AJ88" s="16" t="s">
        <v>238</v>
      </c>
      <c r="AK88" s="17" t="s">
        <v>9</v>
      </c>
      <c r="AL88" s="17" t="s">
        <v>239</v>
      </c>
      <c r="AM88" s="18" t="s">
        <v>240</v>
      </c>
      <c r="AN88" s="17" t="s">
        <v>28</v>
      </c>
      <c r="AO88" s="19">
        <v>13.88</v>
      </c>
      <c r="AP88" s="20">
        <v>4</v>
      </c>
      <c r="AQ88" s="19">
        <f t="shared" si="3"/>
        <v>55.52</v>
      </c>
    </row>
    <row r="89" spans="1:43" ht="306" customHeight="1">
      <c r="A89" s="16" t="s">
        <v>241</v>
      </c>
      <c r="B89" s="17" t="s">
        <v>9</v>
      </c>
      <c r="C89" s="17" t="s">
        <v>242</v>
      </c>
      <c r="D89" s="18" t="s">
        <v>243</v>
      </c>
      <c r="E89" s="17" t="s">
        <v>28</v>
      </c>
      <c r="F89" s="19">
        <v>671.64</v>
      </c>
      <c r="G89" s="20">
        <v>3</v>
      </c>
      <c r="H89" s="19">
        <f t="shared" si="2"/>
        <v>2014.92</v>
      </c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8"/>
      <c r="AJ89" s="16" t="s">
        <v>241</v>
      </c>
      <c r="AK89" s="17" t="s">
        <v>9</v>
      </c>
      <c r="AL89" s="17" t="s">
        <v>242</v>
      </c>
      <c r="AM89" s="18" t="s">
        <v>243</v>
      </c>
      <c r="AN89" s="17" t="s">
        <v>28</v>
      </c>
      <c r="AO89" s="19">
        <v>671.64</v>
      </c>
      <c r="AP89" s="20">
        <v>3</v>
      </c>
      <c r="AQ89" s="19">
        <f t="shared" si="3"/>
        <v>2014.92</v>
      </c>
    </row>
    <row r="90" spans="1:43" ht="280.5" customHeight="1">
      <c r="A90" s="16" t="s">
        <v>244</v>
      </c>
      <c r="B90" s="17" t="s">
        <v>9</v>
      </c>
      <c r="C90" s="17" t="s">
        <v>245</v>
      </c>
      <c r="D90" s="18" t="s">
        <v>246</v>
      </c>
      <c r="E90" s="17" t="s">
        <v>28</v>
      </c>
      <c r="F90" s="19">
        <v>404.8</v>
      </c>
      <c r="G90" s="20">
        <v>3</v>
      </c>
      <c r="H90" s="19">
        <f t="shared" si="2"/>
        <v>1214.4000000000001</v>
      </c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8"/>
      <c r="AJ90" s="16" t="s">
        <v>244</v>
      </c>
      <c r="AK90" s="17" t="s">
        <v>9</v>
      </c>
      <c r="AL90" s="17" t="s">
        <v>245</v>
      </c>
      <c r="AM90" s="18" t="s">
        <v>246</v>
      </c>
      <c r="AN90" s="17" t="s">
        <v>28</v>
      </c>
      <c r="AO90" s="19">
        <v>404.8</v>
      </c>
      <c r="AP90" s="20">
        <v>3</v>
      </c>
      <c r="AQ90" s="19">
        <f t="shared" si="3"/>
        <v>1214.4000000000001</v>
      </c>
    </row>
    <row r="91" spans="1:43" ht="409.5" customHeight="1">
      <c r="A91" s="16" t="s">
        <v>247</v>
      </c>
      <c r="B91" s="17" t="s">
        <v>9</v>
      </c>
      <c r="C91" s="17" t="s">
        <v>248</v>
      </c>
      <c r="D91" s="18" t="s">
        <v>249</v>
      </c>
      <c r="E91" s="17" t="s">
        <v>28</v>
      </c>
      <c r="F91" s="19">
        <v>1946.43</v>
      </c>
      <c r="G91" s="20">
        <v>1</v>
      </c>
      <c r="H91" s="19">
        <f t="shared" si="2"/>
        <v>1946.43</v>
      </c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8"/>
      <c r="AJ91" s="16" t="s">
        <v>247</v>
      </c>
      <c r="AK91" s="17" t="s">
        <v>9</v>
      </c>
      <c r="AL91" s="17" t="s">
        <v>248</v>
      </c>
      <c r="AM91" s="18" t="s">
        <v>249</v>
      </c>
      <c r="AN91" s="17" t="s">
        <v>28</v>
      </c>
      <c r="AO91" s="19">
        <v>1946.43</v>
      </c>
      <c r="AP91" s="20">
        <v>1</v>
      </c>
      <c r="AQ91" s="19">
        <f t="shared" si="3"/>
        <v>1946.43</v>
      </c>
    </row>
    <row r="92" spans="1:43" ht="191.25" customHeight="1">
      <c r="A92" s="16" t="s">
        <v>250</v>
      </c>
      <c r="B92" s="17" t="s">
        <v>9</v>
      </c>
      <c r="C92" s="17" t="s">
        <v>251</v>
      </c>
      <c r="D92" s="18" t="s">
        <v>252</v>
      </c>
      <c r="E92" s="17" t="s">
        <v>28</v>
      </c>
      <c r="F92" s="19">
        <v>128.83000000000001</v>
      </c>
      <c r="G92" s="20">
        <v>4</v>
      </c>
      <c r="H92" s="19">
        <f t="shared" si="2"/>
        <v>515.32000000000005</v>
      </c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8"/>
      <c r="AJ92" s="16" t="s">
        <v>250</v>
      </c>
      <c r="AK92" s="17" t="s">
        <v>9</v>
      </c>
      <c r="AL92" s="17" t="s">
        <v>251</v>
      </c>
      <c r="AM92" s="18" t="s">
        <v>252</v>
      </c>
      <c r="AN92" s="17" t="s">
        <v>28</v>
      </c>
      <c r="AO92" s="19">
        <v>128.83000000000001</v>
      </c>
      <c r="AP92" s="20">
        <v>4</v>
      </c>
      <c r="AQ92" s="19">
        <f t="shared" si="3"/>
        <v>515.32000000000005</v>
      </c>
    </row>
    <row r="93" spans="1:43" ht="89.25" customHeight="1">
      <c r="A93" s="16" t="s">
        <v>253</v>
      </c>
      <c r="B93" s="17" t="s">
        <v>9</v>
      </c>
      <c r="C93" s="17" t="s">
        <v>254</v>
      </c>
      <c r="D93" s="18" t="s">
        <v>255</v>
      </c>
      <c r="E93" s="17" t="s">
        <v>28</v>
      </c>
      <c r="F93" s="19">
        <v>55.39</v>
      </c>
      <c r="G93" s="20">
        <v>4</v>
      </c>
      <c r="H93" s="19">
        <f t="shared" si="2"/>
        <v>221.56</v>
      </c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8"/>
      <c r="AJ93" s="16" t="s">
        <v>253</v>
      </c>
      <c r="AK93" s="17" t="s">
        <v>9</v>
      </c>
      <c r="AL93" s="17" t="s">
        <v>254</v>
      </c>
      <c r="AM93" s="18" t="s">
        <v>255</v>
      </c>
      <c r="AN93" s="17" t="s">
        <v>28</v>
      </c>
      <c r="AO93" s="19">
        <v>55.39</v>
      </c>
      <c r="AP93" s="20">
        <v>4</v>
      </c>
      <c r="AQ93" s="19">
        <f t="shared" si="3"/>
        <v>221.56</v>
      </c>
    </row>
    <row r="94" spans="1:43" ht="153" customHeight="1">
      <c r="A94" s="16" t="s">
        <v>256</v>
      </c>
      <c r="B94" s="17" t="s">
        <v>9</v>
      </c>
      <c r="C94" s="17" t="s">
        <v>257</v>
      </c>
      <c r="D94" s="18" t="s">
        <v>258</v>
      </c>
      <c r="E94" s="17" t="s">
        <v>28</v>
      </c>
      <c r="F94" s="19">
        <v>88.19</v>
      </c>
      <c r="G94" s="20">
        <v>2</v>
      </c>
      <c r="H94" s="19">
        <f t="shared" si="2"/>
        <v>176.38</v>
      </c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8"/>
      <c r="AJ94" s="16" t="s">
        <v>256</v>
      </c>
      <c r="AK94" s="17" t="s">
        <v>9</v>
      </c>
      <c r="AL94" s="17" t="s">
        <v>257</v>
      </c>
      <c r="AM94" s="18" t="s">
        <v>258</v>
      </c>
      <c r="AN94" s="17" t="s">
        <v>28</v>
      </c>
      <c r="AO94" s="19">
        <v>88.19</v>
      </c>
      <c r="AP94" s="20">
        <v>2</v>
      </c>
      <c r="AQ94" s="19">
        <f t="shared" si="3"/>
        <v>176.38</v>
      </c>
    </row>
    <row r="95" spans="1:43" ht="140.25" customHeight="1">
      <c r="A95" s="16" t="s">
        <v>259</v>
      </c>
      <c r="B95" s="17" t="s">
        <v>9</v>
      </c>
      <c r="C95" s="17" t="s">
        <v>260</v>
      </c>
      <c r="D95" s="18" t="s">
        <v>261</v>
      </c>
      <c r="E95" s="17" t="s">
        <v>28</v>
      </c>
      <c r="F95" s="19">
        <v>128.83000000000001</v>
      </c>
      <c r="G95" s="20">
        <v>1</v>
      </c>
      <c r="H95" s="19">
        <f t="shared" si="2"/>
        <v>128.83000000000001</v>
      </c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8"/>
      <c r="AJ95" s="16" t="s">
        <v>259</v>
      </c>
      <c r="AK95" s="17" t="s">
        <v>9</v>
      </c>
      <c r="AL95" s="17" t="s">
        <v>260</v>
      </c>
      <c r="AM95" s="18" t="s">
        <v>261</v>
      </c>
      <c r="AN95" s="17" t="s">
        <v>28</v>
      </c>
      <c r="AO95" s="19">
        <v>128.83000000000001</v>
      </c>
      <c r="AP95" s="20">
        <v>1</v>
      </c>
      <c r="AQ95" s="19">
        <f t="shared" si="3"/>
        <v>128.83000000000001</v>
      </c>
    </row>
    <row r="96" spans="1:43" ht="178.5" customHeight="1">
      <c r="A96" s="16" t="s">
        <v>262</v>
      </c>
      <c r="B96" s="17" t="s">
        <v>9</v>
      </c>
      <c r="C96" s="17" t="s">
        <v>263</v>
      </c>
      <c r="D96" s="18" t="s">
        <v>264</v>
      </c>
      <c r="E96" s="17" t="s">
        <v>28</v>
      </c>
      <c r="F96" s="19">
        <v>135.78</v>
      </c>
      <c r="G96" s="20">
        <v>2</v>
      </c>
      <c r="H96" s="19">
        <f t="shared" si="2"/>
        <v>271.56</v>
      </c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8"/>
      <c r="AJ96" s="16" t="s">
        <v>262</v>
      </c>
      <c r="AK96" s="17" t="s">
        <v>9</v>
      </c>
      <c r="AL96" s="17" t="s">
        <v>263</v>
      </c>
      <c r="AM96" s="18" t="s">
        <v>264</v>
      </c>
      <c r="AN96" s="17" t="s">
        <v>28</v>
      </c>
      <c r="AO96" s="19">
        <v>135.78</v>
      </c>
      <c r="AP96" s="20">
        <v>2</v>
      </c>
      <c r="AQ96" s="19">
        <f t="shared" si="3"/>
        <v>271.56</v>
      </c>
    </row>
    <row r="97" spans="1:43" ht="216.75" customHeight="1">
      <c r="A97" s="16" t="s">
        <v>265</v>
      </c>
      <c r="B97" s="17" t="s">
        <v>9</v>
      </c>
      <c r="C97" s="17" t="s">
        <v>266</v>
      </c>
      <c r="D97" s="18" t="s">
        <v>267</v>
      </c>
      <c r="E97" s="17" t="s">
        <v>28</v>
      </c>
      <c r="F97" s="19">
        <v>1906.43</v>
      </c>
      <c r="G97" s="20">
        <v>1</v>
      </c>
      <c r="H97" s="19">
        <f t="shared" si="2"/>
        <v>1906.43</v>
      </c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8"/>
      <c r="AJ97" s="16" t="s">
        <v>265</v>
      </c>
      <c r="AK97" s="17" t="s">
        <v>9</v>
      </c>
      <c r="AL97" s="17" t="s">
        <v>266</v>
      </c>
      <c r="AM97" s="18" t="s">
        <v>267</v>
      </c>
      <c r="AN97" s="17" t="s">
        <v>28</v>
      </c>
      <c r="AO97" s="19">
        <v>1906.43</v>
      </c>
      <c r="AP97" s="20">
        <v>1</v>
      </c>
      <c r="AQ97" s="19">
        <f t="shared" si="3"/>
        <v>1906.43</v>
      </c>
    </row>
    <row r="98" spans="1:43" ht="229.5" customHeight="1">
      <c r="A98" s="16" t="s">
        <v>268</v>
      </c>
      <c r="B98" s="17" t="s">
        <v>9</v>
      </c>
      <c r="C98" s="17" t="s">
        <v>269</v>
      </c>
      <c r="D98" s="18" t="s">
        <v>270</v>
      </c>
      <c r="E98" s="17" t="s">
        <v>28</v>
      </c>
      <c r="F98" s="19">
        <v>256.63</v>
      </c>
      <c r="G98" s="20">
        <v>3</v>
      </c>
      <c r="H98" s="19">
        <f t="shared" si="2"/>
        <v>769.89</v>
      </c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8"/>
      <c r="AJ98" s="16" t="s">
        <v>268</v>
      </c>
      <c r="AK98" s="17" t="s">
        <v>9</v>
      </c>
      <c r="AL98" s="17" t="s">
        <v>269</v>
      </c>
      <c r="AM98" s="18" t="s">
        <v>270</v>
      </c>
      <c r="AN98" s="17" t="s">
        <v>28</v>
      </c>
      <c r="AO98" s="19">
        <v>256.63</v>
      </c>
      <c r="AP98" s="20">
        <v>3</v>
      </c>
      <c r="AQ98" s="19">
        <f t="shared" si="3"/>
        <v>769.89</v>
      </c>
    </row>
    <row r="99" spans="1:43" ht="216.75" customHeight="1">
      <c r="A99" s="16" t="s">
        <v>271</v>
      </c>
      <c r="B99" s="17" t="s">
        <v>9</v>
      </c>
      <c r="C99" s="17" t="s">
        <v>272</v>
      </c>
      <c r="D99" s="18" t="s">
        <v>273</v>
      </c>
      <c r="E99" s="17" t="s">
        <v>28</v>
      </c>
      <c r="F99" s="19">
        <v>2579.81</v>
      </c>
      <c r="G99" s="20">
        <v>1</v>
      </c>
      <c r="H99" s="19">
        <f t="shared" si="2"/>
        <v>2579.81</v>
      </c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8"/>
      <c r="AJ99" s="16" t="s">
        <v>271</v>
      </c>
      <c r="AK99" s="17" t="s">
        <v>9</v>
      </c>
      <c r="AL99" s="17" t="s">
        <v>272</v>
      </c>
      <c r="AM99" s="18" t="s">
        <v>273</v>
      </c>
      <c r="AN99" s="17" t="s">
        <v>28</v>
      </c>
      <c r="AO99" s="19">
        <v>2579.81</v>
      </c>
      <c r="AP99" s="20">
        <v>1</v>
      </c>
      <c r="AQ99" s="19">
        <f t="shared" si="3"/>
        <v>2579.81</v>
      </c>
    </row>
    <row r="100" spans="1:43" ht="395.25" customHeight="1">
      <c r="A100" s="16" t="s">
        <v>274</v>
      </c>
      <c r="B100" s="17" t="s">
        <v>9</v>
      </c>
      <c r="C100" s="17" t="s">
        <v>275</v>
      </c>
      <c r="D100" s="18" t="s">
        <v>276</v>
      </c>
      <c r="E100" s="17" t="s">
        <v>28</v>
      </c>
      <c r="F100" s="19">
        <v>4191.46</v>
      </c>
      <c r="G100" s="20">
        <v>1</v>
      </c>
      <c r="H100" s="19">
        <f t="shared" si="2"/>
        <v>4191.46</v>
      </c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8"/>
      <c r="AJ100" s="16" t="s">
        <v>274</v>
      </c>
      <c r="AK100" s="17" t="s">
        <v>9</v>
      </c>
      <c r="AL100" s="17" t="s">
        <v>275</v>
      </c>
      <c r="AM100" s="18" t="s">
        <v>276</v>
      </c>
      <c r="AN100" s="17" t="s">
        <v>28</v>
      </c>
      <c r="AO100" s="19">
        <v>4191.46</v>
      </c>
      <c r="AP100" s="20">
        <v>1</v>
      </c>
      <c r="AQ100" s="19">
        <f t="shared" si="3"/>
        <v>4191.46</v>
      </c>
    </row>
    <row r="101" spans="1:43" ht="178.5" customHeight="1">
      <c r="A101" s="16" t="s">
        <v>277</v>
      </c>
      <c r="B101" s="17" t="s">
        <v>9</v>
      </c>
      <c r="C101" s="17" t="s">
        <v>278</v>
      </c>
      <c r="D101" s="18" t="s">
        <v>279</v>
      </c>
      <c r="E101" s="17" t="s">
        <v>28</v>
      </c>
      <c r="F101" s="19">
        <v>41.63</v>
      </c>
      <c r="G101" s="20">
        <v>4</v>
      </c>
      <c r="H101" s="19">
        <f t="shared" si="2"/>
        <v>166.52</v>
      </c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8"/>
      <c r="AJ101" s="16" t="s">
        <v>277</v>
      </c>
      <c r="AK101" s="17" t="s">
        <v>9</v>
      </c>
      <c r="AL101" s="17" t="s">
        <v>278</v>
      </c>
      <c r="AM101" s="18" t="s">
        <v>279</v>
      </c>
      <c r="AN101" s="17" t="s">
        <v>28</v>
      </c>
      <c r="AO101" s="19">
        <v>41.63</v>
      </c>
      <c r="AP101" s="20">
        <v>4</v>
      </c>
      <c r="AQ101" s="19">
        <f t="shared" si="3"/>
        <v>166.52</v>
      </c>
    </row>
    <row r="102" spans="1:43" ht="229.5" customHeight="1">
      <c r="A102" s="16" t="s">
        <v>280</v>
      </c>
      <c r="B102" s="17" t="s">
        <v>9</v>
      </c>
      <c r="C102" s="17" t="s">
        <v>281</v>
      </c>
      <c r="D102" s="18" t="s">
        <v>282</v>
      </c>
      <c r="E102" s="17" t="s">
        <v>12</v>
      </c>
      <c r="F102" s="19">
        <v>250.94</v>
      </c>
      <c r="G102" s="20">
        <v>3</v>
      </c>
      <c r="H102" s="19">
        <f t="shared" si="2"/>
        <v>752.81999999999994</v>
      </c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8"/>
      <c r="AJ102" s="16" t="s">
        <v>280</v>
      </c>
      <c r="AK102" s="17" t="s">
        <v>9</v>
      </c>
      <c r="AL102" s="17" t="s">
        <v>281</v>
      </c>
      <c r="AM102" s="18" t="s">
        <v>282</v>
      </c>
      <c r="AN102" s="17" t="s">
        <v>12</v>
      </c>
      <c r="AO102" s="19">
        <v>250.94</v>
      </c>
      <c r="AP102" s="20">
        <v>3</v>
      </c>
      <c r="AQ102" s="19">
        <f t="shared" si="3"/>
        <v>752.81999999999994</v>
      </c>
    </row>
    <row r="103" spans="1:43" ht="242.25" customHeight="1">
      <c r="A103" s="16" t="s">
        <v>283</v>
      </c>
      <c r="B103" s="17" t="s">
        <v>9</v>
      </c>
      <c r="C103" s="17" t="s">
        <v>281</v>
      </c>
      <c r="D103" s="18" t="s">
        <v>284</v>
      </c>
      <c r="E103" s="17" t="s">
        <v>12</v>
      </c>
      <c r="F103" s="19">
        <v>252.48</v>
      </c>
      <c r="G103" s="20">
        <v>3</v>
      </c>
      <c r="H103" s="19">
        <f t="shared" si="2"/>
        <v>757.43999999999994</v>
      </c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8"/>
      <c r="AJ103" s="16" t="s">
        <v>283</v>
      </c>
      <c r="AK103" s="17" t="s">
        <v>9</v>
      </c>
      <c r="AL103" s="17" t="s">
        <v>281</v>
      </c>
      <c r="AM103" s="18" t="s">
        <v>284</v>
      </c>
      <c r="AN103" s="17" t="s">
        <v>12</v>
      </c>
      <c r="AO103" s="19">
        <v>252.48</v>
      </c>
      <c r="AP103" s="20">
        <v>3</v>
      </c>
      <c r="AQ103" s="19">
        <f t="shared" si="3"/>
        <v>757.43999999999994</v>
      </c>
    </row>
    <row r="104" spans="1:43" ht="191.25" customHeight="1">
      <c r="A104" s="16" t="s">
        <v>285</v>
      </c>
      <c r="B104" s="17" t="s">
        <v>9</v>
      </c>
      <c r="C104" s="17" t="s">
        <v>281</v>
      </c>
      <c r="D104" s="18" t="s">
        <v>286</v>
      </c>
      <c r="E104" s="17" t="s">
        <v>12</v>
      </c>
      <c r="F104" s="19">
        <v>290.54000000000002</v>
      </c>
      <c r="G104" s="20">
        <v>3</v>
      </c>
      <c r="H104" s="19">
        <f t="shared" si="2"/>
        <v>871.62000000000012</v>
      </c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8"/>
      <c r="AJ104" s="16" t="s">
        <v>285</v>
      </c>
      <c r="AK104" s="17" t="s">
        <v>9</v>
      </c>
      <c r="AL104" s="17" t="s">
        <v>281</v>
      </c>
      <c r="AM104" s="18" t="s">
        <v>286</v>
      </c>
      <c r="AN104" s="17" t="s">
        <v>12</v>
      </c>
      <c r="AO104" s="19">
        <v>290.54000000000002</v>
      </c>
      <c r="AP104" s="20">
        <v>3</v>
      </c>
      <c r="AQ104" s="19">
        <f t="shared" si="3"/>
        <v>871.62000000000012</v>
      </c>
    </row>
    <row r="105" spans="1:43" ht="76.5" customHeight="1">
      <c r="A105" s="16" t="s">
        <v>287</v>
      </c>
      <c r="B105" s="17" t="s">
        <v>9</v>
      </c>
      <c r="C105" s="17" t="s">
        <v>288</v>
      </c>
      <c r="D105" s="18" t="s">
        <v>289</v>
      </c>
      <c r="E105" s="17" t="s">
        <v>44</v>
      </c>
      <c r="F105" s="19">
        <v>1.74</v>
      </c>
      <c r="G105" s="20">
        <v>100</v>
      </c>
      <c r="H105" s="19">
        <f t="shared" si="2"/>
        <v>174</v>
      </c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8"/>
      <c r="AJ105" s="16" t="s">
        <v>287</v>
      </c>
      <c r="AK105" s="17" t="s">
        <v>9</v>
      </c>
      <c r="AL105" s="17" t="s">
        <v>288</v>
      </c>
      <c r="AM105" s="18" t="s">
        <v>289</v>
      </c>
      <c r="AN105" s="17" t="s">
        <v>44</v>
      </c>
      <c r="AO105" s="19">
        <v>1.74</v>
      </c>
      <c r="AP105" s="20">
        <v>100</v>
      </c>
      <c r="AQ105" s="19">
        <f t="shared" si="3"/>
        <v>174</v>
      </c>
    </row>
    <row r="106" spans="1:43" ht="140.25" customHeight="1">
      <c r="A106" s="16" t="s">
        <v>290</v>
      </c>
      <c r="B106" s="17" t="s">
        <v>9</v>
      </c>
      <c r="C106" s="17" t="s">
        <v>291</v>
      </c>
      <c r="D106" s="18" t="s">
        <v>292</v>
      </c>
      <c r="E106" s="17" t="s">
        <v>28</v>
      </c>
      <c r="F106" s="19">
        <v>24.68</v>
      </c>
      <c r="G106" s="20">
        <v>25</v>
      </c>
      <c r="H106" s="19">
        <f t="shared" si="2"/>
        <v>617</v>
      </c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8"/>
      <c r="AJ106" s="16" t="s">
        <v>290</v>
      </c>
      <c r="AK106" s="17" t="s">
        <v>9</v>
      </c>
      <c r="AL106" s="17" t="s">
        <v>291</v>
      </c>
      <c r="AM106" s="18" t="s">
        <v>292</v>
      </c>
      <c r="AN106" s="17" t="s">
        <v>28</v>
      </c>
      <c r="AO106" s="19">
        <v>24.68</v>
      </c>
      <c r="AP106" s="20">
        <v>25</v>
      </c>
      <c r="AQ106" s="19">
        <f t="shared" si="3"/>
        <v>617</v>
      </c>
    </row>
    <row r="107" spans="1:43" ht="76.5" customHeight="1">
      <c r="A107" s="16" t="s">
        <v>293</v>
      </c>
      <c r="B107" s="17" t="s">
        <v>9</v>
      </c>
      <c r="C107" s="17" t="s">
        <v>294</v>
      </c>
      <c r="D107" s="18" t="s">
        <v>295</v>
      </c>
      <c r="E107" s="17" t="s">
        <v>28</v>
      </c>
      <c r="F107" s="19">
        <v>6.33</v>
      </c>
      <c r="G107" s="20">
        <v>20</v>
      </c>
      <c r="H107" s="19">
        <f t="shared" si="2"/>
        <v>126.6</v>
      </c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8"/>
      <c r="AJ107" s="16" t="s">
        <v>293</v>
      </c>
      <c r="AK107" s="17" t="s">
        <v>9</v>
      </c>
      <c r="AL107" s="17" t="s">
        <v>294</v>
      </c>
      <c r="AM107" s="18" t="s">
        <v>295</v>
      </c>
      <c r="AN107" s="17" t="s">
        <v>28</v>
      </c>
      <c r="AO107" s="19">
        <v>6.33</v>
      </c>
      <c r="AP107" s="20">
        <v>20</v>
      </c>
      <c r="AQ107" s="19">
        <f t="shared" si="3"/>
        <v>126.6</v>
      </c>
    </row>
    <row r="108" spans="1:43" ht="293.25" customHeight="1">
      <c r="A108" s="16" t="s">
        <v>296</v>
      </c>
      <c r="B108" s="17" t="s">
        <v>9</v>
      </c>
      <c r="C108" s="17" t="s">
        <v>297</v>
      </c>
      <c r="D108" s="18" t="s">
        <v>298</v>
      </c>
      <c r="E108" s="17" t="s">
        <v>28</v>
      </c>
      <c r="F108" s="19">
        <v>184.51</v>
      </c>
      <c r="G108" s="20">
        <v>20</v>
      </c>
      <c r="H108" s="19">
        <f t="shared" si="2"/>
        <v>3690.2</v>
      </c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8"/>
      <c r="AJ108" s="16" t="s">
        <v>296</v>
      </c>
      <c r="AK108" s="17" t="s">
        <v>9</v>
      </c>
      <c r="AL108" s="17" t="s">
        <v>297</v>
      </c>
      <c r="AM108" s="18" t="s">
        <v>298</v>
      </c>
      <c r="AN108" s="17" t="s">
        <v>28</v>
      </c>
      <c r="AO108" s="19">
        <v>184.51</v>
      </c>
      <c r="AP108" s="20">
        <v>20</v>
      </c>
      <c r="AQ108" s="19">
        <f t="shared" si="3"/>
        <v>3690.2</v>
      </c>
    </row>
    <row r="109" spans="1:43" ht="331.5" customHeight="1">
      <c r="A109" s="16" t="s">
        <v>299</v>
      </c>
      <c r="B109" s="17" t="s">
        <v>9</v>
      </c>
      <c r="C109" s="17" t="s">
        <v>300</v>
      </c>
      <c r="D109" s="18" t="s">
        <v>301</v>
      </c>
      <c r="E109" s="17" t="s">
        <v>28</v>
      </c>
      <c r="F109" s="19">
        <v>488.1</v>
      </c>
      <c r="G109" s="20">
        <v>1</v>
      </c>
      <c r="H109" s="19">
        <f t="shared" si="2"/>
        <v>488.1</v>
      </c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8"/>
      <c r="AJ109" s="16" t="s">
        <v>299</v>
      </c>
      <c r="AK109" s="17" t="s">
        <v>9</v>
      </c>
      <c r="AL109" s="17" t="s">
        <v>300</v>
      </c>
      <c r="AM109" s="18" t="s">
        <v>301</v>
      </c>
      <c r="AN109" s="17" t="s">
        <v>28</v>
      </c>
      <c r="AO109" s="19">
        <v>488.1</v>
      </c>
      <c r="AP109" s="20">
        <v>1</v>
      </c>
      <c r="AQ109" s="19">
        <f t="shared" si="3"/>
        <v>488.1</v>
      </c>
    </row>
    <row r="110" spans="1:43" ht="331.5" customHeight="1">
      <c r="A110" s="16" t="s">
        <v>302</v>
      </c>
      <c r="B110" s="17" t="s">
        <v>9</v>
      </c>
      <c r="C110" s="17" t="s">
        <v>303</v>
      </c>
      <c r="D110" s="18" t="s">
        <v>304</v>
      </c>
      <c r="E110" s="17" t="s">
        <v>28</v>
      </c>
      <c r="F110" s="19">
        <v>276.77999999999997</v>
      </c>
      <c r="G110" s="20">
        <v>10</v>
      </c>
      <c r="H110" s="19">
        <f t="shared" si="2"/>
        <v>2767.7999999999997</v>
      </c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8"/>
      <c r="AJ110" s="16" t="s">
        <v>302</v>
      </c>
      <c r="AK110" s="17" t="s">
        <v>9</v>
      </c>
      <c r="AL110" s="17" t="s">
        <v>303</v>
      </c>
      <c r="AM110" s="18" t="s">
        <v>304</v>
      </c>
      <c r="AN110" s="17" t="s">
        <v>28</v>
      </c>
      <c r="AO110" s="19">
        <v>276.77999999999997</v>
      </c>
      <c r="AP110" s="20">
        <v>10</v>
      </c>
      <c r="AQ110" s="19">
        <f t="shared" si="3"/>
        <v>2767.7999999999997</v>
      </c>
    </row>
    <row r="111" spans="1:43" ht="344.25" customHeight="1">
      <c r="A111" s="16" t="s">
        <v>305</v>
      </c>
      <c r="B111" s="17" t="s">
        <v>9</v>
      </c>
      <c r="C111" s="17" t="s">
        <v>306</v>
      </c>
      <c r="D111" s="18" t="s">
        <v>307</v>
      </c>
      <c r="E111" s="17" t="s">
        <v>28</v>
      </c>
      <c r="F111" s="19">
        <v>313.48</v>
      </c>
      <c r="G111" s="20">
        <v>2</v>
      </c>
      <c r="H111" s="19">
        <f t="shared" si="2"/>
        <v>626.96</v>
      </c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8"/>
      <c r="AJ111" s="16" t="s">
        <v>305</v>
      </c>
      <c r="AK111" s="17" t="s">
        <v>9</v>
      </c>
      <c r="AL111" s="17" t="s">
        <v>306</v>
      </c>
      <c r="AM111" s="18" t="s">
        <v>307</v>
      </c>
      <c r="AN111" s="17" t="s">
        <v>28</v>
      </c>
      <c r="AO111" s="19">
        <v>313.48</v>
      </c>
      <c r="AP111" s="20">
        <v>2</v>
      </c>
      <c r="AQ111" s="19">
        <f t="shared" si="3"/>
        <v>626.96</v>
      </c>
    </row>
    <row r="112" spans="1:43" ht="318.75" customHeight="1">
      <c r="A112" s="16" t="s">
        <v>308</v>
      </c>
      <c r="B112" s="17" t="s">
        <v>9</v>
      </c>
      <c r="C112" s="17" t="s">
        <v>309</v>
      </c>
      <c r="D112" s="18" t="s">
        <v>310</v>
      </c>
      <c r="E112" s="17" t="s">
        <v>28</v>
      </c>
      <c r="F112" s="19">
        <v>186.27</v>
      </c>
      <c r="G112" s="20">
        <v>44</v>
      </c>
      <c r="H112" s="19">
        <f t="shared" si="2"/>
        <v>8195.880000000001</v>
      </c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8"/>
      <c r="AJ112" s="16" t="s">
        <v>308</v>
      </c>
      <c r="AK112" s="17" t="s">
        <v>9</v>
      </c>
      <c r="AL112" s="17" t="s">
        <v>309</v>
      </c>
      <c r="AM112" s="18" t="s">
        <v>310</v>
      </c>
      <c r="AN112" s="17" t="s">
        <v>28</v>
      </c>
      <c r="AO112" s="19">
        <v>186.27</v>
      </c>
      <c r="AP112" s="20">
        <v>44</v>
      </c>
      <c r="AQ112" s="19">
        <f t="shared" si="3"/>
        <v>8195.880000000001</v>
      </c>
    </row>
    <row r="113" spans="1:43" ht="153" customHeight="1">
      <c r="A113" s="16" t="s">
        <v>311</v>
      </c>
      <c r="B113" s="17" t="s">
        <v>9</v>
      </c>
      <c r="C113" s="17" t="s">
        <v>312</v>
      </c>
      <c r="D113" s="18" t="s">
        <v>313</v>
      </c>
      <c r="E113" s="17" t="s">
        <v>44</v>
      </c>
      <c r="F113" s="19">
        <v>14.44</v>
      </c>
      <c r="G113" s="20">
        <v>100</v>
      </c>
      <c r="H113" s="19">
        <f t="shared" si="2"/>
        <v>1444</v>
      </c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8"/>
      <c r="AJ113" s="16" t="s">
        <v>311</v>
      </c>
      <c r="AK113" s="17" t="s">
        <v>9</v>
      </c>
      <c r="AL113" s="17" t="s">
        <v>312</v>
      </c>
      <c r="AM113" s="18" t="s">
        <v>313</v>
      </c>
      <c r="AN113" s="17" t="s">
        <v>44</v>
      </c>
      <c r="AO113" s="19">
        <v>14.44</v>
      </c>
      <c r="AP113" s="20">
        <v>100</v>
      </c>
      <c r="AQ113" s="19">
        <f t="shared" si="3"/>
        <v>1444</v>
      </c>
    </row>
    <row r="114" spans="1:43" ht="153" customHeight="1">
      <c r="A114" s="16" t="s">
        <v>314</v>
      </c>
      <c r="B114" s="17" t="s">
        <v>9</v>
      </c>
      <c r="C114" s="17" t="s">
        <v>315</v>
      </c>
      <c r="D114" s="18" t="s">
        <v>316</v>
      </c>
      <c r="E114" s="17" t="s">
        <v>44</v>
      </c>
      <c r="F114" s="19">
        <v>21.58</v>
      </c>
      <c r="G114" s="20">
        <v>100</v>
      </c>
      <c r="H114" s="19">
        <f t="shared" si="2"/>
        <v>2158</v>
      </c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8"/>
      <c r="AJ114" s="16" t="s">
        <v>314</v>
      </c>
      <c r="AK114" s="17" t="s">
        <v>9</v>
      </c>
      <c r="AL114" s="17" t="s">
        <v>315</v>
      </c>
      <c r="AM114" s="18" t="s">
        <v>316</v>
      </c>
      <c r="AN114" s="17" t="s">
        <v>44</v>
      </c>
      <c r="AO114" s="19">
        <v>21.58</v>
      </c>
      <c r="AP114" s="20">
        <v>100</v>
      </c>
      <c r="AQ114" s="19">
        <f t="shared" si="3"/>
        <v>2158</v>
      </c>
    </row>
    <row r="115" spans="1:43" ht="153" customHeight="1">
      <c r="A115" s="16" t="s">
        <v>317</v>
      </c>
      <c r="B115" s="17" t="s">
        <v>9</v>
      </c>
      <c r="C115" s="17" t="s">
        <v>318</v>
      </c>
      <c r="D115" s="18" t="s">
        <v>319</v>
      </c>
      <c r="E115" s="17" t="s">
        <v>44</v>
      </c>
      <c r="F115" s="19">
        <v>26.41</v>
      </c>
      <c r="G115" s="20">
        <v>100</v>
      </c>
      <c r="H115" s="19">
        <f t="shared" si="2"/>
        <v>2641</v>
      </c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8"/>
      <c r="AJ115" s="16" t="s">
        <v>317</v>
      </c>
      <c r="AK115" s="17" t="s">
        <v>9</v>
      </c>
      <c r="AL115" s="17" t="s">
        <v>318</v>
      </c>
      <c r="AM115" s="18" t="s">
        <v>319</v>
      </c>
      <c r="AN115" s="17" t="s">
        <v>44</v>
      </c>
      <c r="AO115" s="19">
        <v>26.41</v>
      </c>
      <c r="AP115" s="20">
        <v>100</v>
      </c>
      <c r="AQ115" s="19">
        <f t="shared" si="3"/>
        <v>2641</v>
      </c>
    </row>
    <row r="116" spans="1:43" ht="229.5" customHeight="1">
      <c r="A116" s="16" t="s">
        <v>320</v>
      </c>
      <c r="B116" s="17" t="s">
        <v>9</v>
      </c>
      <c r="C116" s="17" t="s">
        <v>321</v>
      </c>
      <c r="D116" s="18" t="s">
        <v>322</v>
      </c>
      <c r="E116" s="17" t="s">
        <v>28</v>
      </c>
      <c r="F116" s="19">
        <v>17.8</v>
      </c>
      <c r="G116" s="20">
        <v>6</v>
      </c>
      <c r="H116" s="19">
        <f t="shared" si="2"/>
        <v>106.80000000000001</v>
      </c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8"/>
      <c r="AJ116" s="16" t="s">
        <v>320</v>
      </c>
      <c r="AK116" s="17" t="s">
        <v>9</v>
      </c>
      <c r="AL116" s="17" t="s">
        <v>321</v>
      </c>
      <c r="AM116" s="18" t="s">
        <v>322</v>
      </c>
      <c r="AN116" s="17" t="s">
        <v>28</v>
      </c>
      <c r="AO116" s="19">
        <v>17.8</v>
      </c>
      <c r="AP116" s="20">
        <v>6</v>
      </c>
      <c r="AQ116" s="19">
        <f t="shared" si="3"/>
        <v>106.80000000000001</v>
      </c>
    </row>
    <row r="117" spans="1:43" ht="229.5" customHeight="1">
      <c r="A117" s="16" t="s">
        <v>323</v>
      </c>
      <c r="B117" s="17" t="s">
        <v>9</v>
      </c>
      <c r="C117" s="17" t="s">
        <v>324</v>
      </c>
      <c r="D117" s="18" t="s">
        <v>325</v>
      </c>
      <c r="E117" s="17" t="s">
        <v>28</v>
      </c>
      <c r="F117" s="19">
        <v>50.55</v>
      </c>
      <c r="G117" s="20">
        <v>10</v>
      </c>
      <c r="H117" s="19">
        <f t="shared" si="2"/>
        <v>505.5</v>
      </c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8"/>
      <c r="AJ117" s="16" t="s">
        <v>323</v>
      </c>
      <c r="AK117" s="17" t="s">
        <v>9</v>
      </c>
      <c r="AL117" s="17" t="s">
        <v>324</v>
      </c>
      <c r="AM117" s="18" t="s">
        <v>325</v>
      </c>
      <c r="AN117" s="17" t="s">
        <v>28</v>
      </c>
      <c r="AO117" s="19">
        <v>50.55</v>
      </c>
      <c r="AP117" s="20">
        <v>10</v>
      </c>
      <c r="AQ117" s="19">
        <f t="shared" si="3"/>
        <v>505.5</v>
      </c>
    </row>
    <row r="118" spans="1:43" ht="229.5" customHeight="1">
      <c r="A118" s="16" t="s">
        <v>326</v>
      </c>
      <c r="B118" s="17" t="s">
        <v>9</v>
      </c>
      <c r="C118" s="17" t="s">
        <v>327</v>
      </c>
      <c r="D118" s="18" t="s">
        <v>328</v>
      </c>
      <c r="E118" s="17" t="s">
        <v>28</v>
      </c>
      <c r="F118" s="19">
        <v>17.8</v>
      </c>
      <c r="G118" s="20">
        <v>6</v>
      </c>
      <c r="H118" s="19">
        <f t="shared" si="2"/>
        <v>106.80000000000001</v>
      </c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8"/>
      <c r="AJ118" s="16" t="s">
        <v>326</v>
      </c>
      <c r="AK118" s="17" t="s">
        <v>9</v>
      </c>
      <c r="AL118" s="17" t="s">
        <v>327</v>
      </c>
      <c r="AM118" s="18" t="s">
        <v>328</v>
      </c>
      <c r="AN118" s="17" t="s">
        <v>28</v>
      </c>
      <c r="AO118" s="19">
        <v>17.8</v>
      </c>
      <c r="AP118" s="20">
        <v>6</v>
      </c>
      <c r="AQ118" s="19">
        <f t="shared" si="3"/>
        <v>106.80000000000001</v>
      </c>
    </row>
    <row r="119" spans="1:43" ht="229.5" customHeight="1">
      <c r="A119" s="16" t="s">
        <v>329</v>
      </c>
      <c r="B119" s="17" t="s">
        <v>9</v>
      </c>
      <c r="C119" s="17" t="s">
        <v>330</v>
      </c>
      <c r="D119" s="18" t="s">
        <v>331</v>
      </c>
      <c r="E119" s="17" t="s">
        <v>28</v>
      </c>
      <c r="F119" s="19">
        <v>50.55</v>
      </c>
      <c r="G119" s="20">
        <v>6</v>
      </c>
      <c r="H119" s="19">
        <f t="shared" si="2"/>
        <v>303.29999999999995</v>
      </c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8"/>
      <c r="AJ119" s="16" t="s">
        <v>329</v>
      </c>
      <c r="AK119" s="17" t="s">
        <v>9</v>
      </c>
      <c r="AL119" s="17" t="s">
        <v>330</v>
      </c>
      <c r="AM119" s="18" t="s">
        <v>331</v>
      </c>
      <c r="AN119" s="17" t="s">
        <v>28</v>
      </c>
      <c r="AO119" s="19">
        <v>50.55</v>
      </c>
      <c r="AP119" s="20">
        <v>6</v>
      </c>
      <c r="AQ119" s="19">
        <f t="shared" si="3"/>
        <v>303.29999999999995</v>
      </c>
    </row>
    <row r="120" spans="1:43" ht="127.5" customHeight="1">
      <c r="A120" s="16" t="s">
        <v>332</v>
      </c>
      <c r="B120" s="17" t="s">
        <v>9</v>
      </c>
      <c r="C120" s="17" t="s">
        <v>333</v>
      </c>
      <c r="D120" s="18" t="s">
        <v>334</v>
      </c>
      <c r="E120" s="17" t="s">
        <v>44</v>
      </c>
      <c r="F120" s="19">
        <v>6.24</v>
      </c>
      <c r="G120" s="20">
        <v>500</v>
      </c>
      <c r="H120" s="19">
        <f t="shared" si="2"/>
        <v>3120</v>
      </c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8"/>
      <c r="AJ120" s="16" t="s">
        <v>332</v>
      </c>
      <c r="AK120" s="17" t="s">
        <v>9</v>
      </c>
      <c r="AL120" s="17" t="s">
        <v>333</v>
      </c>
      <c r="AM120" s="18" t="s">
        <v>334</v>
      </c>
      <c r="AN120" s="17" t="s">
        <v>44</v>
      </c>
      <c r="AO120" s="19">
        <v>6.24</v>
      </c>
      <c r="AP120" s="20">
        <v>500</v>
      </c>
      <c r="AQ120" s="19">
        <f t="shared" si="3"/>
        <v>3120</v>
      </c>
    </row>
    <row r="121" spans="1:43" ht="140.25" customHeight="1">
      <c r="A121" s="16" t="s">
        <v>335</v>
      </c>
      <c r="B121" s="17" t="s">
        <v>9</v>
      </c>
      <c r="C121" s="17" t="s">
        <v>336</v>
      </c>
      <c r="D121" s="18" t="s">
        <v>337</v>
      </c>
      <c r="E121" s="17" t="s">
        <v>44</v>
      </c>
      <c r="F121" s="19">
        <v>8.39</v>
      </c>
      <c r="G121" s="20">
        <v>400</v>
      </c>
      <c r="H121" s="19">
        <f t="shared" si="2"/>
        <v>3356</v>
      </c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8"/>
      <c r="AJ121" s="16" t="s">
        <v>335</v>
      </c>
      <c r="AK121" s="17" t="s">
        <v>9</v>
      </c>
      <c r="AL121" s="17" t="s">
        <v>336</v>
      </c>
      <c r="AM121" s="18" t="s">
        <v>337</v>
      </c>
      <c r="AN121" s="17" t="s">
        <v>44</v>
      </c>
      <c r="AO121" s="19">
        <v>8.39</v>
      </c>
      <c r="AP121" s="20">
        <v>400</v>
      </c>
      <c r="AQ121" s="19">
        <f t="shared" si="3"/>
        <v>3356</v>
      </c>
    </row>
    <row r="122" spans="1:43" ht="140.25" customHeight="1">
      <c r="A122" s="16" t="s">
        <v>338</v>
      </c>
      <c r="B122" s="17" t="s">
        <v>9</v>
      </c>
      <c r="C122" s="17" t="s">
        <v>339</v>
      </c>
      <c r="D122" s="18" t="s">
        <v>340</v>
      </c>
      <c r="E122" s="17" t="s">
        <v>44</v>
      </c>
      <c r="F122" s="19">
        <v>10.67</v>
      </c>
      <c r="G122" s="20">
        <v>300</v>
      </c>
      <c r="H122" s="19">
        <f t="shared" si="2"/>
        <v>3201</v>
      </c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8"/>
      <c r="AJ122" s="16" t="s">
        <v>338</v>
      </c>
      <c r="AK122" s="17" t="s">
        <v>9</v>
      </c>
      <c r="AL122" s="17" t="s">
        <v>339</v>
      </c>
      <c r="AM122" s="18" t="s">
        <v>340</v>
      </c>
      <c r="AN122" s="17" t="s">
        <v>44</v>
      </c>
      <c r="AO122" s="19">
        <v>10.67</v>
      </c>
      <c r="AP122" s="20">
        <v>300</v>
      </c>
      <c r="AQ122" s="19">
        <f t="shared" si="3"/>
        <v>3201</v>
      </c>
    </row>
    <row r="123" spans="1:43" ht="191.25" customHeight="1">
      <c r="A123" s="16" t="s">
        <v>341</v>
      </c>
      <c r="B123" s="17" t="s">
        <v>9</v>
      </c>
      <c r="C123" s="17" t="s">
        <v>342</v>
      </c>
      <c r="D123" s="18" t="s">
        <v>343</v>
      </c>
      <c r="E123" s="17" t="s">
        <v>44</v>
      </c>
      <c r="F123" s="19">
        <v>9.35</v>
      </c>
      <c r="G123" s="20">
        <v>100</v>
      </c>
      <c r="H123" s="19">
        <f t="shared" si="2"/>
        <v>935</v>
      </c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8"/>
      <c r="AJ123" s="16" t="s">
        <v>341</v>
      </c>
      <c r="AK123" s="17" t="s">
        <v>9</v>
      </c>
      <c r="AL123" s="17" t="s">
        <v>342</v>
      </c>
      <c r="AM123" s="18" t="s">
        <v>343</v>
      </c>
      <c r="AN123" s="17" t="s">
        <v>44</v>
      </c>
      <c r="AO123" s="19">
        <v>9.35</v>
      </c>
      <c r="AP123" s="20">
        <v>100</v>
      </c>
      <c r="AQ123" s="19">
        <f t="shared" si="3"/>
        <v>935</v>
      </c>
    </row>
    <row r="124" spans="1:43" ht="178.5" customHeight="1">
      <c r="A124" s="16" t="s">
        <v>344</v>
      </c>
      <c r="B124" s="17" t="s">
        <v>9</v>
      </c>
      <c r="C124" s="17" t="s">
        <v>345</v>
      </c>
      <c r="D124" s="18" t="s">
        <v>346</v>
      </c>
      <c r="E124" s="17" t="s">
        <v>44</v>
      </c>
      <c r="F124" s="19">
        <v>13.99</v>
      </c>
      <c r="G124" s="20">
        <v>100</v>
      </c>
      <c r="H124" s="19">
        <f t="shared" si="2"/>
        <v>1399</v>
      </c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8"/>
      <c r="AJ124" s="16" t="s">
        <v>344</v>
      </c>
      <c r="AK124" s="17" t="s">
        <v>9</v>
      </c>
      <c r="AL124" s="17" t="s">
        <v>345</v>
      </c>
      <c r="AM124" s="18" t="s">
        <v>346</v>
      </c>
      <c r="AN124" s="17" t="s">
        <v>44</v>
      </c>
      <c r="AO124" s="19">
        <v>13.99</v>
      </c>
      <c r="AP124" s="20">
        <v>100</v>
      </c>
      <c r="AQ124" s="19">
        <f t="shared" si="3"/>
        <v>1399</v>
      </c>
    </row>
    <row r="125" spans="1:43" ht="409.5" customHeight="1">
      <c r="A125" s="16" t="s">
        <v>347</v>
      </c>
      <c r="B125" s="17" t="s">
        <v>9</v>
      </c>
      <c r="C125" s="17" t="s">
        <v>490</v>
      </c>
      <c r="D125" s="18" t="s">
        <v>491</v>
      </c>
      <c r="E125" s="17" t="s">
        <v>28</v>
      </c>
      <c r="F125" s="19">
        <v>618.1</v>
      </c>
      <c r="G125" s="20">
        <v>1</v>
      </c>
      <c r="H125" s="19">
        <f t="shared" si="2"/>
        <v>618.1</v>
      </c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8"/>
      <c r="AJ125" s="16" t="s">
        <v>347</v>
      </c>
      <c r="AK125" s="17" t="s">
        <v>9</v>
      </c>
      <c r="AL125" s="17" t="s">
        <v>490</v>
      </c>
      <c r="AM125" s="18" t="s">
        <v>491</v>
      </c>
      <c r="AN125" s="17" t="s">
        <v>28</v>
      </c>
      <c r="AO125" s="19">
        <v>618.1</v>
      </c>
      <c r="AP125" s="20">
        <v>1</v>
      </c>
      <c r="AQ125" s="19">
        <f t="shared" si="3"/>
        <v>618.1</v>
      </c>
    </row>
    <row r="126" spans="1:43" ht="165.75" customHeight="1">
      <c r="A126" s="16" t="s">
        <v>350</v>
      </c>
      <c r="B126" s="17" t="s">
        <v>9</v>
      </c>
      <c r="C126" s="17" t="s">
        <v>352</v>
      </c>
      <c r="D126" s="18" t="s">
        <v>353</v>
      </c>
      <c r="E126" s="17" t="s">
        <v>28</v>
      </c>
      <c r="F126" s="19">
        <v>33.25</v>
      </c>
      <c r="G126" s="20">
        <v>44</v>
      </c>
      <c r="H126" s="19">
        <f t="shared" si="2"/>
        <v>1463</v>
      </c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8"/>
      <c r="AJ126" s="16" t="s">
        <v>350</v>
      </c>
      <c r="AK126" s="17" t="s">
        <v>9</v>
      </c>
      <c r="AL126" s="17" t="s">
        <v>352</v>
      </c>
      <c r="AM126" s="18" t="s">
        <v>353</v>
      </c>
      <c r="AN126" s="17" t="s">
        <v>28</v>
      </c>
      <c r="AO126" s="19">
        <v>33.25</v>
      </c>
      <c r="AP126" s="20">
        <v>44</v>
      </c>
      <c r="AQ126" s="19">
        <f t="shared" si="3"/>
        <v>1463</v>
      </c>
    </row>
    <row r="127" spans="1:43" ht="165.75" customHeight="1">
      <c r="A127" s="16" t="s">
        <v>492</v>
      </c>
      <c r="B127" s="17" t="s">
        <v>9</v>
      </c>
      <c r="C127" s="17" t="s">
        <v>355</v>
      </c>
      <c r="D127" s="18" t="s">
        <v>356</v>
      </c>
      <c r="E127" s="17" t="s">
        <v>28</v>
      </c>
      <c r="F127" s="19">
        <v>38.1</v>
      </c>
      <c r="G127" s="20">
        <v>4</v>
      </c>
      <c r="H127" s="19">
        <f t="shared" si="2"/>
        <v>152.4</v>
      </c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8"/>
      <c r="AJ127" s="16" t="s">
        <v>492</v>
      </c>
      <c r="AK127" s="17" t="s">
        <v>9</v>
      </c>
      <c r="AL127" s="17" t="s">
        <v>355</v>
      </c>
      <c r="AM127" s="18" t="s">
        <v>356</v>
      </c>
      <c r="AN127" s="17" t="s">
        <v>28</v>
      </c>
      <c r="AO127" s="19">
        <v>38.1</v>
      </c>
      <c r="AP127" s="20">
        <v>4</v>
      </c>
      <c r="AQ127" s="19">
        <f t="shared" si="3"/>
        <v>152.4</v>
      </c>
    </row>
    <row r="128" spans="1:43" ht="114.75" customHeight="1">
      <c r="A128" s="16" t="s">
        <v>493</v>
      </c>
      <c r="B128" s="17" t="s">
        <v>9</v>
      </c>
      <c r="C128" s="17" t="s">
        <v>358</v>
      </c>
      <c r="D128" s="18" t="s">
        <v>359</v>
      </c>
      <c r="E128" s="17" t="s">
        <v>28</v>
      </c>
      <c r="F128" s="19">
        <v>31.99</v>
      </c>
      <c r="G128" s="20">
        <v>30</v>
      </c>
      <c r="H128" s="19">
        <f t="shared" si="2"/>
        <v>959.69999999999993</v>
      </c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8"/>
      <c r="AJ128" s="16" t="s">
        <v>493</v>
      </c>
      <c r="AK128" s="17" t="s">
        <v>9</v>
      </c>
      <c r="AL128" s="17" t="s">
        <v>358</v>
      </c>
      <c r="AM128" s="18" t="s">
        <v>359</v>
      </c>
      <c r="AN128" s="17" t="s">
        <v>28</v>
      </c>
      <c r="AO128" s="19">
        <v>31.99</v>
      </c>
      <c r="AP128" s="20">
        <v>30</v>
      </c>
      <c r="AQ128" s="19">
        <f t="shared" si="3"/>
        <v>959.69999999999993</v>
      </c>
    </row>
    <row r="129" spans="1:43" ht="255" customHeight="1">
      <c r="A129" s="16" t="s">
        <v>494</v>
      </c>
      <c r="B129" s="17" t="s">
        <v>9</v>
      </c>
      <c r="C129" s="17" t="s">
        <v>361</v>
      </c>
      <c r="D129" s="18" t="s">
        <v>362</v>
      </c>
      <c r="E129" s="17" t="s">
        <v>28</v>
      </c>
      <c r="F129" s="19">
        <v>56.32</v>
      </c>
      <c r="G129" s="20">
        <v>10</v>
      </c>
      <c r="H129" s="19">
        <f t="shared" si="2"/>
        <v>563.20000000000005</v>
      </c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8"/>
      <c r="AJ129" s="16" t="s">
        <v>494</v>
      </c>
      <c r="AK129" s="17" t="s">
        <v>9</v>
      </c>
      <c r="AL129" s="17" t="s">
        <v>361</v>
      </c>
      <c r="AM129" s="18" t="s">
        <v>362</v>
      </c>
      <c r="AN129" s="17" t="s">
        <v>28</v>
      </c>
      <c r="AO129" s="19">
        <v>56.32</v>
      </c>
      <c r="AP129" s="20">
        <v>10</v>
      </c>
      <c r="AQ129" s="19">
        <f t="shared" si="3"/>
        <v>563.20000000000005</v>
      </c>
    </row>
    <row r="130" spans="1:43" ht="409.5" customHeight="1">
      <c r="A130" s="16" t="s">
        <v>351</v>
      </c>
      <c r="B130" s="17" t="s">
        <v>9</v>
      </c>
      <c r="C130" s="17" t="s">
        <v>364</v>
      </c>
      <c r="D130" s="18" t="s">
        <v>365</v>
      </c>
      <c r="E130" s="17" t="s">
        <v>28</v>
      </c>
      <c r="F130" s="19">
        <v>119.8</v>
      </c>
      <c r="G130" s="20">
        <v>6</v>
      </c>
      <c r="H130" s="19">
        <f t="shared" si="2"/>
        <v>718.8</v>
      </c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8"/>
      <c r="AJ130" s="16" t="s">
        <v>351</v>
      </c>
      <c r="AK130" s="17" t="s">
        <v>9</v>
      </c>
      <c r="AL130" s="17" t="s">
        <v>364</v>
      </c>
      <c r="AM130" s="18" t="s">
        <v>365</v>
      </c>
      <c r="AN130" s="17" t="s">
        <v>28</v>
      </c>
      <c r="AO130" s="19">
        <v>119.8</v>
      </c>
      <c r="AP130" s="20">
        <v>6</v>
      </c>
      <c r="AQ130" s="19">
        <f t="shared" si="3"/>
        <v>718.8</v>
      </c>
    </row>
    <row r="131" spans="1:43" ht="409.5" customHeight="1">
      <c r="A131" s="16" t="s">
        <v>354</v>
      </c>
      <c r="B131" s="17" t="s">
        <v>9</v>
      </c>
      <c r="C131" s="17" t="s">
        <v>367</v>
      </c>
      <c r="D131" s="18" t="s">
        <v>368</v>
      </c>
      <c r="E131" s="17" t="s">
        <v>28</v>
      </c>
      <c r="F131" s="19">
        <v>173.57</v>
      </c>
      <c r="G131" s="20">
        <v>14</v>
      </c>
      <c r="H131" s="19">
        <f t="shared" si="2"/>
        <v>2429.98</v>
      </c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8"/>
      <c r="AJ131" s="16" t="s">
        <v>354</v>
      </c>
      <c r="AK131" s="17" t="s">
        <v>9</v>
      </c>
      <c r="AL131" s="17" t="s">
        <v>367</v>
      </c>
      <c r="AM131" s="18" t="s">
        <v>368</v>
      </c>
      <c r="AN131" s="17" t="s">
        <v>28</v>
      </c>
      <c r="AO131" s="19">
        <v>173.57</v>
      </c>
      <c r="AP131" s="20">
        <v>14</v>
      </c>
      <c r="AQ131" s="19">
        <f t="shared" si="3"/>
        <v>2429.98</v>
      </c>
    </row>
    <row r="132" spans="1:43" ht="409.5" customHeight="1">
      <c r="A132" s="16" t="s">
        <v>369</v>
      </c>
      <c r="B132" s="17" t="s">
        <v>9</v>
      </c>
      <c r="C132" s="17" t="s">
        <v>370</v>
      </c>
      <c r="D132" s="18" t="s">
        <v>371</v>
      </c>
      <c r="E132" s="17" t="s">
        <v>12</v>
      </c>
      <c r="F132" s="19">
        <v>110.03</v>
      </c>
      <c r="G132" s="20">
        <v>72</v>
      </c>
      <c r="H132" s="19">
        <f t="shared" si="2"/>
        <v>7922.16</v>
      </c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8"/>
      <c r="AJ132" s="16" t="s">
        <v>369</v>
      </c>
      <c r="AK132" s="17" t="s">
        <v>9</v>
      </c>
      <c r="AL132" s="17" t="s">
        <v>370</v>
      </c>
      <c r="AM132" s="18" t="s">
        <v>371</v>
      </c>
      <c r="AN132" s="17" t="s">
        <v>12</v>
      </c>
      <c r="AO132" s="19">
        <v>110.03</v>
      </c>
      <c r="AP132" s="20">
        <v>72</v>
      </c>
      <c r="AQ132" s="19">
        <f t="shared" si="3"/>
        <v>7922.16</v>
      </c>
    </row>
    <row r="133" spans="1:43" ht="204" customHeight="1">
      <c r="A133" s="16" t="s">
        <v>372</v>
      </c>
      <c r="B133" s="17" t="s">
        <v>9</v>
      </c>
      <c r="C133" s="17" t="s">
        <v>373</v>
      </c>
      <c r="D133" s="18" t="s">
        <v>374</v>
      </c>
      <c r="E133" s="17" t="s">
        <v>12</v>
      </c>
      <c r="F133" s="19">
        <v>59.06</v>
      </c>
      <c r="G133" s="20">
        <v>72</v>
      </c>
      <c r="H133" s="19">
        <f t="shared" si="2"/>
        <v>4252.32</v>
      </c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8"/>
      <c r="AJ133" s="16" t="s">
        <v>372</v>
      </c>
      <c r="AK133" s="17" t="s">
        <v>9</v>
      </c>
      <c r="AL133" s="17" t="s">
        <v>373</v>
      </c>
      <c r="AM133" s="18" t="s">
        <v>374</v>
      </c>
      <c r="AN133" s="17" t="s">
        <v>12</v>
      </c>
      <c r="AO133" s="19">
        <v>59.06</v>
      </c>
      <c r="AP133" s="20">
        <v>72</v>
      </c>
      <c r="AQ133" s="19">
        <f t="shared" si="3"/>
        <v>4252.32</v>
      </c>
    </row>
    <row r="134" spans="1:43" ht="102" customHeight="1">
      <c r="A134" s="16" t="s">
        <v>375</v>
      </c>
      <c r="B134" s="17" t="s">
        <v>9</v>
      </c>
      <c r="C134" s="17" t="s">
        <v>376</v>
      </c>
      <c r="D134" s="18" t="s">
        <v>377</v>
      </c>
      <c r="E134" s="17" t="s">
        <v>44</v>
      </c>
      <c r="F134" s="19">
        <v>42.7</v>
      </c>
      <c r="G134" s="20">
        <v>20</v>
      </c>
      <c r="H134" s="19">
        <f t="shared" si="2"/>
        <v>854</v>
      </c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8"/>
      <c r="AJ134" s="16" t="s">
        <v>375</v>
      </c>
      <c r="AK134" s="17" t="s">
        <v>9</v>
      </c>
      <c r="AL134" s="17" t="s">
        <v>376</v>
      </c>
      <c r="AM134" s="18" t="s">
        <v>377</v>
      </c>
      <c r="AN134" s="17" t="s">
        <v>44</v>
      </c>
      <c r="AO134" s="19">
        <v>42.7</v>
      </c>
      <c r="AP134" s="20">
        <v>20</v>
      </c>
      <c r="AQ134" s="19">
        <f t="shared" si="3"/>
        <v>854</v>
      </c>
    </row>
    <row r="135" spans="1:43" ht="102" customHeight="1">
      <c r="A135" s="16" t="s">
        <v>378</v>
      </c>
      <c r="B135" s="17" t="s">
        <v>9</v>
      </c>
      <c r="C135" s="17" t="s">
        <v>379</v>
      </c>
      <c r="D135" s="18" t="s">
        <v>380</v>
      </c>
      <c r="E135" s="17" t="s">
        <v>44</v>
      </c>
      <c r="F135" s="19">
        <v>127.38</v>
      </c>
      <c r="G135" s="20">
        <v>20</v>
      </c>
      <c r="H135" s="19">
        <f t="shared" si="2"/>
        <v>2547.6</v>
      </c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8"/>
      <c r="AJ135" s="16" t="s">
        <v>378</v>
      </c>
      <c r="AK135" s="17" t="s">
        <v>9</v>
      </c>
      <c r="AL135" s="17" t="s">
        <v>379</v>
      </c>
      <c r="AM135" s="18" t="s">
        <v>380</v>
      </c>
      <c r="AN135" s="17" t="s">
        <v>44</v>
      </c>
      <c r="AO135" s="19">
        <v>127.38</v>
      </c>
      <c r="AP135" s="20">
        <v>20</v>
      </c>
      <c r="AQ135" s="19">
        <f t="shared" si="3"/>
        <v>2547.6</v>
      </c>
    </row>
    <row r="136" spans="1:43" ht="127.5" customHeight="1">
      <c r="A136" s="16" t="s">
        <v>495</v>
      </c>
      <c r="B136" s="17" t="s">
        <v>9</v>
      </c>
      <c r="C136" s="17" t="s">
        <v>496</v>
      </c>
      <c r="D136" s="18" t="s">
        <v>497</v>
      </c>
      <c r="E136" s="17" t="s">
        <v>51</v>
      </c>
      <c r="F136" s="19">
        <v>17.55</v>
      </c>
      <c r="G136" s="20">
        <v>18</v>
      </c>
      <c r="H136" s="19">
        <f t="shared" si="2"/>
        <v>315.90000000000003</v>
      </c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8"/>
      <c r="AJ136" s="16" t="s">
        <v>495</v>
      </c>
      <c r="AK136" s="17" t="s">
        <v>9</v>
      </c>
      <c r="AL136" s="17" t="s">
        <v>496</v>
      </c>
      <c r="AM136" s="18" t="s">
        <v>497</v>
      </c>
      <c r="AN136" s="17" t="s">
        <v>51</v>
      </c>
      <c r="AO136" s="19">
        <v>17.55</v>
      </c>
      <c r="AP136" s="20">
        <v>18</v>
      </c>
      <c r="AQ136" s="19">
        <f t="shared" si="3"/>
        <v>315.90000000000003</v>
      </c>
    </row>
    <row r="137" spans="1:43" ht="408" customHeight="1">
      <c r="A137" s="16" t="s">
        <v>381</v>
      </c>
      <c r="B137" s="17" t="s">
        <v>9</v>
      </c>
      <c r="C137" s="17" t="s">
        <v>382</v>
      </c>
      <c r="D137" s="18" t="s">
        <v>383</v>
      </c>
      <c r="E137" s="17" t="s">
        <v>12</v>
      </c>
      <c r="F137" s="19">
        <v>194.32</v>
      </c>
      <c r="G137" s="20">
        <v>48</v>
      </c>
      <c r="H137" s="19">
        <f t="shared" si="2"/>
        <v>9327.36</v>
      </c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8"/>
      <c r="AJ137" s="16" t="s">
        <v>381</v>
      </c>
      <c r="AK137" s="17" t="s">
        <v>9</v>
      </c>
      <c r="AL137" s="17" t="s">
        <v>382</v>
      </c>
      <c r="AM137" s="18" t="s">
        <v>383</v>
      </c>
      <c r="AN137" s="17" t="s">
        <v>12</v>
      </c>
      <c r="AO137" s="19">
        <v>194.32</v>
      </c>
      <c r="AP137" s="20">
        <v>48</v>
      </c>
      <c r="AQ137" s="19">
        <f t="shared" si="3"/>
        <v>9327.36</v>
      </c>
    </row>
    <row r="138" spans="1:43" ht="114.75" customHeight="1">
      <c r="A138" s="16" t="s">
        <v>384</v>
      </c>
      <c r="B138" s="17" t="s">
        <v>9</v>
      </c>
      <c r="C138" s="17" t="s">
        <v>385</v>
      </c>
      <c r="D138" s="18" t="s">
        <v>386</v>
      </c>
      <c r="E138" s="17" t="s">
        <v>12</v>
      </c>
      <c r="F138" s="19">
        <v>39.92</v>
      </c>
      <c r="G138" s="20">
        <v>48</v>
      </c>
      <c r="H138" s="19">
        <f t="shared" si="2"/>
        <v>1916.16</v>
      </c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8"/>
      <c r="AJ138" s="16" t="s">
        <v>384</v>
      </c>
      <c r="AK138" s="17" t="s">
        <v>9</v>
      </c>
      <c r="AL138" s="17" t="s">
        <v>385</v>
      </c>
      <c r="AM138" s="18" t="s">
        <v>386</v>
      </c>
      <c r="AN138" s="17" t="s">
        <v>12</v>
      </c>
      <c r="AO138" s="19">
        <v>39.92</v>
      </c>
      <c r="AP138" s="20">
        <v>48</v>
      </c>
      <c r="AQ138" s="19">
        <f t="shared" si="3"/>
        <v>1916.16</v>
      </c>
    </row>
    <row r="139" spans="1:43" ht="178.5" customHeight="1">
      <c r="A139" s="16" t="s">
        <v>387</v>
      </c>
      <c r="B139" s="17" t="s">
        <v>9</v>
      </c>
      <c r="C139" s="17" t="s">
        <v>388</v>
      </c>
      <c r="D139" s="18" t="s">
        <v>389</v>
      </c>
      <c r="E139" s="17" t="s">
        <v>12</v>
      </c>
      <c r="F139" s="19">
        <v>10.199999999999999</v>
      </c>
      <c r="G139" s="20">
        <v>28</v>
      </c>
      <c r="H139" s="19">
        <f t="shared" si="2"/>
        <v>285.59999999999997</v>
      </c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8"/>
      <c r="AJ139" s="16" t="s">
        <v>387</v>
      </c>
      <c r="AK139" s="17" t="s">
        <v>9</v>
      </c>
      <c r="AL139" s="17" t="s">
        <v>388</v>
      </c>
      <c r="AM139" s="18" t="s">
        <v>389</v>
      </c>
      <c r="AN139" s="17" t="s">
        <v>12</v>
      </c>
      <c r="AO139" s="19">
        <v>10.199999999999999</v>
      </c>
      <c r="AP139" s="20">
        <v>28</v>
      </c>
      <c r="AQ139" s="19">
        <f t="shared" si="3"/>
        <v>285.59999999999997</v>
      </c>
    </row>
    <row r="140" spans="1:43" ht="216.75" customHeight="1">
      <c r="A140" s="16" t="s">
        <v>390</v>
      </c>
      <c r="B140" s="17" t="s">
        <v>9</v>
      </c>
      <c r="C140" s="17" t="s">
        <v>391</v>
      </c>
      <c r="D140" s="18" t="s">
        <v>392</v>
      </c>
      <c r="E140" s="17" t="s">
        <v>12</v>
      </c>
      <c r="F140" s="19">
        <v>49.08</v>
      </c>
      <c r="G140" s="20">
        <v>28</v>
      </c>
      <c r="H140" s="19">
        <f t="shared" ref="H140:H163" si="4">G140*F140</f>
        <v>1374.24</v>
      </c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8"/>
      <c r="AJ140" s="16" t="s">
        <v>390</v>
      </c>
      <c r="AK140" s="17" t="s">
        <v>9</v>
      </c>
      <c r="AL140" s="17" t="s">
        <v>391</v>
      </c>
      <c r="AM140" s="18" t="s">
        <v>392</v>
      </c>
      <c r="AN140" s="17" t="s">
        <v>12</v>
      </c>
      <c r="AO140" s="19">
        <v>49.08</v>
      </c>
      <c r="AP140" s="20">
        <v>28</v>
      </c>
      <c r="AQ140" s="19">
        <f t="shared" ref="AQ140:AQ163" si="5">AP140*AO140</f>
        <v>1374.24</v>
      </c>
    </row>
    <row r="141" spans="1:43" ht="178.5" customHeight="1">
      <c r="A141" s="16" t="s">
        <v>393</v>
      </c>
      <c r="B141" s="17" t="s">
        <v>9</v>
      </c>
      <c r="C141" s="17" t="s">
        <v>394</v>
      </c>
      <c r="D141" s="18" t="s">
        <v>395</v>
      </c>
      <c r="E141" s="17" t="s">
        <v>12</v>
      </c>
      <c r="F141" s="19">
        <v>5.24</v>
      </c>
      <c r="G141" s="20">
        <v>89</v>
      </c>
      <c r="H141" s="19">
        <f t="shared" si="4"/>
        <v>466.36</v>
      </c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8"/>
      <c r="AJ141" s="16" t="s">
        <v>393</v>
      </c>
      <c r="AK141" s="17" t="s">
        <v>9</v>
      </c>
      <c r="AL141" s="17" t="s">
        <v>394</v>
      </c>
      <c r="AM141" s="18" t="s">
        <v>395</v>
      </c>
      <c r="AN141" s="17" t="s">
        <v>12</v>
      </c>
      <c r="AO141" s="19">
        <v>5.24</v>
      </c>
      <c r="AP141" s="20">
        <v>89</v>
      </c>
      <c r="AQ141" s="19">
        <f t="shared" si="5"/>
        <v>466.36</v>
      </c>
    </row>
    <row r="142" spans="1:43" ht="357" customHeight="1">
      <c r="A142" s="16" t="s">
        <v>396</v>
      </c>
      <c r="B142" s="17" t="s">
        <v>9</v>
      </c>
      <c r="C142" s="17" t="s">
        <v>397</v>
      </c>
      <c r="D142" s="18" t="s">
        <v>398</v>
      </c>
      <c r="E142" s="17" t="s">
        <v>12</v>
      </c>
      <c r="F142" s="19">
        <v>67.67</v>
      </c>
      <c r="G142" s="20">
        <v>73.92</v>
      </c>
      <c r="H142" s="19">
        <f t="shared" si="4"/>
        <v>5002.1664000000001</v>
      </c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8"/>
      <c r="AJ142" s="16" t="s">
        <v>396</v>
      </c>
      <c r="AK142" s="17" t="s">
        <v>9</v>
      </c>
      <c r="AL142" s="17" t="s">
        <v>397</v>
      </c>
      <c r="AM142" s="18" t="s">
        <v>398</v>
      </c>
      <c r="AN142" s="17" t="s">
        <v>12</v>
      </c>
      <c r="AO142" s="19">
        <v>67.67</v>
      </c>
      <c r="AP142" s="20">
        <v>73.92</v>
      </c>
      <c r="AQ142" s="19">
        <f t="shared" si="5"/>
        <v>5002.1664000000001</v>
      </c>
    </row>
    <row r="143" spans="1:43" ht="255" customHeight="1">
      <c r="A143" s="16" t="s">
        <v>399</v>
      </c>
      <c r="B143" s="17" t="s">
        <v>9</v>
      </c>
      <c r="C143" s="17" t="s">
        <v>400</v>
      </c>
      <c r="D143" s="18" t="s">
        <v>401</v>
      </c>
      <c r="E143" s="17" t="s">
        <v>12</v>
      </c>
      <c r="F143" s="19">
        <v>43.53</v>
      </c>
      <c r="G143" s="20">
        <v>89</v>
      </c>
      <c r="H143" s="19">
        <f t="shared" si="4"/>
        <v>3874.17</v>
      </c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8"/>
      <c r="AJ143" s="16" t="s">
        <v>399</v>
      </c>
      <c r="AK143" s="17" t="s">
        <v>9</v>
      </c>
      <c r="AL143" s="17" t="s">
        <v>400</v>
      </c>
      <c r="AM143" s="18" t="s">
        <v>401</v>
      </c>
      <c r="AN143" s="17" t="s">
        <v>12</v>
      </c>
      <c r="AO143" s="19">
        <v>43.53</v>
      </c>
      <c r="AP143" s="20">
        <v>89</v>
      </c>
      <c r="AQ143" s="19">
        <f t="shared" si="5"/>
        <v>3874.17</v>
      </c>
    </row>
    <row r="144" spans="1:43" ht="191.25" customHeight="1">
      <c r="A144" s="16" t="s">
        <v>402</v>
      </c>
      <c r="B144" s="17" t="s">
        <v>9</v>
      </c>
      <c r="C144" s="17" t="s">
        <v>403</v>
      </c>
      <c r="D144" s="18" t="s">
        <v>404</v>
      </c>
      <c r="E144" s="17" t="s">
        <v>12</v>
      </c>
      <c r="F144" s="19">
        <v>18.39</v>
      </c>
      <c r="G144" s="20">
        <v>28</v>
      </c>
      <c r="H144" s="19">
        <f t="shared" si="4"/>
        <v>514.92000000000007</v>
      </c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8"/>
      <c r="AJ144" s="16" t="s">
        <v>402</v>
      </c>
      <c r="AK144" s="17" t="s">
        <v>9</v>
      </c>
      <c r="AL144" s="17" t="s">
        <v>403</v>
      </c>
      <c r="AM144" s="18" t="s">
        <v>404</v>
      </c>
      <c r="AN144" s="17" t="s">
        <v>12</v>
      </c>
      <c r="AO144" s="19">
        <v>18.39</v>
      </c>
      <c r="AP144" s="20">
        <v>28</v>
      </c>
      <c r="AQ144" s="19">
        <f t="shared" si="5"/>
        <v>514.92000000000007</v>
      </c>
    </row>
    <row r="145" spans="1:43" ht="408" customHeight="1">
      <c r="A145" s="16" t="s">
        <v>405</v>
      </c>
      <c r="B145" s="17" t="s">
        <v>9</v>
      </c>
      <c r="C145" s="17" t="s">
        <v>406</v>
      </c>
      <c r="D145" s="18" t="s">
        <v>407</v>
      </c>
      <c r="E145" s="17" t="s">
        <v>12</v>
      </c>
      <c r="F145" s="19">
        <v>134.28</v>
      </c>
      <c r="G145" s="20">
        <v>140</v>
      </c>
      <c r="H145" s="19">
        <f t="shared" si="4"/>
        <v>18799.2</v>
      </c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8"/>
      <c r="AJ145" s="16" t="s">
        <v>405</v>
      </c>
      <c r="AK145" s="17" t="s">
        <v>9</v>
      </c>
      <c r="AL145" s="17" t="s">
        <v>406</v>
      </c>
      <c r="AM145" s="18" t="s">
        <v>407</v>
      </c>
      <c r="AN145" s="17" t="s">
        <v>12</v>
      </c>
      <c r="AO145" s="19">
        <v>134.28</v>
      </c>
      <c r="AP145" s="20">
        <v>140</v>
      </c>
      <c r="AQ145" s="19">
        <f t="shared" si="5"/>
        <v>18799.2</v>
      </c>
    </row>
    <row r="146" spans="1:43" ht="178.5" customHeight="1">
      <c r="A146" s="16" t="s">
        <v>408</v>
      </c>
      <c r="B146" s="17" t="s">
        <v>9</v>
      </c>
      <c r="C146" s="17" t="s">
        <v>409</v>
      </c>
      <c r="D146" s="18" t="s">
        <v>410</v>
      </c>
      <c r="E146" s="17" t="s">
        <v>44</v>
      </c>
      <c r="F146" s="19">
        <v>15.68</v>
      </c>
      <c r="G146" s="20">
        <v>8</v>
      </c>
      <c r="H146" s="19">
        <f t="shared" si="4"/>
        <v>125.44</v>
      </c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8"/>
      <c r="AJ146" s="16" t="s">
        <v>408</v>
      </c>
      <c r="AK146" s="17" t="s">
        <v>9</v>
      </c>
      <c r="AL146" s="17" t="s">
        <v>409</v>
      </c>
      <c r="AM146" s="18" t="s">
        <v>410</v>
      </c>
      <c r="AN146" s="17" t="s">
        <v>44</v>
      </c>
      <c r="AO146" s="19">
        <v>15.68</v>
      </c>
      <c r="AP146" s="20">
        <v>8</v>
      </c>
      <c r="AQ146" s="19">
        <f t="shared" si="5"/>
        <v>125.44</v>
      </c>
    </row>
    <row r="147" spans="1:43" ht="102" customHeight="1">
      <c r="A147" s="16" t="s">
        <v>411</v>
      </c>
      <c r="B147" s="17" t="s">
        <v>9</v>
      </c>
      <c r="C147" s="17" t="s">
        <v>412</v>
      </c>
      <c r="D147" s="18" t="s">
        <v>413</v>
      </c>
      <c r="E147" s="17" t="s">
        <v>44</v>
      </c>
      <c r="F147" s="19">
        <v>96.72</v>
      </c>
      <c r="G147" s="20">
        <v>7.5</v>
      </c>
      <c r="H147" s="19">
        <f t="shared" si="4"/>
        <v>725.4</v>
      </c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8"/>
      <c r="AJ147" s="16" t="s">
        <v>411</v>
      </c>
      <c r="AK147" s="17" t="s">
        <v>9</v>
      </c>
      <c r="AL147" s="17" t="s">
        <v>412</v>
      </c>
      <c r="AM147" s="18" t="s">
        <v>413</v>
      </c>
      <c r="AN147" s="17" t="s">
        <v>44</v>
      </c>
      <c r="AO147" s="19">
        <v>96.72</v>
      </c>
      <c r="AP147" s="20">
        <v>7.5</v>
      </c>
      <c r="AQ147" s="19">
        <f t="shared" si="5"/>
        <v>725.4</v>
      </c>
    </row>
    <row r="148" spans="1:43" ht="293.25" customHeight="1">
      <c r="A148" s="16" t="s">
        <v>414</v>
      </c>
      <c r="B148" s="17" t="s">
        <v>9</v>
      </c>
      <c r="C148" s="17" t="s">
        <v>415</v>
      </c>
      <c r="D148" s="18" t="s">
        <v>416</v>
      </c>
      <c r="E148" s="17" t="s">
        <v>44</v>
      </c>
      <c r="F148" s="19">
        <v>35.770000000000003</v>
      </c>
      <c r="G148" s="20">
        <v>110</v>
      </c>
      <c r="H148" s="19">
        <f t="shared" si="4"/>
        <v>3934.7000000000003</v>
      </c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8"/>
      <c r="AJ148" s="16" t="s">
        <v>414</v>
      </c>
      <c r="AK148" s="17" t="s">
        <v>9</v>
      </c>
      <c r="AL148" s="17" t="s">
        <v>415</v>
      </c>
      <c r="AM148" s="18" t="s">
        <v>416</v>
      </c>
      <c r="AN148" s="17" t="s">
        <v>44</v>
      </c>
      <c r="AO148" s="19">
        <v>35.770000000000003</v>
      </c>
      <c r="AP148" s="20">
        <v>110</v>
      </c>
      <c r="AQ148" s="19">
        <f t="shared" si="5"/>
        <v>3934.7000000000003</v>
      </c>
    </row>
    <row r="149" spans="1:43" ht="178.5" customHeight="1">
      <c r="A149" s="16" t="s">
        <v>417</v>
      </c>
      <c r="B149" s="17" t="s">
        <v>9</v>
      </c>
      <c r="C149" s="17" t="s">
        <v>418</v>
      </c>
      <c r="D149" s="18" t="s">
        <v>419</v>
      </c>
      <c r="E149" s="17" t="s">
        <v>12</v>
      </c>
      <c r="F149" s="19">
        <v>75.180000000000007</v>
      </c>
      <c r="G149" s="20">
        <v>28</v>
      </c>
      <c r="H149" s="19">
        <f t="shared" si="4"/>
        <v>2105.04</v>
      </c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8"/>
      <c r="AJ149" s="16" t="s">
        <v>417</v>
      </c>
      <c r="AK149" s="17" t="s">
        <v>9</v>
      </c>
      <c r="AL149" s="17" t="s">
        <v>418</v>
      </c>
      <c r="AM149" s="18" t="s">
        <v>419</v>
      </c>
      <c r="AN149" s="17" t="s">
        <v>12</v>
      </c>
      <c r="AO149" s="19">
        <v>75.180000000000007</v>
      </c>
      <c r="AP149" s="20">
        <v>28</v>
      </c>
      <c r="AQ149" s="19">
        <f t="shared" si="5"/>
        <v>2105.04</v>
      </c>
    </row>
    <row r="150" spans="1:43" ht="255" customHeight="1">
      <c r="A150" s="16" t="s">
        <v>420</v>
      </c>
      <c r="B150" s="17" t="s">
        <v>9</v>
      </c>
      <c r="C150" s="17" t="s">
        <v>421</v>
      </c>
      <c r="D150" s="18" t="s">
        <v>422</v>
      </c>
      <c r="E150" s="17" t="s">
        <v>12</v>
      </c>
      <c r="F150" s="19">
        <v>10.98</v>
      </c>
      <c r="G150" s="20">
        <v>279.16000000000003</v>
      </c>
      <c r="H150" s="19">
        <f t="shared" si="4"/>
        <v>3065.1768000000002</v>
      </c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8"/>
      <c r="AJ150" s="16" t="s">
        <v>420</v>
      </c>
      <c r="AK150" s="17" t="s">
        <v>9</v>
      </c>
      <c r="AL150" s="17" t="s">
        <v>421</v>
      </c>
      <c r="AM150" s="18" t="s">
        <v>422</v>
      </c>
      <c r="AN150" s="17" t="s">
        <v>12</v>
      </c>
      <c r="AO150" s="19">
        <v>10.98</v>
      </c>
      <c r="AP150" s="20">
        <v>279.16000000000003</v>
      </c>
      <c r="AQ150" s="19">
        <f t="shared" si="5"/>
        <v>3065.1768000000002</v>
      </c>
    </row>
    <row r="151" spans="1:43" ht="267.75" customHeight="1">
      <c r="A151" s="16" t="s">
        <v>423</v>
      </c>
      <c r="B151" s="17" t="s">
        <v>9</v>
      </c>
      <c r="C151" s="17" t="s">
        <v>424</v>
      </c>
      <c r="D151" s="18" t="s">
        <v>425</v>
      </c>
      <c r="E151" s="17" t="s">
        <v>12</v>
      </c>
      <c r="F151" s="19">
        <v>19.07</v>
      </c>
      <c r="G151" s="20">
        <v>279.16000000000003</v>
      </c>
      <c r="H151" s="19">
        <f t="shared" si="4"/>
        <v>5323.5812000000005</v>
      </c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8"/>
      <c r="AJ151" s="16" t="s">
        <v>423</v>
      </c>
      <c r="AK151" s="17" t="s">
        <v>9</v>
      </c>
      <c r="AL151" s="17" t="s">
        <v>424</v>
      </c>
      <c r="AM151" s="18" t="s">
        <v>425</v>
      </c>
      <c r="AN151" s="17" t="s">
        <v>12</v>
      </c>
      <c r="AO151" s="19">
        <v>19.07</v>
      </c>
      <c r="AP151" s="20">
        <v>279.16000000000003</v>
      </c>
      <c r="AQ151" s="19">
        <f t="shared" si="5"/>
        <v>5323.5812000000005</v>
      </c>
    </row>
    <row r="152" spans="1:43" ht="242.25" customHeight="1">
      <c r="A152" s="16" t="s">
        <v>426</v>
      </c>
      <c r="B152" s="17" t="s">
        <v>9</v>
      </c>
      <c r="C152" s="17" t="s">
        <v>427</v>
      </c>
      <c r="D152" s="18" t="s">
        <v>428</v>
      </c>
      <c r="E152" s="17" t="s">
        <v>12</v>
      </c>
      <c r="F152" s="19">
        <v>13.58</v>
      </c>
      <c r="G152" s="20">
        <v>329.96</v>
      </c>
      <c r="H152" s="19">
        <f t="shared" si="4"/>
        <v>4480.8567999999996</v>
      </c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8"/>
      <c r="AJ152" s="16" t="s">
        <v>426</v>
      </c>
      <c r="AK152" s="17" t="s">
        <v>9</v>
      </c>
      <c r="AL152" s="17" t="s">
        <v>427</v>
      </c>
      <c r="AM152" s="18" t="s">
        <v>428</v>
      </c>
      <c r="AN152" s="17" t="s">
        <v>12</v>
      </c>
      <c r="AO152" s="19">
        <v>13.58</v>
      </c>
      <c r="AP152" s="20">
        <v>329.96</v>
      </c>
      <c r="AQ152" s="19">
        <f t="shared" si="5"/>
        <v>4480.8567999999996</v>
      </c>
    </row>
    <row r="153" spans="1:43" ht="267.75" customHeight="1">
      <c r="A153" s="16" t="s">
        <v>429</v>
      </c>
      <c r="B153" s="17" t="s">
        <v>9</v>
      </c>
      <c r="C153" s="17" t="s">
        <v>430</v>
      </c>
      <c r="D153" s="18" t="s">
        <v>431</v>
      </c>
      <c r="E153" s="17" t="s">
        <v>12</v>
      </c>
      <c r="F153" s="19">
        <v>19.14</v>
      </c>
      <c r="G153" s="20">
        <v>329.96</v>
      </c>
      <c r="H153" s="19">
        <f t="shared" si="4"/>
        <v>6315.4344000000001</v>
      </c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8"/>
      <c r="AJ153" s="16" t="s">
        <v>429</v>
      </c>
      <c r="AK153" s="17" t="s">
        <v>9</v>
      </c>
      <c r="AL153" s="17" t="s">
        <v>430</v>
      </c>
      <c r="AM153" s="18" t="s">
        <v>431</v>
      </c>
      <c r="AN153" s="17" t="s">
        <v>12</v>
      </c>
      <c r="AO153" s="19">
        <v>19.14</v>
      </c>
      <c r="AP153" s="20">
        <v>329.96</v>
      </c>
      <c r="AQ153" s="19">
        <f t="shared" si="5"/>
        <v>6315.4344000000001</v>
      </c>
    </row>
    <row r="154" spans="1:43" ht="293.25" customHeight="1">
      <c r="A154" s="16" t="s">
        <v>432</v>
      </c>
      <c r="B154" s="17" t="s">
        <v>9</v>
      </c>
      <c r="C154" s="17" t="s">
        <v>433</v>
      </c>
      <c r="D154" s="18" t="s">
        <v>434</v>
      </c>
      <c r="E154" s="17" t="s">
        <v>12</v>
      </c>
      <c r="F154" s="19">
        <v>17.93</v>
      </c>
      <c r="G154" s="20">
        <v>24.3</v>
      </c>
      <c r="H154" s="19">
        <f t="shared" si="4"/>
        <v>435.69900000000001</v>
      </c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8"/>
      <c r="AJ154" s="16" t="s">
        <v>432</v>
      </c>
      <c r="AK154" s="17" t="s">
        <v>9</v>
      </c>
      <c r="AL154" s="17" t="s">
        <v>433</v>
      </c>
      <c r="AM154" s="18" t="s">
        <v>434</v>
      </c>
      <c r="AN154" s="17" t="s">
        <v>12</v>
      </c>
      <c r="AO154" s="19">
        <v>17.93</v>
      </c>
      <c r="AP154" s="20">
        <v>24.3</v>
      </c>
      <c r="AQ154" s="19">
        <f t="shared" si="5"/>
        <v>435.69900000000001</v>
      </c>
    </row>
    <row r="155" spans="1:43" ht="293.25" customHeight="1">
      <c r="A155" s="16" t="s">
        <v>435</v>
      </c>
      <c r="B155" s="17" t="s">
        <v>9</v>
      </c>
      <c r="C155" s="17" t="s">
        <v>436</v>
      </c>
      <c r="D155" s="18" t="s">
        <v>437</v>
      </c>
      <c r="E155" s="17" t="s">
        <v>28</v>
      </c>
      <c r="F155" s="19">
        <v>205.93</v>
      </c>
      <c r="G155" s="20">
        <v>3</v>
      </c>
      <c r="H155" s="19">
        <f t="shared" si="4"/>
        <v>617.79</v>
      </c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8"/>
      <c r="AJ155" s="16" t="s">
        <v>435</v>
      </c>
      <c r="AK155" s="17" t="s">
        <v>9</v>
      </c>
      <c r="AL155" s="17" t="s">
        <v>436</v>
      </c>
      <c r="AM155" s="18" t="s">
        <v>437</v>
      </c>
      <c r="AN155" s="17" t="s">
        <v>28</v>
      </c>
      <c r="AO155" s="19">
        <v>205.93</v>
      </c>
      <c r="AP155" s="20">
        <v>3</v>
      </c>
      <c r="AQ155" s="19">
        <f t="shared" si="5"/>
        <v>617.79</v>
      </c>
    </row>
    <row r="156" spans="1:43" ht="242.25" customHeight="1">
      <c r="A156" s="16" t="s">
        <v>438</v>
      </c>
      <c r="B156" s="17" t="s">
        <v>9</v>
      </c>
      <c r="C156" s="17" t="s">
        <v>439</v>
      </c>
      <c r="D156" s="18" t="s">
        <v>440</v>
      </c>
      <c r="E156" s="17" t="s">
        <v>28</v>
      </c>
      <c r="F156" s="19">
        <v>203.49</v>
      </c>
      <c r="G156" s="20">
        <v>4</v>
      </c>
      <c r="H156" s="19">
        <f t="shared" si="4"/>
        <v>813.96</v>
      </c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8"/>
      <c r="AJ156" s="16" t="s">
        <v>438</v>
      </c>
      <c r="AK156" s="17" t="s">
        <v>9</v>
      </c>
      <c r="AL156" s="17" t="s">
        <v>439</v>
      </c>
      <c r="AM156" s="18" t="s">
        <v>440</v>
      </c>
      <c r="AN156" s="17" t="s">
        <v>28</v>
      </c>
      <c r="AO156" s="19">
        <v>203.49</v>
      </c>
      <c r="AP156" s="20">
        <v>4</v>
      </c>
      <c r="AQ156" s="19">
        <f t="shared" si="5"/>
        <v>813.96</v>
      </c>
    </row>
    <row r="157" spans="1:43" ht="89.25" customHeight="1">
      <c r="A157" s="16" t="s">
        <v>441</v>
      </c>
      <c r="B157" s="17" t="s">
        <v>9</v>
      </c>
      <c r="C157" s="17" t="s">
        <v>442</v>
      </c>
      <c r="D157" s="18" t="s">
        <v>443</v>
      </c>
      <c r="E157" s="17" t="s">
        <v>28</v>
      </c>
      <c r="F157" s="19">
        <v>26.06</v>
      </c>
      <c r="G157" s="20">
        <v>10</v>
      </c>
      <c r="H157" s="19">
        <f t="shared" si="4"/>
        <v>260.59999999999997</v>
      </c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8"/>
      <c r="AJ157" s="16" t="s">
        <v>441</v>
      </c>
      <c r="AK157" s="17" t="s">
        <v>9</v>
      </c>
      <c r="AL157" s="17" t="s">
        <v>442</v>
      </c>
      <c r="AM157" s="18" t="s">
        <v>443</v>
      </c>
      <c r="AN157" s="17" t="s">
        <v>28</v>
      </c>
      <c r="AO157" s="19">
        <v>26.06</v>
      </c>
      <c r="AP157" s="20">
        <v>10</v>
      </c>
      <c r="AQ157" s="19">
        <f t="shared" si="5"/>
        <v>260.59999999999997</v>
      </c>
    </row>
    <row r="158" spans="1:43" ht="38.25" customHeight="1">
      <c r="A158" s="16" t="s">
        <v>444</v>
      </c>
      <c r="B158" s="17" t="s">
        <v>9</v>
      </c>
      <c r="C158" s="17" t="s">
        <v>445</v>
      </c>
      <c r="D158" s="18" t="s">
        <v>446</v>
      </c>
      <c r="E158" s="17" t="s">
        <v>28</v>
      </c>
      <c r="F158" s="19">
        <v>9.27</v>
      </c>
      <c r="G158" s="20">
        <v>10</v>
      </c>
      <c r="H158" s="19">
        <f t="shared" si="4"/>
        <v>92.699999999999989</v>
      </c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8"/>
      <c r="AJ158" s="16" t="s">
        <v>444</v>
      </c>
      <c r="AK158" s="17" t="s">
        <v>9</v>
      </c>
      <c r="AL158" s="17" t="s">
        <v>445</v>
      </c>
      <c r="AM158" s="18" t="s">
        <v>446</v>
      </c>
      <c r="AN158" s="17" t="s">
        <v>28</v>
      </c>
      <c r="AO158" s="19">
        <v>9.27</v>
      </c>
      <c r="AP158" s="20">
        <v>10</v>
      </c>
      <c r="AQ158" s="19">
        <f t="shared" si="5"/>
        <v>92.699999999999989</v>
      </c>
    </row>
    <row r="159" spans="1:43" ht="89.25" customHeight="1">
      <c r="A159" s="16" t="s">
        <v>447</v>
      </c>
      <c r="B159" s="17" t="s">
        <v>9</v>
      </c>
      <c r="C159" s="17" t="s">
        <v>448</v>
      </c>
      <c r="D159" s="18" t="s">
        <v>449</v>
      </c>
      <c r="E159" s="17" t="s">
        <v>28</v>
      </c>
      <c r="F159" s="19">
        <v>44.45</v>
      </c>
      <c r="G159" s="20">
        <v>10</v>
      </c>
      <c r="H159" s="19">
        <f t="shared" si="4"/>
        <v>444.5</v>
      </c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8"/>
      <c r="AJ159" s="16" t="s">
        <v>447</v>
      </c>
      <c r="AK159" s="17" t="s">
        <v>9</v>
      </c>
      <c r="AL159" s="17" t="s">
        <v>448</v>
      </c>
      <c r="AM159" s="18" t="s">
        <v>449</v>
      </c>
      <c r="AN159" s="17" t="s">
        <v>28</v>
      </c>
      <c r="AO159" s="19">
        <v>44.45</v>
      </c>
      <c r="AP159" s="20">
        <v>10</v>
      </c>
      <c r="AQ159" s="19">
        <f t="shared" si="5"/>
        <v>444.5</v>
      </c>
    </row>
    <row r="160" spans="1:43" ht="216.75" customHeight="1">
      <c r="A160" s="16" t="s">
        <v>450</v>
      </c>
      <c r="B160" s="17" t="s">
        <v>9</v>
      </c>
      <c r="C160" s="17" t="s">
        <v>451</v>
      </c>
      <c r="D160" s="18" t="s">
        <v>452</v>
      </c>
      <c r="E160" s="17" t="s">
        <v>44</v>
      </c>
      <c r="F160" s="19">
        <v>3.81</v>
      </c>
      <c r="G160" s="20">
        <v>250</v>
      </c>
      <c r="H160" s="19">
        <f t="shared" si="4"/>
        <v>952.5</v>
      </c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8"/>
      <c r="AJ160" s="16" t="s">
        <v>450</v>
      </c>
      <c r="AK160" s="17" t="s">
        <v>9</v>
      </c>
      <c r="AL160" s="17" t="s">
        <v>451</v>
      </c>
      <c r="AM160" s="18" t="s">
        <v>452</v>
      </c>
      <c r="AN160" s="17" t="s">
        <v>44</v>
      </c>
      <c r="AO160" s="19">
        <v>3.81</v>
      </c>
      <c r="AP160" s="20">
        <v>250</v>
      </c>
      <c r="AQ160" s="19">
        <f t="shared" si="5"/>
        <v>952.5</v>
      </c>
    </row>
    <row r="161" spans="1:43" ht="242.25" customHeight="1">
      <c r="A161" s="16" t="s">
        <v>453</v>
      </c>
      <c r="B161" s="17" t="s">
        <v>9</v>
      </c>
      <c r="C161" s="17" t="s">
        <v>454</v>
      </c>
      <c r="D161" s="18" t="s">
        <v>455</v>
      </c>
      <c r="E161" s="17" t="s">
        <v>44</v>
      </c>
      <c r="F161" s="19">
        <v>45.22</v>
      </c>
      <c r="G161" s="20">
        <v>10</v>
      </c>
      <c r="H161" s="19">
        <f t="shared" si="4"/>
        <v>452.2</v>
      </c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8"/>
      <c r="AJ161" s="16" t="s">
        <v>453</v>
      </c>
      <c r="AK161" s="17" t="s">
        <v>9</v>
      </c>
      <c r="AL161" s="17" t="s">
        <v>454</v>
      </c>
      <c r="AM161" s="18" t="s">
        <v>455</v>
      </c>
      <c r="AN161" s="17" t="s">
        <v>44</v>
      </c>
      <c r="AO161" s="19">
        <v>45.22</v>
      </c>
      <c r="AP161" s="20">
        <v>10</v>
      </c>
      <c r="AQ161" s="19">
        <f t="shared" si="5"/>
        <v>452.2</v>
      </c>
    </row>
    <row r="162" spans="1:43" ht="63.75" customHeight="1">
      <c r="A162" s="16" t="s">
        <v>456</v>
      </c>
      <c r="B162" s="17" t="s">
        <v>9</v>
      </c>
      <c r="C162" s="17" t="s">
        <v>457</v>
      </c>
      <c r="D162" s="18" t="s">
        <v>458</v>
      </c>
      <c r="E162" s="17" t="s">
        <v>12</v>
      </c>
      <c r="F162" s="19">
        <v>8.93</v>
      </c>
      <c r="G162" s="20">
        <v>280</v>
      </c>
      <c r="H162" s="19">
        <f t="shared" si="4"/>
        <v>2500.4</v>
      </c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8"/>
      <c r="AJ162" s="16" t="s">
        <v>456</v>
      </c>
      <c r="AK162" s="17" t="s">
        <v>9</v>
      </c>
      <c r="AL162" s="17" t="s">
        <v>457</v>
      </c>
      <c r="AM162" s="18" t="s">
        <v>458</v>
      </c>
      <c r="AN162" s="17" t="s">
        <v>12</v>
      </c>
      <c r="AO162" s="19">
        <v>8.93</v>
      </c>
      <c r="AP162" s="20">
        <v>280</v>
      </c>
      <c r="AQ162" s="19">
        <f t="shared" si="5"/>
        <v>2500.4</v>
      </c>
    </row>
    <row r="163" spans="1:43" ht="89.25" customHeight="1">
      <c r="A163" s="16" t="s">
        <v>459</v>
      </c>
      <c r="B163" s="17" t="s">
        <v>9</v>
      </c>
      <c r="C163" s="17" t="s">
        <v>460</v>
      </c>
      <c r="D163" s="18" t="s">
        <v>461</v>
      </c>
      <c r="E163" s="17" t="s">
        <v>12</v>
      </c>
      <c r="F163" s="19">
        <v>296.3</v>
      </c>
      <c r="G163" s="20">
        <v>44</v>
      </c>
      <c r="H163" s="19">
        <f t="shared" si="4"/>
        <v>13037.2</v>
      </c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8"/>
      <c r="AJ163" s="16" t="s">
        <v>459</v>
      </c>
      <c r="AK163" s="17" t="s">
        <v>9</v>
      </c>
      <c r="AL163" s="17" t="s">
        <v>460</v>
      </c>
      <c r="AM163" s="18" t="s">
        <v>461</v>
      </c>
      <c r="AN163" s="17" t="s">
        <v>12</v>
      </c>
      <c r="AO163" s="19">
        <v>296.3</v>
      </c>
      <c r="AP163" s="20">
        <v>44</v>
      </c>
      <c r="AQ163" s="19">
        <f t="shared" si="5"/>
        <v>13037.2</v>
      </c>
    </row>
    <row r="164" spans="1:43">
      <c r="A164" s="16"/>
      <c r="B164" s="17"/>
      <c r="C164" s="22"/>
      <c r="D164" s="23"/>
      <c r="E164" s="24"/>
      <c r="F164" s="25"/>
      <c r="G164" s="26"/>
      <c r="H164" s="25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8"/>
      <c r="AJ164" s="2"/>
      <c r="AK164" s="3"/>
      <c r="AL164" s="3"/>
      <c r="AM164" s="4"/>
      <c r="AN164" s="3"/>
      <c r="AO164" s="1"/>
      <c r="AP164" s="5"/>
      <c r="AQ164" s="1"/>
    </row>
    <row r="165" spans="1:43" ht="15" customHeight="1">
      <c r="A165" s="16"/>
      <c r="B165" s="17"/>
      <c r="C165" s="29"/>
      <c r="D165" s="30"/>
      <c r="E165" s="31"/>
      <c r="F165" s="32"/>
      <c r="G165" s="33"/>
      <c r="H165" s="32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5"/>
      <c r="AJ165" s="2"/>
      <c r="AK165" s="3"/>
      <c r="AL165" s="3"/>
      <c r="AM165" s="4"/>
      <c r="AN165" s="3"/>
      <c r="AO165" s="1"/>
      <c r="AP165" s="1892" t="s">
        <v>462</v>
      </c>
      <c r="AQ165" s="1893"/>
    </row>
    <row r="166" spans="1:43">
      <c r="A166" s="2"/>
      <c r="B166" s="3"/>
      <c r="C166" s="3"/>
      <c r="D166" s="4"/>
      <c r="E166" s="1898"/>
      <c r="F166" s="1899"/>
      <c r="G166" s="1900"/>
      <c r="H166" s="1901"/>
      <c r="AJ166" s="2"/>
      <c r="AK166" s="3"/>
      <c r="AL166" s="3"/>
      <c r="AM166" s="4"/>
      <c r="AN166" s="3"/>
      <c r="AO166" s="1"/>
      <c r="AP166" s="1886">
        <f>SUM(AQ11:AQ163)</f>
        <v>332138.20920000004</v>
      </c>
      <c r="AQ166" s="1886"/>
    </row>
    <row r="167" spans="1:43">
      <c r="A167" s="2"/>
      <c r="B167" s="3"/>
      <c r="C167" s="3"/>
      <c r="D167" s="4"/>
      <c r="E167" s="3"/>
      <c r="F167" s="1"/>
      <c r="G167" s="1884"/>
      <c r="H167" s="1885"/>
    </row>
    <row r="168" spans="1:43">
      <c r="A168" s="2"/>
      <c r="B168" s="3"/>
      <c r="C168" s="3"/>
      <c r="D168" s="4"/>
      <c r="E168" s="3"/>
      <c r="F168" s="1"/>
      <c r="G168" s="1886"/>
      <c r="H168" s="1886"/>
    </row>
  </sheetData>
  <mergeCells count="20">
    <mergeCell ref="AP165:AQ165"/>
    <mergeCell ref="AP166:AQ166"/>
    <mergeCell ref="AE9:AF9"/>
    <mergeCell ref="AG9:AH9"/>
    <mergeCell ref="E166:F166"/>
    <mergeCell ref="G166:H166"/>
    <mergeCell ref="Y9:Z9"/>
    <mergeCell ref="AA9:AB9"/>
    <mergeCell ref="AC9:AD9"/>
    <mergeCell ref="G167:H167"/>
    <mergeCell ref="G168:H168"/>
    <mergeCell ref="S9:T9"/>
    <mergeCell ref="U9:V9"/>
    <mergeCell ref="W9:X9"/>
    <mergeCell ref="A9:H9"/>
    <mergeCell ref="I9:J9"/>
    <mergeCell ref="K9:L9"/>
    <mergeCell ref="M9:N9"/>
    <mergeCell ref="O9:P9"/>
    <mergeCell ref="Q9:R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8:H166"/>
  <sheetViews>
    <sheetView workbookViewId="0">
      <selection activeCell="A8" sqref="A8:H166"/>
    </sheetView>
  </sheetViews>
  <sheetFormatPr defaultRowHeight="15"/>
  <cols>
    <col min="1" max="1" width="5.85546875" bestFit="1" customWidth="1"/>
    <col min="2" max="2" width="10.28515625" bestFit="1" customWidth="1"/>
    <col min="3" max="3" width="19" bestFit="1" customWidth="1"/>
    <col min="4" max="4" width="57.140625" customWidth="1"/>
    <col min="5" max="5" width="10" customWidth="1"/>
    <col min="6" max="6" width="13.28515625" customWidth="1"/>
    <col min="7" max="7" width="11.42578125" bestFit="1" customWidth="1"/>
    <col min="8" max="8" width="12" bestFit="1" customWidth="1"/>
  </cols>
  <sheetData>
    <row r="8" spans="1:8">
      <c r="A8" s="16" t="s">
        <v>8</v>
      </c>
      <c r="B8" s="17" t="s">
        <v>9</v>
      </c>
      <c r="C8" s="17" t="s">
        <v>479</v>
      </c>
      <c r="D8" s="18" t="s">
        <v>480</v>
      </c>
      <c r="E8" s="17" t="s">
        <v>12</v>
      </c>
      <c r="F8" s="19">
        <v>10.14</v>
      </c>
      <c r="G8" s="20">
        <v>20.48</v>
      </c>
      <c r="H8" s="19">
        <f>G8*F8</f>
        <v>207.66720000000001</v>
      </c>
    </row>
    <row r="9" spans="1:8">
      <c r="A9" s="16" t="s">
        <v>13</v>
      </c>
      <c r="B9" s="17" t="s">
        <v>9</v>
      </c>
      <c r="C9" s="17" t="s">
        <v>10</v>
      </c>
      <c r="D9" s="18" t="s">
        <v>11</v>
      </c>
      <c r="E9" s="17" t="s">
        <v>12</v>
      </c>
      <c r="F9" s="19">
        <v>36.24</v>
      </c>
      <c r="G9" s="20">
        <v>238.4</v>
      </c>
      <c r="H9" s="19">
        <f t="shared" ref="H9:H72" si="0">G9*F9</f>
        <v>8639.616</v>
      </c>
    </row>
    <row r="10" spans="1:8">
      <c r="A10" s="16" t="s">
        <v>16</v>
      </c>
      <c r="B10" s="17" t="s">
        <v>9</v>
      </c>
      <c r="C10" s="17" t="s">
        <v>14</v>
      </c>
      <c r="D10" s="18" t="s">
        <v>15</v>
      </c>
      <c r="E10" s="17" t="s">
        <v>12</v>
      </c>
      <c r="F10" s="19">
        <v>7.25</v>
      </c>
      <c r="G10" s="20">
        <v>219.25</v>
      </c>
      <c r="H10" s="19">
        <f t="shared" si="0"/>
        <v>1589.5625</v>
      </c>
    </row>
    <row r="11" spans="1:8">
      <c r="A11" s="16" t="s">
        <v>19</v>
      </c>
      <c r="B11" s="17" t="s">
        <v>9</v>
      </c>
      <c r="C11" s="17" t="s">
        <v>17</v>
      </c>
      <c r="D11" s="18" t="s">
        <v>18</v>
      </c>
      <c r="E11" s="17" t="s">
        <v>12</v>
      </c>
      <c r="F11" s="19">
        <v>11.6</v>
      </c>
      <c r="G11" s="20">
        <v>26.88</v>
      </c>
      <c r="H11" s="19">
        <f t="shared" si="0"/>
        <v>311.80799999999999</v>
      </c>
    </row>
    <row r="12" spans="1:8">
      <c r="A12" s="16" t="s">
        <v>22</v>
      </c>
      <c r="B12" s="17" t="s">
        <v>9</v>
      </c>
      <c r="C12" s="17" t="s">
        <v>20</v>
      </c>
      <c r="D12" s="18" t="s">
        <v>21</v>
      </c>
      <c r="E12" s="17" t="s">
        <v>12</v>
      </c>
      <c r="F12" s="19">
        <v>7.25</v>
      </c>
      <c r="G12" s="20">
        <v>30</v>
      </c>
      <c r="H12" s="19">
        <f t="shared" si="0"/>
        <v>217.5</v>
      </c>
    </row>
    <row r="13" spans="1:8">
      <c r="A13" s="16" t="s">
        <v>25</v>
      </c>
      <c r="B13" s="17" t="s">
        <v>9</v>
      </c>
      <c r="C13" s="17" t="s">
        <v>23</v>
      </c>
      <c r="D13" s="18" t="s">
        <v>24</v>
      </c>
      <c r="E13" s="17" t="s">
        <v>12</v>
      </c>
      <c r="F13" s="19">
        <v>9.35</v>
      </c>
      <c r="G13" s="20">
        <v>30</v>
      </c>
      <c r="H13" s="19">
        <f t="shared" si="0"/>
        <v>280.5</v>
      </c>
    </row>
    <row r="14" spans="1:8">
      <c r="A14" s="16" t="s">
        <v>29</v>
      </c>
      <c r="B14" s="17" t="s">
        <v>9</v>
      </c>
      <c r="C14" s="17" t="s">
        <v>26</v>
      </c>
      <c r="D14" s="18" t="s">
        <v>27</v>
      </c>
      <c r="E14" s="17" t="s">
        <v>28</v>
      </c>
      <c r="F14" s="19">
        <v>15.07</v>
      </c>
      <c r="G14" s="20">
        <v>8</v>
      </c>
      <c r="H14" s="19">
        <f t="shared" si="0"/>
        <v>120.56</v>
      </c>
    </row>
    <row r="15" spans="1:8">
      <c r="A15" s="16" t="s">
        <v>32</v>
      </c>
      <c r="B15" s="17" t="s">
        <v>9</v>
      </c>
      <c r="C15" s="17" t="s">
        <v>30</v>
      </c>
      <c r="D15" s="18" t="s">
        <v>31</v>
      </c>
      <c r="E15" s="17" t="s">
        <v>28</v>
      </c>
      <c r="F15" s="19">
        <v>18.07</v>
      </c>
      <c r="G15" s="20">
        <v>1</v>
      </c>
      <c r="H15" s="19">
        <f t="shared" si="0"/>
        <v>18.07</v>
      </c>
    </row>
    <row r="16" spans="1:8">
      <c r="A16" s="16" t="s">
        <v>35</v>
      </c>
      <c r="B16" s="17" t="s">
        <v>9</v>
      </c>
      <c r="C16" s="17" t="s">
        <v>33</v>
      </c>
      <c r="D16" s="18" t="s">
        <v>34</v>
      </c>
      <c r="E16" s="17" t="s">
        <v>12</v>
      </c>
      <c r="F16" s="19">
        <v>18.07</v>
      </c>
      <c r="G16" s="20">
        <v>2</v>
      </c>
      <c r="H16" s="19">
        <f t="shared" si="0"/>
        <v>36.14</v>
      </c>
    </row>
    <row r="17" spans="1:8">
      <c r="A17" s="16" t="s">
        <v>38</v>
      </c>
      <c r="B17" s="17" t="s">
        <v>9</v>
      </c>
      <c r="C17" s="17" t="s">
        <v>36</v>
      </c>
      <c r="D17" s="18" t="s">
        <v>37</v>
      </c>
      <c r="E17" s="17" t="s">
        <v>28</v>
      </c>
      <c r="F17" s="19">
        <v>8</v>
      </c>
      <c r="G17" s="20">
        <v>78</v>
      </c>
      <c r="H17" s="19">
        <f t="shared" si="0"/>
        <v>624</v>
      </c>
    </row>
    <row r="18" spans="1:8">
      <c r="A18" s="16" t="s">
        <v>41</v>
      </c>
      <c r="B18" s="17" t="s">
        <v>9</v>
      </c>
      <c r="C18" s="17" t="s">
        <v>39</v>
      </c>
      <c r="D18" s="18" t="s">
        <v>40</v>
      </c>
      <c r="E18" s="17" t="s">
        <v>12</v>
      </c>
      <c r="F18" s="19">
        <v>5.56</v>
      </c>
      <c r="G18" s="20">
        <v>160.9</v>
      </c>
      <c r="H18" s="19">
        <f t="shared" si="0"/>
        <v>894.60399999999993</v>
      </c>
    </row>
    <row r="19" spans="1:8">
      <c r="A19" s="16" t="s">
        <v>45</v>
      </c>
      <c r="B19" s="17" t="s">
        <v>9</v>
      </c>
      <c r="C19" s="17" t="s">
        <v>42</v>
      </c>
      <c r="D19" s="18" t="s">
        <v>43</v>
      </c>
      <c r="E19" s="17" t="s">
        <v>44</v>
      </c>
      <c r="F19" s="19">
        <v>1.68</v>
      </c>
      <c r="G19" s="20">
        <v>99.69</v>
      </c>
      <c r="H19" s="19">
        <f t="shared" si="0"/>
        <v>167.47919999999999</v>
      </c>
    </row>
    <row r="20" spans="1:8">
      <c r="A20" s="16" t="s">
        <v>48</v>
      </c>
      <c r="B20" s="17" t="s">
        <v>9</v>
      </c>
      <c r="C20" s="17" t="s">
        <v>46</v>
      </c>
      <c r="D20" s="18" t="s">
        <v>47</v>
      </c>
      <c r="E20" s="17" t="s">
        <v>28</v>
      </c>
      <c r="F20" s="19">
        <v>8</v>
      </c>
      <c r="G20" s="20">
        <v>16</v>
      </c>
      <c r="H20" s="19">
        <f t="shared" si="0"/>
        <v>128</v>
      </c>
    </row>
    <row r="21" spans="1:8" ht="51">
      <c r="A21" s="16" t="s">
        <v>52</v>
      </c>
      <c r="B21" s="17" t="s">
        <v>9</v>
      </c>
      <c r="C21" s="17" t="s">
        <v>49</v>
      </c>
      <c r="D21" s="18" t="s">
        <v>50</v>
      </c>
      <c r="E21" s="17" t="s">
        <v>51</v>
      </c>
      <c r="F21" s="19">
        <v>50.36</v>
      </c>
      <c r="G21" s="20">
        <v>145</v>
      </c>
      <c r="H21" s="19">
        <f t="shared" si="0"/>
        <v>7302.2</v>
      </c>
    </row>
    <row r="22" spans="1:8">
      <c r="A22" s="16" t="s">
        <v>55</v>
      </c>
      <c r="B22" s="17" t="s">
        <v>9</v>
      </c>
      <c r="C22" s="17" t="s">
        <v>53</v>
      </c>
      <c r="D22" s="18" t="s">
        <v>54</v>
      </c>
      <c r="E22" s="17" t="s">
        <v>12</v>
      </c>
      <c r="F22" s="19">
        <v>21.33</v>
      </c>
      <c r="G22" s="20">
        <v>64.36</v>
      </c>
      <c r="H22" s="19">
        <f t="shared" si="0"/>
        <v>1372.7987999999998</v>
      </c>
    </row>
    <row r="23" spans="1:8">
      <c r="A23" s="16" t="s">
        <v>58</v>
      </c>
      <c r="B23" s="17" t="s">
        <v>9</v>
      </c>
      <c r="C23" s="17" t="s">
        <v>481</v>
      </c>
      <c r="D23" s="18" t="s">
        <v>482</v>
      </c>
      <c r="E23" s="17" t="s">
        <v>51</v>
      </c>
      <c r="F23" s="19">
        <v>240.18</v>
      </c>
      <c r="G23" s="20">
        <v>8.9760000000000009</v>
      </c>
      <c r="H23" s="19">
        <f t="shared" si="0"/>
        <v>2155.8556800000001</v>
      </c>
    </row>
    <row r="24" spans="1:8">
      <c r="A24" s="16" t="s">
        <v>61</v>
      </c>
      <c r="B24" s="17" t="s">
        <v>9</v>
      </c>
      <c r="C24" s="17" t="s">
        <v>56</v>
      </c>
      <c r="D24" s="18" t="s">
        <v>57</v>
      </c>
      <c r="E24" s="17" t="s">
        <v>12</v>
      </c>
      <c r="F24" s="19">
        <v>12.77</v>
      </c>
      <c r="G24" s="20">
        <v>24.1</v>
      </c>
      <c r="H24" s="19">
        <f t="shared" si="0"/>
        <v>307.75700000000001</v>
      </c>
    </row>
    <row r="25" spans="1:8">
      <c r="A25" s="16" t="s">
        <v>483</v>
      </c>
      <c r="B25" s="17" t="s">
        <v>9</v>
      </c>
      <c r="C25" s="17" t="s">
        <v>59</v>
      </c>
      <c r="D25" s="18" t="s">
        <v>60</v>
      </c>
      <c r="E25" s="17" t="s">
        <v>51</v>
      </c>
      <c r="F25" s="19">
        <v>43.5</v>
      </c>
      <c r="G25" s="20">
        <v>5.04</v>
      </c>
      <c r="H25" s="19">
        <f t="shared" si="0"/>
        <v>219.24</v>
      </c>
    </row>
    <row r="26" spans="1:8">
      <c r="A26" s="16" t="s">
        <v>484</v>
      </c>
      <c r="B26" s="17" t="s">
        <v>9</v>
      </c>
      <c r="C26" s="17" t="s">
        <v>62</v>
      </c>
      <c r="D26" s="18" t="s">
        <v>63</v>
      </c>
      <c r="E26" s="17" t="s">
        <v>44</v>
      </c>
      <c r="F26" s="19">
        <v>7.25</v>
      </c>
      <c r="G26" s="20">
        <v>52</v>
      </c>
      <c r="H26" s="19">
        <f t="shared" si="0"/>
        <v>377</v>
      </c>
    </row>
    <row r="27" spans="1:8">
      <c r="A27" s="16" t="s">
        <v>485</v>
      </c>
      <c r="B27" s="17" t="s">
        <v>9</v>
      </c>
      <c r="C27" s="17" t="s">
        <v>486</v>
      </c>
      <c r="D27" s="18" t="s">
        <v>487</v>
      </c>
      <c r="E27" s="17" t="s">
        <v>12</v>
      </c>
      <c r="F27" s="19">
        <v>4.6900000000000004</v>
      </c>
      <c r="G27" s="20">
        <v>286.33499999999998</v>
      </c>
      <c r="H27" s="19">
        <f t="shared" si="0"/>
        <v>1342.9111499999999</v>
      </c>
    </row>
    <row r="28" spans="1:8">
      <c r="A28" s="16" t="s">
        <v>515</v>
      </c>
      <c r="B28" s="17" t="s">
        <v>9</v>
      </c>
      <c r="C28" s="17" t="s">
        <v>516</v>
      </c>
      <c r="D28" s="18" t="s">
        <v>517</v>
      </c>
      <c r="E28" s="17" t="s">
        <v>12</v>
      </c>
      <c r="F28" s="19">
        <v>10.27</v>
      </c>
      <c r="G28" s="20">
        <v>73.92</v>
      </c>
      <c r="H28" s="19">
        <f t="shared" si="0"/>
        <v>759.15840000000003</v>
      </c>
    </row>
    <row r="29" spans="1:8" ht="38.25">
      <c r="A29" s="16" t="s">
        <v>64</v>
      </c>
      <c r="B29" s="17" t="s">
        <v>9</v>
      </c>
      <c r="C29" s="17" t="s">
        <v>66</v>
      </c>
      <c r="D29" s="18" t="s">
        <v>67</v>
      </c>
      <c r="E29" s="17" t="s">
        <v>12</v>
      </c>
      <c r="F29" s="19">
        <v>11.97</v>
      </c>
      <c r="G29" s="20">
        <v>298.42</v>
      </c>
      <c r="H29" s="19">
        <f t="shared" si="0"/>
        <v>3572.0874000000003</v>
      </c>
    </row>
    <row r="30" spans="1:8" ht="38.25">
      <c r="A30" s="16" t="s">
        <v>488</v>
      </c>
      <c r="B30" s="17" t="s">
        <v>9</v>
      </c>
      <c r="C30" s="17" t="s">
        <v>69</v>
      </c>
      <c r="D30" s="18" t="s">
        <v>70</v>
      </c>
      <c r="E30" s="17" t="s">
        <v>12</v>
      </c>
      <c r="F30" s="19">
        <v>20.76</v>
      </c>
      <c r="G30" s="20">
        <v>298.42</v>
      </c>
      <c r="H30" s="19">
        <f t="shared" si="0"/>
        <v>6195.1992000000009</v>
      </c>
    </row>
    <row r="31" spans="1:8" ht="51">
      <c r="A31" s="16" t="s">
        <v>489</v>
      </c>
      <c r="B31" s="17" t="s">
        <v>9</v>
      </c>
      <c r="C31" s="17" t="s">
        <v>71</v>
      </c>
      <c r="D31" s="18" t="s">
        <v>72</v>
      </c>
      <c r="E31" s="17" t="s">
        <v>44</v>
      </c>
      <c r="F31" s="19">
        <v>170.49</v>
      </c>
      <c r="G31" s="20">
        <v>52</v>
      </c>
      <c r="H31" s="19">
        <f t="shared" si="0"/>
        <v>8865.48</v>
      </c>
    </row>
    <row r="32" spans="1:8">
      <c r="A32" s="16" t="s">
        <v>65</v>
      </c>
      <c r="B32" s="17" t="s">
        <v>9</v>
      </c>
      <c r="C32" s="17" t="s">
        <v>73</v>
      </c>
      <c r="D32" s="18" t="s">
        <v>74</v>
      </c>
      <c r="E32" s="17" t="s">
        <v>12</v>
      </c>
      <c r="F32" s="19">
        <v>21.69</v>
      </c>
      <c r="G32" s="20">
        <v>59.84</v>
      </c>
      <c r="H32" s="19">
        <f t="shared" si="0"/>
        <v>1297.9296000000002</v>
      </c>
    </row>
    <row r="33" spans="1:8">
      <c r="A33" s="16" t="s">
        <v>68</v>
      </c>
      <c r="B33" s="17" t="s">
        <v>9</v>
      </c>
      <c r="C33" s="17" t="s">
        <v>75</v>
      </c>
      <c r="D33" s="18" t="s">
        <v>76</v>
      </c>
      <c r="E33" s="17" t="s">
        <v>51</v>
      </c>
      <c r="F33" s="19">
        <v>144.97999999999999</v>
      </c>
      <c r="G33" s="20">
        <v>8.9700000000000006</v>
      </c>
      <c r="H33" s="19">
        <f t="shared" si="0"/>
        <v>1300.4706000000001</v>
      </c>
    </row>
    <row r="34" spans="1:8" ht="25.5">
      <c r="A34" s="16" t="s">
        <v>77</v>
      </c>
      <c r="B34" s="17" t="s">
        <v>9</v>
      </c>
      <c r="C34" s="17" t="s">
        <v>78</v>
      </c>
      <c r="D34" s="18" t="s">
        <v>79</v>
      </c>
      <c r="E34" s="17" t="s">
        <v>12</v>
      </c>
      <c r="F34" s="19">
        <v>108.09</v>
      </c>
      <c r="G34" s="20">
        <v>48.27</v>
      </c>
      <c r="H34" s="19">
        <f t="shared" si="0"/>
        <v>5217.5043000000005</v>
      </c>
    </row>
    <row r="35" spans="1:8" ht="25.5">
      <c r="A35" s="16" t="s">
        <v>80</v>
      </c>
      <c r="B35" s="17" t="s">
        <v>9</v>
      </c>
      <c r="C35" s="17" t="s">
        <v>81</v>
      </c>
      <c r="D35" s="18" t="s">
        <v>82</v>
      </c>
      <c r="E35" s="17" t="s">
        <v>12</v>
      </c>
      <c r="F35" s="19">
        <v>63.81</v>
      </c>
      <c r="G35" s="20">
        <v>48.27</v>
      </c>
      <c r="H35" s="19">
        <f t="shared" si="0"/>
        <v>3080.1087000000002</v>
      </c>
    </row>
    <row r="36" spans="1:8" ht="38.25">
      <c r="A36" s="16" t="s">
        <v>83</v>
      </c>
      <c r="B36" s="17" t="s">
        <v>9</v>
      </c>
      <c r="C36" s="17" t="s">
        <v>84</v>
      </c>
      <c r="D36" s="18" t="s">
        <v>85</v>
      </c>
      <c r="E36" s="17" t="s">
        <v>12</v>
      </c>
      <c r="F36" s="19">
        <v>19.14</v>
      </c>
      <c r="G36" s="20">
        <v>48.27</v>
      </c>
      <c r="H36" s="19">
        <f t="shared" si="0"/>
        <v>923.88780000000008</v>
      </c>
    </row>
    <row r="37" spans="1:8" ht="25.5">
      <c r="A37" s="16" t="s">
        <v>86</v>
      </c>
      <c r="B37" s="17" t="s">
        <v>9</v>
      </c>
      <c r="C37" s="17" t="s">
        <v>87</v>
      </c>
      <c r="D37" s="18" t="s">
        <v>88</v>
      </c>
      <c r="E37" s="17" t="s">
        <v>12</v>
      </c>
      <c r="F37" s="19">
        <v>59.21</v>
      </c>
      <c r="G37" s="20">
        <v>48.27</v>
      </c>
      <c r="H37" s="19">
        <f t="shared" si="0"/>
        <v>2858.0667000000003</v>
      </c>
    </row>
    <row r="38" spans="1:8">
      <c r="A38" s="16" t="s">
        <v>89</v>
      </c>
      <c r="B38" s="17" t="s">
        <v>9</v>
      </c>
      <c r="C38" s="17" t="s">
        <v>90</v>
      </c>
      <c r="D38" s="18" t="s">
        <v>91</v>
      </c>
      <c r="E38" s="17" t="s">
        <v>92</v>
      </c>
      <c r="F38" s="19">
        <v>3.84</v>
      </c>
      <c r="G38" s="20">
        <v>48.27</v>
      </c>
      <c r="H38" s="19">
        <f t="shared" si="0"/>
        <v>185.35679999999999</v>
      </c>
    </row>
    <row r="39" spans="1:8" ht="25.5">
      <c r="A39" s="16" t="s">
        <v>93</v>
      </c>
      <c r="B39" s="17" t="s">
        <v>9</v>
      </c>
      <c r="C39" s="17" t="s">
        <v>94</v>
      </c>
      <c r="D39" s="18" t="s">
        <v>95</v>
      </c>
      <c r="E39" s="17" t="s">
        <v>12</v>
      </c>
      <c r="F39" s="19">
        <v>319.98</v>
      </c>
      <c r="G39" s="20">
        <v>48.27</v>
      </c>
      <c r="H39" s="19">
        <f t="shared" si="0"/>
        <v>15445.434600000002</v>
      </c>
    </row>
    <row r="40" spans="1:8" ht="25.5">
      <c r="A40" s="16" t="s">
        <v>96</v>
      </c>
      <c r="B40" s="17" t="s">
        <v>9</v>
      </c>
      <c r="C40" s="17" t="s">
        <v>97</v>
      </c>
      <c r="D40" s="18" t="s">
        <v>98</v>
      </c>
      <c r="E40" s="17" t="s">
        <v>12</v>
      </c>
      <c r="F40" s="19">
        <v>12.59</v>
      </c>
      <c r="G40" s="20">
        <v>48.27</v>
      </c>
      <c r="H40" s="19">
        <f t="shared" si="0"/>
        <v>607.71930000000009</v>
      </c>
    </row>
    <row r="41" spans="1:8" ht="25.5">
      <c r="A41" s="16" t="s">
        <v>99</v>
      </c>
      <c r="B41" s="17" t="s">
        <v>9</v>
      </c>
      <c r="C41" s="17" t="s">
        <v>100</v>
      </c>
      <c r="D41" s="18" t="s">
        <v>101</v>
      </c>
      <c r="E41" s="17" t="s">
        <v>51</v>
      </c>
      <c r="F41" s="19">
        <v>616.84</v>
      </c>
      <c r="G41" s="20">
        <v>8.9700000000000006</v>
      </c>
      <c r="H41" s="19">
        <f t="shared" si="0"/>
        <v>5533.0548000000008</v>
      </c>
    </row>
    <row r="42" spans="1:8" ht="25.5">
      <c r="A42" s="16" t="s">
        <v>102</v>
      </c>
      <c r="B42" s="17" t="s">
        <v>9</v>
      </c>
      <c r="C42" s="17" t="s">
        <v>103</v>
      </c>
      <c r="D42" s="18" t="s">
        <v>104</v>
      </c>
      <c r="E42" s="17" t="s">
        <v>92</v>
      </c>
      <c r="F42" s="19">
        <v>12.75</v>
      </c>
      <c r="G42" s="20">
        <v>50</v>
      </c>
      <c r="H42" s="19">
        <f t="shared" si="0"/>
        <v>637.5</v>
      </c>
    </row>
    <row r="43" spans="1:8" ht="25.5">
      <c r="A43" s="16" t="s">
        <v>105</v>
      </c>
      <c r="B43" s="17" t="s">
        <v>9</v>
      </c>
      <c r="C43" s="17" t="s">
        <v>106</v>
      </c>
      <c r="D43" s="18" t="s">
        <v>107</v>
      </c>
      <c r="E43" s="17" t="s">
        <v>92</v>
      </c>
      <c r="F43" s="19">
        <v>12.84</v>
      </c>
      <c r="G43" s="20">
        <v>20</v>
      </c>
      <c r="H43" s="19">
        <f t="shared" si="0"/>
        <v>256.8</v>
      </c>
    </row>
    <row r="44" spans="1:8" ht="25.5">
      <c r="A44" s="16" t="s">
        <v>108</v>
      </c>
      <c r="B44" s="17" t="s">
        <v>9</v>
      </c>
      <c r="C44" s="17" t="s">
        <v>109</v>
      </c>
      <c r="D44" s="18" t="s">
        <v>110</v>
      </c>
      <c r="E44" s="17" t="s">
        <v>92</v>
      </c>
      <c r="F44" s="19">
        <v>15.21</v>
      </c>
      <c r="G44" s="20">
        <v>71.808000000000007</v>
      </c>
      <c r="H44" s="19">
        <f t="shared" si="0"/>
        <v>1092.1996800000002</v>
      </c>
    </row>
    <row r="45" spans="1:8" ht="51">
      <c r="A45" s="16" t="s">
        <v>111</v>
      </c>
      <c r="B45" s="17" t="s">
        <v>9</v>
      </c>
      <c r="C45" s="17" t="s">
        <v>112</v>
      </c>
      <c r="D45" s="18" t="s">
        <v>113</v>
      </c>
      <c r="E45" s="17" t="s">
        <v>12</v>
      </c>
      <c r="F45" s="19">
        <v>84.99</v>
      </c>
      <c r="G45" s="20">
        <v>15.6</v>
      </c>
      <c r="H45" s="19">
        <f t="shared" si="0"/>
        <v>1325.8439999999998</v>
      </c>
    </row>
    <row r="46" spans="1:8" ht="38.25">
      <c r="A46" s="16" t="s">
        <v>114</v>
      </c>
      <c r="B46" s="17" t="s">
        <v>9</v>
      </c>
      <c r="C46" s="17" t="s">
        <v>115</v>
      </c>
      <c r="D46" s="18" t="s">
        <v>116</v>
      </c>
      <c r="E46" s="17" t="s">
        <v>44</v>
      </c>
      <c r="F46" s="19">
        <v>63.41</v>
      </c>
      <c r="G46" s="20">
        <v>25.85</v>
      </c>
      <c r="H46" s="19">
        <f t="shared" si="0"/>
        <v>1639.1485</v>
      </c>
    </row>
    <row r="47" spans="1:8" ht="25.5">
      <c r="A47" s="16" t="s">
        <v>117</v>
      </c>
      <c r="B47" s="17" t="s">
        <v>9</v>
      </c>
      <c r="C47" s="17" t="s">
        <v>118</v>
      </c>
      <c r="D47" s="18" t="s">
        <v>119</v>
      </c>
      <c r="E47" s="17" t="s">
        <v>44</v>
      </c>
      <c r="F47" s="19">
        <v>8.59</v>
      </c>
      <c r="G47" s="20">
        <v>12.8</v>
      </c>
      <c r="H47" s="19">
        <f t="shared" si="0"/>
        <v>109.952</v>
      </c>
    </row>
    <row r="48" spans="1:8" ht="38.25">
      <c r="A48" s="16" t="s">
        <v>120</v>
      </c>
      <c r="B48" s="17" t="s">
        <v>9</v>
      </c>
      <c r="C48" s="17" t="s">
        <v>121</v>
      </c>
      <c r="D48" s="18" t="s">
        <v>122</v>
      </c>
      <c r="E48" s="17" t="s">
        <v>12</v>
      </c>
      <c r="F48" s="19">
        <v>178.28</v>
      </c>
      <c r="G48" s="20">
        <v>40</v>
      </c>
      <c r="H48" s="19">
        <f t="shared" si="0"/>
        <v>7131.2</v>
      </c>
    </row>
    <row r="49" spans="1:8" ht="38.25">
      <c r="A49" s="16" t="s">
        <v>123</v>
      </c>
      <c r="B49" s="17" t="s">
        <v>9</v>
      </c>
      <c r="C49" s="17" t="s">
        <v>124</v>
      </c>
      <c r="D49" s="18" t="s">
        <v>125</v>
      </c>
      <c r="E49" s="17" t="s">
        <v>44</v>
      </c>
      <c r="F49" s="19">
        <v>20.93</v>
      </c>
      <c r="G49" s="20">
        <v>75</v>
      </c>
      <c r="H49" s="19">
        <f t="shared" si="0"/>
        <v>1569.75</v>
      </c>
    </row>
    <row r="50" spans="1:8" ht="38.25">
      <c r="A50" s="16" t="s">
        <v>126</v>
      </c>
      <c r="B50" s="17" t="s">
        <v>9</v>
      </c>
      <c r="C50" s="17" t="s">
        <v>127</v>
      </c>
      <c r="D50" s="18" t="s">
        <v>128</v>
      </c>
      <c r="E50" s="17" t="s">
        <v>28</v>
      </c>
      <c r="F50" s="19">
        <v>295.95</v>
      </c>
      <c r="G50" s="20">
        <v>14</v>
      </c>
      <c r="H50" s="19">
        <f t="shared" si="0"/>
        <v>4143.3</v>
      </c>
    </row>
    <row r="51" spans="1:8" ht="38.25">
      <c r="A51" s="16" t="s">
        <v>129</v>
      </c>
      <c r="B51" s="17" t="s">
        <v>9</v>
      </c>
      <c r="C51" s="17" t="s">
        <v>130</v>
      </c>
      <c r="D51" s="18" t="s">
        <v>131</v>
      </c>
      <c r="E51" s="17" t="s">
        <v>28</v>
      </c>
      <c r="F51" s="19">
        <v>295.95</v>
      </c>
      <c r="G51" s="20">
        <v>3</v>
      </c>
      <c r="H51" s="19">
        <f t="shared" si="0"/>
        <v>887.84999999999991</v>
      </c>
    </row>
    <row r="52" spans="1:8" ht="51">
      <c r="A52" s="16" t="s">
        <v>132</v>
      </c>
      <c r="B52" s="17" t="s">
        <v>9</v>
      </c>
      <c r="C52" s="17" t="s">
        <v>133</v>
      </c>
      <c r="D52" s="18" t="s">
        <v>134</v>
      </c>
      <c r="E52" s="17" t="s">
        <v>28</v>
      </c>
      <c r="F52" s="19">
        <v>804.28</v>
      </c>
      <c r="G52" s="20">
        <v>3</v>
      </c>
      <c r="H52" s="19">
        <f t="shared" si="0"/>
        <v>2412.84</v>
      </c>
    </row>
    <row r="53" spans="1:8" ht="51">
      <c r="A53" s="16" t="s">
        <v>135</v>
      </c>
      <c r="B53" s="17" t="s">
        <v>9</v>
      </c>
      <c r="C53" s="17" t="s">
        <v>136</v>
      </c>
      <c r="D53" s="18" t="s">
        <v>137</v>
      </c>
      <c r="E53" s="17" t="s">
        <v>28</v>
      </c>
      <c r="F53" s="19">
        <v>822.54</v>
      </c>
      <c r="G53" s="20">
        <v>14</v>
      </c>
      <c r="H53" s="19">
        <f t="shared" si="0"/>
        <v>11515.56</v>
      </c>
    </row>
    <row r="54" spans="1:8" ht="51">
      <c r="A54" s="16" t="s">
        <v>138</v>
      </c>
      <c r="B54" s="17" t="s">
        <v>9</v>
      </c>
      <c r="C54" s="17" t="s">
        <v>139</v>
      </c>
      <c r="D54" s="18" t="s">
        <v>140</v>
      </c>
      <c r="E54" s="17" t="s">
        <v>28</v>
      </c>
      <c r="F54" s="19">
        <v>869.7</v>
      </c>
      <c r="G54" s="20">
        <v>0</v>
      </c>
      <c r="H54" s="19">
        <f t="shared" si="0"/>
        <v>0</v>
      </c>
    </row>
    <row r="55" spans="1:8" ht="51">
      <c r="A55" s="16" t="s">
        <v>141</v>
      </c>
      <c r="B55" s="17" t="s">
        <v>9</v>
      </c>
      <c r="C55" s="17" t="s">
        <v>142</v>
      </c>
      <c r="D55" s="18" t="s">
        <v>143</v>
      </c>
      <c r="E55" s="17" t="s">
        <v>28</v>
      </c>
      <c r="F55" s="19">
        <v>1200.92</v>
      </c>
      <c r="G55" s="20">
        <v>1</v>
      </c>
      <c r="H55" s="19">
        <f t="shared" si="0"/>
        <v>1200.92</v>
      </c>
    </row>
    <row r="56" spans="1:8">
      <c r="A56" s="16" t="s">
        <v>144</v>
      </c>
      <c r="B56" s="17" t="s">
        <v>9</v>
      </c>
      <c r="C56" s="17" t="s">
        <v>145</v>
      </c>
      <c r="D56" s="18" t="s">
        <v>146</v>
      </c>
      <c r="E56" s="17" t="s">
        <v>12</v>
      </c>
      <c r="F56" s="19">
        <v>285.83</v>
      </c>
      <c r="G56" s="20">
        <v>30</v>
      </c>
      <c r="H56" s="19">
        <f t="shared" si="0"/>
        <v>8574.9</v>
      </c>
    </row>
    <row r="57" spans="1:8">
      <c r="A57" s="16" t="s">
        <v>147</v>
      </c>
      <c r="B57" s="17" t="s">
        <v>9</v>
      </c>
      <c r="C57" s="17" t="s">
        <v>148</v>
      </c>
      <c r="D57" s="18" t="s">
        <v>149</v>
      </c>
      <c r="E57" s="17" t="s">
        <v>12</v>
      </c>
      <c r="F57" s="19">
        <v>577.84</v>
      </c>
      <c r="G57" s="20">
        <v>4</v>
      </c>
      <c r="H57" s="19">
        <f t="shared" si="0"/>
        <v>2311.36</v>
      </c>
    </row>
    <row r="58" spans="1:8" ht="25.5">
      <c r="A58" s="16" t="s">
        <v>150</v>
      </c>
      <c r="B58" s="17" t="s">
        <v>9</v>
      </c>
      <c r="C58" s="17" t="s">
        <v>151</v>
      </c>
      <c r="D58" s="18" t="s">
        <v>152</v>
      </c>
      <c r="E58" s="17" t="s">
        <v>12</v>
      </c>
      <c r="F58" s="19">
        <v>839.4</v>
      </c>
      <c r="G58" s="20">
        <v>0</v>
      </c>
      <c r="H58" s="19">
        <f t="shared" si="0"/>
        <v>0</v>
      </c>
    </row>
    <row r="59" spans="1:8" ht="38.25">
      <c r="A59" s="16" t="s">
        <v>153</v>
      </c>
      <c r="B59" s="17" t="s">
        <v>9</v>
      </c>
      <c r="C59" s="17" t="s">
        <v>154</v>
      </c>
      <c r="D59" s="18" t="s">
        <v>155</v>
      </c>
      <c r="E59" s="17" t="s">
        <v>12</v>
      </c>
      <c r="F59" s="19">
        <v>557.64</v>
      </c>
      <c r="G59" s="20">
        <v>30</v>
      </c>
      <c r="H59" s="19">
        <f t="shared" si="0"/>
        <v>16729.2</v>
      </c>
    </row>
    <row r="60" spans="1:8" ht="38.25">
      <c r="A60" s="16" t="s">
        <v>156</v>
      </c>
      <c r="B60" s="17" t="s">
        <v>9</v>
      </c>
      <c r="C60" s="17" t="s">
        <v>157</v>
      </c>
      <c r="D60" s="18" t="s">
        <v>158</v>
      </c>
      <c r="E60" s="17" t="s">
        <v>12</v>
      </c>
      <c r="F60" s="19">
        <v>662.86</v>
      </c>
      <c r="G60" s="20">
        <v>15.074999999999999</v>
      </c>
      <c r="H60" s="19">
        <f t="shared" si="0"/>
        <v>9992.6144999999997</v>
      </c>
    </row>
    <row r="61" spans="1:8" ht="25.5">
      <c r="A61" s="16" t="s">
        <v>159</v>
      </c>
      <c r="B61" s="17" t="s">
        <v>9</v>
      </c>
      <c r="C61" s="17" t="s">
        <v>160</v>
      </c>
      <c r="D61" s="18" t="s">
        <v>161</v>
      </c>
      <c r="E61" s="17" t="s">
        <v>12</v>
      </c>
      <c r="F61" s="19">
        <v>994.44</v>
      </c>
      <c r="G61" s="20">
        <v>4</v>
      </c>
      <c r="H61" s="19">
        <f t="shared" si="0"/>
        <v>3977.76</v>
      </c>
    </row>
    <row r="62" spans="1:8" ht="38.25">
      <c r="A62" s="16" t="s">
        <v>162</v>
      </c>
      <c r="B62" s="17" t="s">
        <v>9</v>
      </c>
      <c r="C62" s="17" t="s">
        <v>163</v>
      </c>
      <c r="D62" s="18" t="s">
        <v>164</v>
      </c>
      <c r="E62" s="17" t="s">
        <v>12</v>
      </c>
      <c r="F62" s="19">
        <v>585.79999999999995</v>
      </c>
      <c r="G62" s="20">
        <v>3</v>
      </c>
      <c r="H62" s="19">
        <f t="shared" si="0"/>
        <v>1757.3999999999999</v>
      </c>
    </row>
    <row r="63" spans="1:8">
      <c r="A63" s="16" t="s">
        <v>165</v>
      </c>
      <c r="B63" s="17" t="s">
        <v>9</v>
      </c>
      <c r="C63" s="17" t="s">
        <v>166</v>
      </c>
      <c r="D63" s="18" t="s">
        <v>167</v>
      </c>
      <c r="E63" s="17" t="s">
        <v>12</v>
      </c>
      <c r="F63" s="19">
        <v>286.64</v>
      </c>
      <c r="G63" s="20">
        <v>15.074999999999999</v>
      </c>
      <c r="H63" s="19">
        <f t="shared" si="0"/>
        <v>4321.098</v>
      </c>
    </row>
    <row r="64" spans="1:8">
      <c r="A64" s="16" t="s">
        <v>168</v>
      </c>
      <c r="B64" s="17" t="s">
        <v>9</v>
      </c>
      <c r="C64" s="17" t="s">
        <v>169</v>
      </c>
      <c r="D64" s="18" t="s">
        <v>170</v>
      </c>
      <c r="E64" s="17" t="s">
        <v>12</v>
      </c>
      <c r="F64" s="19">
        <v>911.48</v>
      </c>
      <c r="G64" s="20">
        <v>34</v>
      </c>
      <c r="H64" s="19">
        <f t="shared" si="0"/>
        <v>30990.32</v>
      </c>
    </row>
    <row r="65" spans="1:8">
      <c r="A65" s="16" t="s">
        <v>171</v>
      </c>
      <c r="B65" s="17" t="s">
        <v>9</v>
      </c>
      <c r="C65" s="17" t="s">
        <v>172</v>
      </c>
      <c r="D65" s="18" t="s">
        <v>173</v>
      </c>
      <c r="E65" s="17" t="s">
        <v>174</v>
      </c>
      <c r="F65" s="19">
        <v>80.27</v>
      </c>
      <c r="G65" s="20">
        <v>8</v>
      </c>
      <c r="H65" s="19">
        <f t="shared" si="0"/>
        <v>642.16</v>
      </c>
    </row>
    <row r="66" spans="1:8">
      <c r="A66" s="16" t="s">
        <v>175</v>
      </c>
      <c r="B66" s="17" t="s">
        <v>9</v>
      </c>
      <c r="C66" s="17" t="s">
        <v>176</v>
      </c>
      <c r="D66" s="18" t="s">
        <v>177</v>
      </c>
      <c r="E66" s="17" t="s">
        <v>174</v>
      </c>
      <c r="F66" s="19">
        <v>188.11</v>
      </c>
      <c r="G66" s="20">
        <v>11</v>
      </c>
      <c r="H66" s="19">
        <f t="shared" si="0"/>
        <v>2069.21</v>
      </c>
    </row>
    <row r="67" spans="1:8">
      <c r="A67" s="16" t="s">
        <v>178</v>
      </c>
      <c r="B67" s="17" t="s">
        <v>9</v>
      </c>
      <c r="C67" s="17" t="s">
        <v>179</v>
      </c>
      <c r="D67" s="18" t="s">
        <v>180</v>
      </c>
      <c r="E67" s="17" t="s">
        <v>174</v>
      </c>
      <c r="F67" s="19">
        <v>97.04</v>
      </c>
      <c r="G67" s="20">
        <v>8</v>
      </c>
      <c r="H67" s="19">
        <f t="shared" si="0"/>
        <v>776.32</v>
      </c>
    </row>
    <row r="68" spans="1:8" ht="25.5">
      <c r="A68" s="16" t="s">
        <v>181</v>
      </c>
      <c r="B68" s="17" t="s">
        <v>9</v>
      </c>
      <c r="C68" s="17" t="s">
        <v>182</v>
      </c>
      <c r="D68" s="18" t="s">
        <v>183</v>
      </c>
      <c r="E68" s="17" t="s">
        <v>174</v>
      </c>
      <c r="F68" s="19">
        <v>76.45</v>
      </c>
      <c r="G68" s="20">
        <v>8</v>
      </c>
      <c r="H68" s="19">
        <f t="shared" si="0"/>
        <v>611.6</v>
      </c>
    </row>
    <row r="69" spans="1:8" ht="25.5">
      <c r="A69" s="16" t="s">
        <v>184</v>
      </c>
      <c r="B69" s="17" t="s">
        <v>9</v>
      </c>
      <c r="C69" s="17" t="s">
        <v>185</v>
      </c>
      <c r="D69" s="18" t="s">
        <v>186</v>
      </c>
      <c r="E69" s="17" t="s">
        <v>174</v>
      </c>
      <c r="F69" s="19">
        <v>136.13</v>
      </c>
      <c r="G69" s="20">
        <v>8</v>
      </c>
      <c r="H69" s="19">
        <f t="shared" si="0"/>
        <v>1089.04</v>
      </c>
    </row>
    <row r="70" spans="1:8" ht="25.5">
      <c r="A70" s="16" t="s">
        <v>187</v>
      </c>
      <c r="B70" s="17" t="s">
        <v>9</v>
      </c>
      <c r="C70" s="17" t="s">
        <v>188</v>
      </c>
      <c r="D70" s="18" t="s">
        <v>189</v>
      </c>
      <c r="E70" s="17" t="s">
        <v>174</v>
      </c>
      <c r="F70" s="19">
        <v>72.08</v>
      </c>
      <c r="G70" s="20">
        <v>8</v>
      </c>
      <c r="H70" s="19">
        <f t="shared" si="0"/>
        <v>576.64</v>
      </c>
    </row>
    <row r="71" spans="1:8" ht="25.5">
      <c r="A71" s="16" t="s">
        <v>190</v>
      </c>
      <c r="B71" s="17" t="s">
        <v>9</v>
      </c>
      <c r="C71" s="17" t="s">
        <v>191</v>
      </c>
      <c r="D71" s="18" t="s">
        <v>192</v>
      </c>
      <c r="E71" s="17" t="s">
        <v>44</v>
      </c>
      <c r="F71" s="19">
        <v>16.28</v>
      </c>
      <c r="G71" s="20">
        <v>75</v>
      </c>
      <c r="H71" s="19">
        <f t="shared" si="0"/>
        <v>1221</v>
      </c>
    </row>
    <row r="72" spans="1:8" ht="25.5">
      <c r="A72" s="16" t="s">
        <v>193</v>
      </c>
      <c r="B72" s="17" t="s">
        <v>9</v>
      </c>
      <c r="C72" s="17" t="s">
        <v>194</v>
      </c>
      <c r="D72" s="18" t="s">
        <v>195</v>
      </c>
      <c r="E72" s="17" t="s">
        <v>44</v>
      </c>
      <c r="F72" s="19">
        <v>19.29</v>
      </c>
      <c r="G72" s="20">
        <v>75</v>
      </c>
      <c r="H72" s="19">
        <f t="shared" si="0"/>
        <v>1446.75</v>
      </c>
    </row>
    <row r="73" spans="1:8" ht="25.5">
      <c r="A73" s="16" t="s">
        <v>196</v>
      </c>
      <c r="B73" s="17" t="s">
        <v>9</v>
      </c>
      <c r="C73" s="17" t="s">
        <v>197</v>
      </c>
      <c r="D73" s="18" t="s">
        <v>198</v>
      </c>
      <c r="E73" s="17" t="s">
        <v>44</v>
      </c>
      <c r="F73" s="19">
        <v>25.2</v>
      </c>
      <c r="G73" s="20">
        <v>75</v>
      </c>
      <c r="H73" s="19">
        <f t="shared" ref="H73:H136" si="1">G73*F73</f>
        <v>1890</v>
      </c>
    </row>
    <row r="74" spans="1:8" ht="25.5">
      <c r="A74" s="16" t="s">
        <v>199</v>
      </c>
      <c r="B74" s="17" t="s">
        <v>9</v>
      </c>
      <c r="C74" s="17" t="s">
        <v>200</v>
      </c>
      <c r="D74" s="18" t="s">
        <v>201</v>
      </c>
      <c r="E74" s="17" t="s">
        <v>44</v>
      </c>
      <c r="F74" s="19">
        <v>32.86</v>
      </c>
      <c r="G74" s="20">
        <v>75</v>
      </c>
      <c r="H74" s="19">
        <f t="shared" si="1"/>
        <v>2464.5</v>
      </c>
    </row>
    <row r="75" spans="1:8" ht="25.5">
      <c r="A75" s="16" t="s">
        <v>202</v>
      </c>
      <c r="B75" s="17" t="s">
        <v>9</v>
      </c>
      <c r="C75" s="17" t="s">
        <v>203</v>
      </c>
      <c r="D75" s="18" t="s">
        <v>204</v>
      </c>
      <c r="E75" s="17" t="s">
        <v>44</v>
      </c>
      <c r="F75" s="19">
        <v>29.08</v>
      </c>
      <c r="G75" s="20">
        <v>75</v>
      </c>
      <c r="H75" s="19">
        <f t="shared" si="1"/>
        <v>2181</v>
      </c>
    </row>
    <row r="76" spans="1:8" ht="25.5">
      <c r="A76" s="16" t="s">
        <v>205</v>
      </c>
      <c r="B76" s="17" t="s">
        <v>9</v>
      </c>
      <c r="C76" s="17" t="s">
        <v>206</v>
      </c>
      <c r="D76" s="18" t="s">
        <v>207</v>
      </c>
      <c r="E76" s="17" t="s">
        <v>44</v>
      </c>
      <c r="F76" s="19">
        <v>36.92</v>
      </c>
      <c r="G76" s="20">
        <v>75</v>
      </c>
      <c r="H76" s="19">
        <f t="shared" si="1"/>
        <v>2769</v>
      </c>
    </row>
    <row r="77" spans="1:8" ht="25.5">
      <c r="A77" s="16" t="s">
        <v>208</v>
      </c>
      <c r="B77" s="17" t="s">
        <v>9</v>
      </c>
      <c r="C77" s="17" t="s">
        <v>209</v>
      </c>
      <c r="D77" s="18" t="s">
        <v>210</v>
      </c>
      <c r="E77" s="17" t="s">
        <v>44</v>
      </c>
      <c r="F77" s="19">
        <v>55.18</v>
      </c>
      <c r="G77" s="20">
        <v>75</v>
      </c>
      <c r="H77" s="19">
        <f t="shared" si="1"/>
        <v>4138.5</v>
      </c>
    </row>
    <row r="78" spans="1:8" ht="25.5">
      <c r="A78" s="16" t="s">
        <v>211</v>
      </c>
      <c r="B78" s="17" t="s">
        <v>9</v>
      </c>
      <c r="C78" s="17" t="s">
        <v>212</v>
      </c>
      <c r="D78" s="18" t="s">
        <v>213</v>
      </c>
      <c r="E78" s="17" t="s">
        <v>44</v>
      </c>
      <c r="F78" s="19">
        <v>61.34</v>
      </c>
      <c r="G78" s="20">
        <v>75</v>
      </c>
      <c r="H78" s="19">
        <f t="shared" si="1"/>
        <v>4600.5</v>
      </c>
    </row>
    <row r="79" spans="1:8" ht="25.5">
      <c r="A79" s="16" t="s">
        <v>214</v>
      </c>
      <c r="B79" s="17" t="s">
        <v>9</v>
      </c>
      <c r="C79" s="17" t="s">
        <v>215</v>
      </c>
      <c r="D79" s="18" t="s">
        <v>216</v>
      </c>
      <c r="E79" s="17" t="s">
        <v>44</v>
      </c>
      <c r="F79" s="19">
        <v>96.3</v>
      </c>
      <c r="G79" s="20">
        <v>75</v>
      </c>
      <c r="H79" s="19">
        <f t="shared" si="1"/>
        <v>7222.5</v>
      </c>
    </row>
    <row r="80" spans="1:8" ht="25.5">
      <c r="A80" s="16" t="s">
        <v>217</v>
      </c>
      <c r="B80" s="17" t="s">
        <v>9</v>
      </c>
      <c r="C80" s="17" t="s">
        <v>218</v>
      </c>
      <c r="D80" s="18" t="s">
        <v>219</v>
      </c>
      <c r="E80" s="17" t="s">
        <v>44</v>
      </c>
      <c r="F80" s="19">
        <v>9.34</v>
      </c>
      <c r="G80" s="20">
        <v>75</v>
      </c>
      <c r="H80" s="19">
        <f t="shared" si="1"/>
        <v>700.5</v>
      </c>
    </row>
    <row r="81" spans="1:8" ht="25.5">
      <c r="A81" s="16" t="s">
        <v>220</v>
      </c>
      <c r="B81" s="17" t="s">
        <v>9</v>
      </c>
      <c r="C81" s="17" t="s">
        <v>221</v>
      </c>
      <c r="D81" s="18" t="s">
        <v>222</v>
      </c>
      <c r="E81" s="17" t="s">
        <v>44</v>
      </c>
      <c r="F81" s="19">
        <v>13.99</v>
      </c>
      <c r="G81" s="20">
        <v>75</v>
      </c>
      <c r="H81" s="19">
        <f t="shared" si="1"/>
        <v>1049.25</v>
      </c>
    </row>
    <row r="82" spans="1:8" ht="25.5">
      <c r="A82" s="16" t="s">
        <v>223</v>
      </c>
      <c r="B82" s="17" t="s">
        <v>9</v>
      </c>
      <c r="C82" s="17" t="s">
        <v>224</v>
      </c>
      <c r="D82" s="18" t="s">
        <v>225</v>
      </c>
      <c r="E82" s="17" t="s">
        <v>44</v>
      </c>
      <c r="F82" s="19">
        <v>21.06</v>
      </c>
      <c r="G82" s="20">
        <v>75</v>
      </c>
      <c r="H82" s="19">
        <f t="shared" si="1"/>
        <v>1579.5</v>
      </c>
    </row>
    <row r="83" spans="1:8" ht="25.5">
      <c r="A83" s="16" t="s">
        <v>226</v>
      </c>
      <c r="B83" s="17" t="s">
        <v>9</v>
      </c>
      <c r="C83" s="17" t="s">
        <v>227</v>
      </c>
      <c r="D83" s="18" t="s">
        <v>228</v>
      </c>
      <c r="E83" s="17" t="s">
        <v>44</v>
      </c>
      <c r="F83" s="19">
        <v>17.809999999999999</v>
      </c>
      <c r="G83" s="20">
        <v>25</v>
      </c>
      <c r="H83" s="19">
        <f t="shared" si="1"/>
        <v>445.24999999999994</v>
      </c>
    </row>
    <row r="84" spans="1:8" ht="25.5">
      <c r="A84" s="16" t="s">
        <v>229</v>
      </c>
      <c r="B84" s="17" t="s">
        <v>9</v>
      </c>
      <c r="C84" s="17" t="s">
        <v>230</v>
      </c>
      <c r="D84" s="18" t="s">
        <v>231</v>
      </c>
      <c r="E84" s="17" t="s">
        <v>44</v>
      </c>
      <c r="F84" s="19">
        <v>27.13</v>
      </c>
      <c r="G84" s="20">
        <v>25</v>
      </c>
      <c r="H84" s="19">
        <f t="shared" si="1"/>
        <v>678.25</v>
      </c>
    </row>
    <row r="85" spans="1:8" ht="25.5">
      <c r="A85" s="16" t="s">
        <v>232</v>
      </c>
      <c r="B85" s="17" t="s">
        <v>9</v>
      </c>
      <c r="C85" s="17" t="s">
        <v>233</v>
      </c>
      <c r="D85" s="18" t="s">
        <v>234</v>
      </c>
      <c r="E85" s="17" t="s">
        <v>44</v>
      </c>
      <c r="F85" s="19">
        <v>39.479999999999997</v>
      </c>
      <c r="G85" s="20">
        <v>25</v>
      </c>
      <c r="H85" s="19">
        <f t="shared" si="1"/>
        <v>986.99999999999989</v>
      </c>
    </row>
    <row r="86" spans="1:8">
      <c r="A86" s="16" t="s">
        <v>235</v>
      </c>
      <c r="B86" s="17" t="s">
        <v>9</v>
      </c>
      <c r="C86" s="17" t="s">
        <v>236</v>
      </c>
      <c r="D86" s="18" t="s">
        <v>237</v>
      </c>
      <c r="E86" s="17" t="s">
        <v>28</v>
      </c>
      <c r="F86" s="19">
        <v>30.71</v>
      </c>
      <c r="G86" s="20">
        <v>8</v>
      </c>
      <c r="H86" s="19">
        <f t="shared" si="1"/>
        <v>245.68</v>
      </c>
    </row>
    <row r="87" spans="1:8">
      <c r="A87" s="16" t="s">
        <v>238</v>
      </c>
      <c r="B87" s="17" t="s">
        <v>9</v>
      </c>
      <c r="C87" s="17" t="s">
        <v>239</v>
      </c>
      <c r="D87" s="18" t="s">
        <v>240</v>
      </c>
      <c r="E87" s="17" t="s">
        <v>28</v>
      </c>
      <c r="F87" s="19">
        <v>13.88</v>
      </c>
      <c r="G87" s="20">
        <v>8</v>
      </c>
      <c r="H87" s="19">
        <f t="shared" si="1"/>
        <v>111.04</v>
      </c>
    </row>
    <row r="88" spans="1:8" ht="38.25">
      <c r="A88" s="16" t="s">
        <v>241</v>
      </c>
      <c r="B88" s="17" t="s">
        <v>9</v>
      </c>
      <c r="C88" s="17" t="s">
        <v>242</v>
      </c>
      <c r="D88" s="18" t="s">
        <v>243</v>
      </c>
      <c r="E88" s="17" t="s">
        <v>28</v>
      </c>
      <c r="F88" s="19">
        <v>671.64</v>
      </c>
      <c r="G88" s="20">
        <v>8</v>
      </c>
      <c r="H88" s="19">
        <f t="shared" si="1"/>
        <v>5373.12</v>
      </c>
    </row>
    <row r="89" spans="1:8" ht="38.25">
      <c r="A89" s="16" t="s">
        <v>244</v>
      </c>
      <c r="B89" s="17" t="s">
        <v>9</v>
      </c>
      <c r="C89" s="17" t="s">
        <v>245</v>
      </c>
      <c r="D89" s="18" t="s">
        <v>246</v>
      </c>
      <c r="E89" s="17" t="s">
        <v>28</v>
      </c>
      <c r="F89" s="19">
        <v>404.8</v>
      </c>
      <c r="G89" s="20">
        <v>8</v>
      </c>
      <c r="H89" s="19">
        <f t="shared" si="1"/>
        <v>3238.4</v>
      </c>
    </row>
    <row r="90" spans="1:8" ht="51">
      <c r="A90" s="16" t="s">
        <v>247</v>
      </c>
      <c r="B90" s="17" t="s">
        <v>9</v>
      </c>
      <c r="C90" s="17" t="s">
        <v>248</v>
      </c>
      <c r="D90" s="18" t="s">
        <v>249</v>
      </c>
      <c r="E90" s="17" t="s">
        <v>28</v>
      </c>
      <c r="F90" s="19">
        <v>1946.43</v>
      </c>
      <c r="G90" s="20">
        <v>1</v>
      </c>
      <c r="H90" s="19">
        <f t="shared" si="1"/>
        <v>1946.43</v>
      </c>
    </row>
    <row r="91" spans="1:8" ht="25.5">
      <c r="A91" s="16" t="s">
        <v>250</v>
      </c>
      <c r="B91" s="17" t="s">
        <v>9</v>
      </c>
      <c r="C91" s="17" t="s">
        <v>251</v>
      </c>
      <c r="D91" s="18" t="s">
        <v>252</v>
      </c>
      <c r="E91" s="17" t="s">
        <v>28</v>
      </c>
      <c r="F91" s="19">
        <v>128.83000000000001</v>
      </c>
      <c r="G91" s="20">
        <v>8</v>
      </c>
      <c r="H91" s="19">
        <f t="shared" si="1"/>
        <v>1030.6400000000001</v>
      </c>
    </row>
    <row r="92" spans="1:8">
      <c r="A92" s="16" t="s">
        <v>253</v>
      </c>
      <c r="B92" s="17" t="s">
        <v>9</v>
      </c>
      <c r="C92" s="17" t="s">
        <v>254</v>
      </c>
      <c r="D92" s="18" t="s">
        <v>255</v>
      </c>
      <c r="E92" s="17" t="s">
        <v>28</v>
      </c>
      <c r="F92" s="19">
        <v>55.39</v>
      </c>
      <c r="G92" s="20">
        <v>8</v>
      </c>
      <c r="H92" s="19">
        <f t="shared" si="1"/>
        <v>443.12</v>
      </c>
    </row>
    <row r="93" spans="1:8" ht="25.5">
      <c r="A93" s="16" t="s">
        <v>256</v>
      </c>
      <c r="B93" s="17" t="s">
        <v>9</v>
      </c>
      <c r="C93" s="17" t="s">
        <v>257</v>
      </c>
      <c r="D93" s="18" t="s">
        <v>258</v>
      </c>
      <c r="E93" s="17" t="s">
        <v>28</v>
      </c>
      <c r="F93" s="19">
        <v>88.19</v>
      </c>
      <c r="G93" s="20">
        <v>1</v>
      </c>
      <c r="H93" s="19">
        <f t="shared" si="1"/>
        <v>88.19</v>
      </c>
    </row>
    <row r="94" spans="1:8" ht="25.5">
      <c r="A94" s="16" t="s">
        <v>259</v>
      </c>
      <c r="B94" s="17" t="s">
        <v>9</v>
      </c>
      <c r="C94" s="17" t="s">
        <v>260</v>
      </c>
      <c r="D94" s="18" t="s">
        <v>261</v>
      </c>
      <c r="E94" s="17" t="s">
        <v>28</v>
      </c>
      <c r="F94" s="19">
        <v>128.83000000000001</v>
      </c>
      <c r="G94" s="20">
        <v>1</v>
      </c>
      <c r="H94" s="19">
        <f t="shared" si="1"/>
        <v>128.83000000000001</v>
      </c>
    </row>
    <row r="95" spans="1:8" ht="25.5">
      <c r="A95" s="16" t="s">
        <v>262</v>
      </c>
      <c r="B95" s="17" t="s">
        <v>9</v>
      </c>
      <c r="C95" s="17" t="s">
        <v>263</v>
      </c>
      <c r="D95" s="18" t="s">
        <v>264</v>
      </c>
      <c r="E95" s="17" t="s">
        <v>28</v>
      </c>
      <c r="F95" s="19">
        <v>135.78</v>
      </c>
      <c r="G95" s="20">
        <v>2</v>
      </c>
      <c r="H95" s="19">
        <f t="shared" si="1"/>
        <v>271.56</v>
      </c>
    </row>
    <row r="96" spans="1:8" ht="25.5">
      <c r="A96" s="16" t="s">
        <v>265</v>
      </c>
      <c r="B96" s="17" t="s">
        <v>9</v>
      </c>
      <c r="C96" s="17" t="s">
        <v>266</v>
      </c>
      <c r="D96" s="18" t="s">
        <v>267</v>
      </c>
      <c r="E96" s="17" t="s">
        <v>28</v>
      </c>
      <c r="F96" s="19">
        <v>1906.43</v>
      </c>
      <c r="G96" s="20">
        <v>1</v>
      </c>
      <c r="H96" s="19">
        <f t="shared" si="1"/>
        <v>1906.43</v>
      </c>
    </row>
    <row r="97" spans="1:8" ht="25.5">
      <c r="A97" s="16" t="s">
        <v>268</v>
      </c>
      <c r="B97" s="17" t="s">
        <v>9</v>
      </c>
      <c r="C97" s="17" t="s">
        <v>269</v>
      </c>
      <c r="D97" s="18" t="s">
        <v>270</v>
      </c>
      <c r="E97" s="17" t="s">
        <v>28</v>
      </c>
      <c r="F97" s="19">
        <v>256.63</v>
      </c>
      <c r="G97" s="20">
        <v>9</v>
      </c>
      <c r="H97" s="19">
        <f t="shared" si="1"/>
        <v>2309.67</v>
      </c>
    </row>
    <row r="98" spans="1:8" ht="25.5">
      <c r="A98" s="16" t="s">
        <v>271</v>
      </c>
      <c r="B98" s="17" t="s">
        <v>9</v>
      </c>
      <c r="C98" s="17" t="s">
        <v>272</v>
      </c>
      <c r="D98" s="18" t="s">
        <v>273</v>
      </c>
      <c r="E98" s="17" t="s">
        <v>28</v>
      </c>
      <c r="F98" s="19">
        <v>2579.81</v>
      </c>
      <c r="G98" s="20">
        <v>1</v>
      </c>
      <c r="H98" s="19">
        <f t="shared" si="1"/>
        <v>2579.81</v>
      </c>
    </row>
    <row r="99" spans="1:8" ht="38.25">
      <c r="A99" s="16" t="s">
        <v>274</v>
      </c>
      <c r="B99" s="17" t="s">
        <v>9</v>
      </c>
      <c r="C99" s="17" t="s">
        <v>275</v>
      </c>
      <c r="D99" s="18" t="s">
        <v>276</v>
      </c>
      <c r="E99" s="17" t="s">
        <v>28</v>
      </c>
      <c r="F99" s="19">
        <v>4191.46</v>
      </c>
      <c r="G99" s="20">
        <v>1</v>
      </c>
      <c r="H99" s="19">
        <f t="shared" si="1"/>
        <v>4191.46</v>
      </c>
    </row>
    <row r="100" spans="1:8" ht="25.5">
      <c r="A100" s="16" t="s">
        <v>277</v>
      </c>
      <c r="B100" s="17" t="s">
        <v>9</v>
      </c>
      <c r="C100" s="17" t="s">
        <v>278</v>
      </c>
      <c r="D100" s="18" t="s">
        <v>279</v>
      </c>
      <c r="E100" s="17" t="s">
        <v>28</v>
      </c>
      <c r="F100" s="19">
        <v>41.63</v>
      </c>
      <c r="G100" s="20">
        <v>8</v>
      </c>
      <c r="H100" s="19">
        <f t="shared" si="1"/>
        <v>333.04</v>
      </c>
    </row>
    <row r="101" spans="1:8" ht="25.5">
      <c r="A101" s="16" t="s">
        <v>280</v>
      </c>
      <c r="B101" s="17" t="s">
        <v>9</v>
      </c>
      <c r="C101" s="17" t="s">
        <v>281</v>
      </c>
      <c r="D101" s="18" t="s">
        <v>282</v>
      </c>
      <c r="E101" s="17" t="s">
        <v>12</v>
      </c>
      <c r="F101" s="19">
        <v>250.94</v>
      </c>
      <c r="G101" s="20">
        <v>8</v>
      </c>
      <c r="H101" s="19">
        <f t="shared" si="1"/>
        <v>2007.52</v>
      </c>
    </row>
    <row r="102" spans="1:8" ht="25.5">
      <c r="A102" s="16" t="s">
        <v>283</v>
      </c>
      <c r="B102" s="17" t="s">
        <v>9</v>
      </c>
      <c r="C102" s="17" t="s">
        <v>281</v>
      </c>
      <c r="D102" s="18" t="s">
        <v>284</v>
      </c>
      <c r="E102" s="17" t="s">
        <v>12</v>
      </c>
      <c r="F102" s="19">
        <v>252.48</v>
      </c>
      <c r="G102" s="20">
        <v>8</v>
      </c>
      <c r="H102" s="19">
        <f t="shared" si="1"/>
        <v>2019.84</v>
      </c>
    </row>
    <row r="103" spans="1:8" ht="25.5">
      <c r="A103" s="16" t="s">
        <v>285</v>
      </c>
      <c r="B103" s="17" t="s">
        <v>9</v>
      </c>
      <c r="C103" s="17" t="s">
        <v>281</v>
      </c>
      <c r="D103" s="18" t="s">
        <v>286</v>
      </c>
      <c r="E103" s="17" t="s">
        <v>12</v>
      </c>
      <c r="F103" s="19">
        <v>290.54000000000002</v>
      </c>
      <c r="G103" s="20">
        <v>8</v>
      </c>
      <c r="H103" s="19">
        <f t="shared" si="1"/>
        <v>2324.3200000000002</v>
      </c>
    </row>
    <row r="104" spans="1:8">
      <c r="A104" s="16" t="s">
        <v>287</v>
      </c>
      <c r="B104" s="17" t="s">
        <v>9</v>
      </c>
      <c r="C104" s="17" t="s">
        <v>288</v>
      </c>
      <c r="D104" s="18" t="s">
        <v>289</v>
      </c>
      <c r="E104" s="17" t="s">
        <v>44</v>
      </c>
      <c r="F104" s="19">
        <v>1.74</v>
      </c>
      <c r="G104" s="20">
        <v>100</v>
      </c>
      <c r="H104" s="19">
        <f t="shared" si="1"/>
        <v>174</v>
      </c>
    </row>
    <row r="105" spans="1:8" ht="25.5">
      <c r="A105" s="16" t="s">
        <v>290</v>
      </c>
      <c r="B105" s="17" t="s">
        <v>9</v>
      </c>
      <c r="C105" s="17" t="s">
        <v>291</v>
      </c>
      <c r="D105" s="18" t="s">
        <v>292</v>
      </c>
      <c r="E105" s="17" t="s">
        <v>28</v>
      </c>
      <c r="F105" s="19">
        <v>24.68</v>
      </c>
      <c r="G105" s="20">
        <v>25</v>
      </c>
      <c r="H105" s="19">
        <f t="shared" si="1"/>
        <v>617</v>
      </c>
    </row>
    <row r="106" spans="1:8">
      <c r="A106" s="16" t="s">
        <v>293</v>
      </c>
      <c r="B106" s="17" t="s">
        <v>9</v>
      </c>
      <c r="C106" s="17" t="s">
        <v>294</v>
      </c>
      <c r="D106" s="18" t="s">
        <v>295</v>
      </c>
      <c r="E106" s="17" t="s">
        <v>28</v>
      </c>
      <c r="F106" s="19">
        <v>6.33</v>
      </c>
      <c r="G106" s="20">
        <v>20</v>
      </c>
      <c r="H106" s="19">
        <f t="shared" si="1"/>
        <v>126.6</v>
      </c>
    </row>
    <row r="107" spans="1:8" ht="38.25">
      <c r="A107" s="16" t="s">
        <v>296</v>
      </c>
      <c r="B107" s="17" t="s">
        <v>9</v>
      </c>
      <c r="C107" s="17" t="s">
        <v>297</v>
      </c>
      <c r="D107" s="18" t="s">
        <v>298</v>
      </c>
      <c r="E107" s="17" t="s">
        <v>28</v>
      </c>
      <c r="F107" s="19">
        <v>184.51</v>
      </c>
      <c r="G107" s="20">
        <v>30</v>
      </c>
      <c r="H107" s="19">
        <f t="shared" si="1"/>
        <v>5535.2999999999993</v>
      </c>
    </row>
    <row r="108" spans="1:8" ht="38.25">
      <c r="A108" s="16" t="s">
        <v>299</v>
      </c>
      <c r="B108" s="17" t="s">
        <v>9</v>
      </c>
      <c r="C108" s="17" t="s">
        <v>300</v>
      </c>
      <c r="D108" s="18" t="s">
        <v>301</v>
      </c>
      <c r="E108" s="17" t="s">
        <v>28</v>
      </c>
      <c r="F108" s="19">
        <v>488.1</v>
      </c>
      <c r="G108" s="20">
        <v>1</v>
      </c>
      <c r="H108" s="19">
        <f t="shared" si="1"/>
        <v>488.1</v>
      </c>
    </row>
    <row r="109" spans="1:8" ht="38.25">
      <c r="A109" s="16" t="s">
        <v>302</v>
      </c>
      <c r="B109" s="17" t="s">
        <v>9</v>
      </c>
      <c r="C109" s="17" t="s">
        <v>303</v>
      </c>
      <c r="D109" s="18" t="s">
        <v>304</v>
      </c>
      <c r="E109" s="17" t="s">
        <v>28</v>
      </c>
      <c r="F109" s="19">
        <v>276.77999999999997</v>
      </c>
      <c r="G109" s="20">
        <v>14</v>
      </c>
      <c r="H109" s="19">
        <f t="shared" si="1"/>
        <v>3874.9199999999996</v>
      </c>
    </row>
    <row r="110" spans="1:8" ht="38.25">
      <c r="A110" s="16" t="s">
        <v>305</v>
      </c>
      <c r="B110" s="17" t="s">
        <v>9</v>
      </c>
      <c r="C110" s="17" t="s">
        <v>306</v>
      </c>
      <c r="D110" s="18" t="s">
        <v>307</v>
      </c>
      <c r="E110" s="17" t="s">
        <v>28</v>
      </c>
      <c r="F110" s="19">
        <v>313.48</v>
      </c>
      <c r="G110" s="20">
        <v>2</v>
      </c>
      <c r="H110" s="19">
        <f t="shared" si="1"/>
        <v>626.96</v>
      </c>
    </row>
    <row r="111" spans="1:8" ht="38.25">
      <c r="A111" s="16" t="s">
        <v>308</v>
      </c>
      <c r="B111" s="17" t="s">
        <v>9</v>
      </c>
      <c r="C111" s="17" t="s">
        <v>309</v>
      </c>
      <c r="D111" s="18" t="s">
        <v>310</v>
      </c>
      <c r="E111" s="17" t="s">
        <v>28</v>
      </c>
      <c r="F111" s="19">
        <v>186.27</v>
      </c>
      <c r="G111" s="20">
        <v>64</v>
      </c>
      <c r="H111" s="19">
        <f t="shared" si="1"/>
        <v>11921.28</v>
      </c>
    </row>
    <row r="112" spans="1:8" ht="25.5">
      <c r="A112" s="16" t="s">
        <v>311</v>
      </c>
      <c r="B112" s="17" t="s">
        <v>9</v>
      </c>
      <c r="C112" s="17" t="s">
        <v>312</v>
      </c>
      <c r="D112" s="18" t="s">
        <v>313</v>
      </c>
      <c r="E112" s="17" t="s">
        <v>44</v>
      </c>
      <c r="F112" s="19">
        <v>14.44</v>
      </c>
      <c r="G112" s="20">
        <v>100</v>
      </c>
      <c r="H112" s="19">
        <f t="shared" si="1"/>
        <v>1444</v>
      </c>
    </row>
    <row r="113" spans="1:8" ht="25.5">
      <c r="A113" s="16" t="s">
        <v>314</v>
      </c>
      <c r="B113" s="17" t="s">
        <v>9</v>
      </c>
      <c r="C113" s="17" t="s">
        <v>315</v>
      </c>
      <c r="D113" s="18" t="s">
        <v>316</v>
      </c>
      <c r="E113" s="17" t="s">
        <v>44</v>
      </c>
      <c r="F113" s="19">
        <v>21.58</v>
      </c>
      <c r="G113" s="20">
        <v>100</v>
      </c>
      <c r="H113" s="19">
        <f t="shared" si="1"/>
        <v>2158</v>
      </c>
    </row>
    <row r="114" spans="1:8" ht="25.5">
      <c r="A114" s="16" t="s">
        <v>317</v>
      </c>
      <c r="B114" s="17" t="s">
        <v>9</v>
      </c>
      <c r="C114" s="17" t="s">
        <v>318</v>
      </c>
      <c r="D114" s="18" t="s">
        <v>319</v>
      </c>
      <c r="E114" s="17" t="s">
        <v>44</v>
      </c>
      <c r="F114" s="19">
        <v>26.41</v>
      </c>
      <c r="G114" s="20">
        <v>100</v>
      </c>
      <c r="H114" s="19">
        <f t="shared" si="1"/>
        <v>2641</v>
      </c>
    </row>
    <row r="115" spans="1:8" ht="25.5">
      <c r="A115" s="16" t="s">
        <v>320</v>
      </c>
      <c r="B115" s="17" t="s">
        <v>9</v>
      </c>
      <c r="C115" s="17" t="s">
        <v>321</v>
      </c>
      <c r="D115" s="18" t="s">
        <v>322</v>
      </c>
      <c r="E115" s="17" t="s">
        <v>28</v>
      </c>
      <c r="F115" s="19">
        <v>17.8</v>
      </c>
      <c r="G115" s="20">
        <v>6</v>
      </c>
      <c r="H115" s="19">
        <f t="shared" si="1"/>
        <v>106.80000000000001</v>
      </c>
    </row>
    <row r="116" spans="1:8" ht="25.5">
      <c r="A116" s="16" t="s">
        <v>323</v>
      </c>
      <c r="B116" s="17" t="s">
        <v>9</v>
      </c>
      <c r="C116" s="17" t="s">
        <v>324</v>
      </c>
      <c r="D116" s="18" t="s">
        <v>325</v>
      </c>
      <c r="E116" s="17" t="s">
        <v>28</v>
      </c>
      <c r="F116" s="19">
        <v>50.55</v>
      </c>
      <c r="G116" s="20">
        <v>14</v>
      </c>
      <c r="H116" s="19">
        <f t="shared" si="1"/>
        <v>707.69999999999993</v>
      </c>
    </row>
    <row r="117" spans="1:8" ht="25.5">
      <c r="A117" s="16" t="s">
        <v>326</v>
      </c>
      <c r="B117" s="17" t="s">
        <v>9</v>
      </c>
      <c r="C117" s="17" t="s">
        <v>327</v>
      </c>
      <c r="D117" s="18" t="s">
        <v>328</v>
      </c>
      <c r="E117" s="17" t="s">
        <v>28</v>
      </c>
      <c r="F117" s="19">
        <v>17.8</v>
      </c>
      <c r="G117" s="20">
        <v>3</v>
      </c>
      <c r="H117" s="19">
        <f t="shared" si="1"/>
        <v>53.400000000000006</v>
      </c>
    </row>
    <row r="118" spans="1:8" ht="25.5">
      <c r="A118" s="16" t="s">
        <v>329</v>
      </c>
      <c r="B118" s="17" t="s">
        <v>9</v>
      </c>
      <c r="C118" s="17" t="s">
        <v>330</v>
      </c>
      <c r="D118" s="18" t="s">
        <v>331</v>
      </c>
      <c r="E118" s="17" t="s">
        <v>28</v>
      </c>
      <c r="F118" s="19">
        <v>50.55</v>
      </c>
      <c r="G118" s="20">
        <v>3</v>
      </c>
      <c r="H118" s="19">
        <f t="shared" si="1"/>
        <v>151.64999999999998</v>
      </c>
    </row>
    <row r="119" spans="1:8" ht="25.5">
      <c r="A119" s="16" t="s">
        <v>332</v>
      </c>
      <c r="B119" s="17" t="s">
        <v>9</v>
      </c>
      <c r="C119" s="17" t="s">
        <v>333</v>
      </c>
      <c r="D119" s="18" t="s">
        <v>334</v>
      </c>
      <c r="E119" s="17" t="s">
        <v>44</v>
      </c>
      <c r="F119" s="19">
        <v>6.24</v>
      </c>
      <c r="G119" s="20">
        <v>500</v>
      </c>
      <c r="H119" s="19">
        <f t="shared" si="1"/>
        <v>3120</v>
      </c>
    </row>
    <row r="120" spans="1:8" ht="25.5">
      <c r="A120" s="16" t="s">
        <v>335</v>
      </c>
      <c r="B120" s="17" t="s">
        <v>9</v>
      </c>
      <c r="C120" s="17" t="s">
        <v>336</v>
      </c>
      <c r="D120" s="18" t="s">
        <v>337</v>
      </c>
      <c r="E120" s="17" t="s">
        <v>44</v>
      </c>
      <c r="F120" s="19">
        <v>8.39</v>
      </c>
      <c r="G120" s="20">
        <v>400</v>
      </c>
      <c r="H120" s="19">
        <f t="shared" si="1"/>
        <v>3356</v>
      </c>
    </row>
    <row r="121" spans="1:8" ht="25.5">
      <c r="A121" s="16" t="s">
        <v>338</v>
      </c>
      <c r="B121" s="17" t="s">
        <v>9</v>
      </c>
      <c r="C121" s="17" t="s">
        <v>339</v>
      </c>
      <c r="D121" s="18" t="s">
        <v>340</v>
      </c>
      <c r="E121" s="17" t="s">
        <v>44</v>
      </c>
      <c r="F121" s="19">
        <v>10.67</v>
      </c>
      <c r="G121" s="20">
        <v>300</v>
      </c>
      <c r="H121" s="19">
        <f t="shared" si="1"/>
        <v>3201</v>
      </c>
    </row>
    <row r="122" spans="1:8" ht="25.5">
      <c r="A122" s="16" t="s">
        <v>341</v>
      </c>
      <c r="B122" s="17" t="s">
        <v>9</v>
      </c>
      <c r="C122" s="17" t="s">
        <v>342</v>
      </c>
      <c r="D122" s="18" t="s">
        <v>343</v>
      </c>
      <c r="E122" s="17" t="s">
        <v>44</v>
      </c>
      <c r="F122" s="19">
        <v>9.35</v>
      </c>
      <c r="G122" s="20">
        <v>100</v>
      </c>
      <c r="H122" s="19">
        <f t="shared" si="1"/>
        <v>935</v>
      </c>
    </row>
    <row r="123" spans="1:8" ht="25.5">
      <c r="A123" s="16" t="s">
        <v>344</v>
      </c>
      <c r="B123" s="17" t="s">
        <v>9</v>
      </c>
      <c r="C123" s="17" t="s">
        <v>345</v>
      </c>
      <c r="D123" s="18" t="s">
        <v>346</v>
      </c>
      <c r="E123" s="17" t="s">
        <v>44</v>
      </c>
      <c r="F123" s="19">
        <v>13.99</v>
      </c>
      <c r="G123" s="20">
        <v>100</v>
      </c>
      <c r="H123" s="19">
        <f t="shared" si="1"/>
        <v>1399</v>
      </c>
    </row>
    <row r="124" spans="1:8" ht="25.5">
      <c r="A124" s="16" t="s">
        <v>347</v>
      </c>
      <c r="B124" s="17" t="s">
        <v>9</v>
      </c>
      <c r="C124" s="17" t="s">
        <v>348</v>
      </c>
      <c r="D124" s="18" t="s">
        <v>349</v>
      </c>
      <c r="E124" s="17" t="s">
        <v>28</v>
      </c>
      <c r="F124" s="19">
        <v>7171.76</v>
      </c>
      <c r="G124" s="20">
        <v>1</v>
      </c>
      <c r="H124" s="19">
        <f t="shared" si="1"/>
        <v>7171.76</v>
      </c>
    </row>
    <row r="125" spans="1:8" ht="51">
      <c r="A125" s="16" t="s">
        <v>350</v>
      </c>
      <c r="B125" s="17" t="s">
        <v>9</v>
      </c>
      <c r="C125" s="17" t="s">
        <v>518</v>
      </c>
      <c r="D125" s="18" t="s">
        <v>519</v>
      </c>
      <c r="E125" s="17" t="s">
        <v>28</v>
      </c>
      <c r="F125" s="19">
        <v>501.54</v>
      </c>
      <c r="G125" s="20">
        <v>1</v>
      </c>
      <c r="H125" s="19">
        <f t="shared" si="1"/>
        <v>501.54</v>
      </c>
    </row>
    <row r="126" spans="1:8" ht="25.5">
      <c r="A126" s="16" t="s">
        <v>351</v>
      </c>
      <c r="B126" s="17" t="s">
        <v>9</v>
      </c>
      <c r="C126" s="17" t="s">
        <v>352</v>
      </c>
      <c r="D126" s="18" t="s">
        <v>353</v>
      </c>
      <c r="E126" s="17" t="s">
        <v>28</v>
      </c>
      <c r="F126" s="19">
        <v>33.25</v>
      </c>
      <c r="G126" s="20">
        <v>48</v>
      </c>
      <c r="H126" s="19">
        <f t="shared" si="1"/>
        <v>1596</v>
      </c>
    </row>
    <row r="127" spans="1:8" ht="25.5">
      <c r="A127" s="16" t="s">
        <v>354</v>
      </c>
      <c r="B127" s="17" t="s">
        <v>9</v>
      </c>
      <c r="C127" s="17" t="s">
        <v>355</v>
      </c>
      <c r="D127" s="18" t="s">
        <v>356</v>
      </c>
      <c r="E127" s="17" t="s">
        <v>28</v>
      </c>
      <c r="F127" s="19">
        <v>38.1</v>
      </c>
      <c r="G127" s="20">
        <v>4</v>
      </c>
      <c r="H127" s="19">
        <f t="shared" si="1"/>
        <v>152.4</v>
      </c>
    </row>
    <row r="128" spans="1:8">
      <c r="A128" s="16" t="s">
        <v>357</v>
      </c>
      <c r="B128" s="17" t="s">
        <v>9</v>
      </c>
      <c r="C128" s="17" t="s">
        <v>358</v>
      </c>
      <c r="D128" s="18" t="s">
        <v>359</v>
      </c>
      <c r="E128" s="17" t="s">
        <v>28</v>
      </c>
      <c r="F128" s="19">
        <v>31.99</v>
      </c>
      <c r="G128" s="20">
        <v>30</v>
      </c>
      <c r="H128" s="19">
        <f t="shared" si="1"/>
        <v>959.69999999999993</v>
      </c>
    </row>
    <row r="129" spans="1:8" ht="38.25">
      <c r="A129" s="16" t="s">
        <v>360</v>
      </c>
      <c r="B129" s="17" t="s">
        <v>9</v>
      </c>
      <c r="C129" s="17" t="s">
        <v>361</v>
      </c>
      <c r="D129" s="18" t="s">
        <v>362</v>
      </c>
      <c r="E129" s="17" t="s">
        <v>28</v>
      </c>
      <c r="F129" s="19">
        <v>56.32</v>
      </c>
      <c r="G129" s="20">
        <v>10</v>
      </c>
      <c r="H129" s="19">
        <f t="shared" si="1"/>
        <v>563.20000000000005</v>
      </c>
    </row>
    <row r="130" spans="1:8" ht="51">
      <c r="A130" s="16" t="s">
        <v>363</v>
      </c>
      <c r="B130" s="17" t="s">
        <v>9</v>
      </c>
      <c r="C130" s="17" t="s">
        <v>364</v>
      </c>
      <c r="D130" s="18" t="s">
        <v>365</v>
      </c>
      <c r="E130" s="17" t="s">
        <v>28</v>
      </c>
      <c r="F130" s="19">
        <v>119.8</v>
      </c>
      <c r="G130" s="20">
        <v>6</v>
      </c>
      <c r="H130" s="19">
        <f t="shared" si="1"/>
        <v>718.8</v>
      </c>
    </row>
    <row r="131" spans="1:8" ht="51">
      <c r="A131" s="16" t="s">
        <v>366</v>
      </c>
      <c r="B131" s="17" t="s">
        <v>9</v>
      </c>
      <c r="C131" s="17" t="s">
        <v>367</v>
      </c>
      <c r="D131" s="18" t="s">
        <v>368</v>
      </c>
      <c r="E131" s="17" t="s">
        <v>28</v>
      </c>
      <c r="F131" s="19">
        <v>173.57</v>
      </c>
      <c r="G131" s="20">
        <v>28</v>
      </c>
      <c r="H131" s="19">
        <f t="shared" si="1"/>
        <v>4859.96</v>
      </c>
    </row>
    <row r="132" spans="1:8" ht="51">
      <c r="A132" s="16" t="s">
        <v>369</v>
      </c>
      <c r="B132" s="17" t="s">
        <v>9</v>
      </c>
      <c r="C132" s="17" t="s">
        <v>370</v>
      </c>
      <c r="D132" s="18" t="s">
        <v>371</v>
      </c>
      <c r="E132" s="17" t="s">
        <v>12</v>
      </c>
      <c r="F132" s="19">
        <v>110.03</v>
      </c>
      <c r="G132" s="20">
        <v>64.36</v>
      </c>
      <c r="H132" s="19">
        <f t="shared" si="1"/>
        <v>7081.5308000000005</v>
      </c>
    </row>
    <row r="133" spans="1:8" ht="25.5">
      <c r="A133" s="16" t="s">
        <v>372</v>
      </c>
      <c r="B133" s="17" t="s">
        <v>9</v>
      </c>
      <c r="C133" s="17" t="s">
        <v>373</v>
      </c>
      <c r="D133" s="18" t="s">
        <v>374</v>
      </c>
      <c r="E133" s="17" t="s">
        <v>12</v>
      </c>
      <c r="F133" s="19">
        <v>59.06</v>
      </c>
      <c r="G133" s="20">
        <v>160.9</v>
      </c>
      <c r="H133" s="19">
        <f t="shared" si="1"/>
        <v>9502.7540000000008</v>
      </c>
    </row>
    <row r="134" spans="1:8">
      <c r="A134" s="16" t="s">
        <v>375</v>
      </c>
      <c r="B134" s="17" t="s">
        <v>9</v>
      </c>
      <c r="C134" s="17" t="s">
        <v>376</v>
      </c>
      <c r="D134" s="18" t="s">
        <v>377</v>
      </c>
      <c r="E134" s="17" t="s">
        <v>44</v>
      </c>
      <c r="F134" s="19">
        <v>42.7</v>
      </c>
      <c r="G134" s="20">
        <v>40</v>
      </c>
      <c r="H134" s="19">
        <f t="shared" si="1"/>
        <v>1708</v>
      </c>
    </row>
    <row r="135" spans="1:8">
      <c r="A135" s="16" t="s">
        <v>378</v>
      </c>
      <c r="B135" s="17" t="s">
        <v>9</v>
      </c>
      <c r="C135" s="17" t="s">
        <v>379</v>
      </c>
      <c r="D135" s="18" t="s">
        <v>380</v>
      </c>
      <c r="E135" s="17" t="s">
        <v>44</v>
      </c>
      <c r="F135" s="19">
        <v>127.38</v>
      </c>
      <c r="G135" s="20">
        <v>40</v>
      </c>
      <c r="H135" s="19">
        <f t="shared" si="1"/>
        <v>5095.2</v>
      </c>
    </row>
    <row r="136" spans="1:8">
      <c r="A136" s="16" t="s">
        <v>495</v>
      </c>
      <c r="B136" s="17" t="s">
        <v>9</v>
      </c>
      <c r="C136" s="17" t="s">
        <v>496</v>
      </c>
      <c r="D136" s="18" t="s">
        <v>497</v>
      </c>
      <c r="E136" s="17" t="s">
        <v>51</v>
      </c>
      <c r="F136" s="19">
        <v>17.55</v>
      </c>
      <c r="G136" s="20">
        <v>36</v>
      </c>
      <c r="H136" s="19">
        <f t="shared" si="1"/>
        <v>631.80000000000007</v>
      </c>
    </row>
    <row r="137" spans="1:8" ht="51">
      <c r="A137" s="16" t="s">
        <v>381</v>
      </c>
      <c r="B137" s="17" t="s">
        <v>9</v>
      </c>
      <c r="C137" s="17" t="s">
        <v>382</v>
      </c>
      <c r="D137" s="18" t="s">
        <v>383</v>
      </c>
      <c r="E137" s="17" t="s">
        <v>12</v>
      </c>
      <c r="F137" s="19">
        <v>194.32</v>
      </c>
      <c r="G137" s="20">
        <v>64.36</v>
      </c>
      <c r="H137" s="19">
        <f t="shared" ref="H137:H166" si="2">G137*F137</f>
        <v>12506.4352</v>
      </c>
    </row>
    <row r="138" spans="1:8">
      <c r="A138" s="16" t="s">
        <v>384</v>
      </c>
      <c r="B138" s="17" t="s">
        <v>9</v>
      </c>
      <c r="C138" s="17" t="s">
        <v>385</v>
      </c>
      <c r="D138" s="18" t="s">
        <v>386</v>
      </c>
      <c r="E138" s="17" t="s">
        <v>12</v>
      </c>
      <c r="F138" s="19">
        <v>39.92</v>
      </c>
      <c r="G138" s="20">
        <v>64.36</v>
      </c>
      <c r="H138" s="19">
        <f t="shared" si="2"/>
        <v>2569.2512000000002</v>
      </c>
    </row>
    <row r="139" spans="1:8" ht="25.5">
      <c r="A139" s="16" t="s">
        <v>387</v>
      </c>
      <c r="B139" s="17" t="s">
        <v>9</v>
      </c>
      <c r="C139" s="17" t="s">
        <v>388</v>
      </c>
      <c r="D139" s="18" t="s">
        <v>389</v>
      </c>
      <c r="E139" s="17" t="s">
        <v>12</v>
      </c>
      <c r="F139" s="19">
        <v>10.199999999999999</v>
      </c>
      <c r="G139" s="20">
        <v>94.54</v>
      </c>
      <c r="H139" s="19">
        <f t="shared" si="2"/>
        <v>964.30799999999999</v>
      </c>
    </row>
    <row r="140" spans="1:8" ht="25.5">
      <c r="A140" s="16" t="s">
        <v>390</v>
      </c>
      <c r="B140" s="17" t="s">
        <v>9</v>
      </c>
      <c r="C140" s="17" t="s">
        <v>391</v>
      </c>
      <c r="D140" s="18" t="s">
        <v>392</v>
      </c>
      <c r="E140" s="17" t="s">
        <v>12</v>
      </c>
      <c r="F140" s="19">
        <v>49.08</v>
      </c>
      <c r="G140" s="20">
        <v>94.54</v>
      </c>
      <c r="H140" s="19">
        <f t="shared" si="2"/>
        <v>4640.0232000000005</v>
      </c>
    </row>
    <row r="141" spans="1:8" ht="25.5">
      <c r="A141" s="16" t="s">
        <v>393</v>
      </c>
      <c r="B141" s="17" t="s">
        <v>9</v>
      </c>
      <c r="C141" s="17" t="s">
        <v>394</v>
      </c>
      <c r="D141" s="18" t="s">
        <v>395</v>
      </c>
      <c r="E141" s="17" t="s">
        <v>12</v>
      </c>
      <c r="F141" s="19">
        <v>5.24</v>
      </c>
      <c r="G141" s="20">
        <v>334.45</v>
      </c>
      <c r="H141" s="19">
        <f t="shared" si="2"/>
        <v>1752.518</v>
      </c>
    </row>
    <row r="142" spans="1:8" ht="38.25">
      <c r="A142" s="16" t="s">
        <v>396</v>
      </c>
      <c r="B142" s="17" t="s">
        <v>9</v>
      </c>
      <c r="C142" s="17" t="s">
        <v>397</v>
      </c>
      <c r="D142" s="18" t="s">
        <v>398</v>
      </c>
      <c r="E142" s="17" t="s">
        <v>12</v>
      </c>
      <c r="F142" s="19">
        <v>67.67</v>
      </c>
      <c r="G142" s="20">
        <v>182.28</v>
      </c>
      <c r="H142" s="19">
        <f t="shared" si="2"/>
        <v>12334.8876</v>
      </c>
    </row>
    <row r="143" spans="1:8" ht="25.5">
      <c r="A143" s="16" t="s">
        <v>399</v>
      </c>
      <c r="B143" s="17" t="s">
        <v>9</v>
      </c>
      <c r="C143" s="17" t="s">
        <v>400</v>
      </c>
      <c r="D143" s="18" t="s">
        <v>401</v>
      </c>
      <c r="E143" s="17" t="s">
        <v>12</v>
      </c>
      <c r="F143" s="19">
        <v>43.53</v>
      </c>
      <c r="G143" s="20">
        <v>334.45</v>
      </c>
      <c r="H143" s="19">
        <f t="shared" si="2"/>
        <v>14558.6085</v>
      </c>
    </row>
    <row r="144" spans="1:8" ht="25.5">
      <c r="A144" s="16" t="s">
        <v>402</v>
      </c>
      <c r="B144" s="17" t="s">
        <v>9</v>
      </c>
      <c r="C144" s="17" t="s">
        <v>403</v>
      </c>
      <c r="D144" s="18" t="s">
        <v>404</v>
      </c>
      <c r="E144" s="17" t="s">
        <v>12</v>
      </c>
      <c r="F144" s="19">
        <v>18.39</v>
      </c>
      <c r="G144" s="20">
        <v>20.440000000000001</v>
      </c>
      <c r="H144" s="19">
        <f t="shared" si="2"/>
        <v>375.89160000000004</v>
      </c>
    </row>
    <row r="145" spans="1:8" ht="51">
      <c r="A145" s="16" t="s">
        <v>405</v>
      </c>
      <c r="B145" s="17" t="s">
        <v>9</v>
      </c>
      <c r="C145" s="17" t="s">
        <v>406</v>
      </c>
      <c r="D145" s="18" t="s">
        <v>407</v>
      </c>
      <c r="E145" s="17" t="s">
        <v>12</v>
      </c>
      <c r="F145" s="19">
        <v>134.28</v>
      </c>
      <c r="G145" s="20">
        <v>321.8</v>
      </c>
      <c r="H145" s="19">
        <f t="shared" si="2"/>
        <v>43211.304000000004</v>
      </c>
    </row>
    <row r="146" spans="1:8" ht="25.5">
      <c r="A146" s="16" t="s">
        <v>408</v>
      </c>
      <c r="B146" s="17" t="s">
        <v>9</v>
      </c>
      <c r="C146" s="17" t="s">
        <v>409</v>
      </c>
      <c r="D146" s="18" t="s">
        <v>410</v>
      </c>
      <c r="E146" s="17" t="s">
        <v>44</v>
      </c>
      <c r="F146" s="19">
        <v>15.68</v>
      </c>
      <c r="G146" s="20">
        <v>12.8</v>
      </c>
      <c r="H146" s="19">
        <f t="shared" si="2"/>
        <v>200.70400000000001</v>
      </c>
    </row>
    <row r="147" spans="1:8">
      <c r="A147" s="16" t="s">
        <v>411</v>
      </c>
      <c r="B147" s="17" t="s">
        <v>9</v>
      </c>
      <c r="C147" s="17" t="s">
        <v>412</v>
      </c>
      <c r="D147" s="18" t="s">
        <v>413</v>
      </c>
      <c r="E147" s="17" t="s">
        <v>44</v>
      </c>
      <c r="F147" s="19">
        <v>96.72</v>
      </c>
      <c r="G147" s="20">
        <v>20</v>
      </c>
      <c r="H147" s="19">
        <f t="shared" si="2"/>
        <v>1934.4</v>
      </c>
    </row>
    <row r="148" spans="1:8" ht="38.25">
      <c r="A148" s="16" t="s">
        <v>414</v>
      </c>
      <c r="B148" s="17" t="s">
        <v>9</v>
      </c>
      <c r="C148" s="17" t="s">
        <v>415</v>
      </c>
      <c r="D148" s="18" t="s">
        <v>416</v>
      </c>
      <c r="E148" s="17" t="s">
        <v>44</v>
      </c>
      <c r="F148" s="19">
        <v>35.770000000000003</v>
      </c>
      <c r="G148" s="20">
        <v>344.18</v>
      </c>
      <c r="H148" s="19">
        <f t="shared" si="2"/>
        <v>12311.318600000001</v>
      </c>
    </row>
    <row r="149" spans="1:8" ht="25.5">
      <c r="A149" s="16" t="s">
        <v>417</v>
      </c>
      <c r="B149" s="17" t="s">
        <v>9</v>
      </c>
      <c r="C149" s="17" t="s">
        <v>418</v>
      </c>
      <c r="D149" s="18" t="s">
        <v>419</v>
      </c>
      <c r="E149" s="17" t="s">
        <v>12</v>
      </c>
      <c r="F149" s="19">
        <v>75.180000000000007</v>
      </c>
      <c r="G149" s="20">
        <v>21</v>
      </c>
      <c r="H149" s="19">
        <f t="shared" si="2"/>
        <v>1578.7800000000002</v>
      </c>
    </row>
    <row r="150" spans="1:8" ht="25.5">
      <c r="A150" s="16" t="s">
        <v>420</v>
      </c>
      <c r="B150" s="17" t="s">
        <v>9</v>
      </c>
      <c r="C150" s="17" t="s">
        <v>421</v>
      </c>
      <c r="D150" s="18" t="s">
        <v>422</v>
      </c>
      <c r="E150" s="17" t="s">
        <v>12</v>
      </c>
      <c r="F150" s="19">
        <v>10.98</v>
      </c>
      <c r="G150" s="20">
        <v>990.69</v>
      </c>
      <c r="H150" s="19">
        <f t="shared" si="2"/>
        <v>10877.7762</v>
      </c>
    </row>
    <row r="151" spans="1:8" ht="25.5">
      <c r="A151" s="16" t="s">
        <v>423</v>
      </c>
      <c r="B151" s="17" t="s">
        <v>9</v>
      </c>
      <c r="C151" s="17" t="s">
        <v>424</v>
      </c>
      <c r="D151" s="18" t="s">
        <v>425</v>
      </c>
      <c r="E151" s="17" t="s">
        <v>12</v>
      </c>
      <c r="F151" s="19">
        <v>19.07</v>
      </c>
      <c r="G151" s="20">
        <v>990.69</v>
      </c>
      <c r="H151" s="19">
        <f t="shared" si="2"/>
        <v>18892.458300000002</v>
      </c>
    </row>
    <row r="152" spans="1:8" ht="25.5">
      <c r="A152" s="16" t="s">
        <v>426</v>
      </c>
      <c r="B152" s="17" t="s">
        <v>9</v>
      </c>
      <c r="C152" s="17" t="s">
        <v>427</v>
      </c>
      <c r="D152" s="18" t="s">
        <v>428</v>
      </c>
      <c r="E152" s="17" t="s">
        <v>12</v>
      </c>
      <c r="F152" s="19">
        <v>13.58</v>
      </c>
      <c r="G152" s="20">
        <v>298.42</v>
      </c>
      <c r="H152" s="19">
        <f t="shared" si="2"/>
        <v>4052.5436000000004</v>
      </c>
    </row>
    <row r="153" spans="1:8" ht="38.25">
      <c r="A153" s="16" t="s">
        <v>429</v>
      </c>
      <c r="B153" s="17" t="s">
        <v>9</v>
      </c>
      <c r="C153" s="17" t="s">
        <v>430</v>
      </c>
      <c r="D153" s="18" t="s">
        <v>431</v>
      </c>
      <c r="E153" s="17" t="s">
        <v>12</v>
      </c>
      <c r="F153" s="19">
        <v>19.14</v>
      </c>
      <c r="G153" s="20">
        <v>298.42</v>
      </c>
      <c r="H153" s="19">
        <f t="shared" si="2"/>
        <v>5711.7588000000005</v>
      </c>
    </row>
    <row r="154" spans="1:8" ht="38.25">
      <c r="A154" s="16" t="s">
        <v>432</v>
      </c>
      <c r="B154" s="17" t="s">
        <v>9</v>
      </c>
      <c r="C154" s="17" t="s">
        <v>433</v>
      </c>
      <c r="D154" s="18" t="s">
        <v>434</v>
      </c>
      <c r="E154" s="17" t="s">
        <v>12</v>
      </c>
      <c r="F154" s="19">
        <v>17.93</v>
      </c>
      <c r="G154" s="20">
        <v>56.88</v>
      </c>
      <c r="H154" s="19">
        <f t="shared" si="2"/>
        <v>1019.8584000000001</v>
      </c>
    </row>
    <row r="155" spans="1:8" ht="38.25">
      <c r="A155" s="16" t="s">
        <v>435</v>
      </c>
      <c r="B155" s="17" t="s">
        <v>9</v>
      </c>
      <c r="C155" s="17" t="s">
        <v>436</v>
      </c>
      <c r="D155" s="18" t="s">
        <v>437</v>
      </c>
      <c r="E155" s="17" t="s">
        <v>28</v>
      </c>
      <c r="F155" s="19">
        <v>205.93</v>
      </c>
      <c r="G155" s="20">
        <v>3</v>
      </c>
      <c r="H155" s="19">
        <f t="shared" si="2"/>
        <v>617.79</v>
      </c>
    </row>
    <row r="156" spans="1:8" ht="25.5">
      <c r="A156" s="16" t="s">
        <v>438</v>
      </c>
      <c r="B156" s="17" t="s">
        <v>9</v>
      </c>
      <c r="C156" s="17" t="s">
        <v>439</v>
      </c>
      <c r="D156" s="18" t="s">
        <v>440</v>
      </c>
      <c r="E156" s="17" t="s">
        <v>28</v>
      </c>
      <c r="F156" s="19">
        <v>203.49</v>
      </c>
      <c r="G156" s="20">
        <v>6</v>
      </c>
      <c r="H156" s="19">
        <f t="shared" si="2"/>
        <v>1220.94</v>
      </c>
    </row>
    <row r="157" spans="1:8">
      <c r="A157" s="16" t="s">
        <v>441</v>
      </c>
      <c r="B157" s="17" t="s">
        <v>9</v>
      </c>
      <c r="C157" s="17" t="s">
        <v>442</v>
      </c>
      <c r="D157" s="18" t="s">
        <v>443</v>
      </c>
      <c r="E157" s="17" t="s">
        <v>28</v>
      </c>
      <c r="F157" s="19">
        <v>26.06</v>
      </c>
      <c r="G157" s="20">
        <v>14</v>
      </c>
      <c r="H157" s="19">
        <f t="shared" si="2"/>
        <v>364.84</v>
      </c>
    </row>
    <row r="158" spans="1:8">
      <c r="A158" s="16" t="s">
        <v>444</v>
      </c>
      <c r="B158" s="17" t="s">
        <v>9</v>
      </c>
      <c r="C158" s="17" t="s">
        <v>445</v>
      </c>
      <c r="D158" s="18" t="s">
        <v>446</v>
      </c>
      <c r="E158" s="17" t="s">
        <v>28</v>
      </c>
      <c r="F158" s="19">
        <v>9.27</v>
      </c>
      <c r="G158" s="20">
        <v>14</v>
      </c>
      <c r="H158" s="19">
        <f t="shared" si="2"/>
        <v>129.78</v>
      </c>
    </row>
    <row r="159" spans="1:8" ht="25.5">
      <c r="A159" s="16" t="s">
        <v>447</v>
      </c>
      <c r="B159" s="17" t="s">
        <v>9</v>
      </c>
      <c r="C159" s="17" t="s">
        <v>448</v>
      </c>
      <c r="D159" s="18" t="s">
        <v>449</v>
      </c>
      <c r="E159" s="17" t="s">
        <v>28</v>
      </c>
      <c r="F159" s="19">
        <v>44.45</v>
      </c>
      <c r="G159" s="20">
        <v>14</v>
      </c>
      <c r="H159" s="19">
        <f t="shared" si="2"/>
        <v>622.30000000000007</v>
      </c>
    </row>
    <row r="160" spans="1:8" ht="25.5">
      <c r="A160" s="16" t="s">
        <v>450</v>
      </c>
      <c r="B160" s="17" t="s">
        <v>9</v>
      </c>
      <c r="C160" s="17" t="s">
        <v>451</v>
      </c>
      <c r="D160" s="18" t="s">
        <v>452</v>
      </c>
      <c r="E160" s="17" t="s">
        <v>44</v>
      </c>
      <c r="F160" s="19">
        <v>3.81</v>
      </c>
      <c r="G160" s="20">
        <v>344</v>
      </c>
      <c r="H160" s="19">
        <f t="shared" si="2"/>
        <v>1310.6400000000001</v>
      </c>
    </row>
    <row r="161" spans="1:8" ht="38.25">
      <c r="A161" s="16" t="s">
        <v>453</v>
      </c>
      <c r="B161" s="17" t="s">
        <v>9</v>
      </c>
      <c r="C161" s="17" t="s">
        <v>454</v>
      </c>
      <c r="D161" s="18" t="s">
        <v>455</v>
      </c>
      <c r="E161" s="17" t="s">
        <v>44</v>
      </c>
      <c r="F161" s="19">
        <v>45.22</v>
      </c>
      <c r="G161" s="20">
        <v>52</v>
      </c>
      <c r="H161" s="19">
        <f t="shared" si="2"/>
        <v>2351.44</v>
      </c>
    </row>
    <row r="162" spans="1:8">
      <c r="A162" s="16" t="s">
        <v>456</v>
      </c>
      <c r="B162" s="17" t="s">
        <v>9</v>
      </c>
      <c r="C162" s="17" t="s">
        <v>457</v>
      </c>
      <c r="D162" s="18" t="s">
        <v>458</v>
      </c>
      <c r="E162" s="17" t="s">
        <v>12</v>
      </c>
      <c r="F162" s="19">
        <v>8.93</v>
      </c>
      <c r="G162" s="20">
        <v>321.8</v>
      </c>
      <c r="H162" s="19">
        <f t="shared" si="2"/>
        <v>2873.674</v>
      </c>
    </row>
    <row r="163" spans="1:8">
      <c r="A163" s="16" t="s">
        <v>459</v>
      </c>
      <c r="B163" s="17" t="s">
        <v>9</v>
      </c>
      <c r="C163" s="17" t="s">
        <v>460</v>
      </c>
      <c r="D163" s="18" t="s">
        <v>461</v>
      </c>
      <c r="E163" s="17" t="s">
        <v>12</v>
      </c>
      <c r="F163" s="19">
        <v>296.3</v>
      </c>
      <c r="G163" s="20">
        <v>48</v>
      </c>
      <c r="H163" s="19">
        <f t="shared" si="2"/>
        <v>14222.400000000001</v>
      </c>
    </row>
    <row r="164" spans="1:8" ht="38.25">
      <c r="A164" s="16" t="s">
        <v>520</v>
      </c>
      <c r="B164" s="17" t="s">
        <v>9</v>
      </c>
      <c r="C164" s="17" t="s">
        <v>521</v>
      </c>
      <c r="D164" s="18" t="s">
        <v>522</v>
      </c>
      <c r="E164" s="17" t="s">
        <v>12</v>
      </c>
      <c r="F164" s="19">
        <v>240.71</v>
      </c>
      <c r="G164" s="20">
        <v>93.2</v>
      </c>
      <c r="H164" s="19">
        <f t="shared" si="2"/>
        <v>22434.172000000002</v>
      </c>
    </row>
    <row r="165" spans="1:8" ht="38.25">
      <c r="A165" s="16" t="s">
        <v>523</v>
      </c>
      <c r="B165" s="17" t="s">
        <v>9</v>
      </c>
      <c r="C165" s="17" t="s">
        <v>454</v>
      </c>
      <c r="D165" s="18" t="s">
        <v>455</v>
      </c>
      <c r="E165" s="17" t="s">
        <v>44</v>
      </c>
      <c r="F165" s="19">
        <v>45.22</v>
      </c>
      <c r="G165" s="20">
        <v>51.7</v>
      </c>
      <c r="H165" s="19">
        <f t="shared" si="2"/>
        <v>2337.8740000000003</v>
      </c>
    </row>
    <row r="166" spans="1:8" ht="38.25">
      <c r="A166" s="16" t="s">
        <v>524</v>
      </c>
      <c r="B166" s="17" t="s">
        <v>9</v>
      </c>
      <c r="C166" s="17" t="s">
        <v>525</v>
      </c>
      <c r="D166" s="18" t="s">
        <v>526</v>
      </c>
      <c r="E166" s="17" t="s">
        <v>12</v>
      </c>
      <c r="F166" s="19">
        <v>65.77</v>
      </c>
      <c r="G166" s="20">
        <v>160</v>
      </c>
      <c r="H166" s="19">
        <f t="shared" si="2"/>
        <v>10523.199999999999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D671"/>
  <sheetViews>
    <sheetView view="pageBreakPreview" topLeftCell="R1" zoomScaleNormal="100" zoomScaleSheetLayoutView="100" workbookViewId="0">
      <selection activeCell="AO8" sqref="AO8"/>
    </sheetView>
  </sheetViews>
  <sheetFormatPr defaultRowHeight="15"/>
  <cols>
    <col min="1" max="1" width="9.140625" hidden="1" customWidth="1"/>
    <col min="2" max="2" width="13.140625" style="100" customWidth="1"/>
    <col min="3" max="3" width="20.7109375" style="149" customWidth="1"/>
    <col min="4" max="4" width="36.5703125" customWidth="1"/>
    <col min="5" max="5" width="10.140625" style="149" customWidth="1"/>
    <col min="6" max="6" width="15.42578125" style="150" customWidth="1"/>
    <col min="7" max="7" width="13.7109375" style="149" customWidth="1"/>
    <col min="8" max="8" width="22" customWidth="1"/>
    <col min="9" max="9" width="12.7109375" customWidth="1"/>
    <col min="10" max="10" width="15.7109375" customWidth="1"/>
    <col min="11" max="11" width="10.7109375" customWidth="1"/>
    <col min="12" max="12" width="12.7109375" hidden="1" customWidth="1"/>
    <col min="13" max="13" width="15.7109375" hidden="1" customWidth="1"/>
    <col min="14" max="14" width="11.28515625" hidden="1" customWidth="1"/>
    <col min="15" max="15" width="12.7109375" hidden="1" customWidth="1"/>
    <col min="16" max="16" width="15.7109375" hidden="1" customWidth="1"/>
    <col min="17" max="17" width="13.5703125" hidden="1" customWidth="1"/>
    <col min="18" max="18" width="12.7109375" customWidth="1"/>
    <col min="19" max="19" width="15.7109375" customWidth="1"/>
    <col min="20" max="20" width="16.140625" customWidth="1"/>
    <col min="21" max="21" width="12.7109375" customWidth="1"/>
    <col min="22" max="22" width="15.7109375" customWidth="1"/>
    <col min="23" max="23" width="10.7109375" customWidth="1"/>
    <col min="24" max="24" width="12.7109375" hidden="1" customWidth="1"/>
    <col min="25" max="25" width="15.7109375" hidden="1" customWidth="1"/>
    <col min="26" max="26" width="10.7109375" hidden="1" customWidth="1"/>
    <col min="27" max="27" width="12.7109375" hidden="1" customWidth="1"/>
    <col min="28" max="28" width="15.7109375" hidden="1" customWidth="1"/>
    <col min="29" max="29" width="10.7109375" hidden="1" customWidth="1"/>
    <col min="30" max="30" width="12.7109375" hidden="1" customWidth="1"/>
    <col min="31" max="31" width="15.7109375" hidden="1" customWidth="1"/>
    <col min="32" max="32" width="10.7109375" hidden="1" customWidth="1"/>
    <col min="33" max="33" width="12.7109375" hidden="1" customWidth="1"/>
    <col min="34" max="34" width="15.7109375" hidden="1" customWidth="1"/>
    <col min="35" max="35" width="10.7109375" hidden="1" customWidth="1"/>
    <col min="36" max="36" width="12.7109375" hidden="1" customWidth="1"/>
    <col min="37" max="37" width="15.7109375" hidden="1" customWidth="1"/>
    <col min="38" max="38" width="10.7109375" hidden="1" customWidth="1"/>
    <col min="39" max="39" width="12.7109375" style="49" hidden="1" customWidth="1"/>
    <col min="40" max="40" width="15.7109375" hidden="1" customWidth="1"/>
    <col min="41" max="41" width="10.7109375" hidden="1" customWidth="1"/>
    <col min="42" max="42" width="12.7109375" style="47" customWidth="1"/>
    <col min="43" max="43" width="15.7109375" customWidth="1"/>
    <col min="44" max="44" width="11.7109375" customWidth="1"/>
    <col min="45" max="45" width="12.7109375" customWidth="1"/>
    <col min="46" max="46" width="19.5703125" customWidth="1"/>
    <col min="47" max="47" width="12.5703125" customWidth="1"/>
    <col min="48" max="53" width="12.7109375" customWidth="1"/>
  </cols>
  <sheetData>
    <row r="1" spans="1:49" ht="15" customHeight="1">
      <c r="A1" s="1902" t="s">
        <v>498</v>
      </c>
      <c r="B1" s="1903"/>
      <c r="C1" s="1903"/>
      <c r="D1" s="1903"/>
      <c r="E1" s="1903"/>
      <c r="F1" s="1903"/>
      <c r="G1" s="1903"/>
      <c r="H1" s="1903"/>
      <c r="I1" s="1903"/>
      <c r="J1" s="1903"/>
      <c r="K1" s="1903"/>
      <c r="L1" s="1903"/>
      <c r="M1" s="1903"/>
      <c r="N1" s="1903"/>
      <c r="O1" s="1903"/>
      <c r="P1" s="1903"/>
      <c r="Q1" s="1903"/>
      <c r="R1" s="1903"/>
      <c r="S1" s="1903"/>
      <c r="T1" s="1903"/>
      <c r="U1" s="1903"/>
      <c r="V1" s="1903"/>
      <c r="W1" s="1903"/>
      <c r="X1" s="1903"/>
      <c r="Y1" s="1903"/>
      <c r="Z1" s="1903"/>
      <c r="AA1" s="1903"/>
      <c r="AB1" s="1903"/>
      <c r="AC1" s="1903"/>
      <c r="AD1" s="1903"/>
      <c r="AE1" s="1903"/>
      <c r="AF1" s="1903"/>
      <c r="AG1" s="1903"/>
      <c r="AH1" s="1903"/>
      <c r="AI1" s="1903"/>
      <c r="AJ1" s="1903"/>
      <c r="AK1" s="1903"/>
      <c r="AL1" s="1903"/>
      <c r="AM1" s="1903"/>
      <c r="AN1" s="1903"/>
      <c r="AO1" s="1903"/>
      <c r="AP1" s="1903"/>
      <c r="AQ1" s="1903"/>
      <c r="AR1" s="1903"/>
      <c r="AS1" s="1903"/>
      <c r="AT1" s="1903"/>
      <c r="AU1" s="1904"/>
    </row>
    <row r="2" spans="1:49" ht="65.25" customHeight="1">
      <c r="A2" s="1905"/>
      <c r="B2" s="1906"/>
      <c r="C2" s="1906"/>
      <c r="D2" s="1906"/>
      <c r="E2" s="1906"/>
      <c r="F2" s="1906"/>
      <c r="G2" s="1906"/>
      <c r="H2" s="1906"/>
      <c r="I2" s="1906"/>
      <c r="J2" s="1906"/>
      <c r="K2" s="1906"/>
      <c r="L2" s="1906"/>
      <c r="M2" s="1906"/>
      <c r="N2" s="1906"/>
      <c r="O2" s="1906"/>
      <c r="P2" s="1906"/>
      <c r="Q2" s="1906"/>
      <c r="R2" s="1906"/>
      <c r="S2" s="1906"/>
      <c r="T2" s="1906"/>
      <c r="U2" s="1906"/>
      <c r="V2" s="1906"/>
      <c r="W2" s="1906"/>
      <c r="X2" s="1906"/>
      <c r="Y2" s="1906"/>
      <c r="Z2" s="1906"/>
      <c r="AA2" s="1906"/>
      <c r="AB2" s="1906"/>
      <c r="AC2" s="1906"/>
      <c r="AD2" s="1906"/>
      <c r="AE2" s="1906"/>
      <c r="AF2" s="1906"/>
      <c r="AG2" s="1906"/>
      <c r="AH2" s="1906"/>
      <c r="AI2" s="1906"/>
      <c r="AJ2" s="1906"/>
      <c r="AK2" s="1906"/>
      <c r="AL2" s="1906"/>
      <c r="AM2" s="1906"/>
      <c r="AN2" s="1906"/>
      <c r="AO2" s="1906"/>
      <c r="AP2" s="1906"/>
      <c r="AQ2" s="1906"/>
      <c r="AR2" s="1906"/>
      <c r="AS2" s="1906"/>
      <c r="AT2" s="1906"/>
      <c r="AU2" s="1907"/>
    </row>
    <row r="3" spans="1:49" s="89" customFormat="1" ht="10.5" customHeight="1">
      <c r="A3" s="1908" t="s">
        <v>501</v>
      </c>
      <c r="B3" s="1909"/>
      <c r="C3" s="1909"/>
      <c r="D3" s="1909"/>
      <c r="E3" s="1909"/>
      <c r="F3" s="1909"/>
      <c r="G3" s="1909"/>
      <c r="H3" s="1909"/>
      <c r="I3" s="1909"/>
      <c r="J3" s="1909"/>
      <c r="K3" s="1909"/>
      <c r="L3" s="1909"/>
      <c r="M3" s="1909"/>
      <c r="N3" s="1909"/>
      <c r="O3" s="1909"/>
      <c r="P3" s="1909"/>
      <c r="Q3" s="1909"/>
      <c r="R3" s="1909"/>
      <c r="S3" s="1909"/>
      <c r="T3" s="1909"/>
      <c r="U3" s="1909"/>
      <c r="V3" s="1909"/>
      <c r="W3" s="1909"/>
      <c r="X3" s="1909"/>
      <c r="Y3" s="1909"/>
      <c r="Z3" s="1909"/>
      <c r="AA3" s="1909"/>
      <c r="AB3" s="1909"/>
      <c r="AC3" s="1909"/>
      <c r="AD3" s="1909"/>
      <c r="AE3" s="1909"/>
      <c r="AF3" s="1909"/>
      <c r="AG3" s="1909"/>
      <c r="AH3" s="1909"/>
      <c r="AI3" s="1909"/>
      <c r="AJ3" s="1909"/>
      <c r="AK3" s="1909"/>
      <c r="AL3" s="1909"/>
      <c r="AM3" s="1909"/>
      <c r="AN3" s="1909"/>
      <c r="AO3" s="1909"/>
      <c r="AP3" s="1909"/>
      <c r="AQ3" s="1909"/>
      <c r="AR3" s="1909"/>
      <c r="AS3" s="1909"/>
      <c r="AT3" s="1909"/>
      <c r="AU3" s="1910"/>
    </row>
    <row r="4" spans="1:49" ht="18.75" customHeight="1">
      <c r="A4" s="1911" t="s">
        <v>500</v>
      </c>
      <c r="B4" s="1911"/>
      <c r="C4" s="1911"/>
      <c r="D4" s="1911"/>
      <c r="E4" s="1912" t="s">
        <v>2147</v>
      </c>
      <c r="F4" s="1912"/>
      <c r="G4" s="1912"/>
      <c r="H4" s="1473"/>
      <c r="I4" s="1913" t="s">
        <v>2154</v>
      </c>
      <c r="J4" s="1914"/>
      <c r="K4" s="1914"/>
      <c r="L4" s="1914"/>
      <c r="M4" s="54"/>
      <c r="N4" s="55"/>
      <c r="O4" s="55"/>
      <c r="P4" s="55"/>
      <c r="Q4" s="55"/>
      <c r="R4" s="55"/>
      <c r="S4" s="55"/>
      <c r="T4" s="55"/>
      <c r="U4" s="56"/>
      <c r="V4" s="55"/>
      <c r="W4" s="55"/>
      <c r="X4" s="57"/>
      <c r="Y4" s="54"/>
      <c r="Z4" s="54"/>
      <c r="AA4" s="54"/>
      <c r="AB4" s="54"/>
      <c r="AC4" s="58"/>
      <c r="AD4" s="54"/>
      <c r="AE4" s="54"/>
      <c r="AF4" s="54"/>
      <c r="AG4" s="54"/>
      <c r="AH4" s="54"/>
      <c r="AI4" s="54"/>
      <c r="AJ4" s="54"/>
      <c r="AK4" s="54"/>
      <c r="AL4" s="54"/>
      <c r="AM4" s="59"/>
      <c r="AN4" s="54"/>
      <c r="AO4" s="54"/>
      <c r="AP4" s="60"/>
      <c r="AQ4" s="61"/>
      <c r="AR4" s="1912" t="s">
        <v>2143</v>
      </c>
      <c r="AS4" s="1912"/>
      <c r="AT4" s="1912"/>
      <c r="AU4" s="1912"/>
    </row>
    <row r="5" spans="1:49" ht="38.25" customHeight="1">
      <c r="A5" s="1919" t="s">
        <v>2148</v>
      </c>
      <c r="B5" s="1920"/>
      <c r="C5" s="1920"/>
      <c r="D5" s="1920"/>
      <c r="E5" s="1921" t="s">
        <v>2144</v>
      </c>
      <c r="F5" s="1921"/>
      <c r="G5" s="1921"/>
      <c r="H5" s="1921"/>
      <c r="I5" s="1915"/>
      <c r="J5" s="1916"/>
      <c r="K5" s="1916"/>
      <c r="L5" s="1916"/>
      <c r="M5" s="54"/>
      <c r="N5" s="54"/>
      <c r="O5" s="54"/>
      <c r="P5" s="62"/>
      <c r="Q5" s="62"/>
      <c r="R5" s="62"/>
      <c r="S5" s="62"/>
      <c r="T5" s="62"/>
      <c r="U5" s="63"/>
      <c r="V5" s="62"/>
      <c r="W5" s="62"/>
      <c r="X5" s="64"/>
      <c r="Y5" s="54"/>
      <c r="Z5" s="65"/>
      <c r="AA5" s="66"/>
      <c r="AB5" s="67"/>
      <c r="AC5" s="67"/>
      <c r="AD5" s="54"/>
      <c r="AE5" s="54"/>
      <c r="AF5" s="54"/>
      <c r="AG5" s="54"/>
      <c r="AH5" s="54"/>
      <c r="AI5" s="54"/>
      <c r="AJ5" s="54"/>
      <c r="AK5" s="54"/>
      <c r="AL5" s="54"/>
      <c r="AM5" s="59"/>
      <c r="AN5" s="54"/>
      <c r="AO5" s="54"/>
      <c r="AP5" s="60"/>
      <c r="AQ5" s="68"/>
      <c r="AR5" s="1922" t="s">
        <v>2145</v>
      </c>
      <c r="AS5" s="1922"/>
      <c r="AT5" s="1922"/>
      <c r="AU5" s="1922"/>
    </row>
    <row r="6" spans="1:49" ht="18.75" customHeight="1">
      <c r="A6" s="1919" t="s">
        <v>2141</v>
      </c>
      <c r="B6" s="1919"/>
      <c r="C6" s="1919"/>
      <c r="D6" s="1919"/>
      <c r="E6" s="1923" t="s">
        <v>2142</v>
      </c>
      <c r="F6" s="1923"/>
      <c r="G6" s="1923"/>
      <c r="H6" s="1923"/>
      <c r="I6" s="1917"/>
      <c r="J6" s="1918"/>
      <c r="K6" s="1918"/>
      <c r="L6" s="1918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54"/>
      <c r="Z6" s="54"/>
      <c r="AA6" s="54"/>
      <c r="AB6" s="67"/>
      <c r="AC6" s="67"/>
      <c r="AD6" s="54"/>
      <c r="AE6" s="54"/>
      <c r="AF6" s="54"/>
      <c r="AG6" s="54"/>
      <c r="AH6" s="54"/>
      <c r="AI6" s="54"/>
      <c r="AJ6" s="54"/>
      <c r="AK6" s="54"/>
      <c r="AL6" s="54"/>
      <c r="AM6" s="59"/>
      <c r="AN6" s="54"/>
      <c r="AO6" s="54"/>
      <c r="AP6" s="60"/>
      <c r="AQ6" s="61"/>
      <c r="AR6" s="1924" t="s">
        <v>2146</v>
      </c>
      <c r="AS6" s="1924"/>
      <c r="AT6" s="1924"/>
      <c r="AU6" s="1924"/>
    </row>
    <row r="7" spans="1:49" s="52" customFormat="1" ht="24" customHeight="1">
      <c r="A7" s="1469" t="s">
        <v>0</v>
      </c>
      <c r="B7" s="1469"/>
      <c r="C7" s="1469"/>
      <c r="D7" s="1469"/>
      <c r="E7" s="1469"/>
      <c r="F7" s="1469"/>
      <c r="G7" s="1469"/>
      <c r="H7" s="1469"/>
      <c r="I7" s="1471" t="s">
        <v>463</v>
      </c>
      <c r="J7" s="1471"/>
      <c r="K7" s="1471"/>
      <c r="L7" s="1928" t="s">
        <v>464</v>
      </c>
      <c r="M7" s="1928"/>
      <c r="N7" s="1928"/>
      <c r="O7" s="1928" t="s">
        <v>465</v>
      </c>
      <c r="P7" s="1928"/>
      <c r="Q7" s="1928"/>
      <c r="R7" s="1928" t="s">
        <v>466</v>
      </c>
      <c r="S7" s="1928"/>
      <c r="T7" s="1928"/>
      <c r="U7" s="1928" t="s">
        <v>467</v>
      </c>
      <c r="V7" s="1928"/>
      <c r="W7" s="1928"/>
      <c r="X7" s="1928" t="s">
        <v>468</v>
      </c>
      <c r="Y7" s="1928"/>
      <c r="Z7" s="1928"/>
      <c r="AA7" s="1928" t="s">
        <v>469</v>
      </c>
      <c r="AB7" s="1928"/>
      <c r="AC7" s="1928"/>
      <c r="AD7" s="1928" t="s">
        <v>470</v>
      </c>
      <c r="AE7" s="1928"/>
      <c r="AF7" s="1928"/>
      <c r="AG7" s="1928" t="s">
        <v>471</v>
      </c>
      <c r="AH7" s="1928"/>
      <c r="AI7" s="1928"/>
      <c r="AJ7" s="1928" t="s">
        <v>472</v>
      </c>
      <c r="AK7" s="1928"/>
      <c r="AL7" s="1928"/>
      <c r="AM7" s="1928" t="s">
        <v>473</v>
      </c>
      <c r="AN7" s="1928"/>
      <c r="AO7" s="1928"/>
      <c r="AP7" s="1929" t="s">
        <v>477</v>
      </c>
      <c r="AQ7" s="1929"/>
      <c r="AR7" s="1929"/>
      <c r="AS7" s="1464" t="s">
        <v>474</v>
      </c>
      <c r="AT7" s="1464"/>
      <c r="AU7" s="1464"/>
      <c r="AV7" s="1930"/>
      <c r="AW7" s="1931"/>
    </row>
    <row r="8" spans="1:49" s="53" customFormat="1" ht="39" customHeight="1">
      <c r="A8" s="70"/>
      <c r="B8" s="71" t="s">
        <v>1</v>
      </c>
      <c r="C8" s="71" t="s">
        <v>2</v>
      </c>
      <c r="D8" s="72" t="s">
        <v>3</v>
      </c>
      <c r="E8" s="71" t="s">
        <v>4</v>
      </c>
      <c r="F8" s="88" t="s">
        <v>5</v>
      </c>
      <c r="G8" s="74" t="s">
        <v>6</v>
      </c>
      <c r="H8" s="73" t="s">
        <v>7</v>
      </c>
      <c r="I8" s="75" t="s">
        <v>475</v>
      </c>
      <c r="J8" s="75" t="s">
        <v>476</v>
      </c>
      <c r="K8" s="75" t="s">
        <v>499</v>
      </c>
      <c r="L8" s="76" t="s">
        <v>475</v>
      </c>
      <c r="M8" s="76" t="s">
        <v>476</v>
      </c>
      <c r="N8" s="76" t="s">
        <v>499</v>
      </c>
      <c r="O8" s="76" t="s">
        <v>475</v>
      </c>
      <c r="P8" s="76" t="s">
        <v>476</v>
      </c>
      <c r="Q8" s="76" t="s">
        <v>499</v>
      </c>
      <c r="R8" s="76" t="s">
        <v>475</v>
      </c>
      <c r="S8" s="76" t="s">
        <v>476</v>
      </c>
      <c r="T8" s="76" t="s">
        <v>499</v>
      </c>
      <c r="U8" s="76" t="s">
        <v>475</v>
      </c>
      <c r="V8" s="76" t="s">
        <v>476</v>
      </c>
      <c r="W8" s="76" t="s">
        <v>499</v>
      </c>
      <c r="X8" s="76" t="s">
        <v>475</v>
      </c>
      <c r="Y8" s="76" t="s">
        <v>476</v>
      </c>
      <c r="Z8" s="76" t="s">
        <v>499</v>
      </c>
      <c r="AA8" s="76" t="s">
        <v>475</v>
      </c>
      <c r="AB8" s="76" t="s">
        <v>476</v>
      </c>
      <c r="AC8" s="76" t="s">
        <v>499</v>
      </c>
      <c r="AD8" s="76" t="s">
        <v>475</v>
      </c>
      <c r="AE8" s="76" t="s">
        <v>476</v>
      </c>
      <c r="AF8" s="76" t="s">
        <v>499</v>
      </c>
      <c r="AG8" s="76" t="s">
        <v>475</v>
      </c>
      <c r="AH8" s="76" t="s">
        <v>476</v>
      </c>
      <c r="AI8" s="76" t="s">
        <v>499</v>
      </c>
      <c r="AJ8" s="76" t="s">
        <v>475</v>
      </c>
      <c r="AK8" s="76" t="s">
        <v>476</v>
      </c>
      <c r="AL8" s="76" t="s">
        <v>499</v>
      </c>
      <c r="AM8" s="77" t="s">
        <v>475</v>
      </c>
      <c r="AN8" s="76" t="s">
        <v>476</v>
      </c>
      <c r="AO8" s="76" t="s">
        <v>499</v>
      </c>
      <c r="AP8" s="78" t="s">
        <v>475</v>
      </c>
      <c r="AQ8" s="79" t="s">
        <v>476</v>
      </c>
      <c r="AR8" s="79" t="s">
        <v>499</v>
      </c>
      <c r="AS8" s="80" t="s">
        <v>475</v>
      </c>
      <c r="AT8" s="80" t="s">
        <v>476</v>
      </c>
      <c r="AU8" s="81" t="s">
        <v>499</v>
      </c>
    </row>
    <row r="9" spans="1:49" s="93" customFormat="1" ht="16.5" customHeight="1">
      <c r="A9" s="90"/>
      <c r="B9" s="95" t="s">
        <v>2107</v>
      </c>
      <c r="C9" s="1925" t="s">
        <v>527</v>
      </c>
      <c r="D9" s="1925"/>
      <c r="E9" s="1925"/>
      <c r="F9" s="1925"/>
      <c r="G9" s="1925"/>
      <c r="H9" s="107">
        <f>H10+H43+H45+H48</f>
        <v>263137.12400000001</v>
      </c>
      <c r="I9" s="91"/>
      <c r="J9" s="107">
        <f>J10+J43+J45+J48</f>
        <v>224530.33050000001</v>
      </c>
      <c r="K9" s="113">
        <f>J9/$H9</f>
        <v>0.85328260447203186</v>
      </c>
      <c r="L9" s="91"/>
      <c r="M9" s="107">
        <f>M10+M43+M45+M48</f>
        <v>96037.197199999995</v>
      </c>
      <c r="N9" s="113">
        <f>M9/$H9</f>
        <v>0.36497015601645016</v>
      </c>
      <c r="O9" s="91"/>
      <c r="P9" s="107">
        <f>P10+P43+P45+P48</f>
        <v>128493.13330000002</v>
      </c>
      <c r="Q9" s="113">
        <f>P9/$H9</f>
        <v>0.48831244845558169</v>
      </c>
      <c r="R9" s="91"/>
      <c r="S9" s="107">
        <f>S10+S43+S45+S48</f>
        <v>23221.4476</v>
      </c>
      <c r="T9" s="113">
        <f>S9/$H9</f>
        <v>8.8248466225541014E-2</v>
      </c>
      <c r="U9" s="91"/>
      <c r="V9" s="107">
        <f>V10+V43+V45+V48</f>
        <v>0</v>
      </c>
      <c r="W9" s="113">
        <f>V9/$H9</f>
        <v>0</v>
      </c>
      <c r="X9" s="91"/>
      <c r="Y9" s="107">
        <f>Y10+Y43+Y45+Y48</f>
        <v>0</v>
      </c>
      <c r="Z9" s="113">
        <f>Y9/$H9</f>
        <v>0</v>
      </c>
      <c r="AA9" s="91"/>
      <c r="AB9" s="107">
        <f>AB10+AB43+AB45+AB48</f>
        <v>0</v>
      </c>
      <c r="AC9" s="113">
        <f>AB9/$H9</f>
        <v>0</v>
      </c>
      <c r="AD9" s="91"/>
      <c r="AE9" s="107">
        <f>AE10+AE43+AE45+AE48</f>
        <v>0</v>
      </c>
      <c r="AF9" s="113">
        <f>AE9/$H9</f>
        <v>0</v>
      </c>
      <c r="AG9" s="91"/>
      <c r="AH9" s="107">
        <f>AH10+AH43+AH45+AH48</f>
        <v>0</v>
      </c>
      <c r="AI9" s="113">
        <f>AH9/$H9</f>
        <v>0</v>
      </c>
      <c r="AJ9" s="91"/>
      <c r="AK9" s="107">
        <f>AK10+AK43+AK45+AK48</f>
        <v>0</v>
      </c>
      <c r="AL9" s="113">
        <f>AK9/$H9</f>
        <v>0</v>
      </c>
      <c r="AM9" s="91"/>
      <c r="AN9" s="107">
        <f>AN10+AN43+AN45+AN48</f>
        <v>0</v>
      </c>
      <c r="AO9" s="113">
        <f>AN9/$H9</f>
        <v>0</v>
      </c>
      <c r="AP9" s="92">
        <f t="shared" ref="AP9:AP72" si="0">AM9+AJ9+AG9+AD9+AA9+X9+U9+R9+O9+L9</f>
        <v>0</v>
      </c>
      <c r="AQ9" s="107">
        <f>AQ10+AQ43+AQ45+AQ48</f>
        <v>247751.77810000003</v>
      </c>
      <c r="AR9" s="113">
        <f>AQ9/$H9</f>
        <v>0.94153107069757291</v>
      </c>
      <c r="AS9" s="92">
        <f t="shared" ref="AS9:AS72" si="1">G9-AP9</f>
        <v>0</v>
      </c>
      <c r="AT9" s="107">
        <f>AT10+AT43+AT45+AT48</f>
        <v>15385.345899999998</v>
      </c>
      <c r="AU9" s="113">
        <f>AT9/$H9</f>
        <v>5.8468929302427114E-2</v>
      </c>
    </row>
    <row r="10" spans="1:49" s="104" customFormat="1" ht="15" customHeight="1">
      <c r="A10" s="94"/>
      <c r="B10" s="96" t="s">
        <v>2108</v>
      </c>
      <c r="C10" s="1926" t="s">
        <v>528</v>
      </c>
      <c r="D10" s="1926"/>
      <c r="E10" s="1926"/>
      <c r="F10" s="1926"/>
      <c r="G10" s="1926"/>
      <c r="H10" s="105">
        <f>SUM(H11:H42)</f>
        <v>171883.549</v>
      </c>
      <c r="I10" s="101"/>
      <c r="J10" s="105">
        <f>SUM(J11:J42)</f>
        <v>163113.45700000002</v>
      </c>
      <c r="K10" s="102">
        <f>J10/$H10</f>
        <v>0.94897654806976339</v>
      </c>
      <c r="L10" s="101"/>
      <c r="M10" s="105">
        <f>SUM(M11:M42)</f>
        <v>66001.325400000002</v>
      </c>
      <c r="N10" s="102">
        <f>M10/$H10</f>
        <v>0.38398861196425493</v>
      </c>
      <c r="O10" s="101"/>
      <c r="P10" s="105">
        <f>SUM(P11:P42)</f>
        <v>97112.131600000008</v>
      </c>
      <c r="Q10" s="102">
        <f>P10/$H10</f>
        <v>0.56498793610550835</v>
      </c>
      <c r="R10" s="101"/>
      <c r="S10" s="105">
        <f>SUM(S11:S42)</f>
        <v>137.44</v>
      </c>
      <c r="T10" s="102">
        <f>S10/$H10</f>
        <v>7.9961113672373616E-4</v>
      </c>
      <c r="U10" s="101"/>
      <c r="V10" s="105">
        <f>SUM(V11:V42)</f>
        <v>0</v>
      </c>
      <c r="W10" s="102">
        <f>V10/$H10</f>
        <v>0</v>
      </c>
      <c r="X10" s="101"/>
      <c r="Y10" s="105">
        <f>SUM(Y11:Y42)</f>
        <v>0</v>
      </c>
      <c r="Z10" s="102">
        <f>Y10/$H10</f>
        <v>0</v>
      </c>
      <c r="AA10" s="101"/>
      <c r="AB10" s="105">
        <f>SUM(AB11:AB42)</f>
        <v>0</v>
      </c>
      <c r="AC10" s="102">
        <f>AB10/$H10</f>
        <v>0</v>
      </c>
      <c r="AD10" s="101"/>
      <c r="AE10" s="105">
        <f>SUM(AE11:AE42)</f>
        <v>0</v>
      </c>
      <c r="AF10" s="102">
        <f>AE10/$H10</f>
        <v>0</v>
      </c>
      <c r="AG10" s="101"/>
      <c r="AH10" s="105">
        <f>SUM(AH11:AH42)</f>
        <v>0</v>
      </c>
      <c r="AI10" s="102">
        <f>AH10/$H10</f>
        <v>0</v>
      </c>
      <c r="AJ10" s="101"/>
      <c r="AK10" s="105">
        <f>SUM(AK11:AK42)</f>
        <v>0</v>
      </c>
      <c r="AL10" s="102">
        <f>AK10/$H10</f>
        <v>0</v>
      </c>
      <c r="AM10" s="101"/>
      <c r="AN10" s="105">
        <f>SUM(AN11:AN42)</f>
        <v>0</v>
      </c>
      <c r="AO10" s="102">
        <f>AN10/$H10</f>
        <v>0</v>
      </c>
      <c r="AP10" s="103">
        <f t="shared" si="0"/>
        <v>0</v>
      </c>
      <c r="AQ10" s="105">
        <f>SUM(AQ11:AQ42)</f>
        <v>163250.89700000003</v>
      </c>
      <c r="AR10" s="102">
        <f>AQ10/$H10</f>
        <v>0.94977615920648706</v>
      </c>
      <c r="AS10" s="103">
        <f t="shared" si="1"/>
        <v>0</v>
      </c>
      <c r="AT10" s="105">
        <f>SUM(AT11:AT42)</f>
        <v>8632.652</v>
      </c>
      <c r="AU10" s="102">
        <f>AT10/$H10</f>
        <v>5.0223840793513053E-2</v>
      </c>
    </row>
    <row r="11" spans="1:49">
      <c r="A11" s="16"/>
      <c r="B11" s="97" t="s">
        <v>534</v>
      </c>
      <c r="C11" s="167" t="s">
        <v>59</v>
      </c>
      <c r="D11" s="86" t="s">
        <v>60</v>
      </c>
      <c r="E11" s="97" t="s">
        <v>51</v>
      </c>
      <c r="F11" s="141">
        <v>62.73</v>
      </c>
      <c r="G11" s="97">
        <v>95.05</v>
      </c>
      <c r="H11" s="85">
        <f>G11*$F11</f>
        <v>5962.4865</v>
      </c>
      <c r="I11" s="50">
        <f>L11+O11</f>
        <v>95.050000000000011</v>
      </c>
      <c r="J11" s="85">
        <f>I11*$F11</f>
        <v>5962.4865</v>
      </c>
      <c r="K11" s="82">
        <f t="shared" ref="K11:K73" si="2">IF(I11=0,"",I11/$G11)</f>
        <v>1.0000000000000002</v>
      </c>
      <c r="L11" s="50">
        <v>41.45</v>
      </c>
      <c r="M11" s="85">
        <f>L11*$F11</f>
        <v>2600.1585</v>
      </c>
      <c r="N11" s="82">
        <f t="shared" ref="N11:N73" si="3">IF(L11=0,"",L11/$G11)</f>
        <v>0.43608627038400843</v>
      </c>
      <c r="O11" s="50">
        <v>53.6</v>
      </c>
      <c r="P11" s="85">
        <f>O11*$F11</f>
        <v>3362.328</v>
      </c>
      <c r="Q11" s="82">
        <f t="shared" ref="Q11:Q73" si="4">IF(O11=0,"",O11/$G11)</f>
        <v>0.56391372961599162</v>
      </c>
      <c r="R11" s="50"/>
      <c r="S11" s="85">
        <f>R11*$F11</f>
        <v>0</v>
      </c>
      <c r="T11" s="82" t="str">
        <f t="shared" ref="T11:T73" si="5">IF(R11=0,"",R11/$G11)</f>
        <v/>
      </c>
      <c r="U11" s="50"/>
      <c r="V11" s="85">
        <f>U11*$F11</f>
        <v>0</v>
      </c>
      <c r="W11" s="82" t="str">
        <f t="shared" ref="W11:W73" si="6">IF(U11=0,"",U11/$G11)</f>
        <v/>
      </c>
      <c r="X11" s="50"/>
      <c r="Y11" s="85">
        <f>X11*$F11</f>
        <v>0</v>
      </c>
      <c r="Z11" s="82" t="str">
        <f t="shared" ref="Z11:Z73" si="7">IF(X11=0,"",X11/$G11)</f>
        <v/>
      </c>
      <c r="AA11" s="50"/>
      <c r="AB11" s="85">
        <f>AA11*$F11</f>
        <v>0</v>
      </c>
      <c r="AC11" s="82" t="str">
        <f t="shared" ref="AC11:AC73" si="8">IF(AA11=0,"",AA11/$G11)</f>
        <v/>
      </c>
      <c r="AD11" s="50"/>
      <c r="AE11" s="85">
        <f>AD11*$F11</f>
        <v>0</v>
      </c>
      <c r="AF11" s="82" t="str">
        <f t="shared" ref="AF11:AF73" si="9">IF(AD11=0,"",AD11/$G11)</f>
        <v/>
      </c>
      <c r="AG11" s="50"/>
      <c r="AH11" s="85">
        <f>AG11*$F11</f>
        <v>0</v>
      </c>
      <c r="AI11" s="82" t="str">
        <f t="shared" ref="AI11:AI73" si="10">IF(AG11=0,"",AG11/$G11)</f>
        <v/>
      </c>
      <c r="AJ11" s="50"/>
      <c r="AK11" s="85">
        <f>AJ11*$F11</f>
        <v>0</v>
      </c>
      <c r="AL11" s="82" t="str">
        <f t="shared" ref="AL11:AL73" si="11">IF(AJ11=0,"",AJ11/$G11)</f>
        <v/>
      </c>
      <c r="AM11" s="50"/>
      <c r="AN11" s="85">
        <f>AM11*$F11</f>
        <v>0</v>
      </c>
      <c r="AO11" s="82" t="str">
        <f t="shared" ref="AO11:AO73" si="12">IF(AM11=0,"",AM11/$G11)</f>
        <v/>
      </c>
      <c r="AP11" s="48">
        <f t="shared" si="0"/>
        <v>95.050000000000011</v>
      </c>
      <c r="AQ11" s="85">
        <f>AP11*$F11</f>
        <v>5962.4865</v>
      </c>
      <c r="AR11" s="82">
        <f t="shared" ref="AR11:AR73" si="13">IF(AP11=0,"",AP11/$G11)</f>
        <v>1.0000000000000002</v>
      </c>
      <c r="AS11" s="48">
        <f t="shared" si="1"/>
        <v>0</v>
      </c>
      <c r="AT11" s="85">
        <f>AS11*$F11</f>
        <v>0</v>
      </c>
      <c r="AU11" s="82" t="str">
        <f t="shared" ref="AU11:AU73" si="14">IF(AS11=0,"",AS11/$G11)</f>
        <v/>
      </c>
    </row>
    <row r="12" spans="1:49" ht="15" customHeight="1">
      <c r="A12" s="16"/>
      <c r="B12" s="97" t="s">
        <v>535</v>
      </c>
      <c r="C12" s="167" t="s">
        <v>536</v>
      </c>
      <c r="D12" s="86" t="s">
        <v>537</v>
      </c>
      <c r="E12" s="97" t="s">
        <v>12</v>
      </c>
      <c r="F12" s="141">
        <v>27.99</v>
      </c>
      <c r="G12" s="97">
        <v>406.26</v>
      </c>
      <c r="H12" s="85">
        <f t="shared" ref="H12:H50" si="15">G12*$F12</f>
        <v>11371.2174</v>
      </c>
      <c r="I12" s="50">
        <f t="shared" ref="I12:I50" si="16">L12+O12</f>
        <v>406.26</v>
      </c>
      <c r="J12" s="85">
        <f t="shared" ref="J12:J42" si="17">I12*$F12</f>
        <v>11371.2174</v>
      </c>
      <c r="K12" s="82">
        <f t="shared" si="2"/>
        <v>1</v>
      </c>
      <c r="L12" s="50">
        <v>406.26</v>
      </c>
      <c r="M12" s="85">
        <f t="shared" ref="M12:M42" si="18">L12*$F12</f>
        <v>11371.2174</v>
      </c>
      <c r="N12" s="82">
        <f t="shared" si="3"/>
        <v>1</v>
      </c>
      <c r="O12" s="50"/>
      <c r="P12" s="85">
        <f t="shared" ref="P12:P42" si="19">O12*$F12</f>
        <v>0</v>
      </c>
      <c r="Q12" s="82" t="str">
        <f t="shared" si="4"/>
        <v/>
      </c>
      <c r="R12" s="50"/>
      <c r="S12" s="85">
        <f t="shared" ref="S12:S42" si="20">R12*$F12</f>
        <v>0</v>
      </c>
      <c r="T12" s="82" t="str">
        <f t="shared" si="5"/>
        <v/>
      </c>
      <c r="U12" s="50"/>
      <c r="V12" s="85">
        <f t="shared" ref="V12:V42" si="21">U12*$F12</f>
        <v>0</v>
      </c>
      <c r="W12" s="82" t="str">
        <f t="shared" si="6"/>
        <v/>
      </c>
      <c r="X12" s="50"/>
      <c r="Y12" s="85">
        <f t="shared" ref="Y12:Y42" si="22">X12*$F12</f>
        <v>0</v>
      </c>
      <c r="Z12" s="82" t="str">
        <f t="shared" si="7"/>
        <v/>
      </c>
      <c r="AA12" s="50"/>
      <c r="AB12" s="85">
        <f t="shared" ref="AB12:AB42" si="23">AA12*$F12</f>
        <v>0</v>
      </c>
      <c r="AC12" s="82" t="str">
        <f t="shared" si="8"/>
        <v/>
      </c>
      <c r="AD12" s="50"/>
      <c r="AE12" s="85">
        <f t="shared" ref="AE12:AE42" si="24">AD12*$F12</f>
        <v>0</v>
      </c>
      <c r="AF12" s="82" t="str">
        <f t="shared" si="9"/>
        <v/>
      </c>
      <c r="AG12" s="50"/>
      <c r="AH12" s="85">
        <f t="shared" ref="AH12:AH42" si="25">AG12*$F12</f>
        <v>0</v>
      </c>
      <c r="AI12" s="82" t="str">
        <f t="shared" si="10"/>
        <v/>
      </c>
      <c r="AJ12" s="50"/>
      <c r="AK12" s="85">
        <f t="shared" ref="AK12:AK42" si="26">AJ12*$F12</f>
        <v>0</v>
      </c>
      <c r="AL12" s="82" t="str">
        <f t="shared" si="11"/>
        <v/>
      </c>
      <c r="AM12" s="50"/>
      <c r="AN12" s="85">
        <f t="shared" ref="AN12:AN42" si="27">AM12*$F12</f>
        <v>0</v>
      </c>
      <c r="AO12" s="82" t="str">
        <f t="shared" si="12"/>
        <v/>
      </c>
      <c r="AP12" s="48">
        <f t="shared" si="0"/>
        <v>406.26</v>
      </c>
      <c r="AQ12" s="85">
        <f t="shared" ref="AQ12:AQ42" si="28">AP12*$F12</f>
        <v>11371.2174</v>
      </c>
      <c r="AR12" s="82">
        <f t="shared" si="13"/>
        <v>1</v>
      </c>
      <c r="AS12" s="48">
        <f t="shared" si="1"/>
        <v>0</v>
      </c>
      <c r="AT12" s="85">
        <f t="shared" ref="AT12:AT42" si="29">AS12*$F12</f>
        <v>0</v>
      </c>
      <c r="AU12" s="82" t="str">
        <f t="shared" si="14"/>
        <v/>
      </c>
    </row>
    <row r="13" spans="1:49" ht="30">
      <c r="A13" s="16"/>
      <c r="B13" s="97" t="s">
        <v>538</v>
      </c>
      <c r="C13" s="167" t="s">
        <v>56</v>
      </c>
      <c r="D13" s="86" t="s">
        <v>57</v>
      </c>
      <c r="E13" s="97" t="s">
        <v>12</v>
      </c>
      <c r="F13" s="141">
        <v>18.420000000000002</v>
      </c>
      <c r="G13" s="97">
        <v>123.33</v>
      </c>
      <c r="H13" s="85">
        <f t="shared" si="15"/>
        <v>2271.7386000000001</v>
      </c>
      <c r="I13" s="50">
        <f t="shared" si="16"/>
        <v>123.33</v>
      </c>
      <c r="J13" s="85">
        <f t="shared" si="17"/>
        <v>2271.7386000000001</v>
      </c>
      <c r="K13" s="82">
        <f t="shared" si="2"/>
        <v>1</v>
      </c>
      <c r="L13" s="50">
        <v>122.48</v>
      </c>
      <c r="M13" s="85">
        <f t="shared" si="18"/>
        <v>2256.0816000000004</v>
      </c>
      <c r="N13" s="82">
        <f t="shared" si="3"/>
        <v>0.99310792183572538</v>
      </c>
      <c r="O13" s="50">
        <v>0.84999999999999432</v>
      </c>
      <c r="P13" s="85">
        <f t="shared" si="19"/>
        <v>15.656999999999897</v>
      </c>
      <c r="Q13" s="82">
        <f t="shared" si="4"/>
        <v>6.8920781642746645E-3</v>
      </c>
      <c r="R13" s="50"/>
      <c r="S13" s="85">
        <f t="shared" si="20"/>
        <v>0</v>
      </c>
      <c r="T13" s="82" t="str">
        <f t="shared" si="5"/>
        <v/>
      </c>
      <c r="U13" s="50"/>
      <c r="V13" s="85">
        <f t="shared" si="21"/>
        <v>0</v>
      </c>
      <c r="W13" s="82" t="str">
        <f t="shared" si="6"/>
        <v/>
      </c>
      <c r="X13" s="50"/>
      <c r="Y13" s="85">
        <f t="shared" si="22"/>
        <v>0</v>
      </c>
      <c r="Z13" s="82" t="str">
        <f t="shared" si="7"/>
        <v/>
      </c>
      <c r="AA13" s="50"/>
      <c r="AB13" s="85">
        <f t="shared" si="23"/>
        <v>0</v>
      </c>
      <c r="AC13" s="82" t="str">
        <f t="shared" si="8"/>
        <v/>
      </c>
      <c r="AD13" s="50"/>
      <c r="AE13" s="85">
        <f t="shared" si="24"/>
        <v>0</v>
      </c>
      <c r="AF13" s="82" t="str">
        <f t="shared" si="9"/>
        <v/>
      </c>
      <c r="AG13" s="50"/>
      <c r="AH13" s="85">
        <f t="shared" si="25"/>
        <v>0</v>
      </c>
      <c r="AI13" s="82" t="str">
        <f t="shared" si="10"/>
        <v/>
      </c>
      <c r="AJ13" s="50"/>
      <c r="AK13" s="85">
        <f t="shared" si="26"/>
        <v>0</v>
      </c>
      <c r="AL13" s="82" t="str">
        <f t="shared" si="11"/>
        <v/>
      </c>
      <c r="AM13" s="50"/>
      <c r="AN13" s="85">
        <f t="shared" si="27"/>
        <v>0</v>
      </c>
      <c r="AO13" s="82" t="str">
        <f t="shared" si="12"/>
        <v/>
      </c>
      <c r="AP13" s="48">
        <f t="shared" si="0"/>
        <v>123.33</v>
      </c>
      <c r="AQ13" s="85">
        <f t="shared" si="28"/>
        <v>2271.7386000000001</v>
      </c>
      <c r="AR13" s="82">
        <f t="shared" si="13"/>
        <v>1</v>
      </c>
      <c r="AS13" s="48">
        <f t="shared" si="1"/>
        <v>0</v>
      </c>
      <c r="AT13" s="85">
        <f t="shared" si="29"/>
        <v>0</v>
      </c>
      <c r="AU13" s="82" t="str">
        <f t="shared" si="14"/>
        <v/>
      </c>
    </row>
    <row r="14" spans="1:49" ht="30">
      <c r="A14" s="16"/>
      <c r="B14" s="97" t="s">
        <v>539</v>
      </c>
      <c r="C14" s="167" t="s">
        <v>540</v>
      </c>
      <c r="D14" s="86" t="s">
        <v>541</v>
      </c>
      <c r="E14" s="97" t="s">
        <v>12</v>
      </c>
      <c r="F14" s="141">
        <v>3.69</v>
      </c>
      <c r="G14" s="97">
        <v>74.81</v>
      </c>
      <c r="H14" s="85">
        <f t="shared" si="15"/>
        <v>276.0489</v>
      </c>
      <c r="I14" s="50">
        <f t="shared" si="16"/>
        <v>74.81</v>
      </c>
      <c r="J14" s="85">
        <f t="shared" si="17"/>
        <v>276.0489</v>
      </c>
      <c r="K14" s="82">
        <f t="shared" si="2"/>
        <v>1</v>
      </c>
      <c r="L14" s="50">
        <v>74.81</v>
      </c>
      <c r="M14" s="85">
        <f t="shared" si="18"/>
        <v>276.0489</v>
      </c>
      <c r="N14" s="187">
        <f t="shared" si="3"/>
        <v>1</v>
      </c>
      <c r="O14" s="50"/>
      <c r="P14" s="85">
        <f t="shared" si="19"/>
        <v>0</v>
      </c>
      <c r="Q14" s="82" t="str">
        <f t="shared" si="4"/>
        <v/>
      </c>
      <c r="R14" s="50"/>
      <c r="S14" s="85">
        <f t="shared" si="20"/>
        <v>0</v>
      </c>
      <c r="T14" s="82" t="str">
        <f t="shared" si="5"/>
        <v/>
      </c>
      <c r="U14" s="50"/>
      <c r="V14" s="85">
        <f t="shared" si="21"/>
        <v>0</v>
      </c>
      <c r="W14" s="82" t="str">
        <f t="shared" si="6"/>
        <v/>
      </c>
      <c r="X14" s="50"/>
      <c r="Y14" s="85">
        <f t="shared" si="22"/>
        <v>0</v>
      </c>
      <c r="Z14" s="82" t="str">
        <f t="shared" si="7"/>
        <v/>
      </c>
      <c r="AA14" s="50"/>
      <c r="AB14" s="85">
        <f t="shared" si="23"/>
        <v>0</v>
      </c>
      <c r="AC14" s="82" t="str">
        <f t="shared" si="8"/>
        <v/>
      </c>
      <c r="AD14" s="50"/>
      <c r="AE14" s="85">
        <f t="shared" si="24"/>
        <v>0</v>
      </c>
      <c r="AF14" s="82" t="str">
        <f t="shared" si="9"/>
        <v/>
      </c>
      <c r="AG14" s="50"/>
      <c r="AH14" s="85">
        <f t="shared" si="25"/>
        <v>0</v>
      </c>
      <c r="AI14" s="82" t="str">
        <f t="shared" si="10"/>
        <v/>
      </c>
      <c r="AJ14" s="50"/>
      <c r="AK14" s="85">
        <f t="shared" si="26"/>
        <v>0</v>
      </c>
      <c r="AL14" s="82" t="str">
        <f t="shared" si="11"/>
        <v/>
      </c>
      <c r="AM14" s="50"/>
      <c r="AN14" s="85">
        <f t="shared" si="27"/>
        <v>0</v>
      </c>
      <c r="AO14" s="82" t="str">
        <f t="shared" si="12"/>
        <v/>
      </c>
      <c r="AP14" s="48">
        <f t="shared" si="0"/>
        <v>74.81</v>
      </c>
      <c r="AQ14" s="85">
        <f t="shared" si="28"/>
        <v>276.0489</v>
      </c>
      <c r="AR14" s="187">
        <f t="shared" si="13"/>
        <v>1</v>
      </c>
      <c r="AS14" s="48">
        <f t="shared" si="1"/>
        <v>0</v>
      </c>
      <c r="AT14" s="85">
        <f t="shared" si="29"/>
        <v>0</v>
      </c>
      <c r="AU14" s="82" t="str">
        <f t="shared" si="14"/>
        <v/>
      </c>
    </row>
    <row r="15" spans="1:49" ht="30">
      <c r="A15" s="16"/>
      <c r="B15" s="97" t="s">
        <v>542</v>
      </c>
      <c r="C15" s="167" t="s">
        <v>481</v>
      </c>
      <c r="D15" s="86" t="s">
        <v>482</v>
      </c>
      <c r="E15" s="97" t="s">
        <v>51</v>
      </c>
      <c r="F15" s="141">
        <v>345.47</v>
      </c>
      <c r="G15" s="97">
        <v>36.159999999999997</v>
      </c>
      <c r="H15" s="85">
        <f t="shared" si="15"/>
        <v>12492.1952</v>
      </c>
      <c r="I15" s="50">
        <f t="shared" si="16"/>
        <v>36.159999999999997</v>
      </c>
      <c r="J15" s="85">
        <f t="shared" si="17"/>
        <v>12492.1952</v>
      </c>
      <c r="K15" s="82">
        <f t="shared" si="2"/>
        <v>1</v>
      </c>
      <c r="L15" s="50"/>
      <c r="M15" s="85">
        <f t="shared" si="18"/>
        <v>0</v>
      </c>
      <c r="N15" s="82" t="str">
        <f t="shared" si="3"/>
        <v/>
      </c>
      <c r="O15" s="50">
        <v>36.159999999999997</v>
      </c>
      <c r="P15" s="85">
        <f t="shared" si="19"/>
        <v>12492.1952</v>
      </c>
      <c r="Q15" s="82">
        <f t="shared" si="4"/>
        <v>1</v>
      </c>
      <c r="R15" s="50"/>
      <c r="S15" s="85">
        <f t="shared" si="20"/>
        <v>0</v>
      </c>
      <c r="T15" s="82" t="str">
        <f t="shared" si="5"/>
        <v/>
      </c>
      <c r="U15" s="50"/>
      <c r="V15" s="85">
        <f t="shared" si="21"/>
        <v>0</v>
      </c>
      <c r="W15" s="82" t="str">
        <f t="shared" si="6"/>
        <v/>
      </c>
      <c r="X15" s="50"/>
      <c r="Y15" s="85">
        <f t="shared" si="22"/>
        <v>0</v>
      </c>
      <c r="Z15" s="82" t="str">
        <f t="shared" si="7"/>
        <v/>
      </c>
      <c r="AA15" s="50"/>
      <c r="AB15" s="85">
        <f t="shared" si="23"/>
        <v>0</v>
      </c>
      <c r="AC15" s="82" t="str">
        <f t="shared" si="8"/>
        <v/>
      </c>
      <c r="AD15" s="50"/>
      <c r="AE15" s="85">
        <f t="shared" si="24"/>
        <v>0</v>
      </c>
      <c r="AF15" s="82" t="str">
        <f t="shared" si="9"/>
        <v/>
      </c>
      <c r="AG15" s="50"/>
      <c r="AH15" s="85">
        <f t="shared" si="25"/>
        <v>0</v>
      </c>
      <c r="AI15" s="82" t="str">
        <f t="shared" si="10"/>
        <v/>
      </c>
      <c r="AJ15" s="50"/>
      <c r="AK15" s="85">
        <f t="shared" si="26"/>
        <v>0</v>
      </c>
      <c r="AL15" s="82" t="str">
        <f t="shared" si="11"/>
        <v/>
      </c>
      <c r="AM15" s="50"/>
      <c r="AN15" s="85">
        <f t="shared" si="27"/>
        <v>0</v>
      </c>
      <c r="AO15" s="82" t="str">
        <f t="shared" si="12"/>
        <v/>
      </c>
      <c r="AP15" s="48">
        <f t="shared" si="0"/>
        <v>36.159999999999997</v>
      </c>
      <c r="AQ15" s="85">
        <f t="shared" si="28"/>
        <v>12492.1952</v>
      </c>
      <c r="AR15" s="82">
        <f t="shared" si="13"/>
        <v>1</v>
      </c>
      <c r="AS15" s="188">
        <f t="shared" si="1"/>
        <v>0</v>
      </c>
      <c r="AT15" s="85">
        <f t="shared" si="29"/>
        <v>0</v>
      </c>
      <c r="AU15" s="82" t="str">
        <f t="shared" si="14"/>
        <v/>
      </c>
    </row>
    <row r="16" spans="1:49" ht="30">
      <c r="A16" s="16"/>
      <c r="B16" s="97" t="s">
        <v>543</v>
      </c>
      <c r="C16" s="167" t="s">
        <v>544</v>
      </c>
      <c r="D16" s="86" t="s">
        <v>530</v>
      </c>
      <c r="E16" s="97" t="s">
        <v>51</v>
      </c>
      <c r="F16" s="141">
        <v>996.93</v>
      </c>
      <c r="G16" s="97">
        <v>74.31</v>
      </c>
      <c r="H16" s="85">
        <f t="shared" si="15"/>
        <v>74081.868300000002</v>
      </c>
      <c r="I16" s="50">
        <f t="shared" si="16"/>
        <v>74.31</v>
      </c>
      <c r="J16" s="85">
        <f t="shared" si="17"/>
        <v>74081.868300000002</v>
      </c>
      <c r="K16" s="82">
        <f t="shared" si="2"/>
        <v>1</v>
      </c>
      <c r="L16" s="50"/>
      <c r="M16" s="85">
        <f t="shared" si="18"/>
        <v>0</v>
      </c>
      <c r="N16" s="82" t="str">
        <f t="shared" si="3"/>
        <v/>
      </c>
      <c r="O16" s="50">
        <v>74.31</v>
      </c>
      <c r="P16" s="85">
        <f t="shared" si="19"/>
        <v>74081.868300000002</v>
      </c>
      <c r="Q16" s="82">
        <f t="shared" si="4"/>
        <v>1</v>
      </c>
      <c r="R16" s="50"/>
      <c r="S16" s="85">
        <f t="shared" si="20"/>
        <v>0</v>
      </c>
      <c r="T16" s="82" t="str">
        <f t="shared" si="5"/>
        <v/>
      </c>
      <c r="U16" s="50"/>
      <c r="V16" s="85">
        <f t="shared" si="21"/>
        <v>0</v>
      </c>
      <c r="W16" s="82" t="str">
        <f t="shared" si="6"/>
        <v/>
      </c>
      <c r="X16" s="50"/>
      <c r="Y16" s="85">
        <f t="shared" si="22"/>
        <v>0</v>
      </c>
      <c r="Z16" s="82" t="str">
        <f t="shared" si="7"/>
        <v/>
      </c>
      <c r="AA16" s="50"/>
      <c r="AB16" s="85">
        <f t="shared" si="23"/>
        <v>0</v>
      </c>
      <c r="AC16" s="82" t="str">
        <f t="shared" si="8"/>
        <v/>
      </c>
      <c r="AD16" s="50"/>
      <c r="AE16" s="85">
        <f t="shared" si="24"/>
        <v>0</v>
      </c>
      <c r="AF16" s="82" t="str">
        <f t="shared" si="9"/>
        <v/>
      </c>
      <c r="AG16" s="50"/>
      <c r="AH16" s="85">
        <f t="shared" si="25"/>
        <v>0</v>
      </c>
      <c r="AI16" s="82" t="str">
        <f t="shared" si="10"/>
        <v/>
      </c>
      <c r="AJ16" s="50"/>
      <c r="AK16" s="85">
        <f t="shared" si="26"/>
        <v>0</v>
      </c>
      <c r="AL16" s="82" t="str">
        <f t="shared" si="11"/>
        <v/>
      </c>
      <c r="AM16" s="50"/>
      <c r="AN16" s="85">
        <f t="shared" si="27"/>
        <v>0</v>
      </c>
      <c r="AO16" s="82" t="str">
        <f t="shared" si="12"/>
        <v/>
      </c>
      <c r="AP16" s="48">
        <f t="shared" si="0"/>
        <v>74.31</v>
      </c>
      <c r="AQ16" s="85">
        <f t="shared" si="28"/>
        <v>74081.868300000002</v>
      </c>
      <c r="AR16" s="82">
        <f t="shared" si="13"/>
        <v>1</v>
      </c>
      <c r="AS16" s="189">
        <f t="shared" si="1"/>
        <v>0</v>
      </c>
      <c r="AT16" s="85">
        <f t="shared" si="29"/>
        <v>0</v>
      </c>
      <c r="AU16" s="82" t="str">
        <f t="shared" si="14"/>
        <v/>
      </c>
    </row>
    <row r="17" spans="1:56">
      <c r="A17" s="16"/>
      <c r="B17" s="97" t="s">
        <v>545</v>
      </c>
      <c r="C17" s="167" t="s">
        <v>62</v>
      </c>
      <c r="D17" s="86" t="s">
        <v>63</v>
      </c>
      <c r="E17" s="97" t="s">
        <v>44</v>
      </c>
      <c r="F17" s="141">
        <v>1.46</v>
      </c>
      <c r="G17" s="97">
        <v>98.85</v>
      </c>
      <c r="H17" s="85">
        <f t="shared" si="15"/>
        <v>144.321</v>
      </c>
      <c r="I17" s="50">
        <f t="shared" si="16"/>
        <v>29.3</v>
      </c>
      <c r="J17" s="85">
        <f t="shared" si="17"/>
        <v>42.777999999999999</v>
      </c>
      <c r="K17" s="82">
        <f t="shared" si="2"/>
        <v>0.29640870005058173</v>
      </c>
      <c r="L17" s="50">
        <v>17.3</v>
      </c>
      <c r="M17" s="85">
        <f t="shared" si="18"/>
        <v>25.257999999999999</v>
      </c>
      <c r="N17" s="82">
        <f t="shared" si="3"/>
        <v>0.17501264542235712</v>
      </c>
      <c r="O17" s="50">
        <v>12</v>
      </c>
      <c r="P17" s="85">
        <f t="shared" si="19"/>
        <v>17.52</v>
      </c>
      <c r="Q17" s="82">
        <f t="shared" si="4"/>
        <v>0.12139605462822459</v>
      </c>
      <c r="R17" s="50"/>
      <c r="S17" s="85">
        <f t="shared" si="20"/>
        <v>0</v>
      </c>
      <c r="T17" s="82" t="str">
        <f t="shared" si="5"/>
        <v/>
      </c>
      <c r="U17" s="50"/>
      <c r="V17" s="85">
        <f t="shared" si="21"/>
        <v>0</v>
      </c>
      <c r="W17" s="82" t="str">
        <f t="shared" si="6"/>
        <v/>
      </c>
      <c r="X17" s="50"/>
      <c r="Y17" s="85">
        <f t="shared" si="22"/>
        <v>0</v>
      </c>
      <c r="Z17" s="82" t="str">
        <f t="shared" si="7"/>
        <v/>
      </c>
      <c r="AA17" s="50"/>
      <c r="AB17" s="85">
        <f t="shared" si="23"/>
        <v>0</v>
      </c>
      <c r="AC17" s="82" t="str">
        <f t="shared" si="8"/>
        <v/>
      </c>
      <c r="AD17" s="50"/>
      <c r="AE17" s="85">
        <f t="shared" si="24"/>
        <v>0</v>
      </c>
      <c r="AF17" s="82" t="str">
        <f t="shared" si="9"/>
        <v/>
      </c>
      <c r="AG17" s="50"/>
      <c r="AH17" s="85">
        <f t="shared" si="25"/>
        <v>0</v>
      </c>
      <c r="AI17" s="82" t="str">
        <f t="shared" si="10"/>
        <v/>
      </c>
      <c r="AJ17" s="50"/>
      <c r="AK17" s="85">
        <f t="shared" si="26"/>
        <v>0</v>
      </c>
      <c r="AL17" s="82" t="str">
        <f t="shared" si="11"/>
        <v/>
      </c>
      <c r="AM17" s="50"/>
      <c r="AN17" s="85">
        <f t="shared" si="27"/>
        <v>0</v>
      </c>
      <c r="AO17" s="82" t="str">
        <f t="shared" si="12"/>
        <v/>
      </c>
      <c r="AP17" s="48">
        <f t="shared" si="0"/>
        <v>29.3</v>
      </c>
      <c r="AQ17" s="85">
        <f t="shared" si="28"/>
        <v>42.777999999999999</v>
      </c>
      <c r="AR17" s="82">
        <f t="shared" si="13"/>
        <v>0.29640870005058173</v>
      </c>
      <c r="AS17" s="48">
        <f t="shared" si="1"/>
        <v>69.55</v>
      </c>
      <c r="AT17" s="85">
        <f t="shared" si="29"/>
        <v>101.54299999999999</v>
      </c>
      <c r="AU17" s="82">
        <f t="shared" si="14"/>
        <v>0.70359129994941827</v>
      </c>
    </row>
    <row r="18" spans="1:56" ht="30">
      <c r="A18" s="16"/>
      <c r="B18" s="97" t="s">
        <v>546</v>
      </c>
      <c r="C18" s="167" t="s">
        <v>547</v>
      </c>
      <c r="D18" s="86" t="s">
        <v>529</v>
      </c>
      <c r="E18" s="97" t="s">
        <v>12</v>
      </c>
      <c r="F18" s="141">
        <v>27.18</v>
      </c>
      <c r="G18" s="97">
        <v>261.5</v>
      </c>
      <c r="H18" s="85">
        <f t="shared" si="15"/>
        <v>7107.57</v>
      </c>
      <c r="I18" s="50">
        <f t="shared" si="16"/>
        <v>87.580000000000013</v>
      </c>
      <c r="J18" s="85">
        <f t="shared" si="17"/>
        <v>2380.4244000000003</v>
      </c>
      <c r="K18" s="82">
        <f t="shared" si="2"/>
        <v>0.33491395793499051</v>
      </c>
      <c r="L18" s="50">
        <v>46.38</v>
      </c>
      <c r="M18" s="85">
        <f t="shared" si="18"/>
        <v>1260.6084000000001</v>
      </c>
      <c r="N18" s="82">
        <f t="shared" si="3"/>
        <v>0.17736137667304017</v>
      </c>
      <c r="O18" s="50">
        <v>41.2</v>
      </c>
      <c r="P18" s="85">
        <f t="shared" si="19"/>
        <v>1119.816</v>
      </c>
      <c r="Q18" s="82">
        <f t="shared" si="4"/>
        <v>0.15755258126195029</v>
      </c>
      <c r="R18" s="50"/>
      <c r="S18" s="85">
        <f t="shared" si="20"/>
        <v>0</v>
      </c>
      <c r="T18" s="82" t="str">
        <f t="shared" si="5"/>
        <v/>
      </c>
      <c r="U18" s="50"/>
      <c r="V18" s="85">
        <f t="shared" si="21"/>
        <v>0</v>
      </c>
      <c r="W18" s="82" t="str">
        <f t="shared" si="6"/>
        <v/>
      </c>
      <c r="X18" s="50"/>
      <c r="Y18" s="85">
        <f t="shared" si="22"/>
        <v>0</v>
      </c>
      <c r="Z18" s="82" t="str">
        <f t="shared" si="7"/>
        <v/>
      </c>
      <c r="AA18" s="50"/>
      <c r="AB18" s="85">
        <f t="shared" si="23"/>
        <v>0</v>
      </c>
      <c r="AC18" s="82" t="str">
        <f t="shared" si="8"/>
        <v/>
      </c>
      <c r="AD18" s="50"/>
      <c r="AE18" s="85">
        <f t="shared" si="24"/>
        <v>0</v>
      </c>
      <c r="AF18" s="82" t="str">
        <f t="shared" si="9"/>
        <v/>
      </c>
      <c r="AG18" s="50"/>
      <c r="AH18" s="85">
        <f t="shared" si="25"/>
        <v>0</v>
      </c>
      <c r="AI18" s="82" t="str">
        <f t="shared" si="10"/>
        <v/>
      </c>
      <c r="AJ18" s="50"/>
      <c r="AK18" s="85">
        <f t="shared" si="26"/>
        <v>0</v>
      </c>
      <c r="AL18" s="82" t="str">
        <f t="shared" si="11"/>
        <v/>
      </c>
      <c r="AM18" s="50"/>
      <c r="AN18" s="85">
        <f t="shared" si="27"/>
        <v>0</v>
      </c>
      <c r="AO18" s="82" t="str">
        <f t="shared" si="12"/>
        <v/>
      </c>
      <c r="AP18" s="48">
        <f t="shared" si="0"/>
        <v>87.580000000000013</v>
      </c>
      <c r="AQ18" s="85">
        <f t="shared" si="28"/>
        <v>2380.4244000000003</v>
      </c>
      <c r="AR18" s="82">
        <f t="shared" si="13"/>
        <v>0.33491395793499051</v>
      </c>
      <c r="AS18" s="48">
        <f t="shared" si="1"/>
        <v>173.92</v>
      </c>
      <c r="AT18" s="85">
        <f t="shared" si="29"/>
        <v>4727.1455999999998</v>
      </c>
      <c r="AU18" s="82">
        <f t="shared" si="14"/>
        <v>0.66508604206500954</v>
      </c>
    </row>
    <row r="19" spans="1:56">
      <c r="A19" s="16"/>
      <c r="B19" s="97" t="s">
        <v>548</v>
      </c>
      <c r="C19" s="167" t="s">
        <v>26</v>
      </c>
      <c r="D19" s="86" t="s">
        <v>27</v>
      </c>
      <c r="E19" s="97" t="s">
        <v>28</v>
      </c>
      <c r="F19" s="141">
        <v>21.63</v>
      </c>
      <c r="G19" s="97">
        <v>12</v>
      </c>
      <c r="H19" s="85">
        <f t="shared" si="15"/>
        <v>259.56</v>
      </c>
      <c r="I19" s="50">
        <f t="shared" si="16"/>
        <v>12</v>
      </c>
      <c r="J19" s="85">
        <f t="shared" si="17"/>
        <v>259.56</v>
      </c>
      <c r="K19" s="82">
        <f t="shared" si="2"/>
        <v>1</v>
      </c>
      <c r="L19" s="50">
        <v>10</v>
      </c>
      <c r="M19" s="85">
        <f t="shared" si="18"/>
        <v>216.29999999999998</v>
      </c>
      <c r="N19" s="82">
        <f t="shared" si="3"/>
        <v>0.83333333333333337</v>
      </c>
      <c r="O19" s="50">
        <v>2</v>
      </c>
      <c r="P19" s="85">
        <f t="shared" si="19"/>
        <v>43.26</v>
      </c>
      <c r="Q19" s="82">
        <f t="shared" si="4"/>
        <v>0.16666666666666666</v>
      </c>
      <c r="R19" s="50"/>
      <c r="S19" s="85">
        <f t="shared" si="20"/>
        <v>0</v>
      </c>
      <c r="T19" s="82" t="str">
        <f t="shared" si="5"/>
        <v/>
      </c>
      <c r="U19" s="50"/>
      <c r="V19" s="85">
        <f t="shared" si="21"/>
        <v>0</v>
      </c>
      <c r="W19" s="82" t="str">
        <f t="shared" si="6"/>
        <v/>
      </c>
      <c r="X19" s="50"/>
      <c r="Y19" s="85">
        <f t="shared" si="22"/>
        <v>0</v>
      </c>
      <c r="Z19" s="82" t="str">
        <f t="shared" si="7"/>
        <v/>
      </c>
      <c r="AA19" s="50"/>
      <c r="AB19" s="85">
        <f t="shared" si="23"/>
        <v>0</v>
      </c>
      <c r="AC19" s="82" t="str">
        <f t="shared" si="8"/>
        <v/>
      </c>
      <c r="AD19" s="50"/>
      <c r="AE19" s="85">
        <f t="shared" si="24"/>
        <v>0</v>
      </c>
      <c r="AF19" s="82" t="str">
        <f t="shared" si="9"/>
        <v/>
      </c>
      <c r="AG19" s="50"/>
      <c r="AH19" s="85">
        <f t="shared" si="25"/>
        <v>0</v>
      </c>
      <c r="AI19" s="82" t="str">
        <f t="shared" si="10"/>
        <v/>
      </c>
      <c r="AJ19" s="50"/>
      <c r="AK19" s="85">
        <f t="shared" si="26"/>
        <v>0</v>
      </c>
      <c r="AL19" s="82" t="str">
        <f t="shared" si="11"/>
        <v/>
      </c>
      <c r="AM19" s="50"/>
      <c r="AN19" s="85">
        <f t="shared" si="27"/>
        <v>0</v>
      </c>
      <c r="AO19" s="82" t="str">
        <f t="shared" si="12"/>
        <v/>
      </c>
      <c r="AP19" s="48">
        <f t="shared" si="0"/>
        <v>12</v>
      </c>
      <c r="AQ19" s="85">
        <f t="shared" si="28"/>
        <v>259.56</v>
      </c>
      <c r="AR19" s="82">
        <f t="shared" si="13"/>
        <v>1</v>
      </c>
      <c r="AS19" s="48">
        <f t="shared" si="1"/>
        <v>0</v>
      </c>
      <c r="AT19" s="85">
        <f t="shared" si="29"/>
        <v>0</v>
      </c>
      <c r="AU19" s="82" t="str">
        <f t="shared" si="14"/>
        <v/>
      </c>
    </row>
    <row r="20" spans="1:56" ht="15.75">
      <c r="A20" s="16"/>
      <c r="B20" s="97" t="s">
        <v>549</v>
      </c>
      <c r="C20" s="167" t="s">
        <v>33</v>
      </c>
      <c r="D20" s="86" t="s">
        <v>34</v>
      </c>
      <c r="E20" s="97" t="s">
        <v>12</v>
      </c>
      <c r="F20" s="141">
        <v>25.96</v>
      </c>
      <c r="G20" s="97">
        <v>8.49</v>
      </c>
      <c r="H20" s="85">
        <f t="shared" si="15"/>
        <v>220.40040000000002</v>
      </c>
      <c r="I20" s="50">
        <f t="shared" si="16"/>
        <v>8.49</v>
      </c>
      <c r="J20" s="85">
        <f t="shared" si="17"/>
        <v>220.40040000000002</v>
      </c>
      <c r="K20" s="82">
        <f t="shared" si="2"/>
        <v>1</v>
      </c>
      <c r="L20" s="50">
        <v>6.81</v>
      </c>
      <c r="M20" s="85">
        <f t="shared" si="18"/>
        <v>176.7876</v>
      </c>
      <c r="N20" s="82">
        <f t="shared" si="3"/>
        <v>0.80212014134275611</v>
      </c>
      <c r="O20" s="50">
        <v>1.68</v>
      </c>
      <c r="P20" s="85">
        <f t="shared" si="19"/>
        <v>43.6128</v>
      </c>
      <c r="Q20" s="82">
        <f t="shared" si="4"/>
        <v>0.19787985865724381</v>
      </c>
      <c r="R20" s="50"/>
      <c r="S20" s="85">
        <f t="shared" si="20"/>
        <v>0</v>
      </c>
      <c r="T20" s="82" t="str">
        <f t="shared" si="5"/>
        <v/>
      </c>
      <c r="U20" s="50"/>
      <c r="V20" s="85">
        <f t="shared" si="21"/>
        <v>0</v>
      </c>
      <c r="W20" s="82" t="str">
        <f t="shared" si="6"/>
        <v/>
      </c>
      <c r="X20" s="50"/>
      <c r="Y20" s="85">
        <f t="shared" si="22"/>
        <v>0</v>
      </c>
      <c r="Z20" s="82" t="str">
        <f t="shared" si="7"/>
        <v/>
      </c>
      <c r="AA20" s="50"/>
      <c r="AB20" s="85">
        <f t="shared" si="23"/>
        <v>0</v>
      </c>
      <c r="AC20" s="82" t="str">
        <f t="shared" si="8"/>
        <v/>
      </c>
      <c r="AD20" s="50"/>
      <c r="AE20" s="85">
        <f t="shared" si="24"/>
        <v>0</v>
      </c>
      <c r="AF20" s="82" t="str">
        <f t="shared" si="9"/>
        <v/>
      </c>
      <c r="AG20" s="50"/>
      <c r="AH20" s="85">
        <f t="shared" si="25"/>
        <v>0</v>
      </c>
      <c r="AI20" s="82" t="str">
        <f t="shared" si="10"/>
        <v/>
      </c>
      <c r="AJ20" s="50"/>
      <c r="AK20" s="85">
        <f t="shared" si="26"/>
        <v>0</v>
      </c>
      <c r="AL20" s="82" t="str">
        <f t="shared" si="11"/>
        <v/>
      </c>
      <c r="AM20" s="50"/>
      <c r="AN20" s="85">
        <f t="shared" si="27"/>
        <v>0</v>
      </c>
      <c r="AO20" s="82" t="str">
        <f t="shared" si="12"/>
        <v/>
      </c>
      <c r="AP20" s="48">
        <f t="shared" si="0"/>
        <v>8.49</v>
      </c>
      <c r="AQ20" s="85">
        <f t="shared" si="28"/>
        <v>220.40040000000002</v>
      </c>
      <c r="AR20" s="82">
        <f t="shared" si="13"/>
        <v>1</v>
      </c>
      <c r="AS20" s="48">
        <f t="shared" si="1"/>
        <v>0</v>
      </c>
      <c r="AT20" s="85">
        <f t="shared" si="29"/>
        <v>0</v>
      </c>
      <c r="AU20" s="82" t="str">
        <f t="shared" si="14"/>
        <v/>
      </c>
      <c r="AW20" s="51"/>
      <c r="AX20" s="51"/>
      <c r="AY20" s="51"/>
      <c r="AZ20" s="1927"/>
      <c r="BA20" s="1927"/>
      <c r="BB20" s="1927"/>
      <c r="BC20" s="1927"/>
      <c r="BD20" s="1927"/>
    </row>
    <row r="21" spans="1:56" ht="30">
      <c r="A21" s="16"/>
      <c r="B21" s="97" t="s">
        <v>550</v>
      </c>
      <c r="C21" s="167" t="s">
        <v>551</v>
      </c>
      <c r="D21" s="86" t="s">
        <v>552</v>
      </c>
      <c r="E21" s="97" t="s">
        <v>12</v>
      </c>
      <c r="F21" s="141">
        <v>4.33</v>
      </c>
      <c r="G21" s="97">
        <v>29.67</v>
      </c>
      <c r="H21" s="85">
        <f t="shared" si="15"/>
        <v>128.47110000000001</v>
      </c>
      <c r="I21" s="50">
        <f t="shared" si="16"/>
        <v>29.67</v>
      </c>
      <c r="J21" s="85">
        <f t="shared" si="17"/>
        <v>128.47110000000001</v>
      </c>
      <c r="K21" s="82">
        <f t="shared" si="2"/>
        <v>1</v>
      </c>
      <c r="L21" s="50">
        <v>29.67</v>
      </c>
      <c r="M21" s="85">
        <f t="shared" si="18"/>
        <v>128.47110000000001</v>
      </c>
      <c r="N21" s="82">
        <f t="shared" si="3"/>
        <v>1</v>
      </c>
      <c r="O21" s="50"/>
      <c r="P21" s="85">
        <f t="shared" si="19"/>
        <v>0</v>
      </c>
      <c r="Q21" s="82" t="str">
        <f t="shared" si="4"/>
        <v/>
      </c>
      <c r="R21" s="50"/>
      <c r="S21" s="85">
        <f t="shared" si="20"/>
        <v>0</v>
      </c>
      <c r="T21" s="82" t="str">
        <f t="shared" si="5"/>
        <v/>
      </c>
      <c r="U21" s="50"/>
      <c r="V21" s="85">
        <f t="shared" si="21"/>
        <v>0</v>
      </c>
      <c r="W21" s="82" t="str">
        <f t="shared" si="6"/>
        <v/>
      </c>
      <c r="X21" s="50"/>
      <c r="Y21" s="85">
        <f t="shared" si="22"/>
        <v>0</v>
      </c>
      <c r="Z21" s="82" t="str">
        <f t="shared" si="7"/>
        <v/>
      </c>
      <c r="AA21" s="50"/>
      <c r="AB21" s="85">
        <f t="shared" si="23"/>
        <v>0</v>
      </c>
      <c r="AC21" s="82" t="str">
        <f t="shared" si="8"/>
        <v/>
      </c>
      <c r="AD21" s="50"/>
      <c r="AE21" s="85">
        <f t="shared" si="24"/>
        <v>0</v>
      </c>
      <c r="AF21" s="82" t="str">
        <f t="shared" si="9"/>
        <v/>
      </c>
      <c r="AG21" s="50"/>
      <c r="AH21" s="85">
        <f t="shared" si="25"/>
        <v>0</v>
      </c>
      <c r="AI21" s="82" t="str">
        <f t="shared" si="10"/>
        <v/>
      </c>
      <c r="AJ21" s="50"/>
      <c r="AK21" s="85">
        <f t="shared" si="26"/>
        <v>0</v>
      </c>
      <c r="AL21" s="82" t="str">
        <f t="shared" si="11"/>
        <v/>
      </c>
      <c r="AM21" s="50"/>
      <c r="AN21" s="85">
        <f t="shared" si="27"/>
        <v>0</v>
      </c>
      <c r="AO21" s="82" t="str">
        <f t="shared" si="12"/>
        <v/>
      </c>
      <c r="AP21" s="48">
        <f t="shared" si="0"/>
        <v>29.67</v>
      </c>
      <c r="AQ21" s="85">
        <f t="shared" si="28"/>
        <v>128.47110000000001</v>
      </c>
      <c r="AR21" s="82">
        <f t="shared" si="13"/>
        <v>1</v>
      </c>
      <c r="AS21" s="48">
        <f t="shared" si="1"/>
        <v>0</v>
      </c>
      <c r="AT21" s="85">
        <f t="shared" si="29"/>
        <v>0</v>
      </c>
      <c r="AU21" s="82" t="str">
        <f t="shared" si="14"/>
        <v/>
      </c>
      <c r="AW21" s="51"/>
      <c r="AX21" s="51"/>
      <c r="AY21" s="51"/>
      <c r="AZ21" s="1927"/>
      <c r="BA21" s="1927"/>
      <c r="BB21" s="1927"/>
      <c r="BC21" s="1927"/>
      <c r="BD21" s="1927"/>
    </row>
    <row r="22" spans="1:56" ht="15.75">
      <c r="A22" s="16"/>
      <c r="B22" s="97" t="s">
        <v>553</v>
      </c>
      <c r="C22" s="167" t="s">
        <v>554</v>
      </c>
      <c r="D22" s="86" t="s">
        <v>555</v>
      </c>
      <c r="E22" s="97" t="s">
        <v>12</v>
      </c>
      <c r="F22" s="141">
        <v>15.47</v>
      </c>
      <c r="G22" s="97">
        <v>2.97</v>
      </c>
      <c r="H22" s="85">
        <f t="shared" si="15"/>
        <v>45.945900000000002</v>
      </c>
      <c r="I22" s="50">
        <f t="shared" si="16"/>
        <v>2.97</v>
      </c>
      <c r="J22" s="85">
        <f t="shared" si="17"/>
        <v>45.945900000000002</v>
      </c>
      <c r="K22" s="82">
        <f t="shared" si="2"/>
        <v>1</v>
      </c>
      <c r="L22" s="50">
        <v>2.97</v>
      </c>
      <c r="M22" s="85">
        <f t="shared" si="18"/>
        <v>45.945900000000002</v>
      </c>
      <c r="N22" s="82">
        <f t="shared" si="3"/>
        <v>1</v>
      </c>
      <c r="O22" s="50"/>
      <c r="P22" s="85">
        <f t="shared" si="19"/>
        <v>0</v>
      </c>
      <c r="Q22" s="82" t="str">
        <f t="shared" si="4"/>
        <v/>
      </c>
      <c r="R22" s="50"/>
      <c r="S22" s="85">
        <f t="shared" si="20"/>
        <v>0</v>
      </c>
      <c r="T22" s="82" t="str">
        <f t="shared" si="5"/>
        <v/>
      </c>
      <c r="U22" s="50"/>
      <c r="V22" s="85">
        <f t="shared" si="21"/>
        <v>0</v>
      </c>
      <c r="W22" s="82" t="str">
        <f t="shared" si="6"/>
        <v/>
      </c>
      <c r="X22" s="50"/>
      <c r="Y22" s="85">
        <f t="shared" si="22"/>
        <v>0</v>
      </c>
      <c r="Z22" s="82" t="str">
        <f t="shared" si="7"/>
        <v/>
      </c>
      <c r="AA22" s="50"/>
      <c r="AB22" s="85">
        <f t="shared" si="23"/>
        <v>0</v>
      </c>
      <c r="AC22" s="82" t="str">
        <f t="shared" si="8"/>
        <v/>
      </c>
      <c r="AD22" s="50"/>
      <c r="AE22" s="85">
        <f t="shared" si="24"/>
        <v>0</v>
      </c>
      <c r="AF22" s="82" t="str">
        <f t="shared" si="9"/>
        <v/>
      </c>
      <c r="AG22" s="50"/>
      <c r="AH22" s="85">
        <f t="shared" si="25"/>
        <v>0</v>
      </c>
      <c r="AI22" s="82" t="str">
        <f t="shared" si="10"/>
        <v/>
      </c>
      <c r="AJ22" s="50"/>
      <c r="AK22" s="85">
        <f t="shared" si="26"/>
        <v>0</v>
      </c>
      <c r="AL22" s="82" t="str">
        <f t="shared" si="11"/>
        <v/>
      </c>
      <c r="AM22" s="50"/>
      <c r="AN22" s="85">
        <f t="shared" si="27"/>
        <v>0</v>
      </c>
      <c r="AO22" s="82" t="str">
        <f t="shared" si="12"/>
        <v/>
      </c>
      <c r="AP22" s="48">
        <f t="shared" si="0"/>
        <v>2.97</v>
      </c>
      <c r="AQ22" s="85">
        <f t="shared" si="28"/>
        <v>45.945900000000002</v>
      </c>
      <c r="AR22" s="82">
        <f t="shared" si="13"/>
        <v>1</v>
      </c>
      <c r="AS22" s="48">
        <f t="shared" si="1"/>
        <v>0</v>
      </c>
      <c r="AT22" s="85">
        <f t="shared" si="29"/>
        <v>0</v>
      </c>
      <c r="AU22" s="82" t="str">
        <f t="shared" si="14"/>
        <v/>
      </c>
      <c r="AW22" s="51"/>
      <c r="AX22" s="51"/>
      <c r="AY22" s="51"/>
      <c r="AZ22" s="1927"/>
      <c r="BA22" s="1927"/>
      <c r="BB22" s="1927"/>
      <c r="BC22" s="1927"/>
      <c r="BD22" s="1927"/>
    </row>
    <row r="23" spans="1:56" ht="15.75">
      <c r="A23" s="16"/>
      <c r="B23" s="97" t="s">
        <v>556</v>
      </c>
      <c r="C23" s="167" t="s">
        <v>20</v>
      </c>
      <c r="D23" s="86" t="s">
        <v>21</v>
      </c>
      <c r="E23" s="97" t="s">
        <v>12</v>
      </c>
      <c r="F23" s="141">
        <v>1.46</v>
      </c>
      <c r="G23" s="97">
        <v>71.84</v>
      </c>
      <c r="H23" s="85">
        <f t="shared" si="15"/>
        <v>104.88640000000001</v>
      </c>
      <c r="I23" s="50">
        <f t="shared" si="16"/>
        <v>71.84</v>
      </c>
      <c r="J23" s="85">
        <f t="shared" si="17"/>
        <v>104.88640000000001</v>
      </c>
      <c r="K23" s="82">
        <f t="shared" si="2"/>
        <v>1</v>
      </c>
      <c r="L23" s="50">
        <v>71.84</v>
      </c>
      <c r="M23" s="85">
        <f t="shared" si="18"/>
        <v>104.88640000000001</v>
      </c>
      <c r="N23" s="82">
        <f t="shared" si="3"/>
        <v>1</v>
      </c>
      <c r="O23" s="50"/>
      <c r="P23" s="85">
        <f t="shared" si="19"/>
        <v>0</v>
      </c>
      <c r="Q23" s="82" t="str">
        <f t="shared" si="4"/>
        <v/>
      </c>
      <c r="R23" s="50"/>
      <c r="S23" s="85">
        <f t="shared" si="20"/>
        <v>0</v>
      </c>
      <c r="T23" s="82" t="str">
        <f t="shared" si="5"/>
        <v/>
      </c>
      <c r="U23" s="50"/>
      <c r="V23" s="85">
        <f t="shared" si="21"/>
        <v>0</v>
      </c>
      <c r="W23" s="82" t="str">
        <f t="shared" si="6"/>
        <v/>
      </c>
      <c r="X23" s="50"/>
      <c r="Y23" s="85">
        <f t="shared" si="22"/>
        <v>0</v>
      </c>
      <c r="Z23" s="82" t="str">
        <f t="shared" si="7"/>
        <v/>
      </c>
      <c r="AA23" s="50"/>
      <c r="AB23" s="85">
        <f t="shared" si="23"/>
        <v>0</v>
      </c>
      <c r="AC23" s="82" t="str">
        <f t="shared" si="8"/>
        <v/>
      </c>
      <c r="AD23" s="50"/>
      <c r="AE23" s="85">
        <f t="shared" si="24"/>
        <v>0</v>
      </c>
      <c r="AF23" s="82" t="str">
        <f t="shared" si="9"/>
        <v/>
      </c>
      <c r="AG23" s="50"/>
      <c r="AH23" s="85">
        <f t="shared" si="25"/>
        <v>0</v>
      </c>
      <c r="AI23" s="82" t="str">
        <f t="shared" si="10"/>
        <v/>
      </c>
      <c r="AJ23" s="50"/>
      <c r="AK23" s="85">
        <f t="shared" si="26"/>
        <v>0</v>
      </c>
      <c r="AL23" s="82" t="str">
        <f t="shared" si="11"/>
        <v/>
      </c>
      <c r="AM23" s="50"/>
      <c r="AN23" s="85">
        <f t="shared" si="27"/>
        <v>0</v>
      </c>
      <c r="AO23" s="82" t="str">
        <f t="shared" si="12"/>
        <v/>
      </c>
      <c r="AP23" s="48">
        <f t="shared" si="0"/>
        <v>71.84</v>
      </c>
      <c r="AQ23" s="85">
        <f t="shared" si="28"/>
        <v>104.88640000000001</v>
      </c>
      <c r="AR23" s="82">
        <f t="shared" si="13"/>
        <v>1</v>
      </c>
      <c r="AS23" s="48">
        <f t="shared" si="1"/>
        <v>0</v>
      </c>
      <c r="AT23" s="85">
        <f t="shared" si="29"/>
        <v>0</v>
      </c>
      <c r="AU23" s="82" t="str">
        <f t="shared" si="14"/>
        <v/>
      </c>
      <c r="AW23" s="51"/>
      <c r="AX23" s="51"/>
      <c r="AY23" s="51"/>
      <c r="AZ23" s="1927"/>
      <c r="BA23" s="1927"/>
      <c r="BB23" s="1927"/>
      <c r="BC23" s="1927"/>
      <c r="BD23" s="1927"/>
    </row>
    <row r="24" spans="1:56" ht="30">
      <c r="A24" s="16"/>
      <c r="B24" s="97" t="s">
        <v>557</v>
      </c>
      <c r="C24" s="167" t="s">
        <v>558</v>
      </c>
      <c r="D24" s="86" t="s">
        <v>533</v>
      </c>
      <c r="E24" s="97" t="s">
        <v>12</v>
      </c>
      <c r="F24" s="141">
        <v>4.6100000000000003</v>
      </c>
      <c r="G24" s="97">
        <v>49.95</v>
      </c>
      <c r="H24" s="85">
        <f t="shared" si="15"/>
        <v>230.26950000000002</v>
      </c>
      <c r="I24" s="50">
        <f t="shared" si="16"/>
        <v>49.95</v>
      </c>
      <c r="J24" s="85">
        <f t="shared" si="17"/>
        <v>230.26950000000002</v>
      </c>
      <c r="K24" s="82">
        <f t="shared" si="2"/>
        <v>1</v>
      </c>
      <c r="L24" s="50">
        <v>49.95</v>
      </c>
      <c r="M24" s="85">
        <f t="shared" si="18"/>
        <v>230.26950000000002</v>
      </c>
      <c r="N24" s="82">
        <f t="shared" si="3"/>
        <v>1</v>
      </c>
      <c r="O24" s="50"/>
      <c r="P24" s="85">
        <f t="shared" si="19"/>
        <v>0</v>
      </c>
      <c r="Q24" s="82" t="str">
        <f t="shared" si="4"/>
        <v/>
      </c>
      <c r="R24" s="50"/>
      <c r="S24" s="85">
        <f t="shared" si="20"/>
        <v>0</v>
      </c>
      <c r="T24" s="82" t="str">
        <f t="shared" si="5"/>
        <v/>
      </c>
      <c r="U24" s="50"/>
      <c r="V24" s="85">
        <f t="shared" si="21"/>
        <v>0</v>
      </c>
      <c r="W24" s="82" t="str">
        <f t="shared" si="6"/>
        <v/>
      </c>
      <c r="X24" s="50"/>
      <c r="Y24" s="85">
        <f t="shared" si="22"/>
        <v>0</v>
      </c>
      <c r="Z24" s="82" t="str">
        <f t="shared" si="7"/>
        <v/>
      </c>
      <c r="AA24" s="50"/>
      <c r="AB24" s="85">
        <f t="shared" si="23"/>
        <v>0</v>
      </c>
      <c r="AC24" s="82" t="str">
        <f t="shared" si="8"/>
        <v/>
      </c>
      <c r="AD24" s="50"/>
      <c r="AE24" s="85">
        <f t="shared" si="24"/>
        <v>0</v>
      </c>
      <c r="AF24" s="82" t="str">
        <f t="shared" si="9"/>
        <v/>
      </c>
      <c r="AG24" s="50"/>
      <c r="AH24" s="85">
        <f t="shared" si="25"/>
        <v>0</v>
      </c>
      <c r="AI24" s="82" t="str">
        <f t="shared" si="10"/>
        <v/>
      </c>
      <c r="AJ24" s="50"/>
      <c r="AK24" s="85">
        <f t="shared" si="26"/>
        <v>0</v>
      </c>
      <c r="AL24" s="82" t="str">
        <f t="shared" si="11"/>
        <v/>
      </c>
      <c r="AM24" s="50"/>
      <c r="AN24" s="85">
        <f t="shared" si="27"/>
        <v>0</v>
      </c>
      <c r="AO24" s="82" t="str">
        <f t="shared" si="12"/>
        <v/>
      </c>
      <c r="AP24" s="48">
        <f t="shared" si="0"/>
        <v>49.95</v>
      </c>
      <c r="AQ24" s="85">
        <f t="shared" si="28"/>
        <v>230.26950000000002</v>
      </c>
      <c r="AR24" s="82">
        <f t="shared" si="13"/>
        <v>1</v>
      </c>
      <c r="AS24" s="48">
        <f t="shared" si="1"/>
        <v>0</v>
      </c>
      <c r="AT24" s="85">
        <f t="shared" si="29"/>
        <v>0</v>
      </c>
      <c r="AU24" s="82" t="str">
        <f t="shared" si="14"/>
        <v/>
      </c>
      <c r="AW24" s="51"/>
      <c r="AX24" s="51"/>
      <c r="AY24" s="51"/>
      <c r="AZ24" s="1940"/>
      <c r="BA24" s="1940"/>
      <c r="BB24" s="1940"/>
      <c r="BC24" s="1940"/>
      <c r="BD24" s="1940"/>
    </row>
    <row r="25" spans="1:56" ht="30">
      <c r="A25" s="16"/>
      <c r="B25" s="97" t="s">
        <v>559</v>
      </c>
      <c r="C25" s="167" t="s">
        <v>17</v>
      </c>
      <c r="D25" s="86" t="s">
        <v>18</v>
      </c>
      <c r="E25" s="97" t="s">
        <v>12</v>
      </c>
      <c r="F25" s="141">
        <v>16.72</v>
      </c>
      <c r="G25" s="97">
        <v>53.55</v>
      </c>
      <c r="H25" s="85">
        <f t="shared" si="15"/>
        <v>895.35599999999988</v>
      </c>
      <c r="I25" s="50">
        <f t="shared" si="16"/>
        <v>53.55</v>
      </c>
      <c r="J25" s="85">
        <f t="shared" si="17"/>
        <v>895.35599999999988</v>
      </c>
      <c r="K25" s="82">
        <f t="shared" si="2"/>
        <v>1</v>
      </c>
      <c r="L25" s="50">
        <v>50.19</v>
      </c>
      <c r="M25" s="85">
        <f t="shared" si="18"/>
        <v>839.17679999999996</v>
      </c>
      <c r="N25" s="82">
        <f t="shared" si="3"/>
        <v>0.93725490196078431</v>
      </c>
      <c r="O25" s="50">
        <v>3.36</v>
      </c>
      <c r="P25" s="85">
        <f t="shared" si="19"/>
        <v>56.179199999999994</v>
      </c>
      <c r="Q25" s="82">
        <f t="shared" si="4"/>
        <v>6.2745098039215685E-2</v>
      </c>
      <c r="R25" s="50"/>
      <c r="S25" s="85">
        <f t="shared" si="20"/>
        <v>0</v>
      </c>
      <c r="T25" s="82" t="str">
        <f t="shared" si="5"/>
        <v/>
      </c>
      <c r="U25" s="50"/>
      <c r="V25" s="85">
        <f t="shared" si="21"/>
        <v>0</v>
      </c>
      <c r="W25" s="82" t="str">
        <f t="shared" si="6"/>
        <v/>
      </c>
      <c r="X25" s="50"/>
      <c r="Y25" s="85">
        <f t="shared" si="22"/>
        <v>0</v>
      </c>
      <c r="Z25" s="82" t="str">
        <f t="shared" si="7"/>
        <v/>
      </c>
      <c r="AA25" s="50"/>
      <c r="AB25" s="85">
        <f t="shared" si="23"/>
        <v>0</v>
      </c>
      <c r="AC25" s="82" t="str">
        <f t="shared" si="8"/>
        <v/>
      </c>
      <c r="AD25" s="50"/>
      <c r="AE25" s="85">
        <f t="shared" si="24"/>
        <v>0</v>
      </c>
      <c r="AF25" s="82" t="str">
        <f t="shared" si="9"/>
        <v/>
      </c>
      <c r="AG25" s="50"/>
      <c r="AH25" s="85">
        <f t="shared" si="25"/>
        <v>0</v>
      </c>
      <c r="AI25" s="82" t="str">
        <f t="shared" si="10"/>
        <v/>
      </c>
      <c r="AJ25" s="50"/>
      <c r="AK25" s="85">
        <f t="shared" si="26"/>
        <v>0</v>
      </c>
      <c r="AL25" s="82" t="str">
        <f t="shared" si="11"/>
        <v/>
      </c>
      <c r="AM25" s="50"/>
      <c r="AN25" s="85">
        <f t="shared" si="27"/>
        <v>0</v>
      </c>
      <c r="AO25" s="82" t="str">
        <f t="shared" si="12"/>
        <v/>
      </c>
      <c r="AP25" s="48">
        <f t="shared" si="0"/>
        <v>53.55</v>
      </c>
      <c r="AQ25" s="85">
        <f t="shared" si="28"/>
        <v>895.35599999999988</v>
      </c>
      <c r="AR25" s="82">
        <f t="shared" si="13"/>
        <v>1</v>
      </c>
      <c r="AS25" s="48">
        <f t="shared" si="1"/>
        <v>0</v>
      </c>
      <c r="AT25" s="85">
        <f t="shared" si="29"/>
        <v>0</v>
      </c>
      <c r="AU25" s="82" t="str">
        <f t="shared" si="14"/>
        <v/>
      </c>
      <c r="AW25" s="2"/>
      <c r="AX25" s="3"/>
      <c r="AY25" s="3"/>
      <c r="AZ25" s="4"/>
      <c r="BA25" s="3"/>
      <c r="BB25" s="1"/>
      <c r="BC25" s="5"/>
      <c r="BD25" s="1"/>
    </row>
    <row r="26" spans="1:56" ht="30">
      <c r="A26" s="16"/>
      <c r="B26" s="97" t="s">
        <v>560</v>
      </c>
      <c r="C26" s="167" t="s">
        <v>561</v>
      </c>
      <c r="D26" s="86" t="s">
        <v>562</v>
      </c>
      <c r="E26" s="97" t="s">
        <v>12</v>
      </c>
      <c r="F26" s="141">
        <v>9.08</v>
      </c>
      <c r="G26" s="97">
        <v>408.64</v>
      </c>
      <c r="H26" s="85">
        <f t="shared" si="15"/>
        <v>3710.4512</v>
      </c>
      <c r="I26" s="50">
        <f t="shared" si="16"/>
        <v>408.64</v>
      </c>
      <c r="J26" s="85">
        <f t="shared" si="17"/>
        <v>3710.4512</v>
      </c>
      <c r="K26" s="82">
        <f t="shared" si="2"/>
        <v>1</v>
      </c>
      <c r="L26" s="50">
        <v>408.64</v>
      </c>
      <c r="M26" s="85">
        <f t="shared" si="18"/>
        <v>3710.4512</v>
      </c>
      <c r="N26" s="82">
        <f t="shared" si="3"/>
        <v>1</v>
      </c>
      <c r="O26" s="50"/>
      <c r="P26" s="85">
        <f t="shared" si="19"/>
        <v>0</v>
      </c>
      <c r="Q26" s="82" t="str">
        <f t="shared" si="4"/>
        <v/>
      </c>
      <c r="R26" s="50"/>
      <c r="S26" s="85">
        <f t="shared" si="20"/>
        <v>0</v>
      </c>
      <c r="T26" s="82" t="str">
        <f t="shared" si="5"/>
        <v/>
      </c>
      <c r="U26" s="50"/>
      <c r="V26" s="85">
        <f t="shared" si="21"/>
        <v>0</v>
      </c>
      <c r="W26" s="82" t="str">
        <f t="shared" si="6"/>
        <v/>
      </c>
      <c r="X26" s="50"/>
      <c r="Y26" s="85">
        <f t="shared" si="22"/>
        <v>0</v>
      </c>
      <c r="Z26" s="82" t="str">
        <f t="shared" si="7"/>
        <v/>
      </c>
      <c r="AA26" s="50"/>
      <c r="AB26" s="85">
        <f t="shared" si="23"/>
        <v>0</v>
      </c>
      <c r="AC26" s="82" t="str">
        <f t="shared" si="8"/>
        <v/>
      </c>
      <c r="AD26" s="50"/>
      <c r="AE26" s="85">
        <f t="shared" si="24"/>
        <v>0</v>
      </c>
      <c r="AF26" s="82" t="str">
        <f t="shared" si="9"/>
        <v/>
      </c>
      <c r="AG26" s="50"/>
      <c r="AH26" s="85">
        <f t="shared" si="25"/>
        <v>0</v>
      </c>
      <c r="AI26" s="82" t="str">
        <f t="shared" si="10"/>
        <v/>
      </c>
      <c r="AJ26" s="50"/>
      <c r="AK26" s="85">
        <f t="shared" si="26"/>
        <v>0</v>
      </c>
      <c r="AL26" s="82" t="str">
        <f t="shared" si="11"/>
        <v/>
      </c>
      <c r="AM26" s="50"/>
      <c r="AN26" s="85">
        <f t="shared" si="27"/>
        <v>0</v>
      </c>
      <c r="AO26" s="82" t="str">
        <f t="shared" si="12"/>
        <v/>
      </c>
      <c r="AP26" s="48">
        <f t="shared" si="0"/>
        <v>408.64</v>
      </c>
      <c r="AQ26" s="85">
        <f t="shared" si="28"/>
        <v>3710.4512</v>
      </c>
      <c r="AR26" s="82">
        <f t="shared" si="13"/>
        <v>1</v>
      </c>
      <c r="AS26" s="48">
        <f t="shared" si="1"/>
        <v>0</v>
      </c>
      <c r="AT26" s="85">
        <f t="shared" si="29"/>
        <v>0</v>
      </c>
      <c r="AU26" s="82" t="str">
        <f t="shared" si="14"/>
        <v/>
      </c>
    </row>
    <row r="27" spans="1:56" ht="60">
      <c r="A27" s="16"/>
      <c r="B27" s="97" t="s">
        <v>563</v>
      </c>
      <c r="C27" s="167" t="s">
        <v>564</v>
      </c>
      <c r="D27" s="86" t="s">
        <v>565</v>
      </c>
      <c r="E27" s="97" t="s">
        <v>12</v>
      </c>
      <c r="F27" s="141">
        <v>9.41</v>
      </c>
      <c r="G27" s="97">
        <v>408.64</v>
      </c>
      <c r="H27" s="85">
        <f t="shared" si="15"/>
        <v>3845.3024</v>
      </c>
      <c r="I27" s="50">
        <f t="shared" si="16"/>
        <v>408.7</v>
      </c>
      <c r="J27" s="85">
        <f t="shared" si="17"/>
        <v>3845.8669999999997</v>
      </c>
      <c r="K27" s="82">
        <f t="shared" si="2"/>
        <v>1.0001468285043069</v>
      </c>
      <c r="L27" s="50">
        <v>408.7</v>
      </c>
      <c r="M27" s="85">
        <f t="shared" si="18"/>
        <v>3845.8669999999997</v>
      </c>
      <c r="N27" s="82">
        <f t="shared" si="3"/>
        <v>1.0001468285043069</v>
      </c>
      <c r="O27" s="50"/>
      <c r="P27" s="85">
        <f t="shared" si="19"/>
        <v>0</v>
      </c>
      <c r="Q27" s="82" t="str">
        <f t="shared" si="4"/>
        <v/>
      </c>
      <c r="R27" s="50"/>
      <c r="S27" s="85">
        <f t="shared" si="20"/>
        <v>0</v>
      </c>
      <c r="T27" s="82" t="str">
        <f t="shared" si="5"/>
        <v/>
      </c>
      <c r="U27" s="50"/>
      <c r="V27" s="85">
        <f t="shared" si="21"/>
        <v>0</v>
      </c>
      <c r="W27" s="82" t="str">
        <f t="shared" si="6"/>
        <v/>
      </c>
      <c r="X27" s="50"/>
      <c r="Y27" s="85">
        <f t="shared" si="22"/>
        <v>0</v>
      </c>
      <c r="Z27" s="82" t="str">
        <f t="shared" si="7"/>
        <v/>
      </c>
      <c r="AA27" s="50"/>
      <c r="AB27" s="85">
        <f t="shared" si="23"/>
        <v>0</v>
      </c>
      <c r="AC27" s="82" t="str">
        <f t="shared" si="8"/>
        <v/>
      </c>
      <c r="AD27" s="50"/>
      <c r="AE27" s="85">
        <f t="shared" si="24"/>
        <v>0</v>
      </c>
      <c r="AF27" s="82" t="str">
        <f t="shared" si="9"/>
        <v/>
      </c>
      <c r="AG27" s="50"/>
      <c r="AH27" s="85">
        <f t="shared" si="25"/>
        <v>0</v>
      </c>
      <c r="AI27" s="82" t="str">
        <f t="shared" si="10"/>
        <v/>
      </c>
      <c r="AJ27" s="50"/>
      <c r="AK27" s="85">
        <f t="shared" si="26"/>
        <v>0</v>
      </c>
      <c r="AL27" s="82" t="str">
        <f t="shared" si="11"/>
        <v/>
      </c>
      <c r="AM27" s="50"/>
      <c r="AN27" s="85">
        <f t="shared" si="27"/>
        <v>0</v>
      </c>
      <c r="AO27" s="82" t="str">
        <f t="shared" si="12"/>
        <v/>
      </c>
      <c r="AP27" s="48">
        <f t="shared" si="0"/>
        <v>408.7</v>
      </c>
      <c r="AQ27" s="85">
        <f t="shared" si="28"/>
        <v>3845.8669999999997</v>
      </c>
      <c r="AR27" s="82">
        <f t="shared" si="13"/>
        <v>1.0001468285043069</v>
      </c>
      <c r="AS27" s="48">
        <f t="shared" si="1"/>
        <v>-6.0000000000002274E-2</v>
      </c>
      <c r="AT27" s="85">
        <f t="shared" si="29"/>
        <v>-0.56460000000002142</v>
      </c>
      <c r="AU27" s="82">
        <f t="shared" si="14"/>
        <v>-1.4682850430697503E-4</v>
      </c>
    </row>
    <row r="28" spans="1:56" ht="30">
      <c r="A28" s="16"/>
      <c r="B28" s="98" t="s">
        <v>566</v>
      </c>
      <c r="C28" s="168" t="s">
        <v>567</v>
      </c>
      <c r="D28" s="87" t="s">
        <v>2102</v>
      </c>
      <c r="E28" s="98" t="s">
        <v>12</v>
      </c>
      <c r="F28" s="142">
        <v>29.01</v>
      </c>
      <c r="G28" s="98">
        <v>158.78</v>
      </c>
      <c r="H28" s="85">
        <f t="shared" si="15"/>
        <v>4606.2078000000001</v>
      </c>
      <c r="I28" s="50">
        <f t="shared" si="16"/>
        <v>158.78</v>
      </c>
      <c r="J28" s="85">
        <f t="shared" si="17"/>
        <v>4606.2078000000001</v>
      </c>
      <c r="K28" s="82">
        <f t="shared" si="2"/>
        <v>1</v>
      </c>
      <c r="L28" s="50"/>
      <c r="M28" s="85">
        <f t="shared" si="18"/>
        <v>0</v>
      </c>
      <c r="N28" s="82" t="str">
        <f t="shared" si="3"/>
        <v/>
      </c>
      <c r="O28" s="50">
        <v>158.78</v>
      </c>
      <c r="P28" s="85">
        <f t="shared" si="19"/>
        <v>4606.2078000000001</v>
      </c>
      <c r="Q28" s="82">
        <f t="shared" si="4"/>
        <v>1</v>
      </c>
      <c r="R28" s="50"/>
      <c r="S28" s="85">
        <f t="shared" si="20"/>
        <v>0</v>
      </c>
      <c r="T28" s="82" t="str">
        <f t="shared" si="5"/>
        <v/>
      </c>
      <c r="U28" s="50"/>
      <c r="V28" s="85">
        <f t="shared" si="21"/>
        <v>0</v>
      </c>
      <c r="W28" s="82" t="str">
        <f t="shared" si="6"/>
        <v/>
      </c>
      <c r="X28" s="50"/>
      <c r="Y28" s="85">
        <f t="shared" si="22"/>
        <v>0</v>
      </c>
      <c r="Z28" s="82" t="str">
        <f t="shared" si="7"/>
        <v/>
      </c>
      <c r="AA28" s="50"/>
      <c r="AB28" s="85">
        <f t="shared" si="23"/>
        <v>0</v>
      </c>
      <c r="AC28" s="82" t="str">
        <f t="shared" si="8"/>
        <v/>
      </c>
      <c r="AD28" s="50"/>
      <c r="AE28" s="85">
        <f t="shared" si="24"/>
        <v>0</v>
      </c>
      <c r="AF28" s="82" t="str">
        <f t="shared" si="9"/>
        <v/>
      </c>
      <c r="AG28" s="50"/>
      <c r="AH28" s="85">
        <f t="shared" si="25"/>
        <v>0</v>
      </c>
      <c r="AI28" s="82" t="str">
        <f t="shared" si="10"/>
        <v/>
      </c>
      <c r="AJ28" s="50"/>
      <c r="AK28" s="85">
        <f t="shared" si="26"/>
        <v>0</v>
      </c>
      <c r="AL28" s="82" t="str">
        <f t="shared" si="11"/>
        <v/>
      </c>
      <c r="AM28" s="50"/>
      <c r="AN28" s="85">
        <f t="shared" si="27"/>
        <v>0</v>
      </c>
      <c r="AO28" s="82" t="str">
        <f t="shared" si="12"/>
        <v/>
      </c>
      <c r="AP28" s="48">
        <f t="shared" si="0"/>
        <v>158.78</v>
      </c>
      <c r="AQ28" s="85">
        <f t="shared" si="28"/>
        <v>4606.2078000000001</v>
      </c>
      <c r="AR28" s="82">
        <f t="shared" si="13"/>
        <v>1</v>
      </c>
      <c r="AS28" s="48">
        <f t="shared" si="1"/>
        <v>0</v>
      </c>
      <c r="AT28" s="85">
        <f t="shared" si="29"/>
        <v>0</v>
      </c>
      <c r="AU28" s="82" t="str">
        <f t="shared" si="14"/>
        <v/>
      </c>
    </row>
    <row r="29" spans="1:56" ht="45">
      <c r="A29" s="16"/>
      <c r="B29" s="98" t="s">
        <v>568</v>
      </c>
      <c r="C29" s="168" t="s">
        <v>569</v>
      </c>
      <c r="D29" s="87" t="s">
        <v>531</v>
      </c>
      <c r="E29" s="98" t="s">
        <v>12</v>
      </c>
      <c r="F29" s="142">
        <v>11.2</v>
      </c>
      <c r="G29" s="98">
        <v>114.02</v>
      </c>
      <c r="H29" s="85">
        <f t="shared" si="15"/>
        <v>1277.0239999999999</v>
      </c>
      <c r="I29" s="50">
        <f t="shared" si="16"/>
        <v>114.02</v>
      </c>
      <c r="J29" s="85">
        <f t="shared" si="17"/>
        <v>1277.0239999999999</v>
      </c>
      <c r="K29" s="82">
        <f t="shared" si="2"/>
        <v>1</v>
      </c>
      <c r="L29" s="50">
        <v>114.02</v>
      </c>
      <c r="M29" s="85">
        <f t="shared" si="18"/>
        <v>1277.0239999999999</v>
      </c>
      <c r="N29" s="82">
        <f t="shared" si="3"/>
        <v>1</v>
      </c>
      <c r="O29" s="50"/>
      <c r="P29" s="85">
        <f t="shared" si="19"/>
        <v>0</v>
      </c>
      <c r="Q29" s="82" t="str">
        <f t="shared" si="4"/>
        <v/>
      </c>
      <c r="R29" s="50"/>
      <c r="S29" s="85">
        <f t="shared" si="20"/>
        <v>0</v>
      </c>
      <c r="T29" s="82" t="str">
        <f t="shared" si="5"/>
        <v/>
      </c>
      <c r="U29" s="50"/>
      <c r="V29" s="85">
        <f t="shared" si="21"/>
        <v>0</v>
      </c>
      <c r="W29" s="82" t="str">
        <f t="shared" si="6"/>
        <v/>
      </c>
      <c r="X29" s="50"/>
      <c r="Y29" s="85">
        <f t="shared" si="22"/>
        <v>0</v>
      </c>
      <c r="Z29" s="82" t="str">
        <f t="shared" si="7"/>
        <v/>
      </c>
      <c r="AA29" s="50"/>
      <c r="AB29" s="85">
        <f t="shared" si="23"/>
        <v>0</v>
      </c>
      <c r="AC29" s="82" t="str">
        <f t="shared" si="8"/>
        <v/>
      </c>
      <c r="AD29" s="50"/>
      <c r="AE29" s="85">
        <f t="shared" si="24"/>
        <v>0</v>
      </c>
      <c r="AF29" s="82" t="str">
        <f t="shared" si="9"/>
        <v/>
      </c>
      <c r="AG29" s="50"/>
      <c r="AH29" s="85">
        <f t="shared" si="25"/>
        <v>0</v>
      </c>
      <c r="AI29" s="82" t="str">
        <f t="shared" si="10"/>
        <v/>
      </c>
      <c r="AJ29" s="50"/>
      <c r="AK29" s="85">
        <f t="shared" si="26"/>
        <v>0</v>
      </c>
      <c r="AL29" s="82" t="str">
        <f t="shared" si="11"/>
        <v/>
      </c>
      <c r="AM29" s="50"/>
      <c r="AN29" s="85">
        <f t="shared" si="27"/>
        <v>0</v>
      </c>
      <c r="AO29" s="82" t="str">
        <f t="shared" si="12"/>
        <v/>
      </c>
      <c r="AP29" s="48">
        <f t="shared" si="0"/>
        <v>114.02</v>
      </c>
      <c r="AQ29" s="85">
        <f t="shared" si="28"/>
        <v>1277.0239999999999</v>
      </c>
      <c r="AR29" s="82">
        <f t="shared" si="13"/>
        <v>1</v>
      </c>
      <c r="AS29" s="48">
        <f t="shared" si="1"/>
        <v>0</v>
      </c>
      <c r="AT29" s="85">
        <f t="shared" si="29"/>
        <v>0</v>
      </c>
      <c r="AU29" s="82" t="str">
        <f t="shared" si="14"/>
        <v/>
      </c>
    </row>
    <row r="30" spans="1:56" ht="30">
      <c r="A30" s="16"/>
      <c r="B30" s="98" t="s">
        <v>570</v>
      </c>
      <c r="C30" s="168" t="s">
        <v>479</v>
      </c>
      <c r="D30" s="87" t="s">
        <v>2103</v>
      </c>
      <c r="E30" s="98" t="s">
        <v>12</v>
      </c>
      <c r="F30" s="142">
        <v>14.63</v>
      </c>
      <c r="G30" s="98">
        <v>406.93</v>
      </c>
      <c r="H30" s="85">
        <f t="shared" si="15"/>
        <v>5953.3859000000002</v>
      </c>
      <c r="I30" s="50">
        <f t="shared" si="16"/>
        <v>406.93</v>
      </c>
      <c r="J30" s="85">
        <f t="shared" si="17"/>
        <v>5953.3859000000002</v>
      </c>
      <c r="K30" s="82">
        <f t="shared" si="2"/>
        <v>1</v>
      </c>
      <c r="L30" s="50">
        <v>406.93</v>
      </c>
      <c r="M30" s="85">
        <f t="shared" si="18"/>
        <v>5953.3859000000002</v>
      </c>
      <c r="N30" s="82">
        <f t="shared" si="3"/>
        <v>1</v>
      </c>
      <c r="O30" s="50"/>
      <c r="P30" s="85">
        <f t="shared" si="19"/>
        <v>0</v>
      </c>
      <c r="Q30" s="82" t="str">
        <f t="shared" si="4"/>
        <v/>
      </c>
      <c r="R30" s="50"/>
      <c r="S30" s="85">
        <f t="shared" si="20"/>
        <v>0</v>
      </c>
      <c r="T30" s="82" t="str">
        <f t="shared" si="5"/>
        <v/>
      </c>
      <c r="U30" s="50"/>
      <c r="V30" s="85">
        <f t="shared" si="21"/>
        <v>0</v>
      </c>
      <c r="W30" s="82" t="str">
        <f t="shared" si="6"/>
        <v/>
      </c>
      <c r="X30" s="50"/>
      <c r="Y30" s="85">
        <f t="shared" si="22"/>
        <v>0</v>
      </c>
      <c r="Z30" s="82" t="str">
        <f t="shared" si="7"/>
        <v/>
      </c>
      <c r="AA30" s="50"/>
      <c r="AB30" s="85">
        <f t="shared" si="23"/>
        <v>0</v>
      </c>
      <c r="AC30" s="82" t="str">
        <f t="shared" si="8"/>
        <v/>
      </c>
      <c r="AD30" s="50"/>
      <c r="AE30" s="85">
        <f t="shared" si="24"/>
        <v>0</v>
      </c>
      <c r="AF30" s="82" t="str">
        <f t="shared" si="9"/>
        <v/>
      </c>
      <c r="AG30" s="50"/>
      <c r="AH30" s="85">
        <f t="shared" si="25"/>
        <v>0</v>
      </c>
      <c r="AI30" s="82" t="str">
        <f t="shared" si="10"/>
        <v/>
      </c>
      <c r="AJ30" s="50"/>
      <c r="AK30" s="85">
        <f t="shared" si="26"/>
        <v>0</v>
      </c>
      <c r="AL30" s="82" t="str">
        <f t="shared" si="11"/>
        <v/>
      </c>
      <c r="AM30" s="50"/>
      <c r="AN30" s="85">
        <f t="shared" si="27"/>
        <v>0</v>
      </c>
      <c r="AO30" s="82" t="str">
        <f t="shared" si="12"/>
        <v/>
      </c>
      <c r="AP30" s="48">
        <f t="shared" si="0"/>
        <v>406.93</v>
      </c>
      <c r="AQ30" s="85">
        <f t="shared" si="28"/>
        <v>5953.3859000000002</v>
      </c>
      <c r="AR30" s="82">
        <f t="shared" si="13"/>
        <v>1</v>
      </c>
      <c r="AS30" s="48">
        <f t="shared" si="1"/>
        <v>0</v>
      </c>
      <c r="AT30" s="85">
        <f t="shared" si="29"/>
        <v>0</v>
      </c>
      <c r="AU30" s="82" t="str">
        <f t="shared" si="14"/>
        <v/>
      </c>
    </row>
    <row r="31" spans="1:56" ht="30">
      <c r="A31" s="16"/>
      <c r="B31" s="97" t="s">
        <v>571</v>
      </c>
      <c r="C31" s="167" t="s">
        <v>572</v>
      </c>
      <c r="D31" s="86" t="s">
        <v>573</v>
      </c>
      <c r="E31" s="97" t="s">
        <v>28</v>
      </c>
      <c r="F31" s="141">
        <v>137.44</v>
      </c>
      <c r="G31" s="97">
        <v>1</v>
      </c>
      <c r="H31" s="85">
        <f t="shared" si="15"/>
        <v>137.44</v>
      </c>
      <c r="I31" s="50">
        <f t="shared" si="16"/>
        <v>0</v>
      </c>
      <c r="J31" s="85">
        <f t="shared" si="17"/>
        <v>0</v>
      </c>
      <c r="K31" s="82" t="str">
        <f t="shared" si="2"/>
        <v/>
      </c>
      <c r="L31" s="50"/>
      <c r="M31" s="85">
        <f t="shared" si="18"/>
        <v>0</v>
      </c>
      <c r="N31" s="82" t="str">
        <f t="shared" si="3"/>
        <v/>
      </c>
      <c r="O31" s="50"/>
      <c r="P31" s="85">
        <f t="shared" si="19"/>
        <v>0</v>
      </c>
      <c r="Q31" s="82" t="str">
        <f t="shared" si="4"/>
        <v/>
      </c>
      <c r="R31" s="50">
        <v>1</v>
      </c>
      <c r="S31" s="85">
        <f t="shared" si="20"/>
        <v>137.44</v>
      </c>
      <c r="T31" s="82">
        <f t="shared" si="5"/>
        <v>1</v>
      </c>
      <c r="U31" s="50"/>
      <c r="V31" s="85">
        <f t="shared" si="21"/>
        <v>0</v>
      </c>
      <c r="W31" s="82" t="str">
        <f t="shared" si="6"/>
        <v/>
      </c>
      <c r="X31" s="50"/>
      <c r="Y31" s="85">
        <f t="shared" si="22"/>
        <v>0</v>
      </c>
      <c r="Z31" s="82" t="str">
        <f t="shared" si="7"/>
        <v/>
      </c>
      <c r="AA31" s="50"/>
      <c r="AB31" s="85">
        <f t="shared" si="23"/>
        <v>0</v>
      </c>
      <c r="AC31" s="82" t="str">
        <f t="shared" si="8"/>
        <v/>
      </c>
      <c r="AD31" s="50"/>
      <c r="AE31" s="85">
        <f t="shared" si="24"/>
        <v>0</v>
      </c>
      <c r="AF31" s="82" t="str">
        <f t="shared" si="9"/>
        <v/>
      </c>
      <c r="AG31" s="50"/>
      <c r="AH31" s="85">
        <f t="shared" si="25"/>
        <v>0</v>
      </c>
      <c r="AI31" s="82" t="str">
        <f t="shared" si="10"/>
        <v/>
      </c>
      <c r="AJ31" s="50"/>
      <c r="AK31" s="85">
        <f t="shared" si="26"/>
        <v>0</v>
      </c>
      <c r="AL31" s="82" t="str">
        <f t="shared" si="11"/>
        <v/>
      </c>
      <c r="AM31" s="50"/>
      <c r="AN31" s="85">
        <f t="shared" si="27"/>
        <v>0</v>
      </c>
      <c r="AO31" s="82" t="str">
        <f t="shared" si="12"/>
        <v/>
      </c>
      <c r="AP31" s="48">
        <f t="shared" si="0"/>
        <v>1</v>
      </c>
      <c r="AQ31" s="85">
        <f t="shared" si="28"/>
        <v>137.44</v>
      </c>
      <c r="AR31" s="82">
        <f t="shared" si="13"/>
        <v>1</v>
      </c>
      <c r="AS31" s="48">
        <f t="shared" si="1"/>
        <v>0</v>
      </c>
      <c r="AT31" s="85">
        <f t="shared" si="29"/>
        <v>0</v>
      </c>
      <c r="AU31" s="82" t="str">
        <f t="shared" si="14"/>
        <v/>
      </c>
    </row>
    <row r="32" spans="1:56" ht="30">
      <c r="A32" s="16"/>
      <c r="B32" s="97" t="s">
        <v>574</v>
      </c>
      <c r="C32" s="167" t="s">
        <v>575</v>
      </c>
      <c r="D32" s="86" t="s">
        <v>576</v>
      </c>
      <c r="E32" s="97" t="s">
        <v>44</v>
      </c>
      <c r="F32" s="141">
        <v>19.48</v>
      </c>
      <c r="G32" s="97">
        <v>7.8</v>
      </c>
      <c r="H32" s="85">
        <f t="shared" si="15"/>
        <v>151.94399999999999</v>
      </c>
      <c r="I32" s="50">
        <f t="shared" si="16"/>
        <v>7.8</v>
      </c>
      <c r="J32" s="85">
        <f t="shared" si="17"/>
        <v>151.94399999999999</v>
      </c>
      <c r="K32" s="82">
        <f t="shared" si="2"/>
        <v>1</v>
      </c>
      <c r="L32" s="50">
        <v>7.8</v>
      </c>
      <c r="M32" s="85">
        <f t="shared" si="18"/>
        <v>151.94399999999999</v>
      </c>
      <c r="N32" s="82">
        <f t="shared" si="3"/>
        <v>1</v>
      </c>
      <c r="O32" s="50"/>
      <c r="P32" s="85">
        <f t="shared" si="19"/>
        <v>0</v>
      </c>
      <c r="Q32" s="82" t="str">
        <f t="shared" si="4"/>
        <v/>
      </c>
      <c r="R32" s="50"/>
      <c r="S32" s="85">
        <f t="shared" si="20"/>
        <v>0</v>
      </c>
      <c r="T32" s="82" t="str">
        <f t="shared" si="5"/>
        <v/>
      </c>
      <c r="U32" s="50"/>
      <c r="V32" s="85">
        <f t="shared" si="21"/>
        <v>0</v>
      </c>
      <c r="W32" s="82" t="str">
        <f t="shared" si="6"/>
        <v/>
      </c>
      <c r="X32" s="50"/>
      <c r="Y32" s="85">
        <f t="shared" si="22"/>
        <v>0</v>
      </c>
      <c r="Z32" s="82" t="str">
        <f t="shared" si="7"/>
        <v/>
      </c>
      <c r="AA32" s="50"/>
      <c r="AB32" s="85">
        <f t="shared" si="23"/>
        <v>0</v>
      </c>
      <c r="AC32" s="82" t="str">
        <f t="shared" si="8"/>
        <v/>
      </c>
      <c r="AD32" s="50"/>
      <c r="AE32" s="85">
        <f t="shared" si="24"/>
        <v>0</v>
      </c>
      <c r="AF32" s="82" t="str">
        <f t="shared" si="9"/>
        <v/>
      </c>
      <c r="AG32" s="50"/>
      <c r="AH32" s="85">
        <f t="shared" si="25"/>
        <v>0</v>
      </c>
      <c r="AI32" s="82" t="str">
        <f t="shared" si="10"/>
        <v/>
      </c>
      <c r="AJ32" s="50"/>
      <c r="AK32" s="85">
        <f t="shared" si="26"/>
        <v>0</v>
      </c>
      <c r="AL32" s="82" t="str">
        <f t="shared" si="11"/>
        <v/>
      </c>
      <c r="AM32" s="50"/>
      <c r="AN32" s="85">
        <f t="shared" si="27"/>
        <v>0</v>
      </c>
      <c r="AO32" s="82" t="str">
        <f t="shared" si="12"/>
        <v/>
      </c>
      <c r="AP32" s="48">
        <f t="shared" si="0"/>
        <v>7.8</v>
      </c>
      <c r="AQ32" s="85">
        <f t="shared" si="28"/>
        <v>151.94399999999999</v>
      </c>
      <c r="AR32" s="82">
        <f t="shared" si="13"/>
        <v>1</v>
      </c>
      <c r="AS32" s="48">
        <f t="shared" si="1"/>
        <v>0</v>
      </c>
      <c r="AT32" s="85">
        <f t="shared" si="29"/>
        <v>0</v>
      </c>
      <c r="AU32" s="82" t="str">
        <f t="shared" si="14"/>
        <v/>
      </c>
    </row>
    <row r="33" spans="1:47" ht="45">
      <c r="A33" s="16"/>
      <c r="B33" s="97" t="s">
        <v>577</v>
      </c>
      <c r="C33" s="167" t="s">
        <v>578</v>
      </c>
      <c r="D33" s="86" t="s">
        <v>579</v>
      </c>
      <c r="E33" s="97" t="s">
        <v>44</v>
      </c>
      <c r="F33" s="141">
        <v>13.19</v>
      </c>
      <c r="G33" s="97">
        <v>15.6</v>
      </c>
      <c r="H33" s="85">
        <f t="shared" si="15"/>
        <v>205.76399999999998</v>
      </c>
      <c r="I33" s="50">
        <f t="shared" si="16"/>
        <v>15.6</v>
      </c>
      <c r="J33" s="85">
        <f t="shared" si="17"/>
        <v>205.76399999999998</v>
      </c>
      <c r="K33" s="82">
        <f t="shared" si="2"/>
        <v>1</v>
      </c>
      <c r="L33" s="50">
        <v>15.6</v>
      </c>
      <c r="M33" s="85">
        <f t="shared" si="18"/>
        <v>205.76399999999998</v>
      </c>
      <c r="N33" s="82">
        <f t="shared" si="3"/>
        <v>1</v>
      </c>
      <c r="O33" s="50"/>
      <c r="P33" s="85">
        <f t="shared" si="19"/>
        <v>0</v>
      </c>
      <c r="Q33" s="82" t="str">
        <f t="shared" si="4"/>
        <v/>
      </c>
      <c r="R33" s="50"/>
      <c r="S33" s="85">
        <f t="shared" si="20"/>
        <v>0</v>
      </c>
      <c r="T33" s="82" t="str">
        <f t="shared" si="5"/>
        <v/>
      </c>
      <c r="U33" s="50"/>
      <c r="V33" s="85">
        <f t="shared" si="21"/>
        <v>0</v>
      </c>
      <c r="W33" s="82" t="str">
        <f t="shared" si="6"/>
        <v/>
      </c>
      <c r="X33" s="50"/>
      <c r="Y33" s="85">
        <f t="shared" si="22"/>
        <v>0</v>
      </c>
      <c r="Z33" s="82" t="str">
        <f t="shared" si="7"/>
        <v/>
      </c>
      <c r="AA33" s="50"/>
      <c r="AB33" s="85">
        <f t="shared" si="23"/>
        <v>0</v>
      </c>
      <c r="AC33" s="82" t="str">
        <f t="shared" si="8"/>
        <v/>
      </c>
      <c r="AD33" s="50"/>
      <c r="AE33" s="85">
        <f t="shared" si="24"/>
        <v>0</v>
      </c>
      <c r="AF33" s="82" t="str">
        <f t="shared" si="9"/>
        <v/>
      </c>
      <c r="AG33" s="50"/>
      <c r="AH33" s="85">
        <f t="shared" si="25"/>
        <v>0</v>
      </c>
      <c r="AI33" s="82" t="str">
        <f t="shared" si="10"/>
        <v/>
      </c>
      <c r="AJ33" s="50"/>
      <c r="AK33" s="85">
        <f t="shared" si="26"/>
        <v>0</v>
      </c>
      <c r="AL33" s="82" t="str">
        <f t="shared" si="11"/>
        <v/>
      </c>
      <c r="AM33" s="50"/>
      <c r="AN33" s="85">
        <f t="shared" si="27"/>
        <v>0</v>
      </c>
      <c r="AO33" s="82" t="str">
        <f t="shared" si="12"/>
        <v/>
      </c>
      <c r="AP33" s="48">
        <f t="shared" si="0"/>
        <v>15.6</v>
      </c>
      <c r="AQ33" s="85">
        <f t="shared" si="28"/>
        <v>205.76399999999998</v>
      </c>
      <c r="AR33" s="82">
        <f t="shared" si="13"/>
        <v>1</v>
      </c>
      <c r="AS33" s="48">
        <f t="shared" si="1"/>
        <v>0</v>
      </c>
      <c r="AT33" s="85">
        <f t="shared" si="29"/>
        <v>0</v>
      </c>
      <c r="AU33" s="82" t="str">
        <f t="shared" si="14"/>
        <v/>
      </c>
    </row>
    <row r="34" spans="1:47" ht="45">
      <c r="A34" s="16"/>
      <c r="B34" s="97" t="s">
        <v>580</v>
      </c>
      <c r="C34" s="167" t="s">
        <v>581</v>
      </c>
      <c r="D34" s="86" t="s">
        <v>582</v>
      </c>
      <c r="E34" s="97" t="s">
        <v>28</v>
      </c>
      <c r="F34" s="141">
        <v>297.25</v>
      </c>
      <c r="G34" s="97">
        <v>2</v>
      </c>
      <c r="H34" s="85">
        <f t="shared" si="15"/>
        <v>594.5</v>
      </c>
      <c r="I34" s="50">
        <f t="shared" si="16"/>
        <v>2</v>
      </c>
      <c r="J34" s="85">
        <f t="shared" si="17"/>
        <v>594.5</v>
      </c>
      <c r="K34" s="82">
        <f t="shared" si="2"/>
        <v>1</v>
      </c>
      <c r="L34" s="50"/>
      <c r="M34" s="85">
        <f t="shared" si="18"/>
        <v>0</v>
      </c>
      <c r="N34" s="82" t="str">
        <f t="shared" si="3"/>
        <v/>
      </c>
      <c r="O34" s="50">
        <v>2</v>
      </c>
      <c r="P34" s="85">
        <f t="shared" si="19"/>
        <v>594.5</v>
      </c>
      <c r="Q34" s="82">
        <f t="shared" si="4"/>
        <v>1</v>
      </c>
      <c r="R34" s="50"/>
      <c r="S34" s="85">
        <f t="shared" si="20"/>
        <v>0</v>
      </c>
      <c r="T34" s="82" t="str">
        <f t="shared" si="5"/>
        <v/>
      </c>
      <c r="U34" s="50"/>
      <c r="V34" s="85">
        <f t="shared" si="21"/>
        <v>0</v>
      </c>
      <c r="W34" s="82" t="str">
        <f t="shared" si="6"/>
        <v/>
      </c>
      <c r="X34" s="50"/>
      <c r="Y34" s="85">
        <f t="shared" si="22"/>
        <v>0</v>
      </c>
      <c r="Z34" s="82" t="str">
        <f t="shared" si="7"/>
        <v/>
      </c>
      <c r="AA34" s="50"/>
      <c r="AB34" s="85">
        <f t="shared" si="23"/>
        <v>0</v>
      </c>
      <c r="AC34" s="82" t="str">
        <f t="shared" si="8"/>
        <v/>
      </c>
      <c r="AD34" s="50"/>
      <c r="AE34" s="85">
        <f t="shared" si="24"/>
        <v>0</v>
      </c>
      <c r="AF34" s="82" t="str">
        <f t="shared" si="9"/>
        <v/>
      </c>
      <c r="AG34" s="50"/>
      <c r="AH34" s="85">
        <f t="shared" si="25"/>
        <v>0</v>
      </c>
      <c r="AI34" s="82" t="str">
        <f t="shared" si="10"/>
        <v/>
      </c>
      <c r="AJ34" s="50"/>
      <c r="AK34" s="85">
        <f t="shared" si="26"/>
        <v>0</v>
      </c>
      <c r="AL34" s="82" t="str">
        <f t="shared" si="11"/>
        <v/>
      </c>
      <c r="AM34" s="50"/>
      <c r="AN34" s="85">
        <f t="shared" si="27"/>
        <v>0</v>
      </c>
      <c r="AO34" s="82" t="str">
        <f t="shared" si="12"/>
        <v/>
      </c>
      <c r="AP34" s="48">
        <f t="shared" si="0"/>
        <v>2</v>
      </c>
      <c r="AQ34" s="85">
        <f t="shared" si="28"/>
        <v>594.5</v>
      </c>
      <c r="AR34" s="82">
        <f t="shared" si="13"/>
        <v>1</v>
      </c>
      <c r="AS34" s="48">
        <f t="shared" si="1"/>
        <v>0</v>
      </c>
      <c r="AT34" s="85">
        <f t="shared" si="29"/>
        <v>0</v>
      </c>
      <c r="AU34" s="82" t="str">
        <f t="shared" si="14"/>
        <v/>
      </c>
    </row>
    <row r="35" spans="1:47" ht="60">
      <c r="A35" s="16"/>
      <c r="B35" s="97" t="s">
        <v>583</v>
      </c>
      <c r="C35" s="167" t="s">
        <v>584</v>
      </c>
      <c r="D35" s="86" t="s">
        <v>585</v>
      </c>
      <c r="E35" s="97" t="s">
        <v>28</v>
      </c>
      <c r="F35" s="141">
        <v>42.25</v>
      </c>
      <c r="G35" s="97">
        <v>16</v>
      </c>
      <c r="H35" s="85">
        <f t="shared" si="15"/>
        <v>676</v>
      </c>
      <c r="I35" s="50">
        <f t="shared" si="16"/>
        <v>16</v>
      </c>
      <c r="J35" s="85">
        <f t="shared" si="17"/>
        <v>676</v>
      </c>
      <c r="K35" s="82">
        <f t="shared" si="2"/>
        <v>1</v>
      </c>
      <c r="L35" s="50">
        <v>16</v>
      </c>
      <c r="M35" s="85">
        <f t="shared" si="18"/>
        <v>676</v>
      </c>
      <c r="N35" s="82">
        <f t="shared" si="3"/>
        <v>1</v>
      </c>
      <c r="O35" s="50"/>
      <c r="P35" s="85">
        <f t="shared" si="19"/>
        <v>0</v>
      </c>
      <c r="Q35" s="82" t="str">
        <f t="shared" si="4"/>
        <v/>
      </c>
      <c r="R35" s="50"/>
      <c r="S35" s="85">
        <f t="shared" si="20"/>
        <v>0</v>
      </c>
      <c r="T35" s="82" t="str">
        <f t="shared" si="5"/>
        <v/>
      </c>
      <c r="U35" s="50"/>
      <c r="V35" s="85">
        <f t="shared" si="21"/>
        <v>0</v>
      </c>
      <c r="W35" s="82" t="str">
        <f t="shared" si="6"/>
        <v/>
      </c>
      <c r="X35" s="50"/>
      <c r="Y35" s="85">
        <f t="shared" si="22"/>
        <v>0</v>
      </c>
      <c r="Z35" s="82" t="str">
        <f t="shared" si="7"/>
        <v/>
      </c>
      <c r="AA35" s="50"/>
      <c r="AB35" s="85">
        <f t="shared" si="23"/>
        <v>0</v>
      </c>
      <c r="AC35" s="82" t="str">
        <f t="shared" si="8"/>
        <v/>
      </c>
      <c r="AD35" s="50"/>
      <c r="AE35" s="85">
        <f t="shared" si="24"/>
        <v>0</v>
      </c>
      <c r="AF35" s="82" t="str">
        <f t="shared" si="9"/>
        <v/>
      </c>
      <c r="AG35" s="50"/>
      <c r="AH35" s="85">
        <f t="shared" si="25"/>
        <v>0</v>
      </c>
      <c r="AI35" s="82" t="str">
        <f t="shared" si="10"/>
        <v/>
      </c>
      <c r="AJ35" s="50"/>
      <c r="AK35" s="85">
        <f t="shared" si="26"/>
        <v>0</v>
      </c>
      <c r="AL35" s="82" t="str">
        <f t="shared" si="11"/>
        <v/>
      </c>
      <c r="AM35" s="50"/>
      <c r="AN35" s="85">
        <f t="shared" si="27"/>
        <v>0</v>
      </c>
      <c r="AO35" s="82" t="str">
        <f t="shared" si="12"/>
        <v/>
      </c>
      <c r="AP35" s="48">
        <f t="shared" si="0"/>
        <v>16</v>
      </c>
      <c r="AQ35" s="85">
        <f t="shared" si="28"/>
        <v>676</v>
      </c>
      <c r="AR35" s="82">
        <f t="shared" si="13"/>
        <v>1</v>
      </c>
      <c r="AS35" s="48">
        <f t="shared" si="1"/>
        <v>0</v>
      </c>
      <c r="AT35" s="85">
        <f t="shared" si="29"/>
        <v>0</v>
      </c>
      <c r="AU35" s="82" t="str">
        <f t="shared" si="14"/>
        <v/>
      </c>
    </row>
    <row r="36" spans="1:47" ht="30">
      <c r="A36" s="16"/>
      <c r="B36" s="97" t="s">
        <v>586</v>
      </c>
      <c r="C36" s="167" t="s">
        <v>587</v>
      </c>
      <c r="D36" s="86" t="s">
        <v>588</v>
      </c>
      <c r="E36" s="97" t="s">
        <v>28</v>
      </c>
      <c r="F36" s="141">
        <v>45.8</v>
      </c>
      <c r="G36" s="97">
        <v>2</v>
      </c>
      <c r="H36" s="85">
        <f t="shared" si="15"/>
        <v>91.6</v>
      </c>
      <c r="I36" s="50">
        <f t="shared" si="16"/>
        <v>2</v>
      </c>
      <c r="J36" s="85">
        <f t="shared" si="17"/>
        <v>91.6</v>
      </c>
      <c r="K36" s="82">
        <f t="shared" si="2"/>
        <v>1</v>
      </c>
      <c r="L36" s="50">
        <v>2</v>
      </c>
      <c r="M36" s="85">
        <f t="shared" si="18"/>
        <v>91.6</v>
      </c>
      <c r="N36" s="82">
        <f t="shared" si="3"/>
        <v>1</v>
      </c>
      <c r="O36" s="50"/>
      <c r="P36" s="85">
        <f t="shared" si="19"/>
        <v>0</v>
      </c>
      <c r="Q36" s="82" t="str">
        <f t="shared" si="4"/>
        <v/>
      </c>
      <c r="R36" s="50"/>
      <c r="S36" s="85">
        <f t="shared" si="20"/>
        <v>0</v>
      </c>
      <c r="T36" s="82" t="str">
        <f t="shared" si="5"/>
        <v/>
      </c>
      <c r="U36" s="50"/>
      <c r="V36" s="85">
        <f t="shared" si="21"/>
        <v>0</v>
      </c>
      <c r="W36" s="82" t="str">
        <f t="shared" si="6"/>
        <v/>
      </c>
      <c r="X36" s="50"/>
      <c r="Y36" s="85">
        <f t="shared" si="22"/>
        <v>0</v>
      </c>
      <c r="Z36" s="82" t="str">
        <f t="shared" si="7"/>
        <v/>
      </c>
      <c r="AA36" s="50"/>
      <c r="AB36" s="85">
        <f t="shared" si="23"/>
        <v>0</v>
      </c>
      <c r="AC36" s="82" t="str">
        <f t="shared" si="8"/>
        <v/>
      </c>
      <c r="AD36" s="50"/>
      <c r="AE36" s="85">
        <f t="shared" si="24"/>
        <v>0</v>
      </c>
      <c r="AF36" s="82" t="str">
        <f t="shared" si="9"/>
        <v/>
      </c>
      <c r="AG36" s="50"/>
      <c r="AH36" s="85">
        <f t="shared" si="25"/>
        <v>0</v>
      </c>
      <c r="AI36" s="82" t="str">
        <f t="shared" si="10"/>
        <v/>
      </c>
      <c r="AJ36" s="50"/>
      <c r="AK36" s="85">
        <f t="shared" si="26"/>
        <v>0</v>
      </c>
      <c r="AL36" s="82" t="str">
        <f t="shared" si="11"/>
        <v/>
      </c>
      <c r="AM36" s="50"/>
      <c r="AN36" s="85">
        <f t="shared" si="27"/>
        <v>0</v>
      </c>
      <c r="AO36" s="82" t="str">
        <f t="shared" si="12"/>
        <v/>
      </c>
      <c r="AP36" s="48">
        <f t="shared" si="0"/>
        <v>2</v>
      </c>
      <c r="AQ36" s="85">
        <f t="shared" si="28"/>
        <v>91.6</v>
      </c>
      <c r="AR36" s="82">
        <f t="shared" si="13"/>
        <v>1</v>
      </c>
      <c r="AS36" s="48">
        <f t="shared" si="1"/>
        <v>0</v>
      </c>
      <c r="AT36" s="85">
        <f t="shared" si="29"/>
        <v>0</v>
      </c>
      <c r="AU36" s="82" t="str">
        <f t="shared" si="14"/>
        <v/>
      </c>
    </row>
    <row r="37" spans="1:47">
      <c r="A37" s="16"/>
      <c r="B37" s="97" t="s">
        <v>589</v>
      </c>
      <c r="C37" s="167" t="s">
        <v>590</v>
      </c>
      <c r="D37" s="86" t="s">
        <v>591</v>
      </c>
      <c r="E37" s="97" t="s">
        <v>12</v>
      </c>
      <c r="F37" s="141">
        <v>1.83</v>
      </c>
      <c r="G37" s="97">
        <v>351.35</v>
      </c>
      <c r="H37" s="85">
        <f t="shared" si="15"/>
        <v>642.97050000000002</v>
      </c>
      <c r="I37" s="50">
        <f t="shared" si="16"/>
        <v>351.35</v>
      </c>
      <c r="J37" s="85">
        <f t="shared" si="17"/>
        <v>642.97050000000002</v>
      </c>
      <c r="K37" s="82">
        <f t="shared" si="2"/>
        <v>1</v>
      </c>
      <c r="L37" s="50">
        <v>351.35</v>
      </c>
      <c r="M37" s="85">
        <f t="shared" si="18"/>
        <v>642.97050000000002</v>
      </c>
      <c r="N37" s="82">
        <f t="shared" si="3"/>
        <v>1</v>
      </c>
      <c r="O37" s="50"/>
      <c r="P37" s="85">
        <f t="shared" si="19"/>
        <v>0</v>
      </c>
      <c r="Q37" s="82" t="str">
        <f t="shared" si="4"/>
        <v/>
      </c>
      <c r="R37" s="50"/>
      <c r="S37" s="85">
        <f t="shared" si="20"/>
        <v>0</v>
      </c>
      <c r="T37" s="82" t="str">
        <f t="shared" si="5"/>
        <v/>
      </c>
      <c r="U37" s="50"/>
      <c r="V37" s="85">
        <f t="shared" si="21"/>
        <v>0</v>
      </c>
      <c r="W37" s="82" t="str">
        <f t="shared" si="6"/>
        <v/>
      </c>
      <c r="X37" s="50"/>
      <c r="Y37" s="85">
        <f t="shared" si="22"/>
        <v>0</v>
      </c>
      <c r="Z37" s="82" t="str">
        <f t="shared" si="7"/>
        <v/>
      </c>
      <c r="AA37" s="50"/>
      <c r="AB37" s="85">
        <f t="shared" si="23"/>
        <v>0</v>
      </c>
      <c r="AC37" s="82" t="str">
        <f t="shared" si="8"/>
        <v/>
      </c>
      <c r="AD37" s="50"/>
      <c r="AE37" s="85">
        <f t="shared" si="24"/>
        <v>0</v>
      </c>
      <c r="AF37" s="82" t="str">
        <f t="shared" si="9"/>
        <v/>
      </c>
      <c r="AG37" s="50"/>
      <c r="AH37" s="85">
        <f t="shared" si="25"/>
        <v>0</v>
      </c>
      <c r="AI37" s="82" t="str">
        <f t="shared" si="10"/>
        <v/>
      </c>
      <c r="AJ37" s="50"/>
      <c r="AK37" s="85">
        <f t="shared" si="26"/>
        <v>0</v>
      </c>
      <c r="AL37" s="82" t="str">
        <f t="shared" si="11"/>
        <v/>
      </c>
      <c r="AM37" s="50"/>
      <c r="AN37" s="85">
        <f t="shared" si="27"/>
        <v>0</v>
      </c>
      <c r="AO37" s="82" t="str">
        <f t="shared" si="12"/>
        <v/>
      </c>
      <c r="AP37" s="48">
        <f t="shared" si="0"/>
        <v>351.35</v>
      </c>
      <c r="AQ37" s="85">
        <f t="shared" si="28"/>
        <v>642.97050000000002</v>
      </c>
      <c r="AR37" s="82">
        <f t="shared" si="13"/>
        <v>1</v>
      </c>
      <c r="AS37" s="48">
        <f t="shared" si="1"/>
        <v>0</v>
      </c>
      <c r="AT37" s="85">
        <f t="shared" si="29"/>
        <v>0</v>
      </c>
      <c r="AU37" s="82" t="str">
        <f t="shared" si="14"/>
        <v/>
      </c>
    </row>
    <row r="38" spans="1:47" ht="30">
      <c r="A38" s="16"/>
      <c r="B38" s="97" t="s">
        <v>592</v>
      </c>
      <c r="C38" s="167" t="s">
        <v>486</v>
      </c>
      <c r="D38" s="86" t="s">
        <v>487</v>
      </c>
      <c r="E38" s="97" t="s">
        <v>12</v>
      </c>
      <c r="F38" s="141">
        <v>6.72</v>
      </c>
      <c r="G38" s="97">
        <v>566.15</v>
      </c>
      <c r="H38" s="85">
        <f t="shared" si="15"/>
        <v>3804.5279999999998</v>
      </c>
      <c r="I38" s="50">
        <f t="shared" si="16"/>
        <v>0</v>
      </c>
      <c r="J38" s="85">
        <f t="shared" si="17"/>
        <v>0</v>
      </c>
      <c r="K38" s="82" t="str">
        <f t="shared" si="2"/>
        <v/>
      </c>
      <c r="L38" s="50"/>
      <c r="M38" s="85">
        <f t="shared" si="18"/>
        <v>0</v>
      </c>
      <c r="N38" s="82" t="str">
        <f t="shared" si="3"/>
        <v/>
      </c>
      <c r="O38" s="50"/>
      <c r="P38" s="85">
        <f t="shared" si="19"/>
        <v>0</v>
      </c>
      <c r="Q38" s="82" t="str">
        <f t="shared" si="4"/>
        <v/>
      </c>
      <c r="R38" s="50"/>
      <c r="S38" s="85">
        <f t="shared" si="20"/>
        <v>0</v>
      </c>
      <c r="T38" s="82" t="str">
        <f t="shared" si="5"/>
        <v/>
      </c>
      <c r="U38" s="50"/>
      <c r="V38" s="85">
        <f t="shared" si="21"/>
        <v>0</v>
      </c>
      <c r="W38" s="82" t="str">
        <f t="shared" si="6"/>
        <v/>
      </c>
      <c r="X38" s="50"/>
      <c r="Y38" s="85">
        <f t="shared" si="22"/>
        <v>0</v>
      </c>
      <c r="Z38" s="82" t="str">
        <f t="shared" si="7"/>
        <v/>
      </c>
      <c r="AA38" s="50"/>
      <c r="AB38" s="85">
        <f t="shared" si="23"/>
        <v>0</v>
      </c>
      <c r="AC38" s="82" t="str">
        <f t="shared" si="8"/>
        <v/>
      </c>
      <c r="AD38" s="50"/>
      <c r="AE38" s="85">
        <f t="shared" si="24"/>
        <v>0</v>
      </c>
      <c r="AF38" s="82" t="str">
        <f t="shared" si="9"/>
        <v/>
      </c>
      <c r="AG38" s="50"/>
      <c r="AH38" s="85">
        <f t="shared" si="25"/>
        <v>0</v>
      </c>
      <c r="AI38" s="82" t="str">
        <f t="shared" si="10"/>
        <v/>
      </c>
      <c r="AJ38" s="50"/>
      <c r="AK38" s="85">
        <f t="shared" si="26"/>
        <v>0</v>
      </c>
      <c r="AL38" s="82" t="str">
        <f t="shared" si="11"/>
        <v/>
      </c>
      <c r="AM38" s="50"/>
      <c r="AN38" s="85">
        <f t="shared" si="27"/>
        <v>0</v>
      </c>
      <c r="AO38" s="82" t="str">
        <f t="shared" si="12"/>
        <v/>
      </c>
      <c r="AP38" s="48">
        <f t="shared" si="0"/>
        <v>0</v>
      </c>
      <c r="AQ38" s="85">
        <f t="shared" si="28"/>
        <v>0</v>
      </c>
      <c r="AR38" s="82" t="str">
        <f t="shared" si="13"/>
        <v/>
      </c>
      <c r="AS38" s="48">
        <f t="shared" si="1"/>
        <v>566.15</v>
      </c>
      <c r="AT38" s="85">
        <f t="shared" si="29"/>
        <v>3804.5279999999998</v>
      </c>
      <c r="AU38" s="82">
        <f t="shared" si="14"/>
        <v>1</v>
      </c>
    </row>
    <row r="39" spans="1:47" ht="30">
      <c r="A39" s="16"/>
      <c r="B39" s="98" t="s">
        <v>593</v>
      </c>
      <c r="C39" s="168" t="s">
        <v>10</v>
      </c>
      <c r="D39" s="87" t="s">
        <v>2104</v>
      </c>
      <c r="E39" s="98" t="s">
        <v>12</v>
      </c>
      <c r="F39" s="142">
        <v>52.27</v>
      </c>
      <c r="G39" s="98">
        <v>466.23</v>
      </c>
      <c r="H39" s="85">
        <f t="shared" si="15"/>
        <v>24369.842100000002</v>
      </c>
      <c r="I39" s="50">
        <f t="shared" si="16"/>
        <v>466.23</v>
      </c>
      <c r="J39" s="85">
        <f t="shared" si="17"/>
        <v>24369.842100000002</v>
      </c>
      <c r="K39" s="82">
        <f t="shared" si="2"/>
        <v>1</v>
      </c>
      <c r="L39" s="50">
        <v>453.24</v>
      </c>
      <c r="M39" s="85">
        <f t="shared" si="18"/>
        <v>23690.854800000001</v>
      </c>
      <c r="N39" s="82">
        <f t="shared" si="3"/>
        <v>0.97213821504407694</v>
      </c>
      <c r="O39" s="50">
        <v>12.99</v>
      </c>
      <c r="P39" s="85">
        <f t="shared" si="19"/>
        <v>678.9873</v>
      </c>
      <c r="Q39" s="82">
        <f t="shared" si="4"/>
        <v>2.7861784955923043E-2</v>
      </c>
      <c r="R39" s="50"/>
      <c r="S39" s="85">
        <f t="shared" si="20"/>
        <v>0</v>
      </c>
      <c r="T39" s="82" t="str">
        <f t="shared" si="5"/>
        <v/>
      </c>
      <c r="U39" s="50"/>
      <c r="V39" s="85">
        <f t="shared" si="21"/>
        <v>0</v>
      </c>
      <c r="W39" s="82" t="str">
        <f t="shared" si="6"/>
        <v/>
      </c>
      <c r="X39" s="50"/>
      <c r="Y39" s="85">
        <f t="shared" si="22"/>
        <v>0</v>
      </c>
      <c r="Z39" s="82" t="str">
        <f t="shared" si="7"/>
        <v/>
      </c>
      <c r="AA39" s="50"/>
      <c r="AB39" s="85">
        <f t="shared" si="23"/>
        <v>0</v>
      </c>
      <c r="AC39" s="82" t="str">
        <f t="shared" si="8"/>
        <v/>
      </c>
      <c r="AD39" s="50"/>
      <c r="AE39" s="85">
        <f t="shared" si="24"/>
        <v>0</v>
      </c>
      <c r="AF39" s="82" t="str">
        <f t="shared" si="9"/>
        <v/>
      </c>
      <c r="AG39" s="50"/>
      <c r="AH39" s="85">
        <f t="shared" si="25"/>
        <v>0</v>
      </c>
      <c r="AI39" s="82" t="str">
        <f t="shared" si="10"/>
        <v/>
      </c>
      <c r="AJ39" s="50"/>
      <c r="AK39" s="85">
        <f t="shared" si="26"/>
        <v>0</v>
      </c>
      <c r="AL39" s="82" t="str">
        <f t="shared" si="11"/>
        <v/>
      </c>
      <c r="AM39" s="50"/>
      <c r="AN39" s="85">
        <f t="shared" si="27"/>
        <v>0</v>
      </c>
      <c r="AO39" s="82" t="str">
        <f t="shared" si="12"/>
        <v/>
      </c>
      <c r="AP39" s="48">
        <f t="shared" si="0"/>
        <v>466.23</v>
      </c>
      <c r="AQ39" s="85">
        <f t="shared" si="28"/>
        <v>24369.842100000002</v>
      </c>
      <c r="AR39" s="82">
        <f t="shared" si="13"/>
        <v>1</v>
      </c>
      <c r="AS39" s="48">
        <f t="shared" si="1"/>
        <v>0</v>
      </c>
      <c r="AT39" s="85">
        <f t="shared" si="29"/>
        <v>0</v>
      </c>
      <c r="AU39" s="82" t="str">
        <f t="shared" si="14"/>
        <v/>
      </c>
    </row>
    <row r="40" spans="1:47" ht="45">
      <c r="A40" s="16"/>
      <c r="B40" s="97" t="s">
        <v>594</v>
      </c>
      <c r="C40" s="167" t="s">
        <v>595</v>
      </c>
      <c r="D40" s="86" t="s">
        <v>596</v>
      </c>
      <c r="E40" s="97" t="s">
        <v>12</v>
      </c>
      <c r="F40" s="141">
        <v>2.0699999999999998</v>
      </c>
      <c r="G40" s="97">
        <v>135.77000000000001</v>
      </c>
      <c r="H40" s="85">
        <f t="shared" si="15"/>
        <v>281.04390000000001</v>
      </c>
      <c r="I40" s="50">
        <f t="shared" si="16"/>
        <v>135.77000000000001</v>
      </c>
      <c r="J40" s="85">
        <f t="shared" si="17"/>
        <v>281.04390000000001</v>
      </c>
      <c r="K40" s="82">
        <f t="shared" si="2"/>
        <v>1</v>
      </c>
      <c r="L40" s="50">
        <v>135.77000000000001</v>
      </c>
      <c r="M40" s="85">
        <f t="shared" si="18"/>
        <v>281.04390000000001</v>
      </c>
      <c r="N40" s="82">
        <f t="shared" si="3"/>
        <v>1</v>
      </c>
      <c r="O40" s="50"/>
      <c r="P40" s="85">
        <f t="shared" si="19"/>
        <v>0</v>
      </c>
      <c r="Q40" s="82" t="str">
        <f t="shared" si="4"/>
        <v/>
      </c>
      <c r="R40" s="50"/>
      <c r="S40" s="85">
        <f t="shared" si="20"/>
        <v>0</v>
      </c>
      <c r="T40" s="82" t="str">
        <f t="shared" si="5"/>
        <v/>
      </c>
      <c r="U40" s="50"/>
      <c r="V40" s="85">
        <f t="shared" si="21"/>
        <v>0</v>
      </c>
      <c r="W40" s="82" t="str">
        <f t="shared" si="6"/>
        <v/>
      </c>
      <c r="X40" s="50"/>
      <c r="Y40" s="85">
        <f t="shared" si="22"/>
        <v>0</v>
      </c>
      <c r="Z40" s="82" t="str">
        <f t="shared" si="7"/>
        <v/>
      </c>
      <c r="AA40" s="50"/>
      <c r="AB40" s="85">
        <f t="shared" si="23"/>
        <v>0</v>
      </c>
      <c r="AC40" s="82" t="str">
        <f t="shared" si="8"/>
        <v/>
      </c>
      <c r="AD40" s="50"/>
      <c r="AE40" s="85">
        <f t="shared" si="24"/>
        <v>0</v>
      </c>
      <c r="AF40" s="82" t="str">
        <f t="shared" si="9"/>
        <v/>
      </c>
      <c r="AG40" s="50"/>
      <c r="AH40" s="85">
        <f t="shared" si="25"/>
        <v>0</v>
      </c>
      <c r="AI40" s="82" t="str">
        <f t="shared" si="10"/>
        <v/>
      </c>
      <c r="AJ40" s="50"/>
      <c r="AK40" s="85">
        <f t="shared" si="26"/>
        <v>0</v>
      </c>
      <c r="AL40" s="82" t="str">
        <f t="shared" si="11"/>
        <v/>
      </c>
      <c r="AM40" s="50"/>
      <c r="AN40" s="85">
        <f t="shared" si="27"/>
        <v>0</v>
      </c>
      <c r="AO40" s="82" t="str">
        <f t="shared" si="12"/>
        <v/>
      </c>
      <c r="AP40" s="48">
        <f t="shared" si="0"/>
        <v>135.77000000000001</v>
      </c>
      <c r="AQ40" s="85">
        <f t="shared" si="28"/>
        <v>281.04390000000001</v>
      </c>
      <c r="AR40" s="82">
        <f t="shared" si="13"/>
        <v>1</v>
      </c>
      <c r="AS40" s="48">
        <f t="shared" si="1"/>
        <v>0</v>
      </c>
      <c r="AT40" s="85">
        <f t="shared" si="29"/>
        <v>0</v>
      </c>
      <c r="AU40" s="82" t="str">
        <f t="shared" si="14"/>
        <v/>
      </c>
    </row>
    <row r="41" spans="1:47" ht="45">
      <c r="A41" s="16"/>
      <c r="B41" s="97" t="s">
        <v>597</v>
      </c>
      <c r="C41" s="167" t="s">
        <v>598</v>
      </c>
      <c r="D41" s="86" t="s">
        <v>599</v>
      </c>
      <c r="E41" s="97" t="s">
        <v>532</v>
      </c>
      <c r="F41" s="141">
        <v>447.17</v>
      </c>
      <c r="G41" s="97">
        <v>1</v>
      </c>
      <c r="H41" s="85">
        <f t="shared" si="15"/>
        <v>447.17</v>
      </c>
      <c r="I41" s="50">
        <f t="shared" si="16"/>
        <v>1</v>
      </c>
      <c r="J41" s="85">
        <f t="shared" si="17"/>
        <v>447.17</v>
      </c>
      <c r="K41" s="82">
        <f t="shared" si="2"/>
        <v>1</v>
      </c>
      <c r="L41" s="50">
        <v>1</v>
      </c>
      <c r="M41" s="85">
        <f t="shared" si="18"/>
        <v>447.17</v>
      </c>
      <c r="N41" s="82">
        <f t="shared" si="3"/>
        <v>1</v>
      </c>
      <c r="O41" s="50"/>
      <c r="P41" s="85">
        <f t="shared" si="19"/>
        <v>0</v>
      </c>
      <c r="Q41" s="82" t="str">
        <f t="shared" si="4"/>
        <v/>
      </c>
      <c r="R41" s="50"/>
      <c r="S41" s="85">
        <f t="shared" si="20"/>
        <v>0</v>
      </c>
      <c r="T41" s="82" t="str">
        <f t="shared" si="5"/>
        <v/>
      </c>
      <c r="U41" s="50"/>
      <c r="V41" s="85">
        <f t="shared" si="21"/>
        <v>0</v>
      </c>
      <c r="W41" s="82" t="str">
        <f t="shared" si="6"/>
        <v/>
      </c>
      <c r="X41" s="50"/>
      <c r="Y41" s="85">
        <f t="shared" si="22"/>
        <v>0</v>
      </c>
      <c r="Z41" s="82" t="str">
        <f t="shared" si="7"/>
        <v/>
      </c>
      <c r="AA41" s="50"/>
      <c r="AB41" s="85">
        <f t="shared" si="23"/>
        <v>0</v>
      </c>
      <c r="AC41" s="82" t="str">
        <f t="shared" si="8"/>
        <v/>
      </c>
      <c r="AD41" s="50"/>
      <c r="AE41" s="85">
        <f t="shared" si="24"/>
        <v>0</v>
      </c>
      <c r="AF41" s="82" t="str">
        <f t="shared" si="9"/>
        <v/>
      </c>
      <c r="AG41" s="50"/>
      <c r="AH41" s="85">
        <f t="shared" si="25"/>
        <v>0</v>
      </c>
      <c r="AI41" s="82" t="str">
        <f t="shared" si="10"/>
        <v/>
      </c>
      <c r="AJ41" s="50"/>
      <c r="AK41" s="85">
        <f t="shared" si="26"/>
        <v>0</v>
      </c>
      <c r="AL41" s="82" t="str">
        <f t="shared" si="11"/>
        <v/>
      </c>
      <c r="AM41" s="50"/>
      <c r="AN41" s="85">
        <f t="shared" si="27"/>
        <v>0</v>
      </c>
      <c r="AO41" s="82" t="str">
        <f t="shared" si="12"/>
        <v/>
      </c>
      <c r="AP41" s="48">
        <f t="shared" si="0"/>
        <v>1</v>
      </c>
      <c r="AQ41" s="85">
        <f t="shared" si="28"/>
        <v>447.17</v>
      </c>
      <c r="AR41" s="82">
        <f t="shared" si="13"/>
        <v>1</v>
      </c>
      <c r="AS41" s="48">
        <f t="shared" si="1"/>
        <v>0</v>
      </c>
      <c r="AT41" s="85">
        <f t="shared" si="29"/>
        <v>0</v>
      </c>
      <c r="AU41" s="82" t="str">
        <f t="shared" si="14"/>
        <v/>
      </c>
    </row>
    <row r="42" spans="1:47" ht="60">
      <c r="A42" s="16"/>
      <c r="B42" s="97" t="s">
        <v>600</v>
      </c>
      <c r="C42" s="167" t="s">
        <v>601</v>
      </c>
      <c r="D42" s="86" t="s">
        <v>602</v>
      </c>
      <c r="E42" s="97" t="s">
        <v>532</v>
      </c>
      <c r="F42" s="141">
        <v>5496.04</v>
      </c>
      <c r="G42" s="97">
        <v>1</v>
      </c>
      <c r="H42" s="85">
        <f t="shared" si="15"/>
        <v>5496.04</v>
      </c>
      <c r="I42" s="50">
        <f t="shared" si="16"/>
        <v>1</v>
      </c>
      <c r="J42" s="85">
        <f t="shared" si="17"/>
        <v>5496.04</v>
      </c>
      <c r="K42" s="82">
        <f t="shared" si="2"/>
        <v>1</v>
      </c>
      <c r="L42" s="50">
        <v>1</v>
      </c>
      <c r="M42" s="85">
        <f t="shared" si="18"/>
        <v>5496.04</v>
      </c>
      <c r="N42" s="82">
        <f t="shared" si="3"/>
        <v>1</v>
      </c>
      <c r="O42" s="50"/>
      <c r="P42" s="85">
        <f t="shared" si="19"/>
        <v>0</v>
      </c>
      <c r="Q42" s="82" t="str">
        <f t="shared" si="4"/>
        <v/>
      </c>
      <c r="R42" s="50"/>
      <c r="S42" s="85">
        <f t="shared" si="20"/>
        <v>0</v>
      </c>
      <c r="T42" s="82" t="str">
        <f t="shared" si="5"/>
        <v/>
      </c>
      <c r="U42" s="50"/>
      <c r="V42" s="85">
        <f t="shared" si="21"/>
        <v>0</v>
      </c>
      <c r="W42" s="82" t="str">
        <f t="shared" si="6"/>
        <v/>
      </c>
      <c r="X42" s="50"/>
      <c r="Y42" s="85">
        <f t="shared" si="22"/>
        <v>0</v>
      </c>
      <c r="Z42" s="82" t="str">
        <f t="shared" si="7"/>
        <v/>
      </c>
      <c r="AA42" s="50"/>
      <c r="AB42" s="85">
        <f t="shared" si="23"/>
        <v>0</v>
      </c>
      <c r="AC42" s="82" t="str">
        <f t="shared" si="8"/>
        <v/>
      </c>
      <c r="AD42" s="50"/>
      <c r="AE42" s="85">
        <f t="shared" si="24"/>
        <v>0</v>
      </c>
      <c r="AF42" s="82" t="str">
        <f t="shared" si="9"/>
        <v/>
      </c>
      <c r="AG42" s="50"/>
      <c r="AH42" s="85">
        <f t="shared" si="25"/>
        <v>0</v>
      </c>
      <c r="AI42" s="82" t="str">
        <f t="shared" si="10"/>
        <v/>
      </c>
      <c r="AJ42" s="50"/>
      <c r="AK42" s="85">
        <f t="shared" si="26"/>
        <v>0</v>
      </c>
      <c r="AL42" s="82" t="str">
        <f t="shared" si="11"/>
        <v/>
      </c>
      <c r="AM42" s="50"/>
      <c r="AN42" s="85">
        <f t="shared" si="27"/>
        <v>0</v>
      </c>
      <c r="AO42" s="82" t="str">
        <f t="shared" si="12"/>
        <v/>
      </c>
      <c r="AP42" s="48">
        <f t="shared" si="0"/>
        <v>1</v>
      </c>
      <c r="AQ42" s="85">
        <f t="shared" si="28"/>
        <v>5496.04</v>
      </c>
      <c r="AR42" s="82">
        <f t="shared" si="13"/>
        <v>1</v>
      </c>
      <c r="AS42" s="48">
        <f t="shared" si="1"/>
        <v>0</v>
      </c>
      <c r="AT42" s="85">
        <f t="shared" si="29"/>
        <v>0</v>
      </c>
      <c r="AU42" s="82" t="str">
        <f t="shared" si="14"/>
        <v/>
      </c>
    </row>
    <row r="43" spans="1:47" s="104" customFormat="1" ht="15" customHeight="1">
      <c r="A43" s="94"/>
      <c r="B43" s="171" t="s">
        <v>2109</v>
      </c>
      <c r="C43" s="1932" t="s">
        <v>603</v>
      </c>
      <c r="D43" s="1932"/>
      <c r="E43" s="1932"/>
      <c r="F43" s="1932"/>
      <c r="G43" s="1933"/>
      <c r="H43" s="106">
        <f>H44</f>
        <v>5222.5294000000004</v>
      </c>
      <c r="I43" s="101"/>
      <c r="J43" s="106">
        <f>J44</f>
        <v>5222.5294000000004</v>
      </c>
      <c r="K43" s="102">
        <f>J43/$H43</f>
        <v>1</v>
      </c>
      <c r="L43" s="101"/>
      <c r="M43" s="106">
        <f>M44</f>
        <v>5222.5294000000004</v>
      </c>
      <c r="N43" s="102">
        <f>M43/$H43</f>
        <v>1</v>
      </c>
      <c r="O43" s="101"/>
      <c r="P43" s="106">
        <f>P44</f>
        <v>0</v>
      </c>
      <c r="Q43" s="102">
        <f>P43/$H43</f>
        <v>0</v>
      </c>
      <c r="R43" s="101"/>
      <c r="S43" s="106">
        <f>S44</f>
        <v>0</v>
      </c>
      <c r="T43" s="102">
        <f>S43/$H43</f>
        <v>0</v>
      </c>
      <c r="U43" s="101"/>
      <c r="V43" s="106">
        <f>V44</f>
        <v>0</v>
      </c>
      <c r="W43" s="102">
        <f>V43/$H43</f>
        <v>0</v>
      </c>
      <c r="X43" s="101"/>
      <c r="Y43" s="106">
        <f>Y44</f>
        <v>0</v>
      </c>
      <c r="Z43" s="102">
        <f>Y43/$H43</f>
        <v>0</v>
      </c>
      <c r="AA43" s="101"/>
      <c r="AB43" s="106">
        <f>AB44</f>
        <v>0</v>
      </c>
      <c r="AC43" s="102">
        <f>AB43/$H43</f>
        <v>0</v>
      </c>
      <c r="AD43" s="101"/>
      <c r="AE43" s="106">
        <f>AE44</f>
        <v>0</v>
      </c>
      <c r="AF43" s="102">
        <f>AE43/$H43</f>
        <v>0</v>
      </c>
      <c r="AG43" s="101"/>
      <c r="AH43" s="106">
        <f>AH44</f>
        <v>0</v>
      </c>
      <c r="AI43" s="102">
        <f>AH43/$H43</f>
        <v>0</v>
      </c>
      <c r="AJ43" s="101"/>
      <c r="AK43" s="106">
        <f>AK44</f>
        <v>0</v>
      </c>
      <c r="AL43" s="102">
        <f>AK43/$H43</f>
        <v>0</v>
      </c>
      <c r="AM43" s="101"/>
      <c r="AN43" s="106">
        <f>AN44</f>
        <v>0</v>
      </c>
      <c r="AO43" s="102">
        <f>AN43/$H43</f>
        <v>0</v>
      </c>
      <c r="AP43" s="103">
        <f t="shared" si="0"/>
        <v>0</v>
      </c>
      <c r="AQ43" s="106">
        <f>AQ44</f>
        <v>5222.5294000000004</v>
      </c>
      <c r="AR43" s="102">
        <f>AQ43/$H43</f>
        <v>1</v>
      </c>
      <c r="AS43" s="103">
        <f t="shared" si="1"/>
        <v>0</v>
      </c>
      <c r="AT43" s="106">
        <f>AT44</f>
        <v>0</v>
      </c>
      <c r="AU43" s="102">
        <f>AT43/$H43</f>
        <v>0</v>
      </c>
    </row>
    <row r="44" spans="1:47" ht="75">
      <c r="A44" s="16"/>
      <c r="B44" s="98" t="s">
        <v>604</v>
      </c>
      <c r="C44" s="168" t="s">
        <v>605</v>
      </c>
      <c r="D44" s="87" t="s">
        <v>2105</v>
      </c>
      <c r="E44" s="98" t="s">
        <v>12</v>
      </c>
      <c r="F44" s="142">
        <v>7.37</v>
      </c>
      <c r="G44" s="98">
        <v>708.62</v>
      </c>
      <c r="H44" s="85">
        <f t="shared" si="15"/>
        <v>5222.5294000000004</v>
      </c>
      <c r="I44" s="50">
        <f t="shared" si="16"/>
        <v>708.62</v>
      </c>
      <c r="J44" s="85">
        <f>I44*$F44</f>
        <v>5222.5294000000004</v>
      </c>
      <c r="K44" s="82">
        <f t="shared" si="2"/>
        <v>1</v>
      </c>
      <c r="L44" s="50">
        <v>708.62</v>
      </c>
      <c r="M44" s="85">
        <f>L44*$F44</f>
        <v>5222.5294000000004</v>
      </c>
      <c r="N44" s="82">
        <f t="shared" si="3"/>
        <v>1</v>
      </c>
      <c r="O44" s="50"/>
      <c r="P44" s="85">
        <f>O44*$F44</f>
        <v>0</v>
      </c>
      <c r="Q44" s="82" t="str">
        <f t="shared" si="4"/>
        <v/>
      </c>
      <c r="R44" s="50"/>
      <c r="S44" s="85">
        <f>R44*$F44</f>
        <v>0</v>
      </c>
      <c r="T44" s="82" t="str">
        <f t="shared" si="5"/>
        <v/>
      </c>
      <c r="U44" s="50"/>
      <c r="V44" s="85">
        <f>U44*$F44</f>
        <v>0</v>
      </c>
      <c r="W44" s="82" t="str">
        <f t="shared" si="6"/>
        <v/>
      </c>
      <c r="X44" s="50"/>
      <c r="Y44" s="85">
        <f>X44*$F44</f>
        <v>0</v>
      </c>
      <c r="Z44" s="82" t="str">
        <f t="shared" si="7"/>
        <v/>
      </c>
      <c r="AA44" s="50"/>
      <c r="AB44" s="85">
        <f>AA44*$F44</f>
        <v>0</v>
      </c>
      <c r="AC44" s="82" t="str">
        <f t="shared" si="8"/>
        <v/>
      </c>
      <c r="AD44" s="50"/>
      <c r="AE44" s="85">
        <f>AD44*$F44</f>
        <v>0</v>
      </c>
      <c r="AF44" s="82" t="str">
        <f t="shared" si="9"/>
        <v/>
      </c>
      <c r="AG44" s="50"/>
      <c r="AH44" s="85">
        <f>AG44*$F44</f>
        <v>0</v>
      </c>
      <c r="AI44" s="82" t="str">
        <f t="shared" si="10"/>
        <v/>
      </c>
      <c r="AJ44" s="50"/>
      <c r="AK44" s="85">
        <f>AJ44*$F44</f>
        <v>0</v>
      </c>
      <c r="AL44" s="82" t="str">
        <f t="shared" si="11"/>
        <v/>
      </c>
      <c r="AM44" s="50"/>
      <c r="AN44" s="85">
        <f>AM44*$F44</f>
        <v>0</v>
      </c>
      <c r="AO44" s="82" t="str">
        <f t="shared" si="12"/>
        <v/>
      </c>
      <c r="AP44" s="48">
        <f t="shared" si="0"/>
        <v>708.62</v>
      </c>
      <c r="AQ44" s="85">
        <f>AP44*$F44</f>
        <v>5222.5294000000004</v>
      </c>
      <c r="AR44" s="82">
        <f t="shared" si="13"/>
        <v>1</v>
      </c>
      <c r="AS44" s="48">
        <f t="shared" si="1"/>
        <v>0</v>
      </c>
      <c r="AT44" s="85">
        <f>AS44*$F44</f>
        <v>0</v>
      </c>
      <c r="AU44" s="82" t="str">
        <f t="shared" si="14"/>
        <v/>
      </c>
    </row>
    <row r="45" spans="1:47" s="104" customFormat="1" ht="15" customHeight="1">
      <c r="A45" s="94"/>
      <c r="B45" s="171" t="s">
        <v>2110</v>
      </c>
      <c r="C45" s="1932" t="s">
        <v>2111</v>
      </c>
      <c r="D45" s="1932"/>
      <c r="E45" s="1932"/>
      <c r="F45" s="1932"/>
      <c r="G45" s="1933"/>
      <c r="H45" s="106">
        <f>H46+H47</f>
        <v>37567.314200000001</v>
      </c>
      <c r="I45" s="101"/>
      <c r="J45" s="106">
        <f>J46+J47</f>
        <v>11553.825800000001</v>
      </c>
      <c r="K45" s="102">
        <f>J45/$H45</f>
        <v>0.30754995522144624</v>
      </c>
      <c r="L45" s="101"/>
      <c r="M45" s="106">
        <f>M46+M47</f>
        <v>0</v>
      </c>
      <c r="N45" s="102">
        <f>M45/$H45</f>
        <v>0</v>
      </c>
      <c r="O45" s="101"/>
      <c r="P45" s="106">
        <f>P46+P47</f>
        <v>11553.825800000001</v>
      </c>
      <c r="Q45" s="102">
        <f>P45/$H45</f>
        <v>0.30754995522144624</v>
      </c>
      <c r="R45" s="101"/>
      <c r="S45" s="106">
        <f>S46+S47</f>
        <v>23084.007600000001</v>
      </c>
      <c r="T45" s="102">
        <f>S45/$H45</f>
        <v>0.61447053353630487</v>
      </c>
      <c r="U45" s="101"/>
      <c r="V45" s="106">
        <f>V46+V47</f>
        <v>0</v>
      </c>
      <c r="W45" s="102">
        <f>V45/$H45</f>
        <v>0</v>
      </c>
      <c r="X45" s="101"/>
      <c r="Y45" s="106">
        <f>Y46+Y47</f>
        <v>0</v>
      </c>
      <c r="Z45" s="102">
        <f>Y45/$H45</f>
        <v>0</v>
      </c>
      <c r="AA45" s="101"/>
      <c r="AB45" s="106">
        <f>AB46+AB47</f>
        <v>0</v>
      </c>
      <c r="AC45" s="102">
        <f>AB45/$H45</f>
        <v>0</v>
      </c>
      <c r="AD45" s="101"/>
      <c r="AE45" s="106">
        <f>AE46+AE47</f>
        <v>0</v>
      </c>
      <c r="AF45" s="102">
        <f>AE45/$H45</f>
        <v>0</v>
      </c>
      <c r="AG45" s="101"/>
      <c r="AH45" s="106">
        <f>AH46+AH47</f>
        <v>0</v>
      </c>
      <c r="AI45" s="102">
        <f>AH45/$H45</f>
        <v>0</v>
      </c>
      <c r="AJ45" s="101"/>
      <c r="AK45" s="106">
        <f>AK46+AK47</f>
        <v>0</v>
      </c>
      <c r="AL45" s="102">
        <f>AK45/$H45</f>
        <v>0</v>
      </c>
      <c r="AM45" s="101"/>
      <c r="AN45" s="106">
        <f>AN46+AN47</f>
        <v>0</v>
      </c>
      <c r="AO45" s="102">
        <f>AN45/$H45</f>
        <v>0</v>
      </c>
      <c r="AP45" s="103">
        <f t="shared" si="0"/>
        <v>0</v>
      </c>
      <c r="AQ45" s="106">
        <f>AQ46+AQ47</f>
        <v>34637.833400000003</v>
      </c>
      <c r="AR45" s="102">
        <f>AQ45/$H45</f>
        <v>0.92202048875775111</v>
      </c>
      <c r="AS45" s="103">
        <f t="shared" si="1"/>
        <v>0</v>
      </c>
      <c r="AT45" s="106">
        <f>AT46+AT47</f>
        <v>2929.4807999999998</v>
      </c>
      <c r="AU45" s="102">
        <f>AT45/$H45</f>
        <v>7.7979511242248986E-2</v>
      </c>
    </row>
    <row r="46" spans="1:47" ht="30">
      <c r="A46" s="16"/>
      <c r="B46" s="97" t="s">
        <v>606</v>
      </c>
      <c r="C46" s="167" t="s">
        <v>607</v>
      </c>
      <c r="D46" s="86" t="s">
        <v>608</v>
      </c>
      <c r="E46" s="97" t="s">
        <v>12</v>
      </c>
      <c r="F46" s="141">
        <v>13.34</v>
      </c>
      <c r="G46" s="97">
        <v>986.13</v>
      </c>
      <c r="H46" s="85">
        <f t="shared" si="15"/>
        <v>13154.974200000001</v>
      </c>
      <c r="I46" s="50">
        <f t="shared" si="16"/>
        <v>189</v>
      </c>
      <c r="J46" s="85">
        <f>I46*$F46</f>
        <v>2521.2599999999998</v>
      </c>
      <c r="K46" s="82">
        <f t="shared" si="2"/>
        <v>0.19165830062973441</v>
      </c>
      <c r="L46" s="50"/>
      <c r="M46" s="85">
        <f>L46*$F46</f>
        <v>0</v>
      </c>
      <c r="N46" s="82" t="str">
        <f t="shared" si="3"/>
        <v/>
      </c>
      <c r="O46" s="50">
        <v>189</v>
      </c>
      <c r="P46" s="85">
        <f>O46*$F46</f>
        <v>2521.2599999999998</v>
      </c>
      <c r="Q46" s="82">
        <f t="shared" si="4"/>
        <v>0.19165830062973441</v>
      </c>
      <c r="R46" s="50">
        <v>797.13</v>
      </c>
      <c r="S46" s="85">
        <f>R46*$F46</f>
        <v>10633.7142</v>
      </c>
      <c r="T46" s="82">
        <f t="shared" si="5"/>
        <v>0.80834169937026557</v>
      </c>
      <c r="U46" s="50"/>
      <c r="V46" s="85">
        <f>U46*$F46</f>
        <v>0</v>
      </c>
      <c r="W46" s="82" t="str">
        <f t="shared" si="6"/>
        <v/>
      </c>
      <c r="X46" s="50"/>
      <c r="Y46" s="85">
        <f>X46*$F46</f>
        <v>0</v>
      </c>
      <c r="Z46" s="82" t="str">
        <f t="shared" si="7"/>
        <v/>
      </c>
      <c r="AA46" s="50"/>
      <c r="AB46" s="85">
        <f>AA46*$F46</f>
        <v>0</v>
      </c>
      <c r="AC46" s="82" t="str">
        <f t="shared" si="8"/>
        <v/>
      </c>
      <c r="AD46" s="50"/>
      <c r="AE46" s="85">
        <f>AD46*$F46</f>
        <v>0</v>
      </c>
      <c r="AF46" s="82" t="str">
        <f t="shared" si="9"/>
        <v/>
      </c>
      <c r="AG46" s="50"/>
      <c r="AH46" s="85">
        <f>AG46*$F46</f>
        <v>0</v>
      </c>
      <c r="AI46" s="82" t="str">
        <f t="shared" si="10"/>
        <v/>
      </c>
      <c r="AJ46" s="50"/>
      <c r="AK46" s="85">
        <f>AJ46*$F46</f>
        <v>0</v>
      </c>
      <c r="AL46" s="82" t="str">
        <f t="shared" si="11"/>
        <v/>
      </c>
      <c r="AM46" s="50"/>
      <c r="AN46" s="85">
        <f>AM46*$F46</f>
        <v>0</v>
      </c>
      <c r="AO46" s="82" t="str">
        <f t="shared" si="12"/>
        <v/>
      </c>
      <c r="AP46" s="48">
        <f t="shared" si="0"/>
        <v>986.13</v>
      </c>
      <c r="AQ46" s="85">
        <f>AP46*$F46</f>
        <v>13154.974200000001</v>
      </c>
      <c r="AR46" s="82">
        <f t="shared" si="13"/>
        <v>1</v>
      </c>
      <c r="AS46" s="48">
        <f t="shared" si="1"/>
        <v>0</v>
      </c>
      <c r="AT46" s="85">
        <f>AS46*$F46</f>
        <v>0</v>
      </c>
      <c r="AU46" s="82" t="str">
        <f t="shared" si="14"/>
        <v/>
      </c>
    </row>
    <row r="47" spans="1:47" ht="60">
      <c r="A47" s="16"/>
      <c r="B47" s="97" t="s">
        <v>609</v>
      </c>
      <c r="C47" s="167" t="s">
        <v>610</v>
      </c>
      <c r="D47" s="86" t="s">
        <v>611</v>
      </c>
      <c r="E47" s="97" t="s">
        <v>612</v>
      </c>
      <c r="F47" s="141">
        <v>24412.34</v>
      </c>
      <c r="G47" s="97">
        <v>1</v>
      </c>
      <c r="H47" s="85">
        <f t="shared" si="15"/>
        <v>24412.34</v>
      </c>
      <c r="I47" s="50">
        <f t="shared" si="16"/>
        <v>0.37</v>
      </c>
      <c r="J47" s="85">
        <f>I47*$F47</f>
        <v>9032.5658000000003</v>
      </c>
      <c r="K47" s="82">
        <f t="shared" si="2"/>
        <v>0.37</v>
      </c>
      <c r="L47" s="50"/>
      <c r="M47" s="85">
        <f>L47*$F47</f>
        <v>0</v>
      </c>
      <c r="N47" s="82" t="str">
        <f t="shared" si="3"/>
        <v/>
      </c>
      <c r="O47" s="50">
        <v>0.37</v>
      </c>
      <c r="P47" s="85">
        <f>O47*$F47</f>
        <v>9032.5658000000003</v>
      </c>
      <c r="Q47" s="82">
        <f t="shared" si="4"/>
        <v>0.37</v>
      </c>
      <c r="R47" s="50">
        <v>0.51</v>
      </c>
      <c r="S47" s="85">
        <f>R47*$F47</f>
        <v>12450.2934</v>
      </c>
      <c r="T47" s="82">
        <f t="shared" si="5"/>
        <v>0.51</v>
      </c>
      <c r="U47" s="50"/>
      <c r="V47" s="85">
        <f>U47*$F47</f>
        <v>0</v>
      </c>
      <c r="W47" s="82" t="str">
        <f t="shared" si="6"/>
        <v/>
      </c>
      <c r="X47" s="50"/>
      <c r="Y47" s="85">
        <f>X47*$F47</f>
        <v>0</v>
      </c>
      <c r="Z47" s="82" t="str">
        <f t="shared" si="7"/>
        <v/>
      </c>
      <c r="AA47" s="50"/>
      <c r="AB47" s="85">
        <f>AA47*$F47</f>
        <v>0</v>
      </c>
      <c r="AC47" s="82" t="str">
        <f t="shared" si="8"/>
        <v/>
      </c>
      <c r="AD47" s="50"/>
      <c r="AE47" s="85">
        <f>AD47*$F47</f>
        <v>0</v>
      </c>
      <c r="AF47" s="82" t="str">
        <f t="shared" si="9"/>
        <v/>
      </c>
      <c r="AG47" s="50"/>
      <c r="AH47" s="85">
        <f>AG47*$F47</f>
        <v>0</v>
      </c>
      <c r="AI47" s="82" t="str">
        <f t="shared" si="10"/>
        <v/>
      </c>
      <c r="AJ47" s="50"/>
      <c r="AK47" s="85">
        <f>AJ47*$F47</f>
        <v>0</v>
      </c>
      <c r="AL47" s="82" t="str">
        <f t="shared" si="11"/>
        <v/>
      </c>
      <c r="AM47" s="50"/>
      <c r="AN47" s="85">
        <f>AM47*$F47</f>
        <v>0</v>
      </c>
      <c r="AO47" s="82" t="str">
        <f t="shared" si="12"/>
        <v/>
      </c>
      <c r="AP47" s="48">
        <f t="shared" si="0"/>
        <v>0.88</v>
      </c>
      <c r="AQ47" s="85">
        <f>AP47*$F47</f>
        <v>21482.859199999999</v>
      </c>
      <c r="AR47" s="82">
        <f t="shared" si="13"/>
        <v>0.88</v>
      </c>
      <c r="AS47" s="48">
        <f t="shared" si="1"/>
        <v>0.12</v>
      </c>
      <c r="AT47" s="85">
        <f>AS47*$F47</f>
        <v>2929.4807999999998</v>
      </c>
      <c r="AU47" s="82">
        <f t="shared" si="14"/>
        <v>0.12</v>
      </c>
    </row>
    <row r="48" spans="1:47" s="104" customFormat="1" ht="15" customHeight="1">
      <c r="A48" s="94"/>
      <c r="B48" s="171" t="s">
        <v>2112</v>
      </c>
      <c r="C48" s="1932" t="s">
        <v>613</v>
      </c>
      <c r="D48" s="1932"/>
      <c r="E48" s="1932"/>
      <c r="F48" s="1932"/>
      <c r="G48" s="1933"/>
      <c r="H48" s="106">
        <f>H49+H50</f>
        <v>48463.731400000004</v>
      </c>
      <c r="I48" s="101"/>
      <c r="J48" s="106">
        <f>J49+J50</f>
        <v>44640.518300000003</v>
      </c>
      <c r="K48" s="102">
        <f>J48/$H48</f>
        <v>0.92111187088660695</v>
      </c>
      <c r="L48" s="101"/>
      <c r="M48" s="106">
        <f>M49+M50</f>
        <v>24813.342400000001</v>
      </c>
      <c r="N48" s="102">
        <f>M48/$H48</f>
        <v>0.51199818262446051</v>
      </c>
      <c r="O48" s="101"/>
      <c r="P48" s="106">
        <f>P49+P50</f>
        <v>19827.175900000002</v>
      </c>
      <c r="Q48" s="102">
        <f>P48/$H48</f>
        <v>0.4091136882621465</v>
      </c>
      <c r="R48" s="101"/>
      <c r="S48" s="106">
        <f>S49+S50</f>
        <v>0</v>
      </c>
      <c r="T48" s="102">
        <f>S48/$H48</f>
        <v>0</v>
      </c>
      <c r="U48" s="101"/>
      <c r="V48" s="106">
        <f>V49+V50</f>
        <v>0</v>
      </c>
      <c r="W48" s="102">
        <f>V48/$H48</f>
        <v>0</v>
      </c>
      <c r="X48" s="101"/>
      <c r="Y48" s="106">
        <f>Y49+Y50</f>
        <v>0</v>
      </c>
      <c r="Z48" s="102">
        <f>Y48/$H48</f>
        <v>0</v>
      </c>
      <c r="AA48" s="101"/>
      <c r="AB48" s="106">
        <f>AB49+AB50</f>
        <v>0</v>
      </c>
      <c r="AC48" s="102">
        <f>AB48/$H48</f>
        <v>0</v>
      </c>
      <c r="AD48" s="101"/>
      <c r="AE48" s="106">
        <f>AE49+AE50</f>
        <v>0</v>
      </c>
      <c r="AF48" s="102">
        <f>AE48/$H48</f>
        <v>0</v>
      </c>
      <c r="AG48" s="101"/>
      <c r="AH48" s="106">
        <f>AH49+AH50</f>
        <v>0</v>
      </c>
      <c r="AI48" s="102">
        <f>AH48/$H48</f>
        <v>0</v>
      </c>
      <c r="AJ48" s="101"/>
      <c r="AK48" s="106">
        <f>AK49+AK50</f>
        <v>0</v>
      </c>
      <c r="AL48" s="102">
        <f>AK48/$H48</f>
        <v>0</v>
      </c>
      <c r="AM48" s="101"/>
      <c r="AN48" s="106">
        <f>AN49+AN50</f>
        <v>0</v>
      </c>
      <c r="AO48" s="102">
        <f>AN48/$H48</f>
        <v>0</v>
      </c>
      <c r="AP48" s="103">
        <f t="shared" si="0"/>
        <v>0</v>
      </c>
      <c r="AQ48" s="106">
        <f>AQ49+AQ50</f>
        <v>44640.518300000003</v>
      </c>
      <c r="AR48" s="102">
        <f>AQ48/$H48</f>
        <v>0.92111187088660695</v>
      </c>
      <c r="AS48" s="103">
        <f t="shared" si="1"/>
        <v>0</v>
      </c>
      <c r="AT48" s="106">
        <f>AT49+AT50</f>
        <v>3823.2130999999995</v>
      </c>
      <c r="AU48" s="102">
        <f>AT48/$H48</f>
        <v>7.8888129113393018E-2</v>
      </c>
    </row>
    <row r="49" spans="1:47" ht="45">
      <c r="A49" s="16"/>
      <c r="B49" s="97" t="s">
        <v>614</v>
      </c>
      <c r="C49" s="167" t="s">
        <v>615</v>
      </c>
      <c r="D49" s="86" t="s">
        <v>616</v>
      </c>
      <c r="E49" s="97" t="s">
        <v>617</v>
      </c>
      <c r="F49" s="141">
        <v>2.31</v>
      </c>
      <c r="G49" s="97">
        <v>156.30000000000001</v>
      </c>
      <c r="H49" s="85">
        <f t="shared" si="15"/>
        <v>361.05300000000005</v>
      </c>
      <c r="I49" s="50">
        <f t="shared" si="16"/>
        <v>156.25</v>
      </c>
      <c r="J49" s="85">
        <f>I49*$F49</f>
        <v>360.9375</v>
      </c>
      <c r="K49" s="82">
        <f t="shared" si="2"/>
        <v>0.99968010236724236</v>
      </c>
      <c r="L49" s="50"/>
      <c r="M49" s="85">
        <f>L49*$F49</f>
        <v>0</v>
      </c>
      <c r="N49" s="82" t="str">
        <f t="shared" si="3"/>
        <v/>
      </c>
      <c r="O49" s="50">
        <v>156.25</v>
      </c>
      <c r="P49" s="85">
        <f>O49*$F49</f>
        <v>360.9375</v>
      </c>
      <c r="Q49" s="82">
        <f t="shared" si="4"/>
        <v>0.99968010236724236</v>
      </c>
      <c r="R49" s="50"/>
      <c r="S49" s="85">
        <f>R49*$F49</f>
        <v>0</v>
      </c>
      <c r="T49" s="82" t="str">
        <f t="shared" si="5"/>
        <v/>
      </c>
      <c r="U49" s="50"/>
      <c r="V49" s="85">
        <f>U49*$F49</f>
        <v>0</v>
      </c>
      <c r="W49" s="82" t="str">
        <f t="shared" si="6"/>
        <v/>
      </c>
      <c r="X49" s="50"/>
      <c r="Y49" s="85">
        <f>X49*$F49</f>
        <v>0</v>
      </c>
      <c r="Z49" s="82" t="str">
        <f t="shared" si="7"/>
        <v/>
      </c>
      <c r="AA49" s="50"/>
      <c r="AB49" s="85">
        <f>AA49*$F49</f>
        <v>0</v>
      </c>
      <c r="AC49" s="82" t="str">
        <f t="shared" si="8"/>
        <v/>
      </c>
      <c r="AD49" s="50"/>
      <c r="AE49" s="85">
        <f>AD49*$F49</f>
        <v>0</v>
      </c>
      <c r="AF49" s="82" t="str">
        <f t="shared" si="9"/>
        <v/>
      </c>
      <c r="AG49" s="50"/>
      <c r="AH49" s="85">
        <f>AG49*$F49</f>
        <v>0</v>
      </c>
      <c r="AI49" s="82" t="str">
        <f t="shared" si="10"/>
        <v/>
      </c>
      <c r="AJ49" s="50"/>
      <c r="AK49" s="85">
        <f>AJ49*$F49</f>
        <v>0</v>
      </c>
      <c r="AL49" s="82" t="str">
        <f t="shared" si="11"/>
        <v/>
      </c>
      <c r="AM49" s="50"/>
      <c r="AN49" s="85">
        <f>AM49*$F49</f>
        <v>0</v>
      </c>
      <c r="AO49" s="82" t="str">
        <f t="shared" si="12"/>
        <v/>
      </c>
      <c r="AP49" s="48">
        <f t="shared" si="0"/>
        <v>156.25</v>
      </c>
      <c r="AQ49" s="85">
        <f>AP49*$F49</f>
        <v>360.9375</v>
      </c>
      <c r="AR49" s="82">
        <f t="shared" si="13"/>
        <v>0.99968010236724236</v>
      </c>
      <c r="AS49" s="48">
        <f t="shared" si="1"/>
        <v>5.0000000000011369E-2</v>
      </c>
      <c r="AT49" s="85">
        <f>AS49*$F49</f>
        <v>0.11550000000002626</v>
      </c>
      <c r="AU49" s="82">
        <f t="shared" si="14"/>
        <v>3.1989763275759033E-4</v>
      </c>
    </row>
    <row r="50" spans="1:47" ht="90">
      <c r="A50" s="16"/>
      <c r="B50" s="97" t="s">
        <v>618</v>
      </c>
      <c r="C50" s="167" t="s">
        <v>49</v>
      </c>
      <c r="D50" s="86" t="s">
        <v>50</v>
      </c>
      <c r="E50" s="97" t="s">
        <v>51</v>
      </c>
      <c r="F50" s="141">
        <v>81.760000000000005</v>
      </c>
      <c r="G50" s="97">
        <v>588.34</v>
      </c>
      <c r="H50" s="85">
        <f t="shared" si="15"/>
        <v>48102.678400000004</v>
      </c>
      <c r="I50" s="50">
        <f t="shared" si="16"/>
        <v>541.58000000000004</v>
      </c>
      <c r="J50" s="85">
        <f>I50*$F50</f>
        <v>44279.580800000003</v>
      </c>
      <c r="K50" s="82">
        <f t="shared" si="2"/>
        <v>0.92052214705782376</v>
      </c>
      <c r="L50" s="50">
        <v>303.49</v>
      </c>
      <c r="M50" s="85">
        <f>L50*$F50</f>
        <v>24813.342400000001</v>
      </c>
      <c r="N50" s="82">
        <f t="shared" si="3"/>
        <v>0.51584118026991199</v>
      </c>
      <c r="O50" s="50">
        <v>238.09</v>
      </c>
      <c r="P50" s="85">
        <f>O50*$F50</f>
        <v>19466.238400000002</v>
      </c>
      <c r="Q50" s="82">
        <f t="shared" si="4"/>
        <v>0.40468096678791171</v>
      </c>
      <c r="R50" s="50"/>
      <c r="S50" s="85">
        <f>R50*$F50</f>
        <v>0</v>
      </c>
      <c r="T50" s="82" t="str">
        <f t="shared" si="5"/>
        <v/>
      </c>
      <c r="U50" s="50"/>
      <c r="V50" s="85">
        <f>U50*$F50</f>
        <v>0</v>
      </c>
      <c r="W50" s="82" t="str">
        <f t="shared" si="6"/>
        <v/>
      </c>
      <c r="X50" s="50"/>
      <c r="Y50" s="85">
        <f>X50*$F50</f>
        <v>0</v>
      </c>
      <c r="Z50" s="82" t="str">
        <f t="shared" si="7"/>
        <v/>
      </c>
      <c r="AA50" s="50"/>
      <c r="AB50" s="85">
        <f>AA50*$F50</f>
        <v>0</v>
      </c>
      <c r="AC50" s="82" t="str">
        <f t="shared" si="8"/>
        <v/>
      </c>
      <c r="AD50" s="50"/>
      <c r="AE50" s="85">
        <f>AD50*$F50</f>
        <v>0</v>
      </c>
      <c r="AF50" s="82" t="str">
        <f t="shared" si="9"/>
        <v/>
      </c>
      <c r="AG50" s="50"/>
      <c r="AH50" s="85">
        <f>AG50*$F50</f>
        <v>0</v>
      </c>
      <c r="AI50" s="82" t="str">
        <f t="shared" si="10"/>
        <v/>
      </c>
      <c r="AJ50" s="50"/>
      <c r="AK50" s="85">
        <f>AJ50*$F50</f>
        <v>0</v>
      </c>
      <c r="AL50" s="82" t="str">
        <f t="shared" si="11"/>
        <v/>
      </c>
      <c r="AM50" s="50"/>
      <c r="AN50" s="85">
        <f>AM50*$F50</f>
        <v>0</v>
      </c>
      <c r="AO50" s="82" t="str">
        <f t="shared" si="12"/>
        <v/>
      </c>
      <c r="AP50" s="48">
        <f t="shared" si="0"/>
        <v>541.58000000000004</v>
      </c>
      <c r="AQ50" s="85">
        <f>AP50*$F50</f>
        <v>44279.580800000003</v>
      </c>
      <c r="AR50" s="82">
        <f t="shared" si="13"/>
        <v>0.92052214705782376</v>
      </c>
      <c r="AS50" s="48">
        <f t="shared" si="1"/>
        <v>46.759999999999991</v>
      </c>
      <c r="AT50" s="85">
        <f>AS50*$F50</f>
        <v>3823.0975999999996</v>
      </c>
      <c r="AU50" s="82">
        <f t="shared" si="14"/>
        <v>7.9477852942176269E-2</v>
      </c>
    </row>
    <row r="51" spans="1:47" s="115" customFormat="1" ht="19.5" customHeight="1">
      <c r="A51" s="109"/>
      <c r="B51" s="121" t="s">
        <v>2113</v>
      </c>
      <c r="C51" s="1941" t="s">
        <v>619</v>
      </c>
      <c r="D51" s="1941"/>
      <c r="E51" s="1941"/>
      <c r="F51" s="1941"/>
      <c r="G51" s="1942"/>
      <c r="H51" s="110">
        <f>H52+H57+H70+H74</f>
        <v>194607.8254</v>
      </c>
      <c r="I51" s="111"/>
      <c r="J51" s="110">
        <f>J52+J57+J70+J74</f>
        <v>68044.402999999991</v>
      </c>
      <c r="K51" s="113">
        <f>J51/$H51</f>
        <v>0.34964885332920426</v>
      </c>
      <c r="L51" s="111"/>
      <c r="M51" s="110">
        <f>M52+M57+M70+M74</f>
        <v>22520.639399999996</v>
      </c>
      <c r="N51" s="113">
        <f>M51/$H51</f>
        <v>0.1157231953736224</v>
      </c>
      <c r="O51" s="111"/>
      <c r="P51" s="110">
        <f>P52+P57+P70+P74</f>
        <v>45523.763599999998</v>
      </c>
      <c r="Q51" s="113">
        <f>P51/$H51</f>
        <v>0.23392565795558187</v>
      </c>
      <c r="R51" s="111"/>
      <c r="S51" s="110">
        <f>S52+S57+S70+S74</f>
        <v>20405.252500000002</v>
      </c>
      <c r="T51" s="113">
        <f>S51/$H51</f>
        <v>0.10485319620656941</v>
      </c>
      <c r="U51" s="111"/>
      <c r="V51" s="110">
        <f>V52+V57+V70+V74</f>
        <v>0</v>
      </c>
      <c r="W51" s="113">
        <f>V51/$H51</f>
        <v>0</v>
      </c>
      <c r="X51" s="111"/>
      <c r="Y51" s="110">
        <f>Y52+Y57+Y70+Y74</f>
        <v>0</v>
      </c>
      <c r="Z51" s="113">
        <f>Y51/$H51</f>
        <v>0</v>
      </c>
      <c r="AA51" s="111"/>
      <c r="AB51" s="110">
        <f>AB52+AB57+AB70+AB74</f>
        <v>0</v>
      </c>
      <c r="AC51" s="113">
        <f>AB51/$H51</f>
        <v>0</v>
      </c>
      <c r="AD51" s="111"/>
      <c r="AE51" s="110">
        <f>AE52+AE57+AE70+AE74</f>
        <v>0</v>
      </c>
      <c r="AF51" s="113">
        <f>AE51/$H51</f>
        <v>0</v>
      </c>
      <c r="AG51" s="111"/>
      <c r="AH51" s="110">
        <f>AH52+AH57+AH70+AH74</f>
        <v>0</v>
      </c>
      <c r="AI51" s="113">
        <f>AH51/$H51</f>
        <v>0</v>
      </c>
      <c r="AJ51" s="111"/>
      <c r="AK51" s="110">
        <f>AK52+AK57+AK70+AK74</f>
        <v>0</v>
      </c>
      <c r="AL51" s="113">
        <f>AK51/$H51</f>
        <v>0</v>
      </c>
      <c r="AM51" s="111"/>
      <c r="AN51" s="110">
        <f>AN52+AN57+AN70+AN74</f>
        <v>0</v>
      </c>
      <c r="AO51" s="113">
        <f>AN51/$H51</f>
        <v>0</v>
      </c>
      <c r="AP51" s="114">
        <f t="shared" si="0"/>
        <v>0</v>
      </c>
      <c r="AQ51" s="110">
        <f>AQ52+AQ57+AQ70+AQ74</f>
        <v>88449.655499999993</v>
      </c>
      <c r="AR51" s="113">
        <f>AQ51/$H51</f>
        <v>0.45450204953577367</v>
      </c>
      <c r="AS51" s="114">
        <f t="shared" si="1"/>
        <v>0</v>
      </c>
      <c r="AT51" s="110">
        <f>AT52+AT57+AT70+AT74</f>
        <v>106158.16990000001</v>
      </c>
      <c r="AU51" s="113">
        <f>AT51/$H51</f>
        <v>0.54549795046422633</v>
      </c>
    </row>
    <row r="52" spans="1:47" s="104" customFormat="1" ht="15" customHeight="1">
      <c r="A52" s="94"/>
      <c r="B52" s="171" t="s">
        <v>2114</v>
      </c>
      <c r="C52" s="1932" t="s">
        <v>620</v>
      </c>
      <c r="D52" s="1932"/>
      <c r="E52" s="1932"/>
      <c r="F52" s="1932"/>
      <c r="G52" s="1933"/>
      <c r="H52" s="106">
        <f>SUM(H53:H56)</f>
        <v>21376.365899999997</v>
      </c>
      <c r="I52" s="101"/>
      <c r="J52" s="106">
        <f>SUM(J53:J56)</f>
        <v>18264.648000000001</v>
      </c>
      <c r="K52" s="102">
        <f>J52/$H52</f>
        <v>0.85443185644572095</v>
      </c>
      <c r="L52" s="101"/>
      <c r="M52" s="106">
        <f>SUM(M53:M56)</f>
        <v>13590.249399999999</v>
      </c>
      <c r="N52" s="102">
        <f>M52/$H52</f>
        <v>0.63576051530817035</v>
      </c>
      <c r="O52" s="101"/>
      <c r="P52" s="106">
        <f>SUM(P53:P56)</f>
        <v>4674.3986000000004</v>
      </c>
      <c r="Q52" s="102">
        <f>P52/$H52</f>
        <v>0.21867134113755046</v>
      </c>
      <c r="R52" s="101"/>
      <c r="S52" s="106">
        <f>SUM(S53:S56)</f>
        <v>2665.4434999999999</v>
      </c>
      <c r="T52" s="102">
        <f>S52/$H52</f>
        <v>0.12469114312830883</v>
      </c>
      <c r="U52" s="101"/>
      <c r="V52" s="106">
        <f>SUM(V53:V56)</f>
        <v>0</v>
      </c>
      <c r="W52" s="102">
        <f>V52/$H52</f>
        <v>0</v>
      </c>
      <c r="X52" s="101"/>
      <c r="Y52" s="106">
        <f>SUM(Y53:Y56)</f>
        <v>0</v>
      </c>
      <c r="Z52" s="102">
        <f>Y52/$H52</f>
        <v>0</v>
      </c>
      <c r="AA52" s="101"/>
      <c r="AB52" s="106">
        <f>SUM(AB53:AB56)</f>
        <v>0</v>
      </c>
      <c r="AC52" s="102">
        <f>AB52/$H52</f>
        <v>0</v>
      </c>
      <c r="AD52" s="101"/>
      <c r="AE52" s="106">
        <f>SUM(AE53:AE56)</f>
        <v>0</v>
      </c>
      <c r="AF52" s="102">
        <f>AE52/$H52</f>
        <v>0</v>
      </c>
      <c r="AG52" s="101"/>
      <c r="AH52" s="106">
        <f>SUM(AH53:AH56)</f>
        <v>0</v>
      </c>
      <c r="AI52" s="102">
        <f>AH52/$H52</f>
        <v>0</v>
      </c>
      <c r="AJ52" s="101"/>
      <c r="AK52" s="106">
        <f>SUM(AK53:AK56)</f>
        <v>0</v>
      </c>
      <c r="AL52" s="102">
        <f>AK52/$H52</f>
        <v>0</v>
      </c>
      <c r="AM52" s="101"/>
      <c r="AN52" s="106">
        <f>SUM(AN53:AN56)</f>
        <v>0</v>
      </c>
      <c r="AO52" s="102">
        <f>AN52/$H52</f>
        <v>0</v>
      </c>
      <c r="AP52" s="103">
        <f t="shared" si="0"/>
        <v>0</v>
      </c>
      <c r="AQ52" s="106">
        <f>SUM(AQ53:AQ56)</f>
        <v>20930.091499999999</v>
      </c>
      <c r="AR52" s="102">
        <f>AQ52/$H52</f>
        <v>0.9791229995740296</v>
      </c>
      <c r="AS52" s="103">
        <f t="shared" si="1"/>
        <v>0</v>
      </c>
      <c r="AT52" s="106">
        <f>SUM(AT53:AT56)</f>
        <v>446.27440000000007</v>
      </c>
      <c r="AU52" s="102">
        <f>AT52/$H52</f>
        <v>2.0877000425970446E-2</v>
      </c>
    </row>
    <row r="53" spans="1:47" ht="30">
      <c r="A53" s="16"/>
      <c r="B53" s="97" t="s">
        <v>621</v>
      </c>
      <c r="C53" s="167" t="s">
        <v>622</v>
      </c>
      <c r="D53" s="86" t="s">
        <v>623</v>
      </c>
      <c r="E53" s="97" t="s">
        <v>12</v>
      </c>
      <c r="F53" s="141">
        <v>349.99</v>
      </c>
      <c r="G53" s="97">
        <v>8</v>
      </c>
      <c r="H53" s="85">
        <f>G53*$F53</f>
        <v>2799.92</v>
      </c>
      <c r="I53" s="50">
        <f t="shared" ref="I53:I76" si="30">L53+O53</f>
        <v>8</v>
      </c>
      <c r="J53" s="85">
        <f>I53*$F53</f>
        <v>2799.92</v>
      </c>
      <c r="K53" s="82">
        <f t="shared" si="2"/>
        <v>1</v>
      </c>
      <c r="L53" s="50"/>
      <c r="M53" s="85">
        <f>L53*$F53</f>
        <v>0</v>
      </c>
      <c r="N53" s="82" t="str">
        <f t="shared" si="3"/>
        <v/>
      </c>
      <c r="O53" s="50">
        <v>8</v>
      </c>
      <c r="P53" s="85">
        <f>O53*$F53</f>
        <v>2799.92</v>
      </c>
      <c r="Q53" s="82">
        <f t="shared" si="4"/>
        <v>1</v>
      </c>
      <c r="R53" s="50"/>
      <c r="S53" s="85">
        <f>R53*$F53</f>
        <v>0</v>
      </c>
      <c r="T53" s="82" t="str">
        <f t="shared" si="5"/>
        <v/>
      </c>
      <c r="U53" s="50"/>
      <c r="V53" s="85">
        <f>U53*$F53</f>
        <v>0</v>
      </c>
      <c r="W53" s="82" t="str">
        <f t="shared" si="6"/>
        <v/>
      </c>
      <c r="X53" s="50"/>
      <c r="Y53" s="85">
        <f>X53*$F53</f>
        <v>0</v>
      </c>
      <c r="Z53" s="82" t="str">
        <f t="shared" si="7"/>
        <v/>
      </c>
      <c r="AA53" s="50"/>
      <c r="AB53" s="85">
        <f>AA53*$F53</f>
        <v>0</v>
      </c>
      <c r="AC53" s="82" t="str">
        <f t="shared" si="8"/>
        <v/>
      </c>
      <c r="AD53" s="50"/>
      <c r="AE53" s="85">
        <f>AD53*$F53</f>
        <v>0</v>
      </c>
      <c r="AF53" s="82" t="str">
        <f t="shared" si="9"/>
        <v/>
      </c>
      <c r="AG53" s="50"/>
      <c r="AH53" s="85">
        <f>AG53*$F53</f>
        <v>0</v>
      </c>
      <c r="AI53" s="82" t="str">
        <f t="shared" si="10"/>
        <v/>
      </c>
      <c r="AJ53" s="50"/>
      <c r="AK53" s="85">
        <f>AJ53*$F53</f>
        <v>0</v>
      </c>
      <c r="AL53" s="82" t="str">
        <f t="shared" si="11"/>
        <v/>
      </c>
      <c r="AM53" s="50"/>
      <c r="AN53" s="85">
        <f>AM53*$F53</f>
        <v>0</v>
      </c>
      <c r="AO53" s="82" t="str">
        <f t="shared" si="12"/>
        <v/>
      </c>
      <c r="AP53" s="48">
        <f t="shared" si="0"/>
        <v>8</v>
      </c>
      <c r="AQ53" s="85">
        <f>AP53*$F53</f>
        <v>2799.92</v>
      </c>
      <c r="AR53" s="82">
        <f t="shared" si="13"/>
        <v>1</v>
      </c>
      <c r="AS53" s="48">
        <f t="shared" si="1"/>
        <v>0</v>
      </c>
      <c r="AT53" s="85">
        <f>AS53*$F53</f>
        <v>0</v>
      </c>
      <c r="AU53" s="82" t="str">
        <f t="shared" si="14"/>
        <v/>
      </c>
    </row>
    <row r="54" spans="1:47" ht="105">
      <c r="A54" s="16"/>
      <c r="B54" s="97" t="s">
        <v>624</v>
      </c>
      <c r="C54" s="167" t="s">
        <v>625</v>
      </c>
      <c r="D54" s="86" t="s">
        <v>626</v>
      </c>
      <c r="E54" s="97" t="s">
        <v>44</v>
      </c>
      <c r="F54" s="141">
        <v>270.83</v>
      </c>
      <c r="G54" s="97">
        <v>50.18</v>
      </c>
      <c r="H54" s="85">
        <f>G54*$F54</f>
        <v>13590.249399999999</v>
      </c>
      <c r="I54" s="50">
        <f t="shared" si="30"/>
        <v>50.18</v>
      </c>
      <c r="J54" s="85">
        <f>I54*$F54</f>
        <v>13590.249399999999</v>
      </c>
      <c r="K54" s="82">
        <f t="shared" si="2"/>
        <v>1</v>
      </c>
      <c r="L54" s="50">
        <v>50.18</v>
      </c>
      <c r="M54" s="85">
        <f>L54*$F54</f>
        <v>13590.249399999999</v>
      </c>
      <c r="N54" s="82">
        <f t="shared" si="3"/>
        <v>1</v>
      </c>
      <c r="O54" s="50"/>
      <c r="P54" s="85">
        <f>O54*$F54</f>
        <v>0</v>
      </c>
      <c r="Q54" s="82" t="str">
        <f t="shared" si="4"/>
        <v/>
      </c>
      <c r="R54" s="50"/>
      <c r="S54" s="85">
        <f>R54*$F54</f>
        <v>0</v>
      </c>
      <c r="T54" s="82" t="str">
        <f t="shared" si="5"/>
        <v/>
      </c>
      <c r="U54" s="50"/>
      <c r="V54" s="85">
        <f>U54*$F54</f>
        <v>0</v>
      </c>
      <c r="W54" s="82" t="str">
        <f t="shared" si="6"/>
        <v/>
      </c>
      <c r="X54" s="50"/>
      <c r="Y54" s="85">
        <f>X54*$F54</f>
        <v>0</v>
      </c>
      <c r="Z54" s="82" t="str">
        <f t="shared" si="7"/>
        <v/>
      </c>
      <c r="AA54" s="50"/>
      <c r="AB54" s="85">
        <f>AA54*$F54</f>
        <v>0</v>
      </c>
      <c r="AC54" s="82" t="str">
        <f t="shared" si="8"/>
        <v/>
      </c>
      <c r="AD54" s="50"/>
      <c r="AE54" s="85">
        <f>AD54*$F54</f>
        <v>0</v>
      </c>
      <c r="AF54" s="82" t="str">
        <f t="shared" si="9"/>
        <v/>
      </c>
      <c r="AG54" s="50"/>
      <c r="AH54" s="85">
        <f>AG54*$F54</f>
        <v>0</v>
      </c>
      <c r="AI54" s="82" t="str">
        <f t="shared" si="10"/>
        <v/>
      </c>
      <c r="AJ54" s="50"/>
      <c r="AK54" s="85">
        <f>AJ54*$F54</f>
        <v>0</v>
      </c>
      <c r="AL54" s="82" t="str">
        <f t="shared" si="11"/>
        <v/>
      </c>
      <c r="AM54" s="50"/>
      <c r="AN54" s="85">
        <f>AM54*$F54</f>
        <v>0</v>
      </c>
      <c r="AO54" s="82" t="str">
        <f t="shared" si="12"/>
        <v/>
      </c>
      <c r="AP54" s="48">
        <f t="shared" si="0"/>
        <v>50.18</v>
      </c>
      <c r="AQ54" s="85">
        <f>AP54*$F54</f>
        <v>13590.249399999999</v>
      </c>
      <c r="AR54" s="82">
        <f t="shared" si="13"/>
        <v>1</v>
      </c>
      <c r="AS54" s="48">
        <f t="shared" si="1"/>
        <v>0</v>
      </c>
      <c r="AT54" s="85">
        <f>AS54*$F54</f>
        <v>0</v>
      </c>
      <c r="AU54" s="82" t="str">
        <f t="shared" si="14"/>
        <v/>
      </c>
    </row>
    <row r="55" spans="1:47" ht="75">
      <c r="A55" s="16"/>
      <c r="B55" s="97" t="s">
        <v>627</v>
      </c>
      <c r="C55" s="167" t="s">
        <v>628</v>
      </c>
      <c r="D55" s="86" t="s">
        <v>629</v>
      </c>
      <c r="E55" s="97" t="s">
        <v>44</v>
      </c>
      <c r="F55" s="141">
        <v>147.66999999999999</v>
      </c>
      <c r="G55" s="97">
        <v>30.05</v>
      </c>
      <c r="H55" s="85">
        <f>G55*$F55</f>
        <v>4437.4834999999994</v>
      </c>
      <c r="I55" s="50">
        <f t="shared" si="30"/>
        <v>12</v>
      </c>
      <c r="J55" s="85">
        <f>I55*$F55</f>
        <v>1772.04</v>
      </c>
      <c r="K55" s="82">
        <f t="shared" si="2"/>
        <v>0.39933444259567386</v>
      </c>
      <c r="L55" s="50"/>
      <c r="M55" s="85">
        <f>L55*$F55</f>
        <v>0</v>
      </c>
      <c r="N55" s="82" t="str">
        <f t="shared" si="3"/>
        <v/>
      </c>
      <c r="O55" s="50">
        <v>12</v>
      </c>
      <c r="P55" s="85">
        <f>O55*$F55</f>
        <v>1772.04</v>
      </c>
      <c r="Q55" s="82">
        <f t="shared" si="4"/>
        <v>0.39933444259567386</v>
      </c>
      <c r="R55" s="50">
        <v>18.05</v>
      </c>
      <c r="S55" s="85">
        <f>R55*$F55</f>
        <v>2665.4434999999999</v>
      </c>
      <c r="T55" s="82">
        <f t="shared" si="5"/>
        <v>0.60066555740432614</v>
      </c>
      <c r="U55" s="50"/>
      <c r="V55" s="85">
        <f>U55*$F55</f>
        <v>0</v>
      </c>
      <c r="W55" s="82" t="str">
        <f t="shared" si="6"/>
        <v/>
      </c>
      <c r="X55" s="50"/>
      <c r="Y55" s="85">
        <f>X55*$F55</f>
        <v>0</v>
      </c>
      <c r="Z55" s="82" t="str">
        <f t="shared" si="7"/>
        <v/>
      </c>
      <c r="AA55" s="50"/>
      <c r="AB55" s="85">
        <f>AA55*$F55</f>
        <v>0</v>
      </c>
      <c r="AC55" s="82" t="str">
        <f t="shared" si="8"/>
        <v/>
      </c>
      <c r="AD55" s="50"/>
      <c r="AE55" s="85">
        <f>AD55*$F55</f>
        <v>0</v>
      </c>
      <c r="AF55" s="82" t="str">
        <f t="shared" si="9"/>
        <v/>
      </c>
      <c r="AG55" s="50"/>
      <c r="AH55" s="85">
        <f>AG55*$F55</f>
        <v>0</v>
      </c>
      <c r="AI55" s="82" t="str">
        <f t="shared" si="10"/>
        <v/>
      </c>
      <c r="AJ55" s="50"/>
      <c r="AK55" s="85">
        <f>AJ55*$F55</f>
        <v>0</v>
      </c>
      <c r="AL55" s="82" t="str">
        <f t="shared" si="11"/>
        <v/>
      </c>
      <c r="AM55" s="50"/>
      <c r="AN55" s="85">
        <f>AM55*$F55</f>
        <v>0</v>
      </c>
      <c r="AO55" s="82" t="str">
        <f t="shared" si="12"/>
        <v/>
      </c>
      <c r="AP55" s="48">
        <f t="shared" si="0"/>
        <v>30.05</v>
      </c>
      <c r="AQ55" s="85">
        <f>AP55*$F55</f>
        <v>4437.4834999999994</v>
      </c>
      <c r="AR55" s="82">
        <f t="shared" si="13"/>
        <v>1</v>
      </c>
      <c r="AS55" s="48">
        <f t="shared" si="1"/>
        <v>0</v>
      </c>
      <c r="AT55" s="85">
        <f>AS55*$F55</f>
        <v>0</v>
      </c>
      <c r="AU55" s="82" t="str">
        <f t="shared" si="14"/>
        <v/>
      </c>
    </row>
    <row r="56" spans="1:47" ht="60">
      <c r="A56" s="16"/>
      <c r="B56" s="97" t="s">
        <v>630</v>
      </c>
      <c r="C56" s="167" t="s">
        <v>631</v>
      </c>
      <c r="D56" s="86" t="s">
        <v>632</v>
      </c>
      <c r="E56" s="97" t="s">
        <v>44</v>
      </c>
      <c r="F56" s="141">
        <v>9.1300000000000008</v>
      </c>
      <c r="G56" s="97">
        <v>60.1</v>
      </c>
      <c r="H56" s="85">
        <f>G56*$F56</f>
        <v>548.71300000000008</v>
      </c>
      <c r="I56" s="50">
        <f t="shared" si="30"/>
        <v>11.22</v>
      </c>
      <c r="J56" s="85">
        <f>I56*$F56</f>
        <v>102.43860000000001</v>
      </c>
      <c r="K56" s="82">
        <f t="shared" si="2"/>
        <v>0.18668885191347753</v>
      </c>
      <c r="L56" s="50"/>
      <c r="M56" s="85">
        <f>L56*$F56</f>
        <v>0</v>
      </c>
      <c r="N56" s="82" t="str">
        <f t="shared" si="3"/>
        <v/>
      </c>
      <c r="O56" s="50">
        <v>11.22</v>
      </c>
      <c r="P56" s="85">
        <f>O56*$F56</f>
        <v>102.43860000000001</v>
      </c>
      <c r="Q56" s="82">
        <f t="shared" si="4"/>
        <v>0.18668885191347753</v>
      </c>
      <c r="R56" s="50"/>
      <c r="S56" s="85">
        <f>R56*$F56</f>
        <v>0</v>
      </c>
      <c r="T56" s="82" t="str">
        <f t="shared" si="5"/>
        <v/>
      </c>
      <c r="U56" s="50"/>
      <c r="V56" s="85">
        <f>U56*$F56</f>
        <v>0</v>
      </c>
      <c r="W56" s="82" t="str">
        <f t="shared" si="6"/>
        <v/>
      </c>
      <c r="X56" s="50"/>
      <c r="Y56" s="85">
        <f>X56*$F56</f>
        <v>0</v>
      </c>
      <c r="Z56" s="82" t="str">
        <f t="shared" si="7"/>
        <v/>
      </c>
      <c r="AA56" s="50"/>
      <c r="AB56" s="85">
        <f>AA56*$F56</f>
        <v>0</v>
      </c>
      <c r="AC56" s="82" t="str">
        <f t="shared" si="8"/>
        <v/>
      </c>
      <c r="AD56" s="50"/>
      <c r="AE56" s="85">
        <f>AD56*$F56</f>
        <v>0</v>
      </c>
      <c r="AF56" s="82" t="str">
        <f t="shared" si="9"/>
        <v/>
      </c>
      <c r="AG56" s="50"/>
      <c r="AH56" s="85">
        <f>AG56*$F56</f>
        <v>0</v>
      </c>
      <c r="AI56" s="82" t="str">
        <f t="shared" si="10"/>
        <v/>
      </c>
      <c r="AJ56" s="50"/>
      <c r="AK56" s="85">
        <f>AJ56*$F56</f>
        <v>0</v>
      </c>
      <c r="AL56" s="82" t="str">
        <f t="shared" si="11"/>
        <v/>
      </c>
      <c r="AM56" s="50"/>
      <c r="AN56" s="85">
        <f>AM56*$F56</f>
        <v>0</v>
      </c>
      <c r="AO56" s="82" t="str">
        <f t="shared" si="12"/>
        <v/>
      </c>
      <c r="AP56" s="48">
        <f t="shared" si="0"/>
        <v>11.22</v>
      </c>
      <c r="AQ56" s="85">
        <f>AP56*$F56</f>
        <v>102.43860000000001</v>
      </c>
      <c r="AR56" s="82">
        <f t="shared" si="13"/>
        <v>0.18668885191347753</v>
      </c>
      <c r="AS56" s="48">
        <f t="shared" si="1"/>
        <v>48.88</v>
      </c>
      <c r="AT56" s="85">
        <f>AS56*$F56</f>
        <v>446.27440000000007</v>
      </c>
      <c r="AU56" s="82">
        <f t="shared" si="14"/>
        <v>0.8133111480865225</v>
      </c>
    </row>
    <row r="57" spans="1:47" s="104" customFormat="1">
      <c r="A57" s="94"/>
      <c r="B57" s="108" t="s">
        <v>633</v>
      </c>
      <c r="C57" s="1934" t="s">
        <v>634</v>
      </c>
      <c r="D57" s="1935"/>
      <c r="E57" s="1935"/>
      <c r="F57" s="1935"/>
      <c r="G57" s="1936"/>
      <c r="H57" s="106">
        <f>SUM(H58:H69)</f>
        <v>111220.63499999999</v>
      </c>
      <c r="I57" s="101"/>
      <c r="J57" s="106">
        <f>SUM(J58:J69)</f>
        <v>48655.754999999997</v>
      </c>
      <c r="K57" s="102">
        <f>J57/$H57</f>
        <v>0.43747057369345177</v>
      </c>
      <c r="L57" s="101"/>
      <c r="M57" s="106">
        <f>SUM(M58:M69)</f>
        <v>8473.59</v>
      </c>
      <c r="N57" s="102">
        <f>M57/$H57</f>
        <v>7.6187211123187715E-2</v>
      </c>
      <c r="O57" s="101"/>
      <c r="P57" s="106">
        <f>SUM(P58:P69)</f>
        <v>40182.165000000001</v>
      </c>
      <c r="Q57" s="102">
        <f>P57/$H57</f>
        <v>0.36128336257026405</v>
      </c>
      <c r="R57" s="101"/>
      <c r="S57" s="106">
        <f>SUM(S58:S69)</f>
        <v>4835.55</v>
      </c>
      <c r="T57" s="102">
        <f>S57/$H57</f>
        <v>4.3477093976311144E-2</v>
      </c>
      <c r="U57" s="101"/>
      <c r="V57" s="106">
        <f>SUM(V58:V69)</f>
        <v>0</v>
      </c>
      <c r="W57" s="102">
        <f>V57/$H57</f>
        <v>0</v>
      </c>
      <c r="X57" s="101"/>
      <c r="Y57" s="106">
        <f>SUM(Y58:Y69)</f>
        <v>0</v>
      </c>
      <c r="Z57" s="102">
        <f>Y57/$H57</f>
        <v>0</v>
      </c>
      <c r="AA57" s="101"/>
      <c r="AB57" s="106">
        <f>SUM(AB58:AB69)</f>
        <v>0</v>
      </c>
      <c r="AC57" s="102">
        <f>AB57/$H57</f>
        <v>0</v>
      </c>
      <c r="AD57" s="101"/>
      <c r="AE57" s="106">
        <f>SUM(AE58:AE69)</f>
        <v>0</v>
      </c>
      <c r="AF57" s="102">
        <f>AE57/$H57</f>
        <v>0</v>
      </c>
      <c r="AG57" s="101"/>
      <c r="AH57" s="106">
        <f>SUM(AH58:AH69)</f>
        <v>0</v>
      </c>
      <c r="AI57" s="102">
        <f>AH57/$H57</f>
        <v>0</v>
      </c>
      <c r="AJ57" s="101"/>
      <c r="AK57" s="106">
        <f>SUM(AK58:AK69)</f>
        <v>0</v>
      </c>
      <c r="AL57" s="102">
        <f>AK57/$H57</f>
        <v>0</v>
      </c>
      <c r="AM57" s="101"/>
      <c r="AN57" s="106">
        <f>SUM(AN58:AN69)</f>
        <v>0</v>
      </c>
      <c r="AO57" s="102">
        <f>AN57/$H57</f>
        <v>0</v>
      </c>
      <c r="AP57" s="103">
        <f t="shared" si="0"/>
        <v>0</v>
      </c>
      <c r="AQ57" s="106">
        <f>SUM(AQ58:AQ69)</f>
        <v>53491.305</v>
      </c>
      <c r="AR57" s="102">
        <f>AQ57/$H57</f>
        <v>0.48094766766976293</v>
      </c>
      <c r="AS57" s="103">
        <f t="shared" si="1"/>
        <v>0</v>
      </c>
      <c r="AT57" s="106">
        <f>SUM(AT58:AT69)</f>
        <v>57729.330000000009</v>
      </c>
      <c r="AU57" s="102">
        <f>AT57/$H57</f>
        <v>0.51905233233023718</v>
      </c>
    </row>
    <row r="58" spans="1:47" ht="120">
      <c r="A58" s="16"/>
      <c r="B58" s="98" t="s">
        <v>635</v>
      </c>
      <c r="C58" s="168" t="s">
        <v>636</v>
      </c>
      <c r="D58" s="87" t="s">
        <v>2117</v>
      </c>
      <c r="E58" s="98" t="s">
        <v>637</v>
      </c>
      <c r="F58" s="142">
        <v>1342.61</v>
      </c>
      <c r="G58" s="98">
        <v>14</v>
      </c>
      <c r="H58" s="85">
        <f t="shared" ref="H58:H76" si="31">G58*$F58</f>
        <v>18796.539999999997</v>
      </c>
      <c r="I58" s="50">
        <f t="shared" si="30"/>
        <v>2</v>
      </c>
      <c r="J58" s="85">
        <f t="shared" ref="J58:J69" si="32">I58*$F58</f>
        <v>2685.22</v>
      </c>
      <c r="K58" s="82">
        <f t="shared" si="2"/>
        <v>0.14285714285714285</v>
      </c>
      <c r="L58" s="50">
        <v>1</v>
      </c>
      <c r="M58" s="85">
        <f t="shared" ref="M58:M69" si="33">L58*$F58</f>
        <v>1342.61</v>
      </c>
      <c r="N58" s="82">
        <f t="shared" si="3"/>
        <v>7.1428571428571425E-2</v>
      </c>
      <c r="O58" s="50">
        <v>1</v>
      </c>
      <c r="P58" s="85">
        <f t="shared" ref="P58:P69" si="34">O58*$F58</f>
        <v>1342.61</v>
      </c>
      <c r="Q58" s="82">
        <f t="shared" si="4"/>
        <v>7.1428571428571425E-2</v>
      </c>
      <c r="R58" s="50">
        <v>1</v>
      </c>
      <c r="S58" s="85">
        <f t="shared" ref="S58:S69" si="35">R58*$F58</f>
        <v>1342.61</v>
      </c>
      <c r="T58" s="82">
        <f t="shared" si="5"/>
        <v>7.1428571428571425E-2</v>
      </c>
      <c r="U58" s="50"/>
      <c r="V58" s="85">
        <f t="shared" ref="V58:V69" si="36">U58*$F58</f>
        <v>0</v>
      </c>
      <c r="W58" s="82" t="str">
        <f t="shared" si="6"/>
        <v/>
      </c>
      <c r="X58" s="50"/>
      <c r="Y58" s="85">
        <f t="shared" ref="Y58:Y69" si="37">X58*$F58</f>
        <v>0</v>
      </c>
      <c r="Z58" s="82" t="str">
        <f t="shared" si="7"/>
        <v/>
      </c>
      <c r="AA58" s="50"/>
      <c r="AB58" s="85">
        <f t="shared" ref="AB58:AB69" si="38">AA58*$F58</f>
        <v>0</v>
      </c>
      <c r="AC58" s="82" t="str">
        <f t="shared" si="8"/>
        <v/>
      </c>
      <c r="AD58" s="50"/>
      <c r="AE58" s="85">
        <f t="shared" ref="AE58:AE69" si="39">AD58*$F58</f>
        <v>0</v>
      </c>
      <c r="AF58" s="82" t="str">
        <f t="shared" si="9"/>
        <v/>
      </c>
      <c r="AG58" s="50"/>
      <c r="AH58" s="85">
        <f t="shared" ref="AH58:AH69" si="40">AG58*$F58</f>
        <v>0</v>
      </c>
      <c r="AI58" s="82" t="str">
        <f t="shared" si="10"/>
        <v/>
      </c>
      <c r="AJ58" s="50"/>
      <c r="AK58" s="85">
        <f t="shared" ref="AK58:AK69" si="41">AJ58*$F58</f>
        <v>0</v>
      </c>
      <c r="AL58" s="82" t="str">
        <f t="shared" si="11"/>
        <v/>
      </c>
      <c r="AM58" s="50"/>
      <c r="AN58" s="85">
        <f t="shared" ref="AN58:AN69" si="42">AM58*$F58</f>
        <v>0</v>
      </c>
      <c r="AO58" s="82" t="str">
        <f t="shared" si="12"/>
        <v/>
      </c>
      <c r="AP58" s="48">
        <f t="shared" si="0"/>
        <v>3</v>
      </c>
      <c r="AQ58" s="85">
        <f t="shared" ref="AQ58:AQ69" si="43">AP58*$F58</f>
        <v>4027.83</v>
      </c>
      <c r="AR58" s="82">
        <f t="shared" si="13"/>
        <v>0.21428571428571427</v>
      </c>
      <c r="AS58" s="48">
        <f t="shared" si="1"/>
        <v>11</v>
      </c>
      <c r="AT58" s="85">
        <f t="shared" ref="AT58:AT69" si="44">AS58*$F58</f>
        <v>14768.71</v>
      </c>
      <c r="AU58" s="82">
        <f t="shared" si="14"/>
        <v>0.7857142857142857</v>
      </c>
    </row>
    <row r="59" spans="1:47" ht="75">
      <c r="A59" s="16"/>
      <c r="B59" s="97" t="s">
        <v>638</v>
      </c>
      <c r="C59" s="167" t="s">
        <v>639</v>
      </c>
      <c r="D59" s="86" t="s">
        <v>640</v>
      </c>
      <c r="E59" s="97" t="s">
        <v>637</v>
      </c>
      <c r="F59" s="141">
        <v>922.5</v>
      </c>
      <c r="G59" s="97">
        <v>14</v>
      </c>
      <c r="H59" s="85">
        <f t="shared" si="31"/>
        <v>12915</v>
      </c>
      <c r="I59" s="50">
        <f t="shared" si="30"/>
        <v>2</v>
      </c>
      <c r="J59" s="85">
        <f t="shared" si="32"/>
        <v>1845</v>
      </c>
      <c r="K59" s="82">
        <f t="shared" si="2"/>
        <v>0.14285714285714285</v>
      </c>
      <c r="L59" s="50">
        <v>1</v>
      </c>
      <c r="M59" s="85">
        <f t="shared" si="33"/>
        <v>922.5</v>
      </c>
      <c r="N59" s="82">
        <f t="shared" si="3"/>
        <v>7.1428571428571425E-2</v>
      </c>
      <c r="O59" s="50">
        <v>1</v>
      </c>
      <c r="P59" s="85">
        <f t="shared" si="34"/>
        <v>922.5</v>
      </c>
      <c r="Q59" s="82">
        <f t="shared" si="4"/>
        <v>7.1428571428571425E-2</v>
      </c>
      <c r="R59" s="50">
        <v>1</v>
      </c>
      <c r="S59" s="85">
        <f t="shared" si="35"/>
        <v>922.5</v>
      </c>
      <c r="T59" s="82">
        <f t="shared" si="5"/>
        <v>7.1428571428571425E-2</v>
      </c>
      <c r="U59" s="50"/>
      <c r="V59" s="85">
        <f t="shared" si="36"/>
        <v>0</v>
      </c>
      <c r="W59" s="82" t="str">
        <f t="shared" si="6"/>
        <v/>
      </c>
      <c r="X59" s="50"/>
      <c r="Y59" s="85">
        <f t="shared" si="37"/>
        <v>0</v>
      </c>
      <c r="Z59" s="82" t="str">
        <f t="shared" si="7"/>
        <v/>
      </c>
      <c r="AA59" s="50"/>
      <c r="AB59" s="85">
        <f t="shared" si="38"/>
        <v>0</v>
      </c>
      <c r="AC59" s="82" t="str">
        <f t="shared" si="8"/>
        <v/>
      </c>
      <c r="AD59" s="50"/>
      <c r="AE59" s="85">
        <f t="shared" si="39"/>
        <v>0</v>
      </c>
      <c r="AF59" s="82" t="str">
        <f t="shared" si="9"/>
        <v/>
      </c>
      <c r="AG59" s="50"/>
      <c r="AH59" s="85">
        <f t="shared" si="40"/>
        <v>0</v>
      </c>
      <c r="AI59" s="82" t="str">
        <f t="shared" si="10"/>
        <v/>
      </c>
      <c r="AJ59" s="50"/>
      <c r="AK59" s="85">
        <f t="shared" si="41"/>
        <v>0</v>
      </c>
      <c r="AL59" s="82" t="str">
        <f t="shared" si="11"/>
        <v/>
      </c>
      <c r="AM59" s="50"/>
      <c r="AN59" s="85">
        <f t="shared" si="42"/>
        <v>0</v>
      </c>
      <c r="AO59" s="82" t="str">
        <f t="shared" si="12"/>
        <v/>
      </c>
      <c r="AP59" s="48">
        <f t="shared" si="0"/>
        <v>3</v>
      </c>
      <c r="AQ59" s="85">
        <f t="shared" si="43"/>
        <v>2767.5</v>
      </c>
      <c r="AR59" s="82">
        <f t="shared" si="13"/>
        <v>0.21428571428571427</v>
      </c>
      <c r="AS59" s="48">
        <f t="shared" si="1"/>
        <v>11</v>
      </c>
      <c r="AT59" s="85">
        <f t="shared" si="44"/>
        <v>10147.5</v>
      </c>
      <c r="AU59" s="82">
        <f t="shared" si="14"/>
        <v>0.7857142857142857</v>
      </c>
    </row>
    <row r="60" spans="1:47" ht="120">
      <c r="A60" s="16"/>
      <c r="B60" s="97" t="s">
        <v>641</v>
      </c>
      <c r="C60" s="167" t="s">
        <v>642</v>
      </c>
      <c r="D60" s="86" t="s">
        <v>643</v>
      </c>
      <c r="E60" s="97" t="s">
        <v>612</v>
      </c>
      <c r="F60" s="141">
        <v>1271.1400000000001</v>
      </c>
      <c r="G60" s="97">
        <v>14</v>
      </c>
      <c r="H60" s="85">
        <f t="shared" si="31"/>
        <v>17795.960000000003</v>
      </c>
      <c r="I60" s="50">
        <f t="shared" si="30"/>
        <v>2</v>
      </c>
      <c r="J60" s="85">
        <f t="shared" si="32"/>
        <v>2542.2800000000002</v>
      </c>
      <c r="K60" s="82">
        <f t="shared" si="2"/>
        <v>0.14285714285714285</v>
      </c>
      <c r="L60" s="50">
        <v>1</v>
      </c>
      <c r="M60" s="85">
        <f t="shared" si="33"/>
        <v>1271.1400000000001</v>
      </c>
      <c r="N60" s="82">
        <f t="shared" si="3"/>
        <v>7.1428571428571425E-2</v>
      </c>
      <c r="O60" s="50">
        <v>1</v>
      </c>
      <c r="P60" s="85">
        <f t="shared" si="34"/>
        <v>1271.1400000000001</v>
      </c>
      <c r="Q60" s="82">
        <f t="shared" si="4"/>
        <v>7.1428571428571425E-2</v>
      </c>
      <c r="R60" s="50">
        <v>1</v>
      </c>
      <c r="S60" s="85">
        <f t="shared" si="35"/>
        <v>1271.1400000000001</v>
      </c>
      <c r="T60" s="82">
        <f t="shared" si="5"/>
        <v>7.1428571428571425E-2</v>
      </c>
      <c r="U60" s="50"/>
      <c r="V60" s="85">
        <f t="shared" si="36"/>
        <v>0</v>
      </c>
      <c r="W60" s="82" t="str">
        <f t="shared" si="6"/>
        <v/>
      </c>
      <c r="X60" s="50"/>
      <c r="Y60" s="85">
        <f t="shared" si="37"/>
        <v>0</v>
      </c>
      <c r="Z60" s="82" t="str">
        <f t="shared" si="7"/>
        <v/>
      </c>
      <c r="AA60" s="50"/>
      <c r="AB60" s="85">
        <f t="shared" si="38"/>
        <v>0</v>
      </c>
      <c r="AC60" s="82" t="str">
        <f t="shared" si="8"/>
        <v/>
      </c>
      <c r="AD60" s="50"/>
      <c r="AE60" s="85">
        <f t="shared" si="39"/>
        <v>0</v>
      </c>
      <c r="AF60" s="82" t="str">
        <f t="shared" si="9"/>
        <v/>
      </c>
      <c r="AG60" s="50"/>
      <c r="AH60" s="85">
        <f t="shared" si="40"/>
        <v>0</v>
      </c>
      <c r="AI60" s="82" t="str">
        <f t="shared" si="10"/>
        <v/>
      </c>
      <c r="AJ60" s="50"/>
      <c r="AK60" s="85">
        <f t="shared" si="41"/>
        <v>0</v>
      </c>
      <c r="AL60" s="82" t="str">
        <f t="shared" si="11"/>
        <v/>
      </c>
      <c r="AM60" s="50"/>
      <c r="AN60" s="85">
        <f t="shared" si="42"/>
        <v>0</v>
      </c>
      <c r="AO60" s="82" t="str">
        <f t="shared" si="12"/>
        <v/>
      </c>
      <c r="AP60" s="48">
        <f t="shared" si="0"/>
        <v>3</v>
      </c>
      <c r="AQ60" s="85">
        <f t="shared" si="43"/>
        <v>3813.42</v>
      </c>
      <c r="AR60" s="82">
        <f t="shared" si="13"/>
        <v>0.21428571428571427</v>
      </c>
      <c r="AS60" s="48">
        <f t="shared" si="1"/>
        <v>11</v>
      </c>
      <c r="AT60" s="85">
        <f t="shared" si="44"/>
        <v>13982.54</v>
      </c>
      <c r="AU60" s="82">
        <f t="shared" si="14"/>
        <v>0.7857142857142857</v>
      </c>
    </row>
    <row r="61" spans="1:47" ht="105">
      <c r="A61" s="16"/>
      <c r="B61" s="97" t="s">
        <v>644</v>
      </c>
      <c r="C61" s="167" t="s">
        <v>645</v>
      </c>
      <c r="D61" s="86" t="s">
        <v>646</v>
      </c>
      <c r="E61" s="97" t="s">
        <v>637</v>
      </c>
      <c r="F61" s="141">
        <v>1299.3</v>
      </c>
      <c r="G61" s="97">
        <v>14</v>
      </c>
      <c r="H61" s="85">
        <f t="shared" si="31"/>
        <v>18190.2</v>
      </c>
      <c r="I61" s="50">
        <f t="shared" si="30"/>
        <v>2</v>
      </c>
      <c r="J61" s="85">
        <f t="shared" si="32"/>
        <v>2598.6</v>
      </c>
      <c r="K61" s="82">
        <f t="shared" si="2"/>
        <v>0.14285714285714285</v>
      </c>
      <c r="L61" s="50">
        <v>1</v>
      </c>
      <c r="M61" s="85">
        <f t="shared" si="33"/>
        <v>1299.3</v>
      </c>
      <c r="N61" s="82">
        <f t="shared" si="3"/>
        <v>7.1428571428571425E-2</v>
      </c>
      <c r="O61" s="50">
        <v>1</v>
      </c>
      <c r="P61" s="85">
        <f t="shared" si="34"/>
        <v>1299.3</v>
      </c>
      <c r="Q61" s="82">
        <f t="shared" si="4"/>
        <v>7.1428571428571425E-2</v>
      </c>
      <c r="R61" s="50">
        <v>1</v>
      </c>
      <c r="S61" s="85">
        <f t="shared" si="35"/>
        <v>1299.3</v>
      </c>
      <c r="T61" s="82">
        <f t="shared" si="5"/>
        <v>7.1428571428571425E-2</v>
      </c>
      <c r="U61" s="50"/>
      <c r="V61" s="85">
        <f t="shared" si="36"/>
        <v>0</v>
      </c>
      <c r="W61" s="82" t="str">
        <f t="shared" si="6"/>
        <v/>
      </c>
      <c r="X61" s="50"/>
      <c r="Y61" s="85">
        <f t="shared" si="37"/>
        <v>0</v>
      </c>
      <c r="Z61" s="82" t="str">
        <f t="shared" si="7"/>
        <v/>
      </c>
      <c r="AA61" s="50"/>
      <c r="AB61" s="85">
        <f t="shared" si="38"/>
        <v>0</v>
      </c>
      <c r="AC61" s="82" t="str">
        <f t="shared" si="8"/>
        <v/>
      </c>
      <c r="AD61" s="50"/>
      <c r="AE61" s="85">
        <f t="shared" si="39"/>
        <v>0</v>
      </c>
      <c r="AF61" s="82" t="str">
        <f t="shared" si="9"/>
        <v/>
      </c>
      <c r="AG61" s="50"/>
      <c r="AH61" s="85">
        <f t="shared" si="40"/>
        <v>0</v>
      </c>
      <c r="AI61" s="82" t="str">
        <f t="shared" si="10"/>
        <v/>
      </c>
      <c r="AJ61" s="50"/>
      <c r="AK61" s="85">
        <f t="shared" si="41"/>
        <v>0</v>
      </c>
      <c r="AL61" s="82" t="str">
        <f t="shared" si="11"/>
        <v/>
      </c>
      <c r="AM61" s="50"/>
      <c r="AN61" s="85">
        <f t="shared" si="42"/>
        <v>0</v>
      </c>
      <c r="AO61" s="82" t="str">
        <f t="shared" si="12"/>
        <v/>
      </c>
      <c r="AP61" s="48">
        <f t="shared" si="0"/>
        <v>3</v>
      </c>
      <c r="AQ61" s="85">
        <f t="shared" si="43"/>
        <v>3897.8999999999996</v>
      </c>
      <c r="AR61" s="82">
        <f t="shared" si="13"/>
        <v>0.21428571428571427</v>
      </c>
      <c r="AS61" s="48">
        <f t="shared" si="1"/>
        <v>11</v>
      </c>
      <c r="AT61" s="85">
        <f t="shared" si="44"/>
        <v>14292.3</v>
      </c>
      <c r="AU61" s="82">
        <f t="shared" si="14"/>
        <v>0.7857142857142857</v>
      </c>
    </row>
    <row r="62" spans="1:47" ht="30">
      <c r="A62" s="16"/>
      <c r="B62" s="97" t="s">
        <v>647</v>
      </c>
      <c r="C62" s="167" t="s">
        <v>648</v>
      </c>
      <c r="D62" s="86" t="s">
        <v>649</v>
      </c>
      <c r="E62" s="97" t="s">
        <v>28</v>
      </c>
      <c r="F62" s="141">
        <v>1819.02</v>
      </c>
      <c r="G62" s="97">
        <v>4</v>
      </c>
      <c r="H62" s="85">
        <f t="shared" si="31"/>
        <v>7276.08</v>
      </c>
      <c r="I62" s="50">
        <f t="shared" si="30"/>
        <v>2</v>
      </c>
      <c r="J62" s="85">
        <f t="shared" si="32"/>
        <v>3638.04</v>
      </c>
      <c r="K62" s="82">
        <f t="shared" si="2"/>
        <v>0.5</v>
      </c>
      <c r="L62" s="50">
        <v>2</v>
      </c>
      <c r="M62" s="85">
        <f t="shared" si="33"/>
        <v>3638.04</v>
      </c>
      <c r="N62" s="82">
        <f t="shared" si="3"/>
        <v>0.5</v>
      </c>
      <c r="O62" s="50"/>
      <c r="P62" s="85">
        <f t="shared" si="34"/>
        <v>0</v>
      </c>
      <c r="Q62" s="82" t="str">
        <f t="shared" si="4"/>
        <v/>
      </c>
      <c r="R62" s="50"/>
      <c r="S62" s="85">
        <f t="shared" si="35"/>
        <v>0</v>
      </c>
      <c r="T62" s="82" t="str">
        <f t="shared" si="5"/>
        <v/>
      </c>
      <c r="U62" s="50"/>
      <c r="V62" s="85">
        <f t="shared" si="36"/>
        <v>0</v>
      </c>
      <c r="W62" s="82" t="str">
        <f t="shared" si="6"/>
        <v/>
      </c>
      <c r="X62" s="50"/>
      <c r="Y62" s="85">
        <f t="shared" si="37"/>
        <v>0</v>
      </c>
      <c r="Z62" s="82" t="str">
        <f t="shared" si="7"/>
        <v/>
      </c>
      <c r="AA62" s="50"/>
      <c r="AB62" s="85">
        <f t="shared" si="38"/>
        <v>0</v>
      </c>
      <c r="AC62" s="82" t="str">
        <f t="shared" si="8"/>
        <v/>
      </c>
      <c r="AD62" s="50"/>
      <c r="AE62" s="85">
        <f t="shared" si="39"/>
        <v>0</v>
      </c>
      <c r="AF62" s="82" t="str">
        <f t="shared" si="9"/>
        <v/>
      </c>
      <c r="AG62" s="50"/>
      <c r="AH62" s="85">
        <f t="shared" si="40"/>
        <v>0</v>
      </c>
      <c r="AI62" s="82" t="str">
        <f t="shared" si="10"/>
        <v/>
      </c>
      <c r="AJ62" s="50"/>
      <c r="AK62" s="85">
        <f t="shared" si="41"/>
        <v>0</v>
      </c>
      <c r="AL62" s="82" t="str">
        <f t="shared" si="11"/>
        <v/>
      </c>
      <c r="AM62" s="50"/>
      <c r="AN62" s="85">
        <f t="shared" si="42"/>
        <v>0</v>
      </c>
      <c r="AO62" s="82" t="str">
        <f t="shared" si="12"/>
        <v/>
      </c>
      <c r="AP62" s="48">
        <f t="shared" si="0"/>
        <v>2</v>
      </c>
      <c r="AQ62" s="85">
        <f t="shared" si="43"/>
        <v>3638.04</v>
      </c>
      <c r="AR62" s="82">
        <f t="shared" si="13"/>
        <v>0.5</v>
      </c>
      <c r="AS62" s="48">
        <f t="shared" si="1"/>
        <v>2</v>
      </c>
      <c r="AT62" s="85">
        <f t="shared" si="44"/>
        <v>3638.04</v>
      </c>
      <c r="AU62" s="82">
        <f t="shared" si="14"/>
        <v>0.5</v>
      </c>
    </row>
    <row r="63" spans="1:47" ht="90">
      <c r="A63" s="16"/>
      <c r="B63" s="97" t="s">
        <v>650</v>
      </c>
      <c r="C63" s="167" t="s">
        <v>651</v>
      </c>
      <c r="D63" s="86" t="s">
        <v>652</v>
      </c>
      <c r="E63" s="97" t="s">
        <v>44</v>
      </c>
      <c r="F63" s="141">
        <v>61.83</v>
      </c>
      <c r="G63" s="97">
        <v>25</v>
      </c>
      <c r="H63" s="85">
        <f t="shared" si="31"/>
        <v>1545.75</v>
      </c>
      <c r="I63" s="50">
        <f t="shared" si="30"/>
        <v>25</v>
      </c>
      <c r="J63" s="85">
        <f t="shared" si="32"/>
        <v>1545.75</v>
      </c>
      <c r="K63" s="82">
        <f t="shared" si="2"/>
        <v>1</v>
      </c>
      <c r="L63" s="50"/>
      <c r="M63" s="85">
        <f t="shared" si="33"/>
        <v>0</v>
      </c>
      <c r="N63" s="82" t="str">
        <f t="shared" si="3"/>
        <v/>
      </c>
      <c r="O63" s="50">
        <v>25</v>
      </c>
      <c r="P63" s="85">
        <f t="shared" si="34"/>
        <v>1545.75</v>
      </c>
      <c r="Q63" s="82">
        <f t="shared" si="4"/>
        <v>1</v>
      </c>
      <c r="R63" s="50"/>
      <c r="S63" s="85">
        <f t="shared" si="35"/>
        <v>0</v>
      </c>
      <c r="T63" s="82" t="str">
        <f t="shared" si="5"/>
        <v/>
      </c>
      <c r="U63" s="50"/>
      <c r="V63" s="85">
        <f t="shared" si="36"/>
        <v>0</v>
      </c>
      <c r="W63" s="82" t="str">
        <f t="shared" si="6"/>
        <v/>
      </c>
      <c r="X63" s="50"/>
      <c r="Y63" s="85">
        <f t="shared" si="37"/>
        <v>0</v>
      </c>
      <c r="Z63" s="82" t="str">
        <f t="shared" si="7"/>
        <v/>
      </c>
      <c r="AA63" s="50"/>
      <c r="AB63" s="85">
        <f t="shared" si="38"/>
        <v>0</v>
      </c>
      <c r="AC63" s="82" t="str">
        <f t="shared" si="8"/>
        <v/>
      </c>
      <c r="AD63" s="50"/>
      <c r="AE63" s="85">
        <f t="shared" si="39"/>
        <v>0</v>
      </c>
      <c r="AF63" s="82" t="str">
        <f t="shared" si="9"/>
        <v/>
      </c>
      <c r="AG63" s="50"/>
      <c r="AH63" s="85">
        <f t="shared" si="40"/>
        <v>0</v>
      </c>
      <c r="AI63" s="82" t="str">
        <f t="shared" si="10"/>
        <v/>
      </c>
      <c r="AJ63" s="50"/>
      <c r="AK63" s="85">
        <f t="shared" si="41"/>
        <v>0</v>
      </c>
      <c r="AL63" s="82" t="str">
        <f t="shared" si="11"/>
        <v/>
      </c>
      <c r="AM63" s="50"/>
      <c r="AN63" s="85">
        <f t="shared" si="42"/>
        <v>0</v>
      </c>
      <c r="AO63" s="82" t="str">
        <f t="shared" si="12"/>
        <v/>
      </c>
      <c r="AP63" s="48">
        <f t="shared" si="0"/>
        <v>25</v>
      </c>
      <c r="AQ63" s="85">
        <f t="shared" si="43"/>
        <v>1545.75</v>
      </c>
      <c r="AR63" s="82">
        <f t="shared" si="13"/>
        <v>1</v>
      </c>
      <c r="AS63" s="48">
        <f t="shared" si="1"/>
        <v>0</v>
      </c>
      <c r="AT63" s="85">
        <f t="shared" si="44"/>
        <v>0</v>
      </c>
      <c r="AU63" s="82" t="str">
        <f t="shared" si="14"/>
        <v/>
      </c>
    </row>
    <row r="64" spans="1:47" ht="90">
      <c r="A64" s="16"/>
      <c r="B64" s="97" t="s">
        <v>653</v>
      </c>
      <c r="C64" s="167" t="s">
        <v>654</v>
      </c>
      <c r="D64" s="86" t="s">
        <v>655</v>
      </c>
      <c r="E64" s="97" t="s">
        <v>44</v>
      </c>
      <c r="F64" s="141">
        <v>846.42</v>
      </c>
      <c r="G64" s="97">
        <v>20</v>
      </c>
      <c r="H64" s="85">
        <f t="shared" si="31"/>
        <v>16928.399999999998</v>
      </c>
      <c r="I64" s="50">
        <f t="shared" si="30"/>
        <v>20</v>
      </c>
      <c r="J64" s="85">
        <f t="shared" si="32"/>
        <v>16928.399999999998</v>
      </c>
      <c r="K64" s="82">
        <f t="shared" si="2"/>
        <v>1</v>
      </c>
      <c r="L64" s="50"/>
      <c r="M64" s="85">
        <f t="shared" si="33"/>
        <v>0</v>
      </c>
      <c r="N64" s="82" t="str">
        <f t="shared" si="3"/>
        <v/>
      </c>
      <c r="O64" s="50">
        <v>20</v>
      </c>
      <c r="P64" s="85">
        <f t="shared" si="34"/>
        <v>16928.399999999998</v>
      </c>
      <c r="Q64" s="82">
        <f t="shared" si="4"/>
        <v>1</v>
      </c>
      <c r="R64" s="50"/>
      <c r="S64" s="85">
        <f t="shared" si="35"/>
        <v>0</v>
      </c>
      <c r="T64" s="82" t="str">
        <f t="shared" si="5"/>
        <v/>
      </c>
      <c r="U64" s="50"/>
      <c r="V64" s="85">
        <f t="shared" si="36"/>
        <v>0</v>
      </c>
      <c r="W64" s="82" t="str">
        <f t="shared" si="6"/>
        <v/>
      </c>
      <c r="X64" s="50"/>
      <c r="Y64" s="85">
        <f t="shared" si="37"/>
        <v>0</v>
      </c>
      <c r="Z64" s="82" t="str">
        <f t="shared" si="7"/>
        <v/>
      </c>
      <c r="AA64" s="50"/>
      <c r="AB64" s="85">
        <f t="shared" si="38"/>
        <v>0</v>
      </c>
      <c r="AC64" s="82" t="str">
        <f t="shared" si="8"/>
        <v/>
      </c>
      <c r="AD64" s="50"/>
      <c r="AE64" s="85">
        <f t="shared" si="39"/>
        <v>0</v>
      </c>
      <c r="AF64" s="82" t="str">
        <f t="shared" si="9"/>
        <v/>
      </c>
      <c r="AG64" s="50"/>
      <c r="AH64" s="85">
        <f t="shared" si="40"/>
        <v>0</v>
      </c>
      <c r="AI64" s="82" t="str">
        <f t="shared" si="10"/>
        <v/>
      </c>
      <c r="AJ64" s="50"/>
      <c r="AK64" s="85">
        <f t="shared" si="41"/>
        <v>0</v>
      </c>
      <c r="AL64" s="82" t="str">
        <f t="shared" si="11"/>
        <v/>
      </c>
      <c r="AM64" s="50"/>
      <c r="AN64" s="85">
        <f t="shared" si="42"/>
        <v>0</v>
      </c>
      <c r="AO64" s="82" t="str">
        <f t="shared" si="12"/>
        <v/>
      </c>
      <c r="AP64" s="48">
        <f t="shared" si="0"/>
        <v>20</v>
      </c>
      <c r="AQ64" s="85">
        <f t="shared" si="43"/>
        <v>16928.399999999998</v>
      </c>
      <c r="AR64" s="82">
        <f t="shared" si="13"/>
        <v>1</v>
      </c>
      <c r="AS64" s="48">
        <f t="shared" si="1"/>
        <v>0</v>
      </c>
      <c r="AT64" s="85">
        <f t="shared" si="44"/>
        <v>0</v>
      </c>
      <c r="AU64" s="82" t="str">
        <f t="shared" si="14"/>
        <v/>
      </c>
    </row>
    <row r="65" spans="1:47" ht="60">
      <c r="A65" s="16"/>
      <c r="B65" s="97" t="s">
        <v>656</v>
      </c>
      <c r="C65" s="167" t="s">
        <v>657</v>
      </c>
      <c r="D65" s="86" t="s">
        <v>658</v>
      </c>
      <c r="E65" s="97" t="s">
        <v>44</v>
      </c>
      <c r="F65" s="141">
        <v>298.92</v>
      </c>
      <c r="G65" s="97">
        <v>15</v>
      </c>
      <c r="H65" s="85">
        <f t="shared" si="31"/>
        <v>4483.8</v>
      </c>
      <c r="I65" s="50">
        <f t="shared" si="30"/>
        <v>25</v>
      </c>
      <c r="J65" s="85">
        <f t="shared" si="32"/>
        <v>7473</v>
      </c>
      <c r="K65" s="82">
        <f t="shared" si="2"/>
        <v>1.6666666666666667</v>
      </c>
      <c r="L65" s="50"/>
      <c r="M65" s="85">
        <f t="shared" si="33"/>
        <v>0</v>
      </c>
      <c r="N65" s="82" t="str">
        <f t="shared" si="3"/>
        <v/>
      </c>
      <c r="O65" s="50">
        <v>25</v>
      </c>
      <c r="P65" s="85">
        <f t="shared" si="34"/>
        <v>7473</v>
      </c>
      <c r="Q65" s="82">
        <f t="shared" si="4"/>
        <v>1.6666666666666667</v>
      </c>
      <c r="R65" s="50"/>
      <c r="S65" s="85">
        <f t="shared" si="35"/>
        <v>0</v>
      </c>
      <c r="T65" s="82" t="str">
        <f t="shared" si="5"/>
        <v/>
      </c>
      <c r="U65" s="50"/>
      <c r="V65" s="85">
        <f t="shared" si="36"/>
        <v>0</v>
      </c>
      <c r="W65" s="82" t="str">
        <f t="shared" si="6"/>
        <v/>
      </c>
      <c r="X65" s="50"/>
      <c r="Y65" s="85">
        <f t="shared" si="37"/>
        <v>0</v>
      </c>
      <c r="Z65" s="82" t="str">
        <f t="shared" si="7"/>
        <v/>
      </c>
      <c r="AA65" s="50"/>
      <c r="AB65" s="85">
        <f t="shared" si="38"/>
        <v>0</v>
      </c>
      <c r="AC65" s="82" t="str">
        <f t="shared" si="8"/>
        <v/>
      </c>
      <c r="AD65" s="50"/>
      <c r="AE65" s="85">
        <f t="shared" si="39"/>
        <v>0</v>
      </c>
      <c r="AF65" s="82" t="str">
        <f t="shared" si="9"/>
        <v/>
      </c>
      <c r="AG65" s="50"/>
      <c r="AH65" s="85">
        <f t="shared" si="40"/>
        <v>0</v>
      </c>
      <c r="AI65" s="82" t="str">
        <f t="shared" si="10"/>
        <v/>
      </c>
      <c r="AJ65" s="50"/>
      <c r="AK65" s="85">
        <f t="shared" si="41"/>
        <v>0</v>
      </c>
      <c r="AL65" s="82" t="str">
        <f t="shared" si="11"/>
        <v/>
      </c>
      <c r="AM65" s="50"/>
      <c r="AN65" s="85">
        <f t="shared" si="42"/>
        <v>0</v>
      </c>
      <c r="AO65" s="82" t="str">
        <f t="shared" si="12"/>
        <v/>
      </c>
      <c r="AP65" s="48">
        <f t="shared" si="0"/>
        <v>25</v>
      </c>
      <c r="AQ65" s="85">
        <f t="shared" si="43"/>
        <v>7473</v>
      </c>
      <c r="AR65" s="82">
        <f t="shared" si="13"/>
        <v>1.6666666666666667</v>
      </c>
      <c r="AS65" s="48">
        <f t="shared" si="1"/>
        <v>-10</v>
      </c>
      <c r="AT65" s="85">
        <f t="shared" si="44"/>
        <v>-2989.2000000000003</v>
      </c>
      <c r="AU65" s="82">
        <f t="shared" si="14"/>
        <v>-0.66666666666666663</v>
      </c>
    </row>
    <row r="66" spans="1:47" ht="60">
      <c r="A66" s="16"/>
      <c r="B66" s="97" t="s">
        <v>659</v>
      </c>
      <c r="C66" s="167" t="s">
        <v>660</v>
      </c>
      <c r="D66" s="86" t="s">
        <v>661</v>
      </c>
      <c r="E66" s="97" t="s">
        <v>28</v>
      </c>
      <c r="F66" s="141">
        <v>3534.72</v>
      </c>
      <c r="G66" s="97">
        <v>1</v>
      </c>
      <c r="H66" s="85">
        <f t="shared" si="31"/>
        <v>3534.72</v>
      </c>
      <c r="I66" s="50">
        <f t="shared" si="30"/>
        <v>1</v>
      </c>
      <c r="J66" s="85">
        <f t="shared" si="32"/>
        <v>3534.72</v>
      </c>
      <c r="K66" s="82">
        <f t="shared" si="2"/>
        <v>1</v>
      </c>
      <c r="L66" s="50"/>
      <c r="M66" s="85">
        <f t="shared" si="33"/>
        <v>0</v>
      </c>
      <c r="N66" s="82" t="str">
        <f t="shared" si="3"/>
        <v/>
      </c>
      <c r="O66" s="50">
        <v>1</v>
      </c>
      <c r="P66" s="85">
        <f t="shared" si="34"/>
        <v>3534.72</v>
      </c>
      <c r="Q66" s="82">
        <f t="shared" si="4"/>
        <v>1</v>
      </c>
      <c r="R66" s="50"/>
      <c r="S66" s="85">
        <f t="shared" si="35"/>
        <v>0</v>
      </c>
      <c r="T66" s="82" t="str">
        <f t="shared" si="5"/>
        <v/>
      </c>
      <c r="U66" s="50"/>
      <c r="V66" s="85">
        <f t="shared" si="36"/>
        <v>0</v>
      </c>
      <c r="W66" s="82" t="str">
        <f t="shared" si="6"/>
        <v/>
      </c>
      <c r="X66" s="50"/>
      <c r="Y66" s="85">
        <f t="shared" si="37"/>
        <v>0</v>
      </c>
      <c r="Z66" s="82" t="str">
        <f t="shared" si="7"/>
        <v/>
      </c>
      <c r="AA66" s="50"/>
      <c r="AB66" s="85">
        <f t="shared" si="38"/>
        <v>0</v>
      </c>
      <c r="AC66" s="82" t="str">
        <f t="shared" si="8"/>
        <v/>
      </c>
      <c r="AD66" s="50"/>
      <c r="AE66" s="85">
        <f t="shared" si="39"/>
        <v>0</v>
      </c>
      <c r="AF66" s="82" t="str">
        <f t="shared" si="9"/>
        <v/>
      </c>
      <c r="AG66" s="50"/>
      <c r="AH66" s="85">
        <f t="shared" si="40"/>
        <v>0</v>
      </c>
      <c r="AI66" s="82" t="str">
        <f t="shared" si="10"/>
        <v/>
      </c>
      <c r="AJ66" s="50"/>
      <c r="AK66" s="85">
        <f t="shared" si="41"/>
        <v>0</v>
      </c>
      <c r="AL66" s="82" t="str">
        <f t="shared" si="11"/>
        <v/>
      </c>
      <c r="AM66" s="50"/>
      <c r="AN66" s="85">
        <f t="shared" si="42"/>
        <v>0</v>
      </c>
      <c r="AO66" s="82" t="str">
        <f t="shared" si="12"/>
        <v/>
      </c>
      <c r="AP66" s="48">
        <f t="shared" si="0"/>
        <v>1</v>
      </c>
      <c r="AQ66" s="85">
        <f t="shared" si="43"/>
        <v>3534.72</v>
      </c>
      <c r="AR66" s="82">
        <f t="shared" si="13"/>
        <v>1</v>
      </c>
      <c r="AS66" s="48">
        <f t="shared" si="1"/>
        <v>0</v>
      </c>
      <c r="AT66" s="85">
        <f t="shared" si="44"/>
        <v>0</v>
      </c>
      <c r="AU66" s="82" t="str">
        <f t="shared" si="14"/>
        <v/>
      </c>
    </row>
    <row r="67" spans="1:47" ht="90">
      <c r="A67" s="16"/>
      <c r="B67" s="97" t="s">
        <v>662</v>
      </c>
      <c r="C67" s="167" t="s">
        <v>663</v>
      </c>
      <c r="D67" s="86" t="s">
        <v>664</v>
      </c>
      <c r="E67" s="97" t="s">
        <v>12</v>
      </c>
      <c r="F67" s="141">
        <v>193.82</v>
      </c>
      <c r="G67" s="97">
        <v>12</v>
      </c>
      <c r="H67" s="85">
        <f t="shared" si="31"/>
        <v>2325.84</v>
      </c>
      <c r="I67" s="50">
        <f t="shared" si="30"/>
        <v>0</v>
      </c>
      <c r="J67" s="85">
        <f t="shared" si="32"/>
        <v>0</v>
      </c>
      <c r="K67" s="82" t="str">
        <f t="shared" si="2"/>
        <v/>
      </c>
      <c r="L67" s="50"/>
      <c r="M67" s="85">
        <f t="shared" si="33"/>
        <v>0</v>
      </c>
      <c r="N67" s="82" t="str">
        <f t="shared" si="3"/>
        <v/>
      </c>
      <c r="O67" s="50"/>
      <c r="P67" s="85">
        <f t="shared" si="34"/>
        <v>0</v>
      </c>
      <c r="Q67" s="82" t="str">
        <f t="shared" si="4"/>
        <v/>
      </c>
      <c r="R67" s="50"/>
      <c r="S67" s="85">
        <f t="shared" si="35"/>
        <v>0</v>
      </c>
      <c r="T67" s="82" t="str">
        <f t="shared" si="5"/>
        <v/>
      </c>
      <c r="U67" s="50"/>
      <c r="V67" s="85">
        <f t="shared" si="36"/>
        <v>0</v>
      </c>
      <c r="W67" s="82" t="str">
        <f t="shared" si="6"/>
        <v/>
      </c>
      <c r="X67" s="50"/>
      <c r="Y67" s="85">
        <f t="shared" si="37"/>
        <v>0</v>
      </c>
      <c r="Z67" s="82" t="str">
        <f t="shared" si="7"/>
        <v/>
      </c>
      <c r="AA67" s="50"/>
      <c r="AB67" s="85">
        <f t="shared" si="38"/>
        <v>0</v>
      </c>
      <c r="AC67" s="82" t="str">
        <f t="shared" si="8"/>
        <v/>
      </c>
      <c r="AD67" s="50"/>
      <c r="AE67" s="85">
        <f t="shared" si="39"/>
        <v>0</v>
      </c>
      <c r="AF67" s="82" t="str">
        <f t="shared" si="9"/>
        <v/>
      </c>
      <c r="AG67" s="50"/>
      <c r="AH67" s="85">
        <f t="shared" si="40"/>
        <v>0</v>
      </c>
      <c r="AI67" s="82" t="str">
        <f t="shared" si="10"/>
        <v/>
      </c>
      <c r="AJ67" s="50"/>
      <c r="AK67" s="85">
        <f t="shared" si="41"/>
        <v>0</v>
      </c>
      <c r="AL67" s="82" t="str">
        <f t="shared" si="11"/>
        <v/>
      </c>
      <c r="AM67" s="50"/>
      <c r="AN67" s="85">
        <f t="shared" si="42"/>
        <v>0</v>
      </c>
      <c r="AO67" s="82" t="str">
        <f t="shared" si="12"/>
        <v/>
      </c>
      <c r="AP67" s="48">
        <f t="shared" si="0"/>
        <v>0</v>
      </c>
      <c r="AQ67" s="85">
        <f t="shared" si="43"/>
        <v>0</v>
      </c>
      <c r="AR67" s="82" t="str">
        <f t="shared" si="13"/>
        <v/>
      </c>
      <c r="AS67" s="48">
        <f t="shared" si="1"/>
        <v>12</v>
      </c>
      <c r="AT67" s="85">
        <f t="shared" si="44"/>
        <v>2325.84</v>
      </c>
      <c r="AU67" s="82">
        <f t="shared" si="14"/>
        <v>1</v>
      </c>
    </row>
    <row r="68" spans="1:47" ht="105">
      <c r="A68" s="16"/>
      <c r="B68" s="97" t="s">
        <v>665</v>
      </c>
      <c r="C68" s="167" t="s">
        <v>666</v>
      </c>
      <c r="D68" s="86" t="s">
        <v>667</v>
      </c>
      <c r="E68" s="97" t="s">
        <v>12</v>
      </c>
      <c r="F68" s="141">
        <v>260.60000000000002</v>
      </c>
      <c r="G68" s="97">
        <v>6</v>
      </c>
      <c r="H68" s="85">
        <f t="shared" si="31"/>
        <v>1563.6000000000001</v>
      </c>
      <c r="I68" s="50">
        <f t="shared" si="30"/>
        <v>0</v>
      </c>
      <c r="J68" s="85">
        <f t="shared" si="32"/>
        <v>0</v>
      </c>
      <c r="K68" s="82" t="str">
        <f t="shared" si="2"/>
        <v/>
      </c>
      <c r="L68" s="50"/>
      <c r="M68" s="85">
        <f t="shared" si="33"/>
        <v>0</v>
      </c>
      <c r="N68" s="82" t="str">
        <f t="shared" si="3"/>
        <v/>
      </c>
      <c r="O68" s="50"/>
      <c r="P68" s="85">
        <f t="shared" si="34"/>
        <v>0</v>
      </c>
      <c r="Q68" s="82" t="str">
        <f t="shared" si="4"/>
        <v/>
      </c>
      <c r="R68" s="50"/>
      <c r="S68" s="85">
        <f t="shared" si="35"/>
        <v>0</v>
      </c>
      <c r="T68" s="82" t="str">
        <f t="shared" si="5"/>
        <v/>
      </c>
      <c r="U68" s="50"/>
      <c r="V68" s="85">
        <f t="shared" si="36"/>
        <v>0</v>
      </c>
      <c r="W68" s="82" t="str">
        <f t="shared" si="6"/>
        <v/>
      </c>
      <c r="X68" s="50"/>
      <c r="Y68" s="85">
        <f t="shared" si="37"/>
        <v>0</v>
      </c>
      <c r="Z68" s="82" t="str">
        <f t="shared" si="7"/>
        <v/>
      </c>
      <c r="AA68" s="50"/>
      <c r="AB68" s="85">
        <f t="shared" si="38"/>
        <v>0</v>
      </c>
      <c r="AC68" s="82" t="str">
        <f t="shared" si="8"/>
        <v/>
      </c>
      <c r="AD68" s="50"/>
      <c r="AE68" s="85">
        <f t="shared" si="39"/>
        <v>0</v>
      </c>
      <c r="AF68" s="82" t="str">
        <f t="shared" si="9"/>
        <v/>
      </c>
      <c r="AG68" s="50"/>
      <c r="AH68" s="85">
        <f t="shared" si="40"/>
        <v>0</v>
      </c>
      <c r="AI68" s="82" t="str">
        <f t="shared" si="10"/>
        <v/>
      </c>
      <c r="AJ68" s="50"/>
      <c r="AK68" s="85">
        <f t="shared" si="41"/>
        <v>0</v>
      </c>
      <c r="AL68" s="82" t="str">
        <f t="shared" si="11"/>
        <v/>
      </c>
      <c r="AM68" s="50"/>
      <c r="AN68" s="85">
        <f t="shared" si="42"/>
        <v>0</v>
      </c>
      <c r="AO68" s="82" t="str">
        <f t="shared" si="12"/>
        <v/>
      </c>
      <c r="AP68" s="48">
        <f t="shared" si="0"/>
        <v>0</v>
      </c>
      <c r="AQ68" s="85">
        <f t="shared" si="43"/>
        <v>0</v>
      </c>
      <c r="AR68" s="82" t="str">
        <f t="shared" si="13"/>
        <v/>
      </c>
      <c r="AS68" s="48">
        <f t="shared" si="1"/>
        <v>6</v>
      </c>
      <c r="AT68" s="85">
        <f t="shared" si="44"/>
        <v>1563.6000000000001</v>
      </c>
      <c r="AU68" s="82">
        <f t="shared" si="14"/>
        <v>1</v>
      </c>
    </row>
    <row r="69" spans="1:47" ht="105">
      <c r="A69" s="16"/>
      <c r="B69" s="97" t="s">
        <v>668</v>
      </c>
      <c r="C69" s="167" t="s">
        <v>669</v>
      </c>
      <c r="D69" s="86" t="s">
        <v>670</v>
      </c>
      <c r="E69" s="97" t="s">
        <v>12</v>
      </c>
      <c r="F69" s="141">
        <v>538.04999999999995</v>
      </c>
      <c r="G69" s="97">
        <v>10.9</v>
      </c>
      <c r="H69" s="85">
        <f t="shared" si="31"/>
        <v>5864.7449999999999</v>
      </c>
      <c r="I69" s="50">
        <f t="shared" si="30"/>
        <v>10.9</v>
      </c>
      <c r="J69" s="85">
        <f t="shared" si="32"/>
        <v>5864.7449999999999</v>
      </c>
      <c r="K69" s="82">
        <f t="shared" si="2"/>
        <v>1</v>
      </c>
      <c r="L69" s="50"/>
      <c r="M69" s="85">
        <f t="shared" si="33"/>
        <v>0</v>
      </c>
      <c r="N69" s="82" t="str">
        <f t="shared" si="3"/>
        <v/>
      </c>
      <c r="O69" s="50">
        <v>10.9</v>
      </c>
      <c r="P69" s="85">
        <f t="shared" si="34"/>
        <v>5864.7449999999999</v>
      </c>
      <c r="Q69" s="82">
        <f t="shared" si="4"/>
        <v>1</v>
      </c>
      <c r="R69" s="50"/>
      <c r="S69" s="85">
        <f t="shared" si="35"/>
        <v>0</v>
      </c>
      <c r="T69" s="82" t="str">
        <f t="shared" si="5"/>
        <v/>
      </c>
      <c r="U69" s="50"/>
      <c r="V69" s="85">
        <f t="shared" si="36"/>
        <v>0</v>
      </c>
      <c r="W69" s="82" t="str">
        <f t="shared" si="6"/>
        <v/>
      </c>
      <c r="X69" s="50"/>
      <c r="Y69" s="85">
        <f t="shared" si="37"/>
        <v>0</v>
      </c>
      <c r="Z69" s="82" t="str">
        <f t="shared" si="7"/>
        <v/>
      </c>
      <c r="AA69" s="50"/>
      <c r="AB69" s="85">
        <f t="shared" si="38"/>
        <v>0</v>
      </c>
      <c r="AC69" s="82" t="str">
        <f t="shared" si="8"/>
        <v/>
      </c>
      <c r="AD69" s="50"/>
      <c r="AE69" s="85">
        <f t="shared" si="39"/>
        <v>0</v>
      </c>
      <c r="AF69" s="82" t="str">
        <f t="shared" si="9"/>
        <v/>
      </c>
      <c r="AG69" s="50"/>
      <c r="AH69" s="85">
        <f t="shared" si="40"/>
        <v>0</v>
      </c>
      <c r="AI69" s="82" t="str">
        <f t="shared" si="10"/>
        <v/>
      </c>
      <c r="AJ69" s="50"/>
      <c r="AK69" s="85">
        <f t="shared" si="41"/>
        <v>0</v>
      </c>
      <c r="AL69" s="82" t="str">
        <f t="shared" si="11"/>
        <v/>
      </c>
      <c r="AM69" s="50"/>
      <c r="AN69" s="85">
        <f t="shared" si="42"/>
        <v>0</v>
      </c>
      <c r="AO69" s="82" t="str">
        <f t="shared" si="12"/>
        <v/>
      </c>
      <c r="AP69" s="48">
        <f t="shared" si="0"/>
        <v>10.9</v>
      </c>
      <c r="AQ69" s="85">
        <f t="shared" si="43"/>
        <v>5864.7449999999999</v>
      </c>
      <c r="AR69" s="82">
        <f t="shared" si="13"/>
        <v>1</v>
      </c>
      <c r="AS69" s="48">
        <f t="shared" si="1"/>
        <v>0</v>
      </c>
      <c r="AT69" s="85">
        <f t="shared" si="44"/>
        <v>0</v>
      </c>
      <c r="AU69" s="82" t="str">
        <f t="shared" si="14"/>
        <v/>
      </c>
    </row>
    <row r="70" spans="1:47" s="104" customFormat="1" ht="15" customHeight="1">
      <c r="A70" s="94"/>
      <c r="B70" s="171" t="s">
        <v>2115</v>
      </c>
      <c r="C70" s="1932" t="s">
        <v>671</v>
      </c>
      <c r="D70" s="1932"/>
      <c r="E70" s="1932"/>
      <c r="F70" s="1932"/>
      <c r="G70" s="1933"/>
      <c r="H70" s="106">
        <f>H71+H72+H73</f>
        <v>60229.624499999998</v>
      </c>
      <c r="I70" s="101"/>
      <c r="J70" s="106">
        <f>J71+J72+J73</f>
        <v>1034.1600000000001</v>
      </c>
      <c r="K70" s="102">
        <f>J70/$H70</f>
        <v>1.7170288019975954E-2</v>
      </c>
      <c r="L70" s="101"/>
      <c r="M70" s="106">
        <f>M71+M72+M73</f>
        <v>366.96</v>
      </c>
      <c r="N70" s="102">
        <f>M70/$H70</f>
        <v>6.0926828457979181E-3</v>
      </c>
      <c r="O70" s="101"/>
      <c r="P70" s="106">
        <f>P71+P72+P73</f>
        <v>667.2</v>
      </c>
      <c r="Q70" s="102">
        <f>P70/$H70</f>
        <v>1.1077605174178034E-2</v>
      </c>
      <c r="R70" s="101"/>
      <c r="S70" s="106">
        <f>S71+S72+S73</f>
        <v>11212.898999999999</v>
      </c>
      <c r="T70" s="102">
        <f>S70/$H70</f>
        <v>0.18616916663659425</v>
      </c>
      <c r="U70" s="101"/>
      <c r="V70" s="106">
        <f>V71+V72+V73</f>
        <v>0</v>
      </c>
      <c r="W70" s="102">
        <f>V70/$H70</f>
        <v>0</v>
      </c>
      <c r="X70" s="101"/>
      <c r="Y70" s="106">
        <f>Y71+Y72+Y73</f>
        <v>0</v>
      </c>
      <c r="Z70" s="102">
        <f>Y70/$H70</f>
        <v>0</v>
      </c>
      <c r="AA70" s="101"/>
      <c r="AB70" s="106">
        <f>AB71+AB72+AB73</f>
        <v>0</v>
      </c>
      <c r="AC70" s="102">
        <f>AB70/$H70</f>
        <v>0</v>
      </c>
      <c r="AD70" s="101"/>
      <c r="AE70" s="106">
        <f>AE71+AE72+AE73</f>
        <v>0</v>
      </c>
      <c r="AF70" s="102">
        <f>AE70/$H70</f>
        <v>0</v>
      </c>
      <c r="AG70" s="101"/>
      <c r="AH70" s="106">
        <f>AH71+AH72+AH73</f>
        <v>0</v>
      </c>
      <c r="AI70" s="102">
        <f>AH70/$H70</f>
        <v>0</v>
      </c>
      <c r="AJ70" s="101"/>
      <c r="AK70" s="106">
        <f>AK71+AK72+AK73</f>
        <v>0</v>
      </c>
      <c r="AL70" s="102">
        <f>AK70/$H70</f>
        <v>0</v>
      </c>
      <c r="AM70" s="101"/>
      <c r="AN70" s="106">
        <f>AN71+AN72+AN73</f>
        <v>0</v>
      </c>
      <c r="AO70" s="102">
        <f>AN70/$H70</f>
        <v>0</v>
      </c>
      <c r="AP70" s="103">
        <f t="shared" si="0"/>
        <v>0</v>
      </c>
      <c r="AQ70" s="106">
        <f>AQ71+AQ72+AQ73</f>
        <v>12247.058999999999</v>
      </c>
      <c r="AR70" s="102">
        <f>AQ70/$H70</f>
        <v>0.20333945465657019</v>
      </c>
      <c r="AS70" s="103">
        <f t="shared" si="1"/>
        <v>0</v>
      </c>
      <c r="AT70" s="106">
        <f>AT71+AT72+AT73</f>
        <v>47982.565499999997</v>
      </c>
      <c r="AU70" s="102">
        <f>AT70/$H70</f>
        <v>0.79666054534342978</v>
      </c>
    </row>
    <row r="71" spans="1:47" ht="30">
      <c r="A71" s="16"/>
      <c r="B71" s="97" t="s">
        <v>672</v>
      </c>
      <c r="C71" s="167" t="s">
        <v>673</v>
      </c>
      <c r="D71" s="86" t="s">
        <v>674</v>
      </c>
      <c r="E71" s="97" t="s">
        <v>44</v>
      </c>
      <c r="F71" s="141">
        <v>16.68</v>
      </c>
      <c r="G71" s="97">
        <v>288</v>
      </c>
      <c r="H71" s="85">
        <f t="shared" si="31"/>
        <v>4803.84</v>
      </c>
      <c r="I71" s="50">
        <f t="shared" si="30"/>
        <v>62</v>
      </c>
      <c r="J71" s="85">
        <f>I71*$F71</f>
        <v>1034.1600000000001</v>
      </c>
      <c r="K71" s="82">
        <f t="shared" si="2"/>
        <v>0.21527777777777779</v>
      </c>
      <c r="L71" s="50">
        <v>22</v>
      </c>
      <c r="M71" s="85">
        <f>L71*$F71</f>
        <v>366.96</v>
      </c>
      <c r="N71" s="82">
        <f t="shared" si="3"/>
        <v>7.6388888888888895E-2</v>
      </c>
      <c r="O71" s="50">
        <v>40</v>
      </c>
      <c r="P71" s="85">
        <f>O71*$F71</f>
        <v>667.2</v>
      </c>
      <c r="Q71" s="82">
        <f t="shared" si="4"/>
        <v>0.1388888888888889</v>
      </c>
      <c r="R71" s="50">
        <v>120</v>
      </c>
      <c r="S71" s="85">
        <f>R71*$F71</f>
        <v>2001.6</v>
      </c>
      <c r="T71" s="82">
        <f t="shared" si="5"/>
        <v>0.41666666666666669</v>
      </c>
      <c r="U71" s="50"/>
      <c r="V71" s="85">
        <f>U71*$F71</f>
        <v>0</v>
      </c>
      <c r="W71" s="82" t="str">
        <f t="shared" si="6"/>
        <v/>
      </c>
      <c r="X71" s="50"/>
      <c r="Y71" s="85">
        <f>X71*$F71</f>
        <v>0</v>
      </c>
      <c r="Z71" s="82" t="str">
        <f t="shared" si="7"/>
        <v/>
      </c>
      <c r="AA71" s="50"/>
      <c r="AB71" s="85">
        <f>AA71*$F71</f>
        <v>0</v>
      </c>
      <c r="AC71" s="82" t="str">
        <f t="shared" si="8"/>
        <v/>
      </c>
      <c r="AD71" s="50"/>
      <c r="AE71" s="85">
        <f>AD71*$F71</f>
        <v>0</v>
      </c>
      <c r="AF71" s="82" t="str">
        <f t="shared" si="9"/>
        <v/>
      </c>
      <c r="AG71" s="50"/>
      <c r="AH71" s="85">
        <f>AG71*$F71</f>
        <v>0</v>
      </c>
      <c r="AI71" s="82" t="str">
        <f t="shared" si="10"/>
        <v/>
      </c>
      <c r="AJ71" s="50"/>
      <c r="AK71" s="85">
        <f>AJ71*$F71</f>
        <v>0</v>
      </c>
      <c r="AL71" s="82" t="str">
        <f t="shared" si="11"/>
        <v/>
      </c>
      <c r="AM71" s="50"/>
      <c r="AN71" s="85">
        <f>AM71*$F71</f>
        <v>0</v>
      </c>
      <c r="AO71" s="82" t="str">
        <f t="shared" si="12"/>
        <v/>
      </c>
      <c r="AP71" s="48">
        <f t="shared" si="0"/>
        <v>182</v>
      </c>
      <c r="AQ71" s="85">
        <f>AP71*$F71</f>
        <v>3035.7599999999998</v>
      </c>
      <c r="AR71" s="82">
        <f t="shared" si="13"/>
        <v>0.63194444444444442</v>
      </c>
      <c r="AS71" s="48">
        <f t="shared" si="1"/>
        <v>106</v>
      </c>
      <c r="AT71" s="85">
        <f>AS71*$F71</f>
        <v>1768.08</v>
      </c>
      <c r="AU71" s="82">
        <f t="shared" si="14"/>
        <v>0.36805555555555558</v>
      </c>
    </row>
    <row r="72" spans="1:47" ht="60">
      <c r="A72" s="16"/>
      <c r="B72" s="97" t="s">
        <v>675</v>
      </c>
      <c r="C72" s="167" t="s">
        <v>66</v>
      </c>
      <c r="D72" s="86" t="s">
        <v>67</v>
      </c>
      <c r="E72" s="97" t="s">
        <v>12</v>
      </c>
      <c r="F72" s="141">
        <v>26.58</v>
      </c>
      <c r="G72" s="143">
        <v>1039.6500000000001</v>
      </c>
      <c r="H72" s="85">
        <f t="shared" si="31"/>
        <v>27633.897000000001</v>
      </c>
      <c r="I72" s="50">
        <f t="shared" si="30"/>
        <v>0</v>
      </c>
      <c r="J72" s="85">
        <f>I72*$F72</f>
        <v>0</v>
      </c>
      <c r="K72" s="82" t="str">
        <f t="shared" si="2"/>
        <v/>
      </c>
      <c r="L72" s="50"/>
      <c r="M72" s="85">
        <f>L72*$F72</f>
        <v>0</v>
      </c>
      <c r="N72" s="82" t="str">
        <f t="shared" si="3"/>
        <v/>
      </c>
      <c r="O72" s="50"/>
      <c r="P72" s="85">
        <f>O72*$F72</f>
        <v>0</v>
      </c>
      <c r="Q72" s="82" t="str">
        <f t="shared" si="4"/>
        <v/>
      </c>
      <c r="R72" s="50">
        <v>346.55</v>
      </c>
      <c r="S72" s="85">
        <f>R72*$F72</f>
        <v>9211.2989999999991</v>
      </c>
      <c r="T72" s="82">
        <f t="shared" si="5"/>
        <v>0.33333333333333331</v>
      </c>
      <c r="U72" s="50"/>
      <c r="V72" s="85">
        <f>U72*$F72</f>
        <v>0</v>
      </c>
      <c r="W72" s="82" t="str">
        <f t="shared" si="6"/>
        <v/>
      </c>
      <c r="X72" s="50"/>
      <c r="Y72" s="85">
        <f>X72*$F72</f>
        <v>0</v>
      </c>
      <c r="Z72" s="82" t="str">
        <f t="shared" si="7"/>
        <v/>
      </c>
      <c r="AA72" s="50"/>
      <c r="AB72" s="85">
        <f>AA72*$F72</f>
        <v>0</v>
      </c>
      <c r="AC72" s="82" t="str">
        <f t="shared" si="8"/>
        <v/>
      </c>
      <c r="AD72" s="50"/>
      <c r="AE72" s="85">
        <f>AD72*$F72</f>
        <v>0</v>
      </c>
      <c r="AF72" s="82" t="str">
        <f t="shared" si="9"/>
        <v/>
      </c>
      <c r="AG72" s="50"/>
      <c r="AH72" s="85">
        <f>AG72*$F72</f>
        <v>0</v>
      </c>
      <c r="AI72" s="82" t="str">
        <f t="shared" si="10"/>
        <v/>
      </c>
      <c r="AJ72" s="50"/>
      <c r="AK72" s="85">
        <f>AJ72*$F72</f>
        <v>0</v>
      </c>
      <c r="AL72" s="82" t="str">
        <f t="shared" si="11"/>
        <v/>
      </c>
      <c r="AM72" s="50"/>
      <c r="AN72" s="85">
        <f>AM72*$F72</f>
        <v>0</v>
      </c>
      <c r="AO72" s="82" t="str">
        <f t="shared" si="12"/>
        <v/>
      </c>
      <c r="AP72" s="48">
        <f t="shared" si="0"/>
        <v>346.55</v>
      </c>
      <c r="AQ72" s="85">
        <f>AP72*$F72</f>
        <v>9211.2989999999991</v>
      </c>
      <c r="AR72" s="82">
        <f t="shared" si="13"/>
        <v>0.33333333333333331</v>
      </c>
      <c r="AS72" s="48">
        <f t="shared" si="1"/>
        <v>693.10000000000014</v>
      </c>
      <c r="AT72" s="85">
        <f>AS72*$F72</f>
        <v>18422.598000000002</v>
      </c>
      <c r="AU72" s="82">
        <f t="shared" si="14"/>
        <v>0.66666666666666674</v>
      </c>
    </row>
    <row r="73" spans="1:47" ht="90">
      <c r="A73" s="16"/>
      <c r="B73" s="97" t="s">
        <v>676</v>
      </c>
      <c r="C73" s="167" t="s">
        <v>69</v>
      </c>
      <c r="D73" s="86" t="s">
        <v>70</v>
      </c>
      <c r="E73" s="97" t="s">
        <v>12</v>
      </c>
      <c r="F73" s="141">
        <v>30.65</v>
      </c>
      <c r="G73" s="97">
        <v>906.75</v>
      </c>
      <c r="H73" s="85">
        <f t="shared" si="31"/>
        <v>27791.887499999997</v>
      </c>
      <c r="I73" s="50">
        <f t="shared" si="30"/>
        <v>0</v>
      </c>
      <c r="J73" s="85">
        <f>I73*$F73</f>
        <v>0</v>
      </c>
      <c r="K73" s="82" t="str">
        <f t="shared" si="2"/>
        <v/>
      </c>
      <c r="L73" s="50"/>
      <c r="M73" s="85">
        <f>L73*$F73</f>
        <v>0</v>
      </c>
      <c r="N73" s="82" t="str">
        <f t="shared" si="3"/>
        <v/>
      </c>
      <c r="O73" s="50"/>
      <c r="P73" s="85">
        <f>O73*$F73</f>
        <v>0</v>
      </c>
      <c r="Q73" s="82" t="str">
        <f t="shared" si="4"/>
        <v/>
      </c>
      <c r="R73" s="50"/>
      <c r="S73" s="85">
        <f>R73*$F73</f>
        <v>0</v>
      </c>
      <c r="T73" s="82" t="str">
        <f t="shared" si="5"/>
        <v/>
      </c>
      <c r="U73" s="50"/>
      <c r="V73" s="85">
        <f>U73*$F73</f>
        <v>0</v>
      </c>
      <c r="W73" s="82" t="str">
        <f t="shared" si="6"/>
        <v/>
      </c>
      <c r="X73" s="50"/>
      <c r="Y73" s="85">
        <f>X73*$F73</f>
        <v>0</v>
      </c>
      <c r="Z73" s="82" t="str">
        <f t="shared" si="7"/>
        <v/>
      </c>
      <c r="AA73" s="50"/>
      <c r="AB73" s="85">
        <f>AA73*$F73</f>
        <v>0</v>
      </c>
      <c r="AC73" s="82" t="str">
        <f t="shared" si="8"/>
        <v/>
      </c>
      <c r="AD73" s="50"/>
      <c r="AE73" s="85">
        <f>AD73*$F73</f>
        <v>0</v>
      </c>
      <c r="AF73" s="82" t="str">
        <f t="shared" si="9"/>
        <v/>
      </c>
      <c r="AG73" s="50"/>
      <c r="AH73" s="85">
        <f>AG73*$F73</f>
        <v>0</v>
      </c>
      <c r="AI73" s="82" t="str">
        <f t="shared" si="10"/>
        <v/>
      </c>
      <c r="AJ73" s="50"/>
      <c r="AK73" s="85">
        <f>AJ73*$F73</f>
        <v>0</v>
      </c>
      <c r="AL73" s="82" t="str">
        <f t="shared" si="11"/>
        <v/>
      </c>
      <c r="AM73" s="50"/>
      <c r="AN73" s="85">
        <f>AM73*$F73</f>
        <v>0</v>
      </c>
      <c r="AO73" s="82" t="str">
        <f t="shared" si="12"/>
        <v/>
      </c>
      <c r="AP73" s="48">
        <f t="shared" ref="AP73:AP136" si="45">AM73+AJ73+AG73+AD73+AA73+X73+U73+R73+O73+L73</f>
        <v>0</v>
      </c>
      <c r="AQ73" s="85">
        <f>AP73*$F73</f>
        <v>0</v>
      </c>
      <c r="AR73" s="82" t="str">
        <f t="shared" si="13"/>
        <v/>
      </c>
      <c r="AS73" s="48">
        <f t="shared" ref="AS73:AS136" si="46">G73-AP73</f>
        <v>906.75</v>
      </c>
      <c r="AT73" s="85">
        <f>AS73*$F73</f>
        <v>27791.887499999997</v>
      </c>
      <c r="AU73" s="82">
        <f t="shared" si="14"/>
        <v>1</v>
      </c>
    </row>
    <row r="74" spans="1:47" s="104" customFormat="1" ht="15" customHeight="1">
      <c r="A74" s="94"/>
      <c r="B74" s="171" t="s">
        <v>2116</v>
      </c>
      <c r="C74" s="1932" t="s">
        <v>677</v>
      </c>
      <c r="D74" s="1932"/>
      <c r="E74" s="1932"/>
      <c r="F74" s="1932"/>
      <c r="G74" s="1933"/>
      <c r="H74" s="106">
        <f>H75+H76</f>
        <v>1781.1999999999998</v>
      </c>
      <c r="I74" s="101"/>
      <c r="J74" s="106">
        <f>J75+J76</f>
        <v>89.84</v>
      </c>
      <c r="K74" s="102">
        <f>J74/$H74</f>
        <v>5.0437907028969241E-2</v>
      </c>
      <c r="L74" s="101"/>
      <c r="M74" s="106">
        <f>M75+M76</f>
        <v>89.84</v>
      </c>
      <c r="N74" s="102">
        <f>M74/$H74</f>
        <v>5.0437907028969241E-2</v>
      </c>
      <c r="O74" s="101"/>
      <c r="P74" s="106">
        <f>P75+P76</f>
        <v>0</v>
      </c>
      <c r="Q74" s="102">
        <f>P74/$H74</f>
        <v>0</v>
      </c>
      <c r="R74" s="101"/>
      <c r="S74" s="106">
        <f>S75+S76</f>
        <v>1691.36</v>
      </c>
      <c r="T74" s="102">
        <f>S74/$H74</f>
        <v>0.94956209297103078</v>
      </c>
      <c r="U74" s="101"/>
      <c r="V74" s="106">
        <f>V75+V76</f>
        <v>0</v>
      </c>
      <c r="W74" s="102">
        <f>V74/$H74</f>
        <v>0</v>
      </c>
      <c r="X74" s="101"/>
      <c r="Y74" s="106">
        <f>Y75+Y76</f>
        <v>0</v>
      </c>
      <c r="Z74" s="102">
        <f>Y74/$H74</f>
        <v>0</v>
      </c>
      <c r="AA74" s="101"/>
      <c r="AB74" s="106">
        <f>AB75+AB76</f>
        <v>0</v>
      </c>
      <c r="AC74" s="102">
        <f>AB74/$H74</f>
        <v>0</v>
      </c>
      <c r="AD74" s="101"/>
      <c r="AE74" s="106">
        <f>AE75+AE76</f>
        <v>0</v>
      </c>
      <c r="AF74" s="102">
        <f>AE74/$H74</f>
        <v>0</v>
      </c>
      <c r="AG74" s="101"/>
      <c r="AH74" s="106">
        <f>AH75+AH76</f>
        <v>0</v>
      </c>
      <c r="AI74" s="102">
        <f>AH74/$H74</f>
        <v>0</v>
      </c>
      <c r="AJ74" s="101"/>
      <c r="AK74" s="106">
        <f>AK75+AK76</f>
        <v>0</v>
      </c>
      <c r="AL74" s="102">
        <f>AK74/$H74</f>
        <v>0</v>
      </c>
      <c r="AM74" s="101"/>
      <c r="AN74" s="106">
        <f>AN75+AN76</f>
        <v>0</v>
      </c>
      <c r="AO74" s="102">
        <f>AN74/$H74</f>
        <v>0</v>
      </c>
      <c r="AP74" s="103">
        <f t="shared" si="45"/>
        <v>0</v>
      </c>
      <c r="AQ74" s="106">
        <f>AQ75+AQ76</f>
        <v>1781.1999999999998</v>
      </c>
      <c r="AR74" s="102">
        <f>AQ74/$H74</f>
        <v>1</v>
      </c>
      <c r="AS74" s="103">
        <f t="shared" si="46"/>
        <v>0</v>
      </c>
      <c r="AT74" s="106">
        <f>AT75+AT76</f>
        <v>0</v>
      </c>
      <c r="AU74" s="102">
        <f>AT74/$H74</f>
        <v>0</v>
      </c>
    </row>
    <row r="75" spans="1:47" ht="90">
      <c r="A75" s="16"/>
      <c r="B75" s="97" t="s">
        <v>678</v>
      </c>
      <c r="C75" s="167" t="s">
        <v>679</v>
      </c>
      <c r="D75" s="86" t="s">
        <v>680</v>
      </c>
      <c r="E75" s="97" t="s">
        <v>28</v>
      </c>
      <c r="F75" s="141">
        <v>422.84</v>
      </c>
      <c r="G75" s="97">
        <v>4</v>
      </c>
      <c r="H75" s="85">
        <f t="shared" si="31"/>
        <v>1691.36</v>
      </c>
      <c r="I75" s="50">
        <f t="shared" si="30"/>
        <v>0</v>
      </c>
      <c r="J75" s="85">
        <f>I75*$F75</f>
        <v>0</v>
      </c>
      <c r="K75" s="82" t="str">
        <f t="shared" ref="K75:K124" si="47">IF(I75=0,"",I75/$G75)</f>
        <v/>
      </c>
      <c r="L75" s="50"/>
      <c r="M75" s="85">
        <f>L75*$F75</f>
        <v>0</v>
      </c>
      <c r="N75" s="82" t="str">
        <f t="shared" ref="N75:N124" si="48">IF(L75=0,"",L75/$G75)</f>
        <v/>
      </c>
      <c r="O75" s="50"/>
      <c r="P75" s="85">
        <f>O75*$F75</f>
        <v>0</v>
      </c>
      <c r="Q75" s="82" t="str">
        <f t="shared" ref="Q75:Q124" si="49">IF(O75=0,"",O75/$G75)</f>
        <v/>
      </c>
      <c r="R75" s="50">
        <v>4</v>
      </c>
      <c r="S75" s="85">
        <f>R75*$F75</f>
        <v>1691.36</v>
      </c>
      <c r="T75" s="82">
        <f t="shared" ref="T75:T124" si="50">IF(R75=0,"",R75/$G75)</f>
        <v>1</v>
      </c>
      <c r="U75" s="50"/>
      <c r="V75" s="85">
        <f>U75*$F75</f>
        <v>0</v>
      </c>
      <c r="W75" s="82" t="str">
        <f t="shared" ref="W75:W124" si="51">IF(U75=0,"",U75/$G75)</f>
        <v/>
      </c>
      <c r="X75" s="50"/>
      <c r="Y75" s="85">
        <f>X75*$F75</f>
        <v>0</v>
      </c>
      <c r="Z75" s="82" t="str">
        <f t="shared" ref="Z75:Z124" si="52">IF(X75=0,"",X75/$G75)</f>
        <v/>
      </c>
      <c r="AA75" s="50"/>
      <c r="AB75" s="85">
        <f>AA75*$F75</f>
        <v>0</v>
      </c>
      <c r="AC75" s="82" t="str">
        <f t="shared" ref="AC75:AC124" si="53">IF(AA75=0,"",AA75/$G75)</f>
        <v/>
      </c>
      <c r="AD75" s="50"/>
      <c r="AE75" s="85">
        <f>AD75*$F75</f>
        <v>0</v>
      </c>
      <c r="AF75" s="82" t="str">
        <f t="shared" ref="AF75:AF124" si="54">IF(AD75=0,"",AD75/$G75)</f>
        <v/>
      </c>
      <c r="AG75" s="50"/>
      <c r="AH75" s="85">
        <f>AG75*$F75</f>
        <v>0</v>
      </c>
      <c r="AI75" s="82" t="str">
        <f t="shared" ref="AI75:AI124" si="55">IF(AG75=0,"",AG75/$G75)</f>
        <v/>
      </c>
      <c r="AJ75" s="50"/>
      <c r="AK75" s="85">
        <f>AJ75*$F75</f>
        <v>0</v>
      </c>
      <c r="AL75" s="82" t="str">
        <f t="shared" ref="AL75:AL124" si="56">IF(AJ75=0,"",AJ75/$G75)</f>
        <v/>
      </c>
      <c r="AM75" s="50"/>
      <c r="AN75" s="85">
        <f>AM75*$F75</f>
        <v>0</v>
      </c>
      <c r="AO75" s="82" t="str">
        <f t="shared" ref="AO75:AO124" si="57">IF(AM75=0,"",AM75/$G75)</f>
        <v/>
      </c>
      <c r="AP75" s="48">
        <f t="shared" si="45"/>
        <v>4</v>
      </c>
      <c r="AQ75" s="85">
        <f>AP75*$F75</f>
        <v>1691.36</v>
      </c>
      <c r="AR75" s="82">
        <f t="shared" ref="AR75:AR124" si="58">IF(AP75=0,"",AP75/$G75)</f>
        <v>1</v>
      </c>
      <c r="AS75" s="48">
        <f t="shared" si="46"/>
        <v>0</v>
      </c>
      <c r="AT75" s="85">
        <f>AS75*$F75</f>
        <v>0</v>
      </c>
      <c r="AU75" s="82" t="str">
        <f t="shared" ref="AU75:AU124" si="59">IF(AS75=0,"",AS75/$G75)</f>
        <v/>
      </c>
    </row>
    <row r="76" spans="1:47" ht="30">
      <c r="A76" s="16"/>
      <c r="B76" s="97" t="s">
        <v>681</v>
      </c>
      <c r="C76" s="167" t="s">
        <v>682</v>
      </c>
      <c r="D76" s="86" t="s">
        <v>683</v>
      </c>
      <c r="E76" s="97" t="s">
        <v>28</v>
      </c>
      <c r="F76" s="141">
        <v>22.46</v>
      </c>
      <c r="G76" s="97">
        <v>4</v>
      </c>
      <c r="H76" s="85">
        <f t="shared" si="31"/>
        <v>89.84</v>
      </c>
      <c r="I76" s="50">
        <f t="shared" si="30"/>
        <v>4</v>
      </c>
      <c r="J76" s="85">
        <f>I76*$F76</f>
        <v>89.84</v>
      </c>
      <c r="K76" s="82">
        <f t="shared" si="47"/>
        <v>1</v>
      </c>
      <c r="L76" s="50">
        <v>4</v>
      </c>
      <c r="M76" s="85">
        <f>L76*$F76</f>
        <v>89.84</v>
      </c>
      <c r="N76" s="82">
        <f t="shared" si="48"/>
        <v>1</v>
      </c>
      <c r="O76" s="50"/>
      <c r="P76" s="85">
        <f>O76*$F76</f>
        <v>0</v>
      </c>
      <c r="Q76" s="82" t="str">
        <f t="shared" si="49"/>
        <v/>
      </c>
      <c r="R76" s="50"/>
      <c r="S76" s="85">
        <f>R76*$F76</f>
        <v>0</v>
      </c>
      <c r="T76" s="82" t="str">
        <f t="shared" si="50"/>
        <v/>
      </c>
      <c r="U76" s="50"/>
      <c r="V76" s="85">
        <f>U76*$F76</f>
        <v>0</v>
      </c>
      <c r="W76" s="82" t="str">
        <f t="shared" si="51"/>
        <v/>
      </c>
      <c r="X76" s="50"/>
      <c r="Y76" s="85">
        <f>X76*$F76</f>
        <v>0</v>
      </c>
      <c r="Z76" s="82" t="str">
        <f t="shared" si="52"/>
        <v/>
      </c>
      <c r="AA76" s="50"/>
      <c r="AB76" s="85">
        <f>AA76*$F76</f>
        <v>0</v>
      </c>
      <c r="AC76" s="82" t="str">
        <f t="shared" si="53"/>
        <v/>
      </c>
      <c r="AD76" s="50"/>
      <c r="AE76" s="85">
        <f>AD76*$F76</f>
        <v>0</v>
      </c>
      <c r="AF76" s="82" t="str">
        <f t="shared" si="54"/>
        <v/>
      </c>
      <c r="AG76" s="50"/>
      <c r="AH76" s="85">
        <f>AG76*$F76</f>
        <v>0</v>
      </c>
      <c r="AI76" s="82" t="str">
        <f t="shared" si="55"/>
        <v/>
      </c>
      <c r="AJ76" s="50"/>
      <c r="AK76" s="85">
        <f>AJ76*$F76</f>
        <v>0</v>
      </c>
      <c r="AL76" s="82" t="str">
        <f t="shared" si="56"/>
        <v/>
      </c>
      <c r="AM76" s="50"/>
      <c r="AN76" s="85">
        <f>AM76*$F76</f>
        <v>0</v>
      </c>
      <c r="AO76" s="82" t="str">
        <f t="shared" si="57"/>
        <v/>
      </c>
      <c r="AP76" s="48">
        <f t="shared" si="45"/>
        <v>4</v>
      </c>
      <c r="AQ76" s="85">
        <f>AP76*$F76</f>
        <v>89.84</v>
      </c>
      <c r="AR76" s="82">
        <f t="shared" si="58"/>
        <v>1</v>
      </c>
      <c r="AS76" s="48">
        <f t="shared" si="46"/>
        <v>0</v>
      </c>
      <c r="AT76" s="85">
        <f>AS76*$F76</f>
        <v>0</v>
      </c>
      <c r="AU76" s="82" t="str">
        <f t="shared" si="59"/>
        <v/>
      </c>
    </row>
    <row r="77" spans="1:47" s="115" customFormat="1" ht="19.5" customHeight="1">
      <c r="A77" s="109"/>
      <c r="B77" s="118" t="s">
        <v>684</v>
      </c>
      <c r="C77" s="1937" t="s">
        <v>685</v>
      </c>
      <c r="D77" s="1938"/>
      <c r="E77" s="1938"/>
      <c r="F77" s="1938"/>
      <c r="G77" s="1939"/>
      <c r="H77" s="110">
        <f>H80+H83+H78</f>
        <v>79235.814000000013</v>
      </c>
      <c r="I77" s="111"/>
      <c r="J77" s="110">
        <f>J80+J83+J78</f>
        <v>105.3888</v>
      </c>
      <c r="K77" s="113">
        <f>J77/$H77</f>
        <v>1.3300652152068507E-3</v>
      </c>
      <c r="L77" s="111"/>
      <c r="M77" s="110">
        <f>M80+M83+M78</f>
        <v>0</v>
      </c>
      <c r="N77" s="113">
        <f>M77/$H77</f>
        <v>0</v>
      </c>
      <c r="O77" s="111"/>
      <c r="P77" s="110">
        <f>P80+P83+P78</f>
        <v>105.3888</v>
      </c>
      <c r="Q77" s="113">
        <f>P77/$H77</f>
        <v>1.3300652152068507E-3</v>
      </c>
      <c r="R77" s="111"/>
      <c r="S77" s="110">
        <f>S80+S83+S78</f>
        <v>9268.2772980000009</v>
      </c>
      <c r="T77" s="113">
        <f>S77/$H77</f>
        <v>0.11697080941201664</v>
      </c>
      <c r="U77" s="111"/>
      <c r="V77" s="110">
        <f>V80+V83+V78</f>
        <v>0</v>
      </c>
      <c r="W77" s="113">
        <f>V77/$H77</f>
        <v>0</v>
      </c>
      <c r="X77" s="111"/>
      <c r="Y77" s="110">
        <f>Y80+Y83+Y78</f>
        <v>0</v>
      </c>
      <c r="Z77" s="113">
        <f>Y77/$H77</f>
        <v>0</v>
      </c>
      <c r="AA77" s="111"/>
      <c r="AB77" s="110">
        <f>AB80+AB83+AB78</f>
        <v>0</v>
      </c>
      <c r="AC77" s="113">
        <f>AB77/$H77</f>
        <v>0</v>
      </c>
      <c r="AD77" s="111"/>
      <c r="AE77" s="110">
        <f>AE80+AE83+AE78</f>
        <v>0</v>
      </c>
      <c r="AF77" s="113">
        <f>AE77/$H77</f>
        <v>0</v>
      </c>
      <c r="AG77" s="111"/>
      <c r="AH77" s="110">
        <f>AH80+AH83+AH78</f>
        <v>0</v>
      </c>
      <c r="AI77" s="113">
        <f>AH77/$H77</f>
        <v>0</v>
      </c>
      <c r="AJ77" s="111"/>
      <c r="AK77" s="110">
        <f>AK80+AK83+AK78</f>
        <v>0</v>
      </c>
      <c r="AL77" s="113">
        <f>AK77/$H77</f>
        <v>0</v>
      </c>
      <c r="AM77" s="111"/>
      <c r="AN77" s="110">
        <f>AN80+AN83+AN78</f>
        <v>0</v>
      </c>
      <c r="AO77" s="113">
        <f>AN77/$H77</f>
        <v>0</v>
      </c>
      <c r="AP77" s="114">
        <f t="shared" si="45"/>
        <v>0</v>
      </c>
      <c r="AQ77" s="110">
        <f>AQ80+AQ83+AQ78</f>
        <v>9373.6660980000015</v>
      </c>
      <c r="AR77" s="113">
        <f>AQ77/$H77</f>
        <v>0.1183008746272235</v>
      </c>
      <c r="AS77" s="114">
        <f t="shared" si="46"/>
        <v>0</v>
      </c>
      <c r="AT77" s="110">
        <f>AT80+AT83+AT78</f>
        <v>69862.147902000012</v>
      </c>
      <c r="AU77" s="113">
        <f>AT77/$H77</f>
        <v>0.8816991253727765</v>
      </c>
    </row>
    <row r="78" spans="1:47" s="104" customFormat="1">
      <c r="A78" s="94"/>
      <c r="B78" s="116" t="s">
        <v>686</v>
      </c>
      <c r="C78" s="169" t="s">
        <v>687</v>
      </c>
      <c r="D78" s="117"/>
      <c r="E78" s="144"/>
      <c r="F78" s="144"/>
      <c r="G78" s="145"/>
      <c r="H78" s="106">
        <f>H79</f>
        <v>12884.978400000002</v>
      </c>
      <c r="I78" s="101"/>
      <c r="J78" s="106">
        <f>J79</f>
        <v>105.3888</v>
      </c>
      <c r="K78" s="102">
        <f>J78/$H78</f>
        <v>8.1791988102983548E-3</v>
      </c>
      <c r="L78" s="101"/>
      <c r="M78" s="106">
        <f>M79</f>
        <v>0</v>
      </c>
      <c r="N78" s="102">
        <f>M78/$H78</f>
        <v>0</v>
      </c>
      <c r="O78" s="101"/>
      <c r="P78" s="106">
        <f>P79</f>
        <v>105.3888</v>
      </c>
      <c r="Q78" s="102">
        <f>P78/$H78</f>
        <v>8.1791988102983548E-3</v>
      </c>
      <c r="R78" s="101"/>
      <c r="S78" s="106">
        <f>S79</f>
        <v>9268.2772980000009</v>
      </c>
      <c r="T78" s="102">
        <f>S78/$H78</f>
        <v>0.7193087182823682</v>
      </c>
      <c r="U78" s="101"/>
      <c r="V78" s="106">
        <f>V79</f>
        <v>0</v>
      </c>
      <c r="W78" s="102">
        <f>V78/$H78</f>
        <v>0</v>
      </c>
      <c r="X78" s="101"/>
      <c r="Y78" s="106">
        <f>Y79</f>
        <v>0</v>
      </c>
      <c r="Z78" s="102">
        <f>Y78/$H78</f>
        <v>0</v>
      </c>
      <c r="AA78" s="101"/>
      <c r="AB78" s="106">
        <f>AB79</f>
        <v>0</v>
      </c>
      <c r="AC78" s="102">
        <f>AB78/$H78</f>
        <v>0</v>
      </c>
      <c r="AD78" s="101"/>
      <c r="AE78" s="106">
        <f>AE79</f>
        <v>0</v>
      </c>
      <c r="AF78" s="102">
        <f>AE78/$H78</f>
        <v>0</v>
      </c>
      <c r="AG78" s="101"/>
      <c r="AH78" s="106">
        <f>AH79</f>
        <v>0</v>
      </c>
      <c r="AI78" s="102">
        <f>AH78/$H78</f>
        <v>0</v>
      </c>
      <c r="AJ78" s="101"/>
      <c r="AK78" s="106">
        <f>AK79</f>
        <v>0</v>
      </c>
      <c r="AL78" s="102">
        <f>AK78/$H78</f>
        <v>0</v>
      </c>
      <c r="AM78" s="101"/>
      <c r="AN78" s="106">
        <f>AN79</f>
        <v>0</v>
      </c>
      <c r="AO78" s="102">
        <f>AN78/$H78</f>
        <v>0</v>
      </c>
      <c r="AP78" s="103">
        <f t="shared" si="45"/>
        <v>0</v>
      </c>
      <c r="AQ78" s="106">
        <f>AQ79</f>
        <v>9373.6660980000015</v>
      </c>
      <c r="AR78" s="102">
        <f>AQ78/$H78</f>
        <v>0.72748791709266658</v>
      </c>
      <c r="AS78" s="103">
        <f t="shared" si="46"/>
        <v>0</v>
      </c>
      <c r="AT78" s="106">
        <f>AT79</f>
        <v>3511.3123020000003</v>
      </c>
      <c r="AU78" s="102">
        <f>AT78/$H78</f>
        <v>0.27251208290733336</v>
      </c>
    </row>
    <row r="79" spans="1:47" ht="30">
      <c r="A79" s="16"/>
      <c r="B79" s="97" t="s">
        <v>688</v>
      </c>
      <c r="C79" s="167" t="s">
        <v>689</v>
      </c>
      <c r="D79" s="86" t="s">
        <v>690</v>
      </c>
      <c r="E79" s="97" t="s">
        <v>51</v>
      </c>
      <c r="F79" s="141">
        <v>59.88</v>
      </c>
      <c r="G79" s="97">
        <v>215.18</v>
      </c>
      <c r="H79" s="85">
        <f>G79*$F79</f>
        <v>12884.978400000002</v>
      </c>
      <c r="I79" s="50">
        <f t="shared" ref="I79:I84" si="60">L79+O79</f>
        <v>1.76</v>
      </c>
      <c r="J79" s="85">
        <f>I79*$F79</f>
        <v>105.3888</v>
      </c>
      <c r="K79" s="82">
        <f t="shared" si="47"/>
        <v>8.1791988102983548E-3</v>
      </c>
      <c r="L79" s="50"/>
      <c r="M79" s="85">
        <f>L79*$F79</f>
        <v>0</v>
      </c>
      <c r="N79" s="82" t="str">
        <f t="shared" si="48"/>
        <v/>
      </c>
      <c r="O79" s="50">
        <v>1.76</v>
      </c>
      <c r="P79" s="85">
        <f>O79*$F79</f>
        <v>105.3888</v>
      </c>
      <c r="Q79" s="82">
        <f t="shared" si="49"/>
        <v>8.1791988102983548E-3</v>
      </c>
      <c r="R79" s="50">
        <v>154.78085000000002</v>
      </c>
      <c r="S79" s="85">
        <f>R79*$F79</f>
        <v>9268.2772980000009</v>
      </c>
      <c r="T79" s="82">
        <f t="shared" si="50"/>
        <v>0.71930871828236831</v>
      </c>
      <c r="U79" s="50"/>
      <c r="V79" s="85">
        <f>U79*$F79</f>
        <v>0</v>
      </c>
      <c r="W79" s="82" t="str">
        <f t="shared" si="51"/>
        <v/>
      </c>
      <c r="X79" s="50"/>
      <c r="Y79" s="85">
        <f>X79*$F79</f>
        <v>0</v>
      </c>
      <c r="Z79" s="82" t="str">
        <f t="shared" si="52"/>
        <v/>
      </c>
      <c r="AA79" s="50"/>
      <c r="AB79" s="85">
        <f>AA79*$F79</f>
        <v>0</v>
      </c>
      <c r="AC79" s="82" t="str">
        <f t="shared" si="53"/>
        <v/>
      </c>
      <c r="AD79" s="50"/>
      <c r="AE79" s="85">
        <f>AD79*$F79</f>
        <v>0</v>
      </c>
      <c r="AF79" s="82" t="str">
        <f t="shared" si="54"/>
        <v/>
      </c>
      <c r="AG79" s="50"/>
      <c r="AH79" s="85">
        <f>AG79*$F79</f>
        <v>0</v>
      </c>
      <c r="AI79" s="82" t="str">
        <f t="shared" si="55"/>
        <v/>
      </c>
      <c r="AJ79" s="50"/>
      <c r="AK79" s="85">
        <f>AJ79*$F79</f>
        <v>0</v>
      </c>
      <c r="AL79" s="82" t="str">
        <f t="shared" si="56"/>
        <v/>
      </c>
      <c r="AM79" s="50"/>
      <c r="AN79" s="85">
        <f>AM79*$F79</f>
        <v>0</v>
      </c>
      <c r="AO79" s="82" t="str">
        <f t="shared" si="57"/>
        <v/>
      </c>
      <c r="AP79" s="48">
        <f t="shared" si="45"/>
        <v>156.54085000000001</v>
      </c>
      <c r="AQ79" s="85">
        <f>AP79*$F79</f>
        <v>9373.6660980000015</v>
      </c>
      <c r="AR79" s="82">
        <f t="shared" si="58"/>
        <v>0.72748791709266658</v>
      </c>
      <c r="AS79" s="48">
        <f t="shared" si="46"/>
        <v>58.639150000000001</v>
      </c>
      <c r="AT79" s="85">
        <f>AS79*$F79</f>
        <v>3511.3123020000003</v>
      </c>
      <c r="AU79" s="82">
        <f t="shared" si="59"/>
        <v>0.27251208290733336</v>
      </c>
    </row>
    <row r="80" spans="1:47" s="104" customFormat="1">
      <c r="A80" s="94"/>
      <c r="B80" s="116" t="s">
        <v>691</v>
      </c>
      <c r="C80" s="1934" t="s">
        <v>692</v>
      </c>
      <c r="D80" s="1935"/>
      <c r="E80" s="1935"/>
      <c r="F80" s="1935"/>
      <c r="G80" s="1936"/>
      <c r="H80" s="106">
        <f>H81+H82</f>
        <v>50628.315600000002</v>
      </c>
      <c r="I80" s="101"/>
      <c r="J80" s="106">
        <f>J81+J82</f>
        <v>0</v>
      </c>
      <c r="K80" s="102">
        <f>J80/$H80</f>
        <v>0</v>
      </c>
      <c r="L80" s="101"/>
      <c r="M80" s="106">
        <f>M81+M82</f>
        <v>0</v>
      </c>
      <c r="N80" s="102">
        <f>M80/$H80</f>
        <v>0</v>
      </c>
      <c r="O80" s="101"/>
      <c r="P80" s="106">
        <f>P81+P82</f>
        <v>0</v>
      </c>
      <c r="Q80" s="102">
        <f>P80/$H80</f>
        <v>0</v>
      </c>
      <c r="R80" s="101"/>
      <c r="S80" s="106">
        <f>S81+S82</f>
        <v>0</v>
      </c>
      <c r="T80" s="102">
        <f>S80/$H80</f>
        <v>0</v>
      </c>
      <c r="U80" s="101"/>
      <c r="V80" s="106">
        <f>V81+V82</f>
        <v>0</v>
      </c>
      <c r="W80" s="102">
        <f>V80/$H80</f>
        <v>0</v>
      </c>
      <c r="X80" s="101"/>
      <c r="Y80" s="106">
        <f>Y81+Y82</f>
        <v>0</v>
      </c>
      <c r="Z80" s="102">
        <f>Y80/$H80</f>
        <v>0</v>
      </c>
      <c r="AA80" s="101"/>
      <c r="AB80" s="106">
        <f>AB81+AB82</f>
        <v>0</v>
      </c>
      <c r="AC80" s="102">
        <f>AB80/$H80</f>
        <v>0</v>
      </c>
      <c r="AD80" s="101"/>
      <c r="AE80" s="106">
        <f>AE81+AE82</f>
        <v>0</v>
      </c>
      <c r="AF80" s="102">
        <f>AE80/$H80</f>
        <v>0</v>
      </c>
      <c r="AG80" s="101"/>
      <c r="AH80" s="106">
        <f>AH81+AH82</f>
        <v>0</v>
      </c>
      <c r="AI80" s="102">
        <f>AH80/$H80</f>
        <v>0</v>
      </c>
      <c r="AJ80" s="101"/>
      <c r="AK80" s="106">
        <f>AK81+AK82</f>
        <v>0</v>
      </c>
      <c r="AL80" s="102">
        <f>AK80/$H80</f>
        <v>0</v>
      </c>
      <c r="AM80" s="101"/>
      <c r="AN80" s="106">
        <f>AN81+AN82</f>
        <v>0</v>
      </c>
      <c r="AO80" s="102">
        <f>AN80/$H80</f>
        <v>0</v>
      </c>
      <c r="AP80" s="103">
        <f t="shared" si="45"/>
        <v>0</v>
      </c>
      <c r="AQ80" s="106">
        <f>AQ81+AQ82</f>
        <v>0</v>
      </c>
      <c r="AR80" s="102">
        <f>AQ80/$H80</f>
        <v>0</v>
      </c>
      <c r="AS80" s="103">
        <f t="shared" si="46"/>
        <v>0</v>
      </c>
      <c r="AT80" s="106">
        <f>AT81+AT82</f>
        <v>50628.315600000002</v>
      </c>
      <c r="AU80" s="102">
        <f>AT80/$H80</f>
        <v>1</v>
      </c>
    </row>
    <row r="81" spans="1:47" ht="75">
      <c r="A81" s="16"/>
      <c r="B81" s="97" t="s">
        <v>693</v>
      </c>
      <c r="C81" s="167" t="s">
        <v>694</v>
      </c>
      <c r="D81" s="86" t="s">
        <v>695</v>
      </c>
      <c r="E81" s="97" t="s">
        <v>51</v>
      </c>
      <c r="F81" s="141">
        <v>198.96</v>
      </c>
      <c r="G81" s="97">
        <v>177.61</v>
      </c>
      <c r="H81" s="85">
        <f>G81*$F81</f>
        <v>35337.285600000003</v>
      </c>
      <c r="I81" s="50">
        <f t="shared" si="60"/>
        <v>0</v>
      </c>
      <c r="J81" s="85">
        <f>I81*$F81</f>
        <v>0</v>
      </c>
      <c r="K81" s="82" t="str">
        <f t="shared" si="47"/>
        <v/>
      </c>
      <c r="L81" s="50"/>
      <c r="M81" s="85">
        <f>L81*$F81</f>
        <v>0</v>
      </c>
      <c r="N81" s="82" t="str">
        <f t="shared" si="48"/>
        <v/>
      </c>
      <c r="O81" s="50"/>
      <c r="P81" s="85">
        <f>O81*$F81</f>
        <v>0</v>
      </c>
      <c r="Q81" s="82" t="str">
        <f t="shared" si="49"/>
        <v/>
      </c>
      <c r="R81" s="50"/>
      <c r="S81" s="85">
        <f>R81*$F81</f>
        <v>0</v>
      </c>
      <c r="T81" s="82" t="str">
        <f t="shared" si="50"/>
        <v/>
      </c>
      <c r="U81" s="50"/>
      <c r="V81" s="85">
        <f>U81*$F81</f>
        <v>0</v>
      </c>
      <c r="W81" s="82" t="str">
        <f t="shared" si="51"/>
        <v/>
      </c>
      <c r="X81" s="50"/>
      <c r="Y81" s="85">
        <f>X81*$F81</f>
        <v>0</v>
      </c>
      <c r="Z81" s="82" t="str">
        <f t="shared" si="52"/>
        <v/>
      </c>
      <c r="AA81" s="50"/>
      <c r="AB81" s="85">
        <f>AA81*$F81</f>
        <v>0</v>
      </c>
      <c r="AC81" s="82" t="str">
        <f t="shared" si="53"/>
        <v/>
      </c>
      <c r="AD81" s="50"/>
      <c r="AE81" s="85">
        <f>AD81*$F81</f>
        <v>0</v>
      </c>
      <c r="AF81" s="82" t="str">
        <f t="shared" si="54"/>
        <v/>
      </c>
      <c r="AG81" s="50"/>
      <c r="AH81" s="85">
        <f>AG81*$F81</f>
        <v>0</v>
      </c>
      <c r="AI81" s="82" t="str">
        <f t="shared" si="55"/>
        <v/>
      </c>
      <c r="AJ81" s="50"/>
      <c r="AK81" s="85">
        <f>AJ81*$F81</f>
        <v>0</v>
      </c>
      <c r="AL81" s="82" t="str">
        <f t="shared" si="56"/>
        <v/>
      </c>
      <c r="AM81" s="50"/>
      <c r="AN81" s="85">
        <f>AM81*$F81</f>
        <v>0</v>
      </c>
      <c r="AO81" s="82" t="str">
        <f t="shared" si="57"/>
        <v/>
      </c>
      <c r="AP81" s="48">
        <f t="shared" si="45"/>
        <v>0</v>
      </c>
      <c r="AQ81" s="85">
        <f>AP81*$F81</f>
        <v>0</v>
      </c>
      <c r="AR81" s="82" t="str">
        <f t="shared" si="58"/>
        <v/>
      </c>
      <c r="AS81" s="48">
        <f t="shared" si="46"/>
        <v>177.61</v>
      </c>
      <c r="AT81" s="85">
        <f>AS81*$F81</f>
        <v>35337.285600000003</v>
      </c>
      <c r="AU81" s="82">
        <f t="shared" si="59"/>
        <v>1</v>
      </c>
    </row>
    <row r="82" spans="1:47" ht="30">
      <c r="A82" s="16"/>
      <c r="B82" s="97" t="s">
        <v>696</v>
      </c>
      <c r="C82" s="167" t="s">
        <v>697</v>
      </c>
      <c r="D82" s="86" t="s">
        <v>698</v>
      </c>
      <c r="E82" s="97" t="s">
        <v>51</v>
      </c>
      <c r="F82" s="141">
        <v>172.78</v>
      </c>
      <c r="G82" s="97">
        <v>88.5</v>
      </c>
      <c r="H82" s="85">
        <f>G82*$F82</f>
        <v>15291.03</v>
      </c>
      <c r="I82" s="50">
        <f t="shared" si="60"/>
        <v>0</v>
      </c>
      <c r="J82" s="85">
        <f>I82*$F82</f>
        <v>0</v>
      </c>
      <c r="K82" s="82" t="str">
        <f t="shared" si="47"/>
        <v/>
      </c>
      <c r="L82" s="50"/>
      <c r="M82" s="85">
        <f>L82*$F82</f>
        <v>0</v>
      </c>
      <c r="N82" s="82" t="str">
        <f t="shared" si="48"/>
        <v/>
      </c>
      <c r="O82" s="50"/>
      <c r="P82" s="85">
        <f>O82*$F82</f>
        <v>0</v>
      </c>
      <c r="Q82" s="82" t="str">
        <f t="shared" si="49"/>
        <v/>
      </c>
      <c r="R82" s="50"/>
      <c r="S82" s="85">
        <f>R82*$F82</f>
        <v>0</v>
      </c>
      <c r="T82" s="82" t="str">
        <f t="shared" si="50"/>
        <v/>
      </c>
      <c r="U82" s="50"/>
      <c r="V82" s="85">
        <f>U82*$F82</f>
        <v>0</v>
      </c>
      <c r="W82" s="82" t="str">
        <f t="shared" si="51"/>
        <v/>
      </c>
      <c r="X82" s="50"/>
      <c r="Y82" s="85">
        <f>X82*$F82</f>
        <v>0</v>
      </c>
      <c r="Z82" s="82" t="str">
        <f t="shared" si="52"/>
        <v/>
      </c>
      <c r="AA82" s="50"/>
      <c r="AB82" s="85">
        <f>AA82*$F82</f>
        <v>0</v>
      </c>
      <c r="AC82" s="82" t="str">
        <f t="shared" si="53"/>
        <v/>
      </c>
      <c r="AD82" s="50"/>
      <c r="AE82" s="85">
        <f>AD82*$F82</f>
        <v>0</v>
      </c>
      <c r="AF82" s="82" t="str">
        <f t="shared" si="54"/>
        <v/>
      </c>
      <c r="AG82" s="50"/>
      <c r="AH82" s="85">
        <f>AG82*$F82</f>
        <v>0</v>
      </c>
      <c r="AI82" s="82" t="str">
        <f t="shared" si="55"/>
        <v/>
      </c>
      <c r="AJ82" s="50"/>
      <c r="AK82" s="85">
        <f>AJ82*$F82</f>
        <v>0</v>
      </c>
      <c r="AL82" s="82" t="str">
        <f t="shared" si="56"/>
        <v/>
      </c>
      <c r="AM82" s="50"/>
      <c r="AN82" s="85">
        <f>AM82*$F82</f>
        <v>0</v>
      </c>
      <c r="AO82" s="82" t="str">
        <f t="shared" si="57"/>
        <v/>
      </c>
      <c r="AP82" s="48">
        <f t="shared" si="45"/>
        <v>0</v>
      </c>
      <c r="AQ82" s="85">
        <f>AP82*$F82</f>
        <v>0</v>
      </c>
      <c r="AR82" s="82" t="str">
        <f t="shared" si="58"/>
        <v/>
      </c>
      <c r="AS82" s="48">
        <f t="shared" si="46"/>
        <v>88.5</v>
      </c>
      <c r="AT82" s="85">
        <f>AS82*$F82</f>
        <v>15291.03</v>
      </c>
      <c r="AU82" s="82">
        <f t="shared" si="59"/>
        <v>1</v>
      </c>
    </row>
    <row r="83" spans="1:47" s="104" customFormat="1">
      <c r="A83" s="94"/>
      <c r="B83" s="116" t="s">
        <v>699</v>
      </c>
      <c r="C83" s="1934" t="s">
        <v>700</v>
      </c>
      <c r="D83" s="1935"/>
      <c r="E83" s="1935"/>
      <c r="F83" s="1935"/>
      <c r="G83" s="1936"/>
      <c r="H83" s="106">
        <f>H84</f>
        <v>15722.52</v>
      </c>
      <c r="I83" s="101"/>
      <c r="J83" s="106">
        <f>J84</f>
        <v>0</v>
      </c>
      <c r="K83" s="102">
        <f>J83/$H83</f>
        <v>0</v>
      </c>
      <c r="L83" s="101"/>
      <c r="M83" s="106">
        <f>M84</f>
        <v>0</v>
      </c>
      <c r="N83" s="102">
        <f>M83/$H83</f>
        <v>0</v>
      </c>
      <c r="O83" s="101"/>
      <c r="P83" s="106">
        <f>P84</f>
        <v>0</v>
      </c>
      <c r="Q83" s="102">
        <f>P83/$H83</f>
        <v>0</v>
      </c>
      <c r="R83" s="101"/>
      <c r="S83" s="106">
        <f>S84</f>
        <v>0</v>
      </c>
      <c r="T83" s="102">
        <f>S83/$H83</f>
        <v>0</v>
      </c>
      <c r="U83" s="101"/>
      <c r="V83" s="106">
        <f>V84</f>
        <v>0</v>
      </c>
      <c r="W83" s="102">
        <f>V83/$H83</f>
        <v>0</v>
      </c>
      <c r="X83" s="101"/>
      <c r="Y83" s="106">
        <f>Y84</f>
        <v>0</v>
      </c>
      <c r="Z83" s="102">
        <f>Y83/$H83</f>
        <v>0</v>
      </c>
      <c r="AA83" s="101"/>
      <c r="AB83" s="106">
        <f>AB84</f>
        <v>0</v>
      </c>
      <c r="AC83" s="102">
        <f>AB83/$H83</f>
        <v>0</v>
      </c>
      <c r="AD83" s="101"/>
      <c r="AE83" s="106">
        <f>AE84</f>
        <v>0</v>
      </c>
      <c r="AF83" s="102">
        <f>AE83/$H83</f>
        <v>0</v>
      </c>
      <c r="AG83" s="101"/>
      <c r="AH83" s="106">
        <f>AH84</f>
        <v>0</v>
      </c>
      <c r="AI83" s="102">
        <f>AH83/$H83</f>
        <v>0</v>
      </c>
      <c r="AJ83" s="101"/>
      <c r="AK83" s="106">
        <f>AK84</f>
        <v>0</v>
      </c>
      <c r="AL83" s="102">
        <f>AK83/$H83</f>
        <v>0</v>
      </c>
      <c r="AM83" s="101"/>
      <c r="AN83" s="106">
        <f>AN84</f>
        <v>0</v>
      </c>
      <c r="AO83" s="102">
        <f>AN83/$H83</f>
        <v>0</v>
      </c>
      <c r="AP83" s="103">
        <f t="shared" si="45"/>
        <v>0</v>
      </c>
      <c r="AQ83" s="106">
        <f>AQ84</f>
        <v>0</v>
      </c>
      <c r="AR83" s="102">
        <f>AQ83/$H83</f>
        <v>0</v>
      </c>
      <c r="AS83" s="103">
        <f t="shared" si="46"/>
        <v>0</v>
      </c>
      <c r="AT83" s="106">
        <f>AT84</f>
        <v>15722.52</v>
      </c>
      <c r="AU83" s="102">
        <f>AT83/$H83</f>
        <v>1</v>
      </c>
    </row>
    <row r="84" spans="1:47" ht="60">
      <c r="A84" s="16"/>
      <c r="B84" s="97" t="s">
        <v>701</v>
      </c>
      <c r="C84" s="167" t="s">
        <v>702</v>
      </c>
      <c r="D84" s="86" t="s">
        <v>703</v>
      </c>
      <c r="E84" s="97" t="s">
        <v>28</v>
      </c>
      <c r="F84" s="141">
        <v>3930.63</v>
      </c>
      <c r="G84" s="97">
        <v>4</v>
      </c>
      <c r="H84" s="85">
        <f>G84*$F84</f>
        <v>15722.52</v>
      </c>
      <c r="I84" s="50">
        <f t="shared" si="60"/>
        <v>0</v>
      </c>
      <c r="J84" s="85">
        <f>I84*$F84</f>
        <v>0</v>
      </c>
      <c r="K84" s="82" t="str">
        <f t="shared" si="47"/>
        <v/>
      </c>
      <c r="L84" s="50"/>
      <c r="M84" s="85">
        <f>L84*$F84</f>
        <v>0</v>
      </c>
      <c r="N84" s="82" t="str">
        <f t="shared" si="48"/>
        <v/>
      </c>
      <c r="O84" s="50"/>
      <c r="P84" s="85">
        <f>O84*$F84</f>
        <v>0</v>
      </c>
      <c r="Q84" s="82" t="str">
        <f t="shared" si="49"/>
        <v/>
      </c>
      <c r="R84" s="50"/>
      <c r="S84" s="85">
        <f>R84*$F84</f>
        <v>0</v>
      </c>
      <c r="T84" s="82" t="str">
        <f t="shared" si="50"/>
        <v/>
      </c>
      <c r="U84" s="50"/>
      <c r="V84" s="85">
        <f>U84*$F84</f>
        <v>0</v>
      </c>
      <c r="W84" s="82" t="str">
        <f t="shared" si="51"/>
        <v/>
      </c>
      <c r="X84" s="50"/>
      <c r="Y84" s="85">
        <f>X84*$F84</f>
        <v>0</v>
      </c>
      <c r="Z84" s="82" t="str">
        <f t="shared" si="52"/>
        <v/>
      </c>
      <c r="AA84" s="50"/>
      <c r="AB84" s="85">
        <f>AA84*$F84</f>
        <v>0</v>
      </c>
      <c r="AC84" s="82" t="str">
        <f t="shared" si="53"/>
        <v/>
      </c>
      <c r="AD84" s="50"/>
      <c r="AE84" s="85">
        <f>AD84*$F84</f>
        <v>0</v>
      </c>
      <c r="AF84" s="82" t="str">
        <f t="shared" si="54"/>
        <v/>
      </c>
      <c r="AG84" s="50"/>
      <c r="AH84" s="85">
        <f>AG84*$F84</f>
        <v>0</v>
      </c>
      <c r="AI84" s="82" t="str">
        <f t="shared" si="55"/>
        <v/>
      </c>
      <c r="AJ84" s="50"/>
      <c r="AK84" s="85">
        <f>AJ84*$F84</f>
        <v>0</v>
      </c>
      <c r="AL84" s="82" t="str">
        <f t="shared" si="56"/>
        <v/>
      </c>
      <c r="AM84" s="50"/>
      <c r="AN84" s="85">
        <f>AM84*$F84</f>
        <v>0</v>
      </c>
      <c r="AO84" s="82" t="str">
        <f t="shared" si="57"/>
        <v/>
      </c>
      <c r="AP84" s="48">
        <f t="shared" si="45"/>
        <v>0</v>
      </c>
      <c r="AQ84" s="85">
        <f>AP84*$F84</f>
        <v>0</v>
      </c>
      <c r="AR84" s="82" t="str">
        <f t="shared" si="58"/>
        <v/>
      </c>
      <c r="AS84" s="48">
        <f t="shared" si="46"/>
        <v>4</v>
      </c>
      <c r="AT84" s="85">
        <f>AS84*$F84</f>
        <v>15722.52</v>
      </c>
      <c r="AU84" s="82">
        <f t="shared" si="59"/>
        <v>1</v>
      </c>
    </row>
    <row r="85" spans="1:47" s="115" customFormat="1" ht="15" customHeight="1">
      <c r="A85" s="109"/>
      <c r="B85" s="121" t="s">
        <v>2118</v>
      </c>
      <c r="C85" s="1941" t="s">
        <v>704</v>
      </c>
      <c r="D85" s="1941"/>
      <c r="E85" s="1941"/>
      <c r="F85" s="1941"/>
      <c r="G85" s="1942"/>
      <c r="H85" s="110">
        <f>H86+H94+H101+H103+H106+H110+H113</f>
        <v>585847.52429999993</v>
      </c>
      <c r="I85" s="111"/>
      <c r="J85" s="110">
        <f>J86+J94+J101+J103+J106+J110+J113</f>
        <v>35204.5144</v>
      </c>
      <c r="K85" s="113">
        <f>J85/$H85</f>
        <v>6.0091598820126657E-2</v>
      </c>
      <c r="L85" s="111"/>
      <c r="M85" s="110">
        <f>M86+M94+M101+M103+M106+M110+M113</f>
        <v>0</v>
      </c>
      <c r="N85" s="113">
        <f>M85/$H85</f>
        <v>0</v>
      </c>
      <c r="O85" s="111"/>
      <c r="P85" s="110">
        <f>P86+P94+P101+P103+P106+P110+P113</f>
        <v>35204.5144</v>
      </c>
      <c r="Q85" s="113">
        <f>P85/$H85</f>
        <v>6.0091598820126657E-2</v>
      </c>
      <c r="R85" s="111"/>
      <c r="S85" s="110">
        <f>S86+S94+S101+S103+S106+S110+S113</f>
        <v>308846.93625964306</v>
      </c>
      <c r="T85" s="113">
        <f>S85/$H85</f>
        <v>0.52717972415889081</v>
      </c>
      <c r="U85" s="111"/>
      <c r="V85" s="110">
        <f>V86+V94+V101+V103+V106+V110+V113</f>
        <v>0</v>
      </c>
      <c r="W85" s="113">
        <f>V85/$H85</f>
        <v>0</v>
      </c>
      <c r="X85" s="111"/>
      <c r="Y85" s="110">
        <f>Y86+Y94+Y101+Y103+Y106+Y110+Y113</f>
        <v>0</v>
      </c>
      <c r="Z85" s="113">
        <f>Y85/$H85</f>
        <v>0</v>
      </c>
      <c r="AA85" s="111"/>
      <c r="AB85" s="110">
        <f>AB86+AB94+AB101+AB103+AB106+AB110+AB113</f>
        <v>0</v>
      </c>
      <c r="AC85" s="113">
        <f>AB85/$H85</f>
        <v>0</v>
      </c>
      <c r="AD85" s="111"/>
      <c r="AE85" s="110">
        <f>AE86+AE94+AE101+AE103+AE106+AE110+AE113</f>
        <v>0</v>
      </c>
      <c r="AF85" s="113">
        <f>AE85/$H85</f>
        <v>0</v>
      </c>
      <c r="AG85" s="111"/>
      <c r="AH85" s="110">
        <f>AH86+AH94+AH101+AH103+AH106+AH110+AH113</f>
        <v>0</v>
      </c>
      <c r="AI85" s="113">
        <f>AH85/$H85</f>
        <v>0</v>
      </c>
      <c r="AJ85" s="111"/>
      <c r="AK85" s="110">
        <f>AK86+AK94+AK101+AK103+AK106+AK110+AK113</f>
        <v>0</v>
      </c>
      <c r="AL85" s="113">
        <f>AK85/$H85</f>
        <v>0</v>
      </c>
      <c r="AM85" s="111"/>
      <c r="AN85" s="110">
        <f>AN86+AN94+AN101+AN103+AN106+AN110+AN113</f>
        <v>0</v>
      </c>
      <c r="AO85" s="113">
        <f>AN85/$H85</f>
        <v>0</v>
      </c>
      <c r="AP85" s="114">
        <f t="shared" si="45"/>
        <v>0</v>
      </c>
      <c r="AQ85" s="110">
        <f>AQ86+AQ94+AQ101+AQ103+AQ106+AQ110+AQ113</f>
        <v>344051.45065964304</v>
      </c>
      <c r="AR85" s="113">
        <f>AQ85/$H85</f>
        <v>0.58727132297901752</v>
      </c>
      <c r="AS85" s="114">
        <f t="shared" si="46"/>
        <v>0</v>
      </c>
      <c r="AT85" s="110">
        <f>AT86+AT94+AT101+AT103+AT106+AT110+AT113</f>
        <v>241796.073640357</v>
      </c>
      <c r="AU85" s="113">
        <f>AT85/$H85</f>
        <v>0.41272867702098276</v>
      </c>
    </row>
    <row r="86" spans="1:47" s="104" customFormat="1" ht="15" customHeight="1">
      <c r="A86" s="94"/>
      <c r="B86" s="171" t="s">
        <v>2119</v>
      </c>
      <c r="C86" s="1932" t="s">
        <v>705</v>
      </c>
      <c r="D86" s="1932"/>
      <c r="E86" s="1932"/>
      <c r="F86" s="1932"/>
      <c r="G86" s="1933"/>
      <c r="H86" s="106">
        <f>SUM(H87:H93)</f>
        <v>142292.01430000001</v>
      </c>
      <c r="I86" s="101"/>
      <c r="J86" s="106">
        <f>SUM(J87:J93)</f>
        <v>0</v>
      </c>
      <c r="K86" s="102">
        <f>J86/$H86</f>
        <v>0</v>
      </c>
      <c r="L86" s="101"/>
      <c r="M86" s="106">
        <f>SUM(M87:M93)</f>
        <v>0</v>
      </c>
      <c r="N86" s="102">
        <f>M86/$H86</f>
        <v>0</v>
      </c>
      <c r="O86" s="101"/>
      <c r="P86" s="106">
        <f>SUM(P87:P93)</f>
        <v>0</v>
      </c>
      <c r="Q86" s="102">
        <f>P86/$H86</f>
        <v>0</v>
      </c>
      <c r="R86" s="101"/>
      <c r="S86" s="106">
        <f>SUM(S87:S93)</f>
        <v>68533.18161</v>
      </c>
      <c r="T86" s="102">
        <f>S86/$H86</f>
        <v>0.48163758132981882</v>
      </c>
      <c r="U86" s="101"/>
      <c r="V86" s="106">
        <f>SUM(V87:V93)</f>
        <v>0</v>
      </c>
      <c r="W86" s="102">
        <f>V86/$H86</f>
        <v>0</v>
      </c>
      <c r="X86" s="101"/>
      <c r="Y86" s="106">
        <f>SUM(Y87:Y93)</f>
        <v>0</v>
      </c>
      <c r="Z86" s="102">
        <f>Y86/$H86</f>
        <v>0</v>
      </c>
      <c r="AA86" s="101"/>
      <c r="AB86" s="106">
        <f>SUM(AB87:AB93)</f>
        <v>0</v>
      </c>
      <c r="AC86" s="102">
        <f>AB86/$H86</f>
        <v>0</v>
      </c>
      <c r="AD86" s="101"/>
      <c r="AE86" s="106">
        <f>SUM(AE87:AE93)</f>
        <v>0</v>
      </c>
      <c r="AF86" s="102">
        <f>AE86/$H86</f>
        <v>0</v>
      </c>
      <c r="AG86" s="101"/>
      <c r="AH86" s="106">
        <f>SUM(AH87:AH93)</f>
        <v>0</v>
      </c>
      <c r="AI86" s="102">
        <f>AH86/$H86</f>
        <v>0</v>
      </c>
      <c r="AJ86" s="101"/>
      <c r="AK86" s="106">
        <f>SUM(AK87:AK93)</f>
        <v>0</v>
      </c>
      <c r="AL86" s="102">
        <f>AK86/$H86</f>
        <v>0</v>
      </c>
      <c r="AM86" s="101"/>
      <c r="AN86" s="106">
        <f>SUM(AN87:AN93)</f>
        <v>0</v>
      </c>
      <c r="AO86" s="102">
        <f>AN86/$H86</f>
        <v>0</v>
      </c>
      <c r="AP86" s="103">
        <f t="shared" si="45"/>
        <v>0</v>
      </c>
      <c r="AQ86" s="106">
        <f>SUM(AQ87:AQ93)</f>
        <v>68533.18161</v>
      </c>
      <c r="AR86" s="102">
        <f>AQ86/$H86</f>
        <v>0.48163758132981882</v>
      </c>
      <c r="AS86" s="103">
        <f t="shared" si="46"/>
        <v>0</v>
      </c>
      <c r="AT86" s="106">
        <f>SUM(AT87:AT93)</f>
        <v>73758.83269000001</v>
      </c>
      <c r="AU86" s="102">
        <f>AT86/$H86</f>
        <v>0.51836241867018118</v>
      </c>
    </row>
    <row r="87" spans="1:47" ht="75">
      <c r="A87" s="16"/>
      <c r="B87" s="97" t="s">
        <v>706</v>
      </c>
      <c r="C87" s="167" t="s">
        <v>707</v>
      </c>
      <c r="D87" s="86" t="s">
        <v>708</v>
      </c>
      <c r="E87" s="97" t="s">
        <v>12</v>
      </c>
      <c r="F87" s="173">
        <v>115.16</v>
      </c>
      <c r="G87" s="97">
        <v>270.63</v>
      </c>
      <c r="H87" s="85">
        <f t="shared" ref="H87:H93" si="61">G87*$F87</f>
        <v>31165.750799999998</v>
      </c>
      <c r="I87" s="50">
        <f t="shared" ref="I87:I117" si="62">L87+O87</f>
        <v>0</v>
      </c>
      <c r="J87" s="85">
        <f t="shared" ref="J87:J93" si="63">I87*$F87</f>
        <v>0</v>
      </c>
      <c r="K87" s="82" t="str">
        <f t="shared" si="47"/>
        <v/>
      </c>
      <c r="L87" s="50"/>
      <c r="M87" s="85">
        <f t="shared" ref="M87:M93" si="64">L87*$F87</f>
        <v>0</v>
      </c>
      <c r="N87" s="82" t="str">
        <f t="shared" si="48"/>
        <v/>
      </c>
      <c r="O87" s="50"/>
      <c r="P87" s="85">
        <f t="shared" ref="P87:P93" si="65">O87*$F87</f>
        <v>0</v>
      </c>
      <c r="Q87" s="82" t="str">
        <f t="shared" si="49"/>
        <v/>
      </c>
      <c r="R87" s="50">
        <v>67.930000000000007</v>
      </c>
      <c r="S87" s="85">
        <f t="shared" ref="S87:S93" si="66">R87*$F87</f>
        <v>7822.8188000000009</v>
      </c>
      <c r="T87" s="82">
        <f t="shared" si="50"/>
        <v>0.25100690980305218</v>
      </c>
      <c r="U87" s="50"/>
      <c r="V87" s="85">
        <f t="shared" ref="V87:V93" si="67">U87*$F87</f>
        <v>0</v>
      </c>
      <c r="W87" s="82" t="str">
        <f t="shared" si="51"/>
        <v/>
      </c>
      <c r="X87" s="50"/>
      <c r="Y87" s="85">
        <f t="shared" ref="Y87:Y93" si="68">X87*$F87</f>
        <v>0</v>
      </c>
      <c r="Z87" s="82" t="str">
        <f t="shared" si="52"/>
        <v/>
      </c>
      <c r="AA87" s="50"/>
      <c r="AB87" s="85">
        <f t="shared" ref="AB87:AB93" si="69">AA87*$F87</f>
        <v>0</v>
      </c>
      <c r="AC87" s="82" t="str">
        <f t="shared" si="53"/>
        <v/>
      </c>
      <c r="AD87" s="50"/>
      <c r="AE87" s="85">
        <f t="shared" ref="AE87:AE93" si="70">AD87*$F87</f>
        <v>0</v>
      </c>
      <c r="AF87" s="82" t="str">
        <f t="shared" si="54"/>
        <v/>
      </c>
      <c r="AG87" s="50"/>
      <c r="AH87" s="85">
        <f t="shared" ref="AH87:AH93" si="71">AG87*$F87</f>
        <v>0</v>
      </c>
      <c r="AI87" s="82" t="str">
        <f t="shared" si="55"/>
        <v/>
      </c>
      <c r="AJ87" s="50"/>
      <c r="AK87" s="85">
        <f t="shared" ref="AK87:AK93" si="72">AJ87*$F87</f>
        <v>0</v>
      </c>
      <c r="AL87" s="82" t="str">
        <f t="shared" si="56"/>
        <v/>
      </c>
      <c r="AM87" s="50"/>
      <c r="AN87" s="85">
        <f t="shared" ref="AN87:AN93" si="73">AM87*$F87</f>
        <v>0</v>
      </c>
      <c r="AO87" s="82" t="str">
        <f t="shared" si="57"/>
        <v/>
      </c>
      <c r="AP87" s="48">
        <f t="shared" si="45"/>
        <v>67.930000000000007</v>
      </c>
      <c r="AQ87" s="85">
        <f t="shared" ref="AQ87:AQ93" si="74">AP87*$F87</f>
        <v>7822.8188000000009</v>
      </c>
      <c r="AR87" s="82">
        <f t="shared" si="58"/>
        <v>0.25100690980305218</v>
      </c>
      <c r="AS87" s="48">
        <f t="shared" si="46"/>
        <v>202.7</v>
      </c>
      <c r="AT87" s="85">
        <f t="shared" ref="AT87:AT93" si="75">AS87*$F87</f>
        <v>23342.931999999997</v>
      </c>
      <c r="AU87" s="82">
        <f t="shared" si="59"/>
        <v>0.74899309019694782</v>
      </c>
    </row>
    <row r="88" spans="1:47" ht="45">
      <c r="A88" s="16"/>
      <c r="B88" s="97" t="s">
        <v>709</v>
      </c>
      <c r="C88" s="167" t="s">
        <v>710</v>
      </c>
      <c r="D88" s="86" t="s">
        <v>110</v>
      </c>
      <c r="E88" s="97" t="s">
        <v>92</v>
      </c>
      <c r="F88" s="173">
        <v>16.03</v>
      </c>
      <c r="G88" s="143">
        <v>1256.0899999999999</v>
      </c>
      <c r="H88" s="85">
        <f t="shared" si="61"/>
        <v>20135.1227</v>
      </c>
      <c r="I88" s="50">
        <f t="shared" si="62"/>
        <v>0</v>
      </c>
      <c r="J88" s="85">
        <f t="shared" si="63"/>
        <v>0</v>
      </c>
      <c r="K88" s="82" t="str">
        <f t="shared" si="47"/>
        <v/>
      </c>
      <c r="L88" s="50"/>
      <c r="M88" s="85">
        <f t="shared" si="64"/>
        <v>0</v>
      </c>
      <c r="N88" s="82" t="str">
        <f t="shared" si="48"/>
        <v/>
      </c>
      <c r="O88" s="50"/>
      <c r="P88" s="85">
        <f t="shared" si="65"/>
        <v>0</v>
      </c>
      <c r="Q88" s="82" t="str">
        <f t="shared" si="49"/>
        <v/>
      </c>
      <c r="R88" s="50">
        <v>515.20000000000005</v>
      </c>
      <c r="S88" s="85">
        <f t="shared" si="66"/>
        <v>8258.6560000000009</v>
      </c>
      <c r="T88" s="82">
        <f t="shared" si="50"/>
        <v>0.41016169223542903</v>
      </c>
      <c r="U88" s="50"/>
      <c r="V88" s="85">
        <f t="shared" si="67"/>
        <v>0</v>
      </c>
      <c r="W88" s="82" t="str">
        <f t="shared" si="51"/>
        <v/>
      </c>
      <c r="X88" s="50"/>
      <c r="Y88" s="85">
        <f t="shared" si="68"/>
        <v>0</v>
      </c>
      <c r="Z88" s="82" t="str">
        <f t="shared" si="52"/>
        <v/>
      </c>
      <c r="AA88" s="50"/>
      <c r="AB88" s="85">
        <f t="shared" si="69"/>
        <v>0</v>
      </c>
      <c r="AC88" s="82" t="str">
        <f t="shared" si="53"/>
        <v/>
      </c>
      <c r="AD88" s="50"/>
      <c r="AE88" s="85">
        <f t="shared" si="70"/>
        <v>0</v>
      </c>
      <c r="AF88" s="82" t="str">
        <f t="shared" si="54"/>
        <v/>
      </c>
      <c r="AG88" s="50"/>
      <c r="AH88" s="85">
        <f t="shared" si="71"/>
        <v>0</v>
      </c>
      <c r="AI88" s="82" t="str">
        <f t="shared" si="55"/>
        <v/>
      </c>
      <c r="AJ88" s="50"/>
      <c r="AK88" s="85">
        <f t="shared" si="72"/>
        <v>0</v>
      </c>
      <c r="AL88" s="82" t="str">
        <f t="shared" si="56"/>
        <v/>
      </c>
      <c r="AM88" s="50"/>
      <c r="AN88" s="85">
        <f t="shared" si="73"/>
        <v>0</v>
      </c>
      <c r="AO88" s="82" t="str">
        <f t="shared" si="57"/>
        <v/>
      </c>
      <c r="AP88" s="48">
        <f t="shared" si="45"/>
        <v>515.20000000000005</v>
      </c>
      <c r="AQ88" s="85">
        <f t="shared" si="74"/>
        <v>8258.6560000000009</v>
      </c>
      <c r="AR88" s="82">
        <f t="shared" si="58"/>
        <v>0.41016169223542903</v>
      </c>
      <c r="AS88" s="48">
        <f t="shared" si="46"/>
        <v>740.88999999999987</v>
      </c>
      <c r="AT88" s="85">
        <f t="shared" si="75"/>
        <v>11876.466699999999</v>
      </c>
      <c r="AU88" s="82">
        <f t="shared" si="59"/>
        <v>0.58983830776457091</v>
      </c>
    </row>
    <row r="89" spans="1:47" ht="45">
      <c r="A89" s="16"/>
      <c r="B89" s="97" t="s">
        <v>711</v>
      </c>
      <c r="C89" s="167" t="s">
        <v>712</v>
      </c>
      <c r="D89" s="86" t="s">
        <v>104</v>
      </c>
      <c r="E89" s="97" t="s">
        <v>92</v>
      </c>
      <c r="F89" s="173">
        <v>13.93</v>
      </c>
      <c r="G89" s="143">
        <v>1884.66</v>
      </c>
      <c r="H89" s="85">
        <f t="shared" si="61"/>
        <v>26253.3138</v>
      </c>
      <c r="I89" s="50">
        <f t="shared" si="62"/>
        <v>0</v>
      </c>
      <c r="J89" s="85">
        <f t="shared" si="63"/>
        <v>0</v>
      </c>
      <c r="K89" s="82" t="str">
        <f t="shared" si="47"/>
        <v/>
      </c>
      <c r="L89" s="50"/>
      <c r="M89" s="85">
        <f t="shared" si="64"/>
        <v>0</v>
      </c>
      <c r="N89" s="82" t="str">
        <f t="shared" si="48"/>
        <v/>
      </c>
      <c r="O89" s="50"/>
      <c r="P89" s="85">
        <f t="shared" si="65"/>
        <v>0</v>
      </c>
      <c r="Q89" s="82" t="str">
        <f t="shared" si="49"/>
        <v/>
      </c>
      <c r="R89" s="50">
        <v>1294.0999999999999</v>
      </c>
      <c r="S89" s="85">
        <f t="shared" si="66"/>
        <v>18026.812999999998</v>
      </c>
      <c r="T89" s="82">
        <f t="shared" si="50"/>
        <v>0.68664905075716565</v>
      </c>
      <c r="U89" s="50"/>
      <c r="V89" s="85">
        <f t="shared" si="67"/>
        <v>0</v>
      </c>
      <c r="W89" s="82" t="str">
        <f t="shared" si="51"/>
        <v/>
      </c>
      <c r="X89" s="50"/>
      <c r="Y89" s="85">
        <f t="shared" si="68"/>
        <v>0</v>
      </c>
      <c r="Z89" s="82" t="str">
        <f t="shared" si="52"/>
        <v/>
      </c>
      <c r="AA89" s="50"/>
      <c r="AB89" s="85">
        <f t="shared" si="69"/>
        <v>0</v>
      </c>
      <c r="AC89" s="82" t="str">
        <f t="shared" si="53"/>
        <v/>
      </c>
      <c r="AD89" s="50"/>
      <c r="AE89" s="85">
        <f t="shared" si="70"/>
        <v>0</v>
      </c>
      <c r="AF89" s="82" t="str">
        <f t="shared" si="54"/>
        <v/>
      </c>
      <c r="AG89" s="50"/>
      <c r="AH89" s="85">
        <f t="shared" si="71"/>
        <v>0</v>
      </c>
      <c r="AI89" s="82" t="str">
        <f t="shared" si="55"/>
        <v/>
      </c>
      <c r="AJ89" s="50"/>
      <c r="AK89" s="85">
        <f t="shared" si="72"/>
        <v>0</v>
      </c>
      <c r="AL89" s="82" t="str">
        <f t="shared" si="56"/>
        <v/>
      </c>
      <c r="AM89" s="50"/>
      <c r="AN89" s="85">
        <f t="shared" si="73"/>
        <v>0</v>
      </c>
      <c r="AO89" s="82" t="str">
        <f t="shared" si="57"/>
        <v/>
      </c>
      <c r="AP89" s="48">
        <f t="shared" si="45"/>
        <v>1294.0999999999999</v>
      </c>
      <c r="AQ89" s="85">
        <f t="shared" si="74"/>
        <v>18026.812999999998</v>
      </c>
      <c r="AR89" s="82">
        <f t="shared" si="58"/>
        <v>0.68664905075716565</v>
      </c>
      <c r="AS89" s="48">
        <f t="shared" si="46"/>
        <v>590.56000000000017</v>
      </c>
      <c r="AT89" s="85">
        <f t="shared" si="75"/>
        <v>8226.5008000000016</v>
      </c>
      <c r="AU89" s="82">
        <f t="shared" si="59"/>
        <v>0.31335094924283435</v>
      </c>
    </row>
    <row r="90" spans="1:47" ht="45">
      <c r="A90" s="16"/>
      <c r="B90" s="97" t="s">
        <v>713</v>
      </c>
      <c r="C90" s="167" t="s">
        <v>714</v>
      </c>
      <c r="D90" s="86" t="s">
        <v>715</v>
      </c>
      <c r="E90" s="97" t="s">
        <v>92</v>
      </c>
      <c r="F90" s="173">
        <v>14.73</v>
      </c>
      <c r="G90" s="97">
        <v>899.84</v>
      </c>
      <c r="H90" s="85">
        <f t="shared" si="61"/>
        <v>13254.6432</v>
      </c>
      <c r="I90" s="50">
        <f t="shared" si="62"/>
        <v>0</v>
      </c>
      <c r="J90" s="85">
        <f t="shared" si="63"/>
        <v>0</v>
      </c>
      <c r="K90" s="82" t="str">
        <f t="shared" si="47"/>
        <v/>
      </c>
      <c r="L90" s="50"/>
      <c r="M90" s="85">
        <f t="shared" si="64"/>
        <v>0</v>
      </c>
      <c r="N90" s="82" t="str">
        <f t="shared" si="48"/>
        <v/>
      </c>
      <c r="O90" s="50"/>
      <c r="P90" s="85">
        <f t="shared" si="65"/>
        <v>0</v>
      </c>
      <c r="Q90" s="82" t="str">
        <f t="shared" si="49"/>
        <v/>
      </c>
      <c r="R90" s="50">
        <v>312.3</v>
      </c>
      <c r="S90" s="85">
        <f t="shared" si="66"/>
        <v>4600.1790000000001</v>
      </c>
      <c r="T90" s="82">
        <f t="shared" si="50"/>
        <v>0.34706169985775248</v>
      </c>
      <c r="U90" s="50"/>
      <c r="V90" s="85">
        <f t="shared" si="67"/>
        <v>0</v>
      </c>
      <c r="W90" s="82" t="str">
        <f t="shared" si="51"/>
        <v/>
      </c>
      <c r="X90" s="50"/>
      <c r="Y90" s="85">
        <f t="shared" si="68"/>
        <v>0</v>
      </c>
      <c r="Z90" s="82" t="str">
        <f t="shared" si="52"/>
        <v/>
      </c>
      <c r="AA90" s="50"/>
      <c r="AB90" s="85">
        <f t="shared" si="69"/>
        <v>0</v>
      </c>
      <c r="AC90" s="82" t="str">
        <f t="shared" si="53"/>
        <v/>
      </c>
      <c r="AD90" s="50"/>
      <c r="AE90" s="85">
        <f t="shared" si="70"/>
        <v>0</v>
      </c>
      <c r="AF90" s="82" t="str">
        <f t="shared" si="54"/>
        <v/>
      </c>
      <c r="AG90" s="50"/>
      <c r="AH90" s="85">
        <f t="shared" si="71"/>
        <v>0</v>
      </c>
      <c r="AI90" s="82" t="str">
        <f t="shared" si="55"/>
        <v/>
      </c>
      <c r="AJ90" s="50"/>
      <c r="AK90" s="85">
        <f t="shared" si="72"/>
        <v>0</v>
      </c>
      <c r="AL90" s="82" t="str">
        <f t="shared" si="56"/>
        <v/>
      </c>
      <c r="AM90" s="50"/>
      <c r="AN90" s="85">
        <f t="shared" si="73"/>
        <v>0</v>
      </c>
      <c r="AO90" s="82" t="str">
        <f t="shared" si="57"/>
        <v/>
      </c>
      <c r="AP90" s="48">
        <f t="shared" si="45"/>
        <v>312.3</v>
      </c>
      <c r="AQ90" s="85">
        <f t="shared" si="74"/>
        <v>4600.1790000000001</v>
      </c>
      <c r="AR90" s="82">
        <f t="shared" si="58"/>
        <v>0.34706169985775248</v>
      </c>
      <c r="AS90" s="48">
        <f t="shared" si="46"/>
        <v>587.54</v>
      </c>
      <c r="AT90" s="85">
        <f t="shared" si="75"/>
        <v>8654.4642000000003</v>
      </c>
      <c r="AU90" s="82">
        <f t="shared" si="59"/>
        <v>0.65293830014224741</v>
      </c>
    </row>
    <row r="91" spans="1:47" ht="75">
      <c r="A91" s="16"/>
      <c r="B91" s="97" t="s">
        <v>716</v>
      </c>
      <c r="C91" s="167" t="s">
        <v>717</v>
      </c>
      <c r="D91" s="86" t="s">
        <v>718</v>
      </c>
      <c r="E91" s="97" t="s">
        <v>51</v>
      </c>
      <c r="F91" s="173">
        <v>709.12</v>
      </c>
      <c r="G91" s="97">
        <v>62.68</v>
      </c>
      <c r="H91" s="85">
        <f t="shared" si="61"/>
        <v>44447.641600000003</v>
      </c>
      <c r="I91" s="50">
        <f t="shared" si="62"/>
        <v>0</v>
      </c>
      <c r="J91" s="85">
        <f t="shared" si="63"/>
        <v>0</v>
      </c>
      <c r="K91" s="82" t="str">
        <f t="shared" si="47"/>
        <v/>
      </c>
      <c r="L91" s="50"/>
      <c r="M91" s="85">
        <f t="shared" si="64"/>
        <v>0</v>
      </c>
      <c r="N91" s="82" t="str">
        <f t="shared" si="48"/>
        <v/>
      </c>
      <c r="O91" s="50"/>
      <c r="P91" s="85">
        <f t="shared" si="65"/>
        <v>0</v>
      </c>
      <c r="Q91" s="82" t="str">
        <f t="shared" si="49"/>
        <v/>
      </c>
      <c r="R91" s="50">
        <v>35.505499999999998</v>
      </c>
      <c r="S91" s="85">
        <f t="shared" si="66"/>
        <v>25177.660159999999</v>
      </c>
      <c r="T91" s="82">
        <f t="shared" si="50"/>
        <v>0.56645660497766426</v>
      </c>
      <c r="U91" s="50"/>
      <c r="V91" s="85">
        <f t="shared" si="67"/>
        <v>0</v>
      </c>
      <c r="W91" s="82" t="str">
        <f t="shared" si="51"/>
        <v/>
      </c>
      <c r="X91" s="50"/>
      <c r="Y91" s="85">
        <f t="shared" si="68"/>
        <v>0</v>
      </c>
      <c r="Z91" s="82" t="str">
        <f t="shared" si="52"/>
        <v/>
      </c>
      <c r="AA91" s="50"/>
      <c r="AB91" s="85">
        <f t="shared" si="69"/>
        <v>0</v>
      </c>
      <c r="AC91" s="82" t="str">
        <f t="shared" si="53"/>
        <v/>
      </c>
      <c r="AD91" s="50"/>
      <c r="AE91" s="85">
        <f t="shared" si="70"/>
        <v>0</v>
      </c>
      <c r="AF91" s="82" t="str">
        <f t="shared" si="54"/>
        <v/>
      </c>
      <c r="AG91" s="50"/>
      <c r="AH91" s="85">
        <f t="shared" si="71"/>
        <v>0</v>
      </c>
      <c r="AI91" s="82" t="str">
        <f t="shared" si="55"/>
        <v/>
      </c>
      <c r="AJ91" s="50"/>
      <c r="AK91" s="85">
        <f t="shared" si="72"/>
        <v>0</v>
      </c>
      <c r="AL91" s="82" t="str">
        <f t="shared" si="56"/>
        <v/>
      </c>
      <c r="AM91" s="50"/>
      <c r="AN91" s="85">
        <f t="shared" si="73"/>
        <v>0</v>
      </c>
      <c r="AO91" s="82" t="str">
        <f t="shared" si="57"/>
        <v/>
      </c>
      <c r="AP91" s="48">
        <f t="shared" si="45"/>
        <v>35.505499999999998</v>
      </c>
      <c r="AQ91" s="85">
        <f t="shared" si="74"/>
        <v>25177.660159999999</v>
      </c>
      <c r="AR91" s="82">
        <f t="shared" si="58"/>
        <v>0.56645660497766426</v>
      </c>
      <c r="AS91" s="48">
        <f t="shared" si="46"/>
        <v>27.174500000000002</v>
      </c>
      <c r="AT91" s="85">
        <f t="shared" si="75"/>
        <v>19269.981440000003</v>
      </c>
      <c r="AU91" s="82">
        <f t="shared" si="59"/>
        <v>0.43354339502233569</v>
      </c>
    </row>
    <row r="92" spans="1:47" ht="60">
      <c r="A92" s="16"/>
      <c r="B92" s="97" t="s">
        <v>719</v>
      </c>
      <c r="C92" s="167" t="s">
        <v>720</v>
      </c>
      <c r="D92" s="86" t="s">
        <v>721</v>
      </c>
      <c r="E92" s="97" t="s">
        <v>51</v>
      </c>
      <c r="F92" s="173">
        <v>716.24</v>
      </c>
      <c r="G92" s="97">
        <v>8.76</v>
      </c>
      <c r="H92" s="85">
        <f t="shared" si="61"/>
        <v>6274.2623999999996</v>
      </c>
      <c r="I92" s="50">
        <f t="shared" si="62"/>
        <v>0</v>
      </c>
      <c r="J92" s="85">
        <f t="shared" si="63"/>
        <v>0</v>
      </c>
      <c r="K92" s="82" t="str">
        <f t="shared" si="47"/>
        <v/>
      </c>
      <c r="L92" s="50"/>
      <c r="M92" s="85">
        <f t="shared" si="64"/>
        <v>0</v>
      </c>
      <c r="N92" s="82" t="str">
        <f t="shared" si="48"/>
        <v/>
      </c>
      <c r="O92" s="50"/>
      <c r="P92" s="85">
        <f t="shared" si="65"/>
        <v>0</v>
      </c>
      <c r="Q92" s="82" t="str">
        <f t="shared" si="49"/>
        <v/>
      </c>
      <c r="R92" s="50">
        <v>6.4881250000000001</v>
      </c>
      <c r="S92" s="85">
        <f t="shared" si="66"/>
        <v>4647.05465</v>
      </c>
      <c r="T92" s="82">
        <f t="shared" si="50"/>
        <v>0.74065353881278539</v>
      </c>
      <c r="U92" s="50"/>
      <c r="V92" s="85">
        <f t="shared" si="67"/>
        <v>0</v>
      </c>
      <c r="W92" s="82" t="str">
        <f t="shared" si="51"/>
        <v/>
      </c>
      <c r="X92" s="50"/>
      <c r="Y92" s="85">
        <f t="shared" si="68"/>
        <v>0</v>
      </c>
      <c r="Z92" s="82" t="str">
        <f t="shared" si="52"/>
        <v/>
      </c>
      <c r="AA92" s="50"/>
      <c r="AB92" s="85">
        <f t="shared" si="69"/>
        <v>0</v>
      </c>
      <c r="AC92" s="82" t="str">
        <f t="shared" si="53"/>
        <v/>
      </c>
      <c r="AD92" s="50"/>
      <c r="AE92" s="85">
        <f t="shared" si="70"/>
        <v>0</v>
      </c>
      <c r="AF92" s="82" t="str">
        <f t="shared" si="54"/>
        <v/>
      </c>
      <c r="AG92" s="50"/>
      <c r="AH92" s="85">
        <f t="shared" si="71"/>
        <v>0</v>
      </c>
      <c r="AI92" s="82" t="str">
        <f t="shared" si="55"/>
        <v/>
      </c>
      <c r="AJ92" s="50"/>
      <c r="AK92" s="85">
        <f t="shared" si="72"/>
        <v>0</v>
      </c>
      <c r="AL92" s="82" t="str">
        <f t="shared" si="56"/>
        <v/>
      </c>
      <c r="AM92" s="50"/>
      <c r="AN92" s="85">
        <f t="shared" si="73"/>
        <v>0</v>
      </c>
      <c r="AO92" s="82" t="str">
        <f t="shared" si="57"/>
        <v/>
      </c>
      <c r="AP92" s="48">
        <f t="shared" si="45"/>
        <v>6.4881250000000001</v>
      </c>
      <c r="AQ92" s="85">
        <f t="shared" si="74"/>
        <v>4647.05465</v>
      </c>
      <c r="AR92" s="82">
        <f t="shared" si="58"/>
        <v>0.74065353881278539</v>
      </c>
      <c r="AS92" s="48">
        <f t="shared" si="46"/>
        <v>2.2718749999999996</v>
      </c>
      <c r="AT92" s="85">
        <f t="shared" si="75"/>
        <v>1627.2077499999998</v>
      </c>
      <c r="AU92" s="82">
        <f t="shared" si="59"/>
        <v>0.25934646118721461</v>
      </c>
    </row>
    <row r="93" spans="1:47" ht="30">
      <c r="A93" s="16"/>
      <c r="B93" s="97" t="s">
        <v>722</v>
      </c>
      <c r="C93" s="167" t="s">
        <v>723</v>
      </c>
      <c r="D93" s="86" t="s">
        <v>724</v>
      </c>
      <c r="E93" s="97" t="s">
        <v>12</v>
      </c>
      <c r="F93" s="173">
        <v>5.26</v>
      </c>
      <c r="G93" s="97">
        <v>144.72999999999999</v>
      </c>
      <c r="H93" s="85">
        <f t="shared" si="61"/>
        <v>761.27979999999991</v>
      </c>
      <c r="I93" s="50">
        <f t="shared" si="62"/>
        <v>0</v>
      </c>
      <c r="J93" s="85">
        <f t="shared" si="63"/>
        <v>0</v>
      </c>
      <c r="K93" s="82" t="str">
        <f t="shared" si="47"/>
        <v/>
      </c>
      <c r="L93" s="50"/>
      <c r="M93" s="85">
        <f t="shared" si="64"/>
        <v>0</v>
      </c>
      <c r="N93" s="82" t="str">
        <f t="shared" si="48"/>
        <v/>
      </c>
      <c r="O93" s="50"/>
      <c r="P93" s="85">
        <f t="shared" si="65"/>
        <v>0</v>
      </c>
      <c r="Q93" s="82" t="str">
        <f t="shared" si="49"/>
        <v/>
      </c>
      <c r="R93" s="50"/>
      <c r="S93" s="85">
        <f t="shared" si="66"/>
        <v>0</v>
      </c>
      <c r="T93" s="82" t="str">
        <f t="shared" si="50"/>
        <v/>
      </c>
      <c r="U93" s="50"/>
      <c r="V93" s="85">
        <f t="shared" si="67"/>
        <v>0</v>
      </c>
      <c r="W93" s="82" t="str">
        <f t="shared" si="51"/>
        <v/>
      </c>
      <c r="X93" s="50"/>
      <c r="Y93" s="85">
        <f t="shared" si="68"/>
        <v>0</v>
      </c>
      <c r="Z93" s="82" t="str">
        <f t="shared" si="52"/>
        <v/>
      </c>
      <c r="AA93" s="50"/>
      <c r="AB93" s="85">
        <f t="shared" si="69"/>
        <v>0</v>
      </c>
      <c r="AC93" s="82" t="str">
        <f t="shared" si="53"/>
        <v/>
      </c>
      <c r="AD93" s="50"/>
      <c r="AE93" s="85">
        <f t="shared" si="70"/>
        <v>0</v>
      </c>
      <c r="AF93" s="82" t="str">
        <f t="shared" si="54"/>
        <v/>
      </c>
      <c r="AG93" s="50"/>
      <c r="AH93" s="85">
        <f t="shared" si="71"/>
        <v>0</v>
      </c>
      <c r="AI93" s="82" t="str">
        <f t="shared" si="55"/>
        <v/>
      </c>
      <c r="AJ93" s="50"/>
      <c r="AK93" s="85">
        <f t="shared" si="72"/>
        <v>0</v>
      </c>
      <c r="AL93" s="82" t="str">
        <f t="shared" si="56"/>
        <v/>
      </c>
      <c r="AM93" s="50"/>
      <c r="AN93" s="85">
        <f t="shared" si="73"/>
        <v>0</v>
      </c>
      <c r="AO93" s="82" t="str">
        <f t="shared" si="57"/>
        <v/>
      </c>
      <c r="AP93" s="48">
        <f t="shared" si="45"/>
        <v>0</v>
      </c>
      <c r="AQ93" s="85">
        <f t="shared" si="74"/>
        <v>0</v>
      </c>
      <c r="AR93" s="82" t="str">
        <f t="shared" si="58"/>
        <v/>
      </c>
      <c r="AS93" s="48">
        <f t="shared" si="46"/>
        <v>144.72999999999999</v>
      </c>
      <c r="AT93" s="85">
        <f t="shared" si="75"/>
        <v>761.27979999999991</v>
      </c>
      <c r="AU93" s="82">
        <f t="shared" si="59"/>
        <v>1</v>
      </c>
    </row>
    <row r="94" spans="1:47" s="104" customFormat="1" ht="15" customHeight="1">
      <c r="A94" s="94"/>
      <c r="B94" s="171" t="s">
        <v>2120</v>
      </c>
      <c r="C94" s="1932" t="s">
        <v>725</v>
      </c>
      <c r="D94" s="1932"/>
      <c r="E94" s="1932"/>
      <c r="F94" s="1932"/>
      <c r="G94" s="1933"/>
      <c r="H94" s="106">
        <f>SUM(H95:H100)</f>
        <v>201732.77860000002</v>
      </c>
      <c r="I94" s="101"/>
      <c r="J94" s="106">
        <f>SUM(J95:J100)</f>
        <v>35204.5144</v>
      </c>
      <c r="K94" s="102">
        <f>J94/$H94</f>
        <v>0.17451063056938432</v>
      </c>
      <c r="L94" s="101"/>
      <c r="M94" s="106">
        <f>SUM(M95:M100)</f>
        <v>0</v>
      </c>
      <c r="N94" s="102">
        <f>M94/$H94</f>
        <v>0</v>
      </c>
      <c r="O94" s="101"/>
      <c r="P94" s="106">
        <f>SUM(P95:P100)</f>
        <v>35204.5144</v>
      </c>
      <c r="Q94" s="102">
        <f>P94/$H94</f>
        <v>0.17451063056938432</v>
      </c>
      <c r="R94" s="101"/>
      <c r="S94" s="106">
        <f>SUM(S95:S100)</f>
        <v>55176.064243800014</v>
      </c>
      <c r="T94" s="102">
        <f>S94/$H94</f>
        <v>0.27351065417685178</v>
      </c>
      <c r="U94" s="101"/>
      <c r="V94" s="106">
        <f>SUM(V95:V100)</f>
        <v>0</v>
      </c>
      <c r="W94" s="102">
        <f>V94/$H94</f>
        <v>0</v>
      </c>
      <c r="X94" s="101"/>
      <c r="Y94" s="106">
        <f>SUM(Y95:Y100)</f>
        <v>0</v>
      </c>
      <c r="Z94" s="102">
        <f>Y94/$H94</f>
        <v>0</v>
      </c>
      <c r="AA94" s="101"/>
      <c r="AB94" s="106">
        <f>SUM(AB95:AB100)</f>
        <v>0</v>
      </c>
      <c r="AC94" s="102">
        <f>AB94/$H94</f>
        <v>0</v>
      </c>
      <c r="AD94" s="101"/>
      <c r="AE94" s="106">
        <f>SUM(AE95:AE100)</f>
        <v>0</v>
      </c>
      <c r="AF94" s="102">
        <f>AE94/$H94</f>
        <v>0</v>
      </c>
      <c r="AG94" s="101"/>
      <c r="AH94" s="106">
        <f>SUM(AH95:AH100)</f>
        <v>0</v>
      </c>
      <c r="AI94" s="102">
        <f>AH94/$H94</f>
        <v>0</v>
      </c>
      <c r="AJ94" s="101"/>
      <c r="AK94" s="106">
        <f>SUM(AK95:AK100)</f>
        <v>0</v>
      </c>
      <c r="AL94" s="102">
        <f>AK94/$H94</f>
        <v>0</v>
      </c>
      <c r="AM94" s="101"/>
      <c r="AN94" s="106">
        <f>SUM(AN95:AN100)</f>
        <v>0</v>
      </c>
      <c r="AO94" s="102">
        <f>AN94/$H94</f>
        <v>0</v>
      </c>
      <c r="AP94" s="103">
        <f t="shared" si="45"/>
        <v>0</v>
      </c>
      <c r="AQ94" s="106">
        <f>SUM(AQ95:AQ100)</f>
        <v>90380.578643799992</v>
      </c>
      <c r="AR94" s="102">
        <f>AQ94/$H94</f>
        <v>0.44802128474623598</v>
      </c>
      <c r="AS94" s="103">
        <f t="shared" si="46"/>
        <v>0</v>
      </c>
      <c r="AT94" s="106">
        <f>SUM(AT95:AT100)</f>
        <v>111352.19995620001</v>
      </c>
      <c r="AU94" s="102">
        <f>AT94/$H94</f>
        <v>0.55197871525376396</v>
      </c>
    </row>
    <row r="95" spans="1:47" ht="105">
      <c r="A95" s="16"/>
      <c r="B95" s="97" t="s">
        <v>726</v>
      </c>
      <c r="C95" s="167" t="s">
        <v>112</v>
      </c>
      <c r="D95" s="86" t="s">
        <v>113</v>
      </c>
      <c r="E95" s="97" t="s">
        <v>12</v>
      </c>
      <c r="F95" s="174">
        <v>135.38999999999999</v>
      </c>
      <c r="G95" s="97">
        <v>669.36</v>
      </c>
      <c r="H95" s="85">
        <f t="shared" ref="H95:H100" si="76">G95*$F95</f>
        <v>90624.650399999999</v>
      </c>
      <c r="I95" s="50">
        <f t="shared" si="62"/>
        <v>91.44</v>
      </c>
      <c r="J95" s="85">
        <f t="shared" ref="J95:J100" si="77">I95*$F95</f>
        <v>12380.061599999999</v>
      </c>
      <c r="K95" s="82">
        <f t="shared" si="47"/>
        <v>0.13660810326281822</v>
      </c>
      <c r="L95" s="50"/>
      <c r="M95" s="85">
        <f t="shared" ref="M95:M100" si="78">L95*$F95</f>
        <v>0</v>
      </c>
      <c r="N95" s="82" t="str">
        <f t="shared" si="48"/>
        <v/>
      </c>
      <c r="O95" s="50">
        <v>91.44</v>
      </c>
      <c r="P95" s="85">
        <f t="shared" ref="P95:P100" si="79">O95*$F95</f>
        <v>12380.061599999999</v>
      </c>
      <c r="Q95" s="82">
        <f t="shared" si="49"/>
        <v>0.13660810326281822</v>
      </c>
      <c r="R95" s="50">
        <v>41.862500000000011</v>
      </c>
      <c r="S95" s="85">
        <f t="shared" ref="S95:S100" si="80">R95*$F95</f>
        <v>5667.7638750000006</v>
      </c>
      <c r="T95" s="82">
        <f t="shared" si="50"/>
        <v>6.254108402055697E-2</v>
      </c>
      <c r="U95" s="50"/>
      <c r="V95" s="85">
        <f t="shared" ref="V95:V100" si="81">U95*$F95</f>
        <v>0</v>
      </c>
      <c r="W95" s="82" t="str">
        <f t="shared" si="51"/>
        <v/>
      </c>
      <c r="X95" s="50"/>
      <c r="Y95" s="85">
        <f t="shared" ref="Y95:Y100" si="82">X95*$F95</f>
        <v>0</v>
      </c>
      <c r="Z95" s="82" t="str">
        <f t="shared" si="52"/>
        <v/>
      </c>
      <c r="AA95" s="50"/>
      <c r="AB95" s="85">
        <f t="shared" ref="AB95:AB100" si="83">AA95*$F95</f>
        <v>0</v>
      </c>
      <c r="AC95" s="82" t="str">
        <f t="shared" si="53"/>
        <v/>
      </c>
      <c r="AD95" s="50"/>
      <c r="AE95" s="85">
        <f t="shared" ref="AE95:AE100" si="84">AD95*$F95</f>
        <v>0</v>
      </c>
      <c r="AF95" s="82" t="str">
        <f t="shared" si="54"/>
        <v/>
      </c>
      <c r="AG95" s="50"/>
      <c r="AH95" s="85">
        <f t="shared" ref="AH95:AH100" si="85">AG95*$F95</f>
        <v>0</v>
      </c>
      <c r="AI95" s="82" t="str">
        <f t="shared" si="55"/>
        <v/>
      </c>
      <c r="AJ95" s="50"/>
      <c r="AK95" s="85">
        <f t="shared" ref="AK95:AK100" si="86">AJ95*$F95</f>
        <v>0</v>
      </c>
      <c r="AL95" s="82" t="str">
        <f t="shared" si="56"/>
        <v/>
      </c>
      <c r="AM95" s="50"/>
      <c r="AN95" s="85">
        <f t="shared" ref="AN95:AN100" si="87">AM95*$F95</f>
        <v>0</v>
      </c>
      <c r="AO95" s="82" t="str">
        <f t="shared" si="57"/>
        <v/>
      </c>
      <c r="AP95" s="48">
        <f t="shared" si="45"/>
        <v>133.30250000000001</v>
      </c>
      <c r="AQ95" s="85">
        <f t="shared" ref="AQ95:AQ100" si="88">AP95*$F95</f>
        <v>18047.825474999998</v>
      </c>
      <c r="AR95" s="82">
        <f t="shared" si="58"/>
        <v>0.19914918728337516</v>
      </c>
      <c r="AS95" s="48">
        <f t="shared" si="46"/>
        <v>536.0575</v>
      </c>
      <c r="AT95" s="85">
        <f t="shared" ref="AT95:AT100" si="89">AS95*$F95</f>
        <v>72576.824924999994</v>
      </c>
      <c r="AU95" s="82">
        <f t="shared" si="59"/>
        <v>0.80085081271662484</v>
      </c>
    </row>
    <row r="96" spans="1:47" ht="45">
      <c r="A96" s="16"/>
      <c r="B96" s="97" t="s">
        <v>727</v>
      </c>
      <c r="C96" s="167" t="s">
        <v>109</v>
      </c>
      <c r="D96" s="86" t="s">
        <v>110</v>
      </c>
      <c r="E96" s="97" t="s">
        <v>92</v>
      </c>
      <c r="F96" s="172">
        <v>16.03</v>
      </c>
      <c r="G96" s="97">
        <v>582.77</v>
      </c>
      <c r="H96" s="85">
        <f t="shared" si="76"/>
        <v>9341.803100000001</v>
      </c>
      <c r="I96" s="50">
        <f t="shared" si="62"/>
        <v>0</v>
      </c>
      <c r="J96" s="85">
        <f t="shared" si="77"/>
        <v>0</v>
      </c>
      <c r="K96" s="82" t="str">
        <f t="shared" si="47"/>
        <v/>
      </c>
      <c r="L96" s="50"/>
      <c r="M96" s="85">
        <f t="shared" si="78"/>
        <v>0</v>
      </c>
      <c r="N96" s="82" t="str">
        <f t="shared" si="48"/>
        <v/>
      </c>
      <c r="O96" s="50"/>
      <c r="P96" s="85">
        <f t="shared" si="79"/>
        <v>0</v>
      </c>
      <c r="Q96" s="82" t="str">
        <f t="shared" si="49"/>
        <v/>
      </c>
      <c r="R96" s="50">
        <v>473.9</v>
      </c>
      <c r="S96" s="85">
        <f t="shared" si="80"/>
        <v>7596.6170000000002</v>
      </c>
      <c r="T96" s="82">
        <f t="shared" si="50"/>
        <v>0.81318530466564853</v>
      </c>
      <c r="U96" s="50"/>
      <c r="V96" s="85">
        <f t="shared" si="81"/>
        <v>0</v>
      </c>
      <c r="W96" s="82" t="str">
        <f t="shared" si="51"/>
        <v/>
      </c>
      <c r="X96" s="50"/>
      <c r="Y96" s="85">
        <f t="shared" si="82"/>
        <v>0</v>
      </c>
      <c r="Z96" s="82" t="str">
        <f t="shared" si="52"/>
        <v/>
      </c>
      <c r="AA96" s="50"/>
      <c r="AB96" s="85">
        <f t="shared" si="83"/>
        <v>0</v>
      </c>
      <c r="AC96" s="82" t="str">
        <f t="shared" si="53"/>
        <v/>
      </c>
      <c r="AD96" s="50"/>
      <c r="AE96" s="85">
        <f t="shared" si="84"/>
        <v>0</v>
      </c>
      <c r="AF96" s="82" t="str">
        <f t="shared" si="54"/>
        <v/>
      </c>
      <c r="AG96" s="50"/>
      <c r="AH96" s="85">
        <f t="shared" si="85"/>
        <v>0</v>
      </c>
      <c r="AI96" s="82" t="str">
        <f t="shared" si="55"/>
        <v/>
      </c>
      <c r="AJ96" s="50"/>
      <c r="AK96" s="85">
        <f t="shared" si="86"/>
        <v>0</v>
      </c>
      <c r="AL96" s="82" t="str">
        <f t="shared" si="56"/>
        <v/>
      </c>
      <c r="AM96" s="50"/>
      <c r="AN96" s="85">
        <f t="shared" si="87"/>
        <v>0</v>
      </c>
      <c r="AO96" s="82" t="str">
        <f t="shared" si="57"/>
        <v/>
      </c>
      <c r="AP96" s="48">
        <f t="shared" si="45"/>
        <v>473.9</v>
      </c>
      <c r="AQ96" s="85">
        <f t="shared" si="88"/>
        <v>7596.6170000000002</v>
      </c>
      <c r="AR96" s="82">
        <f t="shared" si="58"/>
        <v>0.81318530466564853</v>
      </c>
      <c r="AS96" s="48">
        <f t="shared" si="46"/>
        <v>108.87</v>
      </c>
      <c r="AT96" s="85">
        <f t="shared" si="89"/>
        <v>1745.1861000000001</v>
      </c>
      <c r="AU96" s="82">
        <f t="shared" si="59"/>
        <v>0.18681469533435147</v>
      </c>
    </row>
    <row r="97" spans="1:47" ht="45">
      <c r="A97" s="16"/>
      <c r="B97" s="97" t="s">
        <v>728</v>
      </c>
      <c r="C97" s="167" t="s">
        <v>103</v>
      </c>
      <c r="D97" s="86" t="s">
        <v>104</v>
      </c>
      <c r="E97" s="97" t="s">
        <v>92</v>
      </c>
      <c r="F97" s="172">
        <v>13.93</v>
      </c>
      <c r="G97" s="143">
        <v>2011.57</v>
      </c>
      <c r="H97" s="85">
        <f t="shared" si="76"/>
        <v>28021.170099999999</v>
      </c>
      <c r="I97" s="50">
        <f t="shared" si="62"/>
        <v>592</v>
      </c>
      <c r="J97" s="85">
        <f t="shared" si="77"/>
        <v>8246.56</v>
      </c>
      <c r="K97" s="82">
        <f t="shared" si="47"/>
        <v>0.29429748902598468</v>
      </c>
      <c r="L97" s="50"/>
      <c r="M97" s="85">
        <f t="shared" si="78"/>
        <v>0</v>
      </c>
      <c r="N97" s="82" t="str">
        <f t="shared" si="48"/>
        <v/>
      </c>
      <c r="O97" s="50">
        <v>592</v>
      </c>
      <c r="P97" s="85">
        <f t="shared" si="79"/>
        <v>8246.56</v>
      </c>
      <c r="Q97" s="82">
        <f t="shared" si="49"/>
        <v>0.29429748902598468</v>
      </c>
      <c r="R97" s="50">
        <v>732.60000000000014</v>
      </c>
      <c r="S97" s="85">
        <f t="shared" si="80"/>
        <v>10205.118000000002</v>
      </c>
      <c r="T97" s="82">
        <f t="shared" si="50"/>
        <v>0.36419314266965613</v>
      </c>
      <c r="U97" s="50"/>
      <c r="V97" s="85">
        <f t="shared" si="81"/>
        <v>0</v>
      </c>
      <c r="W97" s="82" t="str">
        <f t="shared" si="51"/>
        <v/>
      </c>
      <c r="X97" s="50"/>
      <c r="Y97" s="85">
        <f t="shared" si="82"/>
        <v>0</v>
      </c>
      <c r="Z97" s="82" t="str">
        <f t="shared" si="52"/>
        <v/>
      </c>
      <c r="AA97" s="50"/>
      <c r="AB97" s="85">
        <f t="shared" si="83"/>
        <v>0</v>
      </c>
      <c r="AC97" s="82" t="str">
        <f t="shared" si="53"/>
        <v/>
      </c>
      <c r="AD97" s="50"/>
      <c r="AE97" s="85">
        <f t="shared" si="84"/>
        <v>0</v>
      </c>
      <c r="AF97" s="82" t="str">
        <f t="shared" si="54"/>
        <v/>
      </c>
      <c r="AG97" s="50"/>
      <c r="AH97" s="85">
        <f t="shared" si="85"/>
        <v>0</v>
      </c>
      <c r="AI97" s="82" t="str">
        <f t="shared" si="55"/>
        <v/>
      </c>
      <c r="AJ97" s="50"/>
      <c r="AK97" s="85">
        <f t="shared" si="86"/>
        <v>0</v>
      </c>
      <c r="AL97" s="82" t="str">
        <f t="shared" si="56"/>
        <v/>
      </c>
      <c r="AM97" s="50"/>
      <c r="AN97" s="85">
        <f t="shared" si="87"/>
        <v>0</v>
      </c>
      <c r="AO97" s="82" t="str">
        <f t="shared" si="57"/>
        <v/>
      </c>
      <c r="AP97" s="48">
        <f t="shared" si="45"/>
        <v>1324.6000000000001</v>
      </c>
      <c r="AQ97" s="85">
        <f t="shared" si="88"/>
        <v>18451.678</v>
      </c>
      <c r="AR97" s="82">
        <f t="shared" si="58"/>
        <v>0.65849063169564082</v>
      </c>
      <c r="AS97" s="48">
        <f t="shared" si="46"/>
        <v>686.9699999999998</v>
      </c>
      <c r="AT97" s="85">
        <f t="shared" si="89"/>
        <v>9569.4920999999977</v>
      </c>
      <c r="AU97" s="82">
        <f t="shared" si="59"/>
        <v>0.34150936830435918</v>
      </c>
    </row>
    <row r="98" spans="1:47" ht="45">
      <c r="A98" s="16"/>
      <c r="B98" s="97" t="s">
        <v>729</v>
      </c>
      <c r="C98" s="167" t="s">
        <v>106</v>
      </c>
      <c r="D98" s="86" t="s">
        <v>107</v>
      </c>
      <c r="E98" s="97" t="s">
        <v>92</v>
      </c>
      <c r="F98" s="172">
        <v>14.73</v>
      </c>
      <c r="G98" s="143">
        <v>2126.94</v>
      </c>
      <c r="H98" s="85">
        <f t="shared" si="76"/>
        <v>31329.826200000003</v>
      </c>
      <c r="I98" s="50">
        <f t="shared" si="62"/>
        <v>491.6</v>
      </c>
      <c r="J98" s="85">
        <f t="shared" si="77"/>
        <v>7241.2680000000009</v>
      </c>
      <c r="K98" s="82">
        <f t="shared" si="47"/>
        <v>0.23113016822289298</v>
      </c>
      <c r="L98" s="50"/>
      <c r="M98" s="85">
        <f t="shared" si="78"/>
        <v>0</v>
      </c>
      <c r="N98" s="82" t="str">
        <f t="shared" si="48"/>
        <v/>
      </c>
      <c r="O98" s="50">
        <v>491.6</v>
      </c>
      <c r="P98" s="85">
        <f t="shared" si="79"/>
        <v>7241.2680000000009</v>
      </c>
      <c r="Q98" s="82">
        <f t="shared" si="49"/>
        <v>0.23113016822289298</v>
      </c>
      <c r="R98" s="50">
        <v>1228.3000000000002</v>
      </c>
      <c r="S98" s="85">
        <f t="shared" si="80"/>
        <v>18092.859000000004</v>
      </c>
      <c r="T98" s="82">
        <f t="shared" si="50"/>
        <v>0.57749630925178908</v>
      </c>
      <c r="U98" s="50"/>
      <c r="V98" s="85">
        <f t="shared" si="81"/>
        <v>0</v>
      </c>
      <c r="W98" s="82" t="str">
        <f t="shared" si="51"/>
        <v/>
      </c>
      <c r="X98" s="50"/>
      <c r="Y98" s="85">
        <f t="shared" si="82"/>
        <v>0</v>
      </c>
      <c r="Z98" s="82" t="str">
        <f t="shared" si="52"/>
        <v/>
      </c>
      <c r="AA98" s="50"/>
      <c r="AB98" s="85">
        <f t="shared" si="83"/>
        <v>0</v>
      </c>
      <c r="AC98" s="82" t="str">
        <f t="shared" si="53"/>
        <v/>
      </c>
      <c r="AD98" s="50"/>
      <c r="AE98" s="85">
        <f t="shared" si="84"/>
        <v>0</v>
      </c>
      <c r="AF98" s="82" t="str">
        <f t="shared" si="54"/>
        <v/>
      </c>
      <c r="AG98" s="50"/>
      <c r="AH98" s="85">
        <f t="shared" si="85"/>
        <v>0</v>
      </c>
      <c r="AI98" s="82" t="str">
        <f t="shared" si="55"/>
        <v/>
      </c>
      <c r="AJ98" s="50"/>
      <c r="AK98" s="85">
        <f t="shared" si="86"/>
        <v>0</v>
      </c>
      <c r="AL98" s="82" t="str">
        <f t="shared" si="56"/>
        <v/>
      </c>
      <c r="AM98" s="50"/>
      <c r="AN98" s="85">
        <f t="shared" si="87"/>
        <v>0</v>
      </c>
      <c r="AO98" s="82" t="str">
        <f t="shared" si="57"/>
        <v/>
      </c>
      <c r="AP98" s="48">
        <f t="shared" si="45"/>
        <v>1719.9</v>
      </c>
      <c r="AQ98" s="85">
        <f t="shared" si="88"/>
        <v>25334.127</v>
      </c>
      <c r="AR98" s="82">
        <f t="shared" si="58"/>
        <v>0.80862647747468197</v>
      </c>
      <c r="AS98" s="48">
        <f t="shared" si="46"/>
        <v>407.03999999999996</v>
      </c>
      <c r="AT98" s="85">
        <f t="shared" si="89"/>
        <v>5995.6992</v>
      </c>
      <c r="AU98" s="82">
        <f t="shared" si="59"/>
        <v>0.19137352252531803</v>
      </c>
    </row>
    <row r="99" spans="1:47" ht="75">
      <c r="A99" s="16"/>
      <c r="B99" s="97" t="s">
        <v>730</v>
      </c>
      <c r="C99" s="167" t="s">
        <v>731</v>
      </c>
      <c r="D99" s="86" t="s">
        <v>732</v>
      </c>
      <c r="E99" s="97" t="s">
        <v>51</v>
      </c>
      <c r="F99" s="172">
        <v>633.55999999999995</v>
      </c>
      <c r="G99" s="97">
        <v>55.84</v>
      </c>
      <c r="H99" s="85">
        <f t="shared" si="76"/>
        <v>35377.990400000002</v>
      </c>
      <c r="I99" s="50">
        <f t="shared" si="62"/>
        <v>11.58</v>
      </c>
      <c r="J99" s="85">
        <f t="shared" si="77"/>
        <v>7336.6247999999996</v>
      </c>
      <c r="K99" s="82">
        <f t="shared" si="47"/>
        <v>0.20737822349570201</v>
      </c>
      <c r="L99" s="50"/>
      <c r="M99" s="85">
        <f t="shared" si="78"/>
        <v>0</v>
      </c>
      <c r="N99" s="82" t="str">
        <f t="shared" si="48"/>
        <v/>
      </c>
      <c r="O99" s="50">
        <v>11.58</v>
      </c>
      <c r="P99" s="85">
        <f t="shared" si="79"/>
        <v>7336.6247999999996</v>
      </c>
      <c r="Q99" s="82">
        <f t="shared" si="49"/>
        <v>0.20737822349570201</v>
      </c>
      <c r="R99" s="50">
        <v>10.37</v>
      </c>
      <c r="S99" s="85">
        <f t="shared" si="80"/>
        <v>6570.0171999999993</v>
      </c>
      <c r="T99" s="82">
        <f t="shared" si="50"/>
        <v>0.18570916905444124</v>
      </c>
      <c r="U99" s="50"/>
      <c r="V99" s="85">
        <f t="shared" si="81"/>
        <v>0</v>
      </c>
      <c r="W99" s="82" t="str">
        <f t="shared" si="51"/>
        <v/>
      </c>
      <c r="X99" s="50"/>
      <c r="Y99" s="85">
        <f t="shared" si="82"/>
        <v>0</v>
      </c>
      <c r="Z99" s="82" t="str">
        <f t="shared" si="52"/>
        <v/>
      </c>
      <c r="AA99" s="50"/>
      <c r="AB99" s="85">
        <f t="shared" si="83"/>
        <v>0</v>
      </c>
      <c r="AC99" s="82" t="str">
        <f t="shared" si="53"/>
        <v/>
      </c>
      <c r="AD99" s="50"/>
      <c r="AE99" s="85">
        <f t="shared" si="84"/>
        <v>0</v>
      </c>
      <c r="AF99" s="82" t="str">
        <f t="shared" si="54"/>
        <v/>
      </c>
      <c r="AG99" s="50"/>
      <c r="AH99" s="85">
        <f t="shared" si="85"/>
        <v>0</v>
      </c>
      <c r="AI99" s="82" t="str">
        <f t="shared" si="55"/>
        <v/>
      </c>
      <c r="AJ99" s="50"/>
      <c r="AK99" s="85">
        <f t="shared" si="86"/>
        <v>0</v>
      </c>
      <c r="AL99" s="82" t="str">
        <f t="shared" si="56"/>
        <v/>
      </c>
      <c r="AM99" s="50"/>
      <c r="AN99" s="85">
        <f t="shared" si="87"/>
        <v>0</v>
      </c>
      <c r="AO99" s="82" t="str">
        <f t="shared" si="57"/>
        <v/>
      </c>
      <c r="AP99" s="48">
        <f t="shared" si="45"/>
        <v>21.95</v>
      </c>
      <c r="AQ99" s="85">
        <f t="shared" si="88"/>
        <v>13906.641999999998</v>
      </c>
      <c r="AR99" s="82">
        <f t="shared" si="58"/>
        <v>0.39308739255014324</v>
      </c>
      <c r="AS99" s="48">
        <f t="shared" si="46"/>
        <v>33.89</v>
      </c>
      <c r="AT99" s="85">
        <f t="shared" si="89"/>
        <v>21471.348399999999</v>
      </c>
      <c r="AU99" s="82">
        <f t="shared" si="59"/>
        <v>0.60691260744985676</v>
      </c>
    </row>
    <row r="100" spans="1:47" ht="75">
      <c r="A100" s="16"/>
      <c r="B100" s="97" t="s">
        <v>733</v>
      </c>
      <c r="C100" s="167" t="s">
        <v>734</v>
      </c>
      <c r="D100" s="86" t="s">
        <v>735</v>
      </c>
      <c r="E100" s="97" t="s">
        <v>51</v>
      </c>
      <c r="F100" s="172">
        <v>4291.0600000000004</v>
      </c>
      <c r="G100" s="97">
        <v>1.64</v>
      </c>
      <c r="H100" s="85">
        <f t="shared" si="76"/>
        <v>7037.3384000000005</v>
      </c>
      <c r="I100" s="50">
        <f t="shared" si="62"/>
        <v>0</v>
      </c>
      <c r="J100" s="85">
        <f t="shared" si="77"/>
        <v>0</v>
      </c>
      <c r="K100" s="82" t="str">
        <f t="shared" si="47"/>
        <v/>
      </c>
      <c r="L100" s="50"/>
      <c r="M100" s="85">
        <f t="shared" si="78"/>
        <v>0</v>
      </c>
      <c r="N100" s="82" t="str">
        <f t="shared" si="48"/>
        <v/>
      </c>
      <c r="O100" s="50"/>
      <c r="P100" s="85">
        <f t="shared" si="79"/>
        <v>0</v>
      </c>
      <c r="Q100" s="82" t="str">
        <f t="shared" si="49"/>
        <v/>
      </c>
      <c r="R100" s="50">
        <v>1.6414800000000001</v>
      </c>
      <c r="S100" s="85">
        <f t="shared" si="80"/>
        <v>7043.6891688000005</v>
      </c>
      <c r="T100" s="82">
        <f t="shared" si="50"/>
        <v>1.0009024390243904</v>
      </c>
      <c r="U100" s="50"/>
      <c r="V100" s="85">
        <f t="shared" si="81"/>
        <v>0</v>
      </c>
      <c r="W100" s="82" t="str">
        <f t="shared" si="51"/>
        <v/>
      </c>
      <c r="X100" s="50"/>
      <c r="Y100" s="85">
        <f t="shared" si="82"/>
        <v>0</v>
      </c>
      <c r="Z100" s="82" t="str">
        <f t="shared" si="52"/>
        <v/>
      </c>
      <c r="AA100" s="50"/>
      <c r="AB100" s="85">
        <f t="shared" si="83"/>
        <v>0</v>
      </c>
      <c r="AC100" s="82" t="str">
        <f t="shared" si="53"/>
        <v/>
      </c>
      <c r="AD100" s="50"/>
      <c r="AE100" s="85">
        <f t="shared" si="84"/>
        <v>0</v>
      </c>
      <c r="AF100" s="82" t="str">
        <f t="shared" si="54"/>
        <v/>
      </c>
      <c r="AG100" s="50"/>
      <c r="AH100" s="85">
        <f t="shared" si="85"/>
        <v>0</v>
      </c>
      <c r="AI100" s="82" t="str">
        <f t="shared" si="55"/>
        <v/>
      </c>
      <c r="AJ100" s="50"/>
      <c r="AK100" s="85">
        <f t="shared" si="86"/>
        <v>0</v>
      </c>
      <c r="AL100" s="82" t="str">
        <f t="shared" si="56"/>
        <v/>
      </c>
      <c r="AM100" s="50"/>
      <c r="AN100" s="85">
        <f t="shared" si="87"/>
        <v>0</v>
      </c>
      <c r="AO100" s="82" t="str">
        <f t="shared" si="57"/>
        <v/>
      </c>
      <c r="AP100" s="48">
        <f t="shared" si="45"/>
        <v>1.6414800000000001</v>
      </c>
      <c r="AQ100" s="85">
        <f t="shared" si="88"/>
        <v>7043.6891688000005</v>
      </c>
      <c r="AR100" s="82">
        <f t="shared" si="58"/>
        <v>1.0009024390243904</v>
      </c>
      <c r="AS100" s="48">
        <f t="shared" si="46"/>
        <v>-1.4800000000001479E-3</v>
      </c>
      <c r="AT100" s="85">
        <f t="shared" si="89"/>
        <v>-6.350768800000635</v>
      </c>
      <c r="AU100" s="82">
        <f t="shared" si="59"/>
        <v>-9.0243902439033415E-4</v>
      </c>
    </row>
    <row r="101" spans="1:47" s="104" customFormat="1" ht="15" customHeight="1">
      <c r="A101" s="94"/>
      <c r="B101" s="171" t="s">
        <v>2121</v>
      </c>
      <c r="C101" s="1932" t="s">
        <v>736</v>
      </c>
      <c r="D101" s="1932"/>
      <c r="E101" s="1932"/>
      <c r="F101" s="1932"/>
      <c r="G101" s="1933"/>
      <c r="H101" s="106">
        <f>H102</f>
        <v>92937.217499999984</v>
      </c>
      <c r="I101" s="101"/>
      <c r="J101" s="106">
        <f>J102</f>
        <v>0</v>
      </c>
      <c r="K101" s="102">
        <f>J101/$H101</f>
        <v>0</v>
      </c>
      <c r="L101" s="101"/>
      <c r="M101" s="106">
        <f>M102</f>
        <v>0</v>
      </c>
      <c r="N101" s="102">
        <f>M101/$H101</f>
        <v>0</v>
      </c>
      <c r="O101" s="101"/>
      <c r="P101" s="106">
        <f>P102</f>
        <v>0</v>
      </c>
      <c r="Q101" s="102">
        <f>P101/$H101</f>
        <v>0</v>
      </c>
      <c r="R101" s="101"/>
      <c r="S101" s="106">
        <f>S102</f>
        <v>92937.217499999984</v>
      </c>
      <c r="T101" s="102">
        <f>S101/$H101</f>
        <v>1</v>
      </c>
      <c r="U101" s="101"/>
      <c r="V101" s="106">
        <f>V102</f>
        <v>0</v>
      </c>
      <c r="W101" s="102">
        <f>V101/$H101</f>
        <v>0</v>
      </c>
      <c r="X101" s="101"/>
      <c r="Y101" s="106">
        <f>Y102</f>
        <v>0</v>
      </c>
      <c r="Z101" s="102">
        <f>Y101/$H101</f>
        <v>0</v>
      </c>
      <c r="AA101" s="101"/>
      <c r="AB101" s="106">
        <f>AB102</f>
        <v>0</v>
      </c>
      <c r="AC101" s="102">
        <f>AB101/$H101</f>
        <v>0</v>
      </c>
      <c r="AD101" s="101"/>
      <c r="AE101" s="106">
        <f>AE102</f>
        <v>0</v>
      </c>
      <c r="AF101" s="102">
        <f>AE101/$H101</f>
        <v>0</v>
      </c>
      <c r="AG101" s="101"/>
      <c r="AH101" s="106">
        <f>AH102</f>
        <v>0</v>
      </c>
      <c r="AI101" s="102">
        <f>AH101/$H101</f>
        <v>0</v>
      </c>
      <c r="AJ101" s="101"/>
      <c r="AK101" s="106">
        <f>AK102</f>
        <v>0</v>
      </c>
      <c r="AL101" s="102">
        <f>AK101/$H101</f>
        <v>0</v>
      </c>
      <c r="AM101" s="101"/>
      <c r="AN101" s="106">
        <f>AN102</f>
        <v>0</v>
      </c>
      <c r="AO101" s="102">
        <f>AN101/$H101</f>
        <v>0</v>
      </c>
      <c r="AP101" s="103">
        <f t="shared" si="45"/>
        <v>0</v>
      </c>
      <c r="AQ101" s="106">
        <f>AQ102</f>
        <v>92937.217499999984</v>
      </c>
      <c r="AR101" s="102">
        <f>AQ101/$H101</f>
        <v>1</v>
      </c>
      <c r="AS101" s="103">
        <f t="shared" si="46"/>
        <v>0</v>
      </c>
      <c r="AT101" s="106">
        <f>AT102</f>
        <v>0</v>
      </c>
      <c r="AU101" s="102">
        <f>AT101/$H101</f>
        <v>0</v>
      </c>
    </row>
    <row r="102" spans="1:47" ht="150">
      <c r="A102" s="16"/>
      <c r="B102" s="119" t="s">
        <v>737</v>
      </c>
      <c r="C102" s="168" t="s">
        <v>738</v>
      </c>
      <c r="D102" s="87" t="s">
        <v>2126</v>
      </c>
      <c r="E102" s="98" t="s">
        <v>92</v>
      </c>
      <c r="F102" s="142">
        <v>42.75</v>
      </c>
      <c r="G102" s="146">
        <v>2173.9699999999998</v>
      </c>
      <c r="H102" s="85">
        <f>G102*$F102</f>
        <v>92937.217499999984</v>
      </c>
      <c r="I102" s="50">
        <f t="shared" si="62"/>
        <v>0</v>
      </c>
      <c r="J102" s="85">
        <f>I102*$F102</f>
        <v>0</v>
      </c>
      <c r="K102" s="82" t="str">
        <f t="shared" si="47"/>
        <v/>
      </c>
      <c r="L102" s="50"/>
      <c r="M102" s="85">
        <f>L102*$F102</f>
        <v>0</v>
      </c>
      <c r="N102" s="82" t="str">
        <f t="shared" si="48"/>
        <v/>
      </c>
      <c r="O102" s="50"/>
      <c r="P102" s="85">
        <f>O102*$F102</f>
        <v>0</v>
      </c>
      <c r="Q102" s="82" t="str">
        <f t="shared" si="49"/>
        <v/>
      </c>
      <c r="R102" s="50">
        <v>2173.9699999999998</v>
      </c>
      <c r="S102" s="85">
        <f>R102*$F102</f>
        <v>92937.217499999984</v>
      </c>
      <c r="T102" s="82">
        <f t="shared" si="50"/>
        <v>1</v>
      </c>
      <c r="U102" s="50"/>
      <c r="V102" s="85">
        <f>U102*$F102</f>
        <v>0</v>
      </c>
      <c r="W102" s="82" t="str">
        <f t="shared" si="51"/>
        <v/>
      </c>
      <c r="X102" s="50"/>
      <c r="Y102" s="85">
        <f>X102*$F102</f>
        <v>0</v>
      </c>
      <c r="Z102" s="82" t="str">
        <f t="shared" si="52"/>
        <v/>
      </c>
      <c r="AA102" s="50"/>
      <c r="AB102" s="85">
        <f>AA102*$F102</f>
        <v>0</v>
      </c>
      <c r="AC102" s="82" t="str">
        <f t="shared" si="53"/>
        <v/>
      </c>
      <c r="AD102" s="50"/>
      <c r="AE102" s="85">
        <f>AD102*$F102</f>
        <v>0</v>
      </c>
      <c r="AF102" s="82" t="str">
        <f t="shared" si="54"/>
        <v/>
      </c>
      <c r="AG102" s="50"/>
      <c r="AH102" s="85">
        <f>AG102*$F102</f>
        <v>0</v>
      </c>
      <c r="AI102" s="82" t="str">
        <f t="shared" si="55"/>
        <v/>
      </c>
      <c r="AJ102" s="50"/>
      <c r="AK102" s="85">
        <f>AJ102*$F102</f>
        <v>0</v>
      </c>
      <c r="AL102" s="82" t="str">
        <f t="shared" si="56"/>
        <v/>
      </c>
      <c r="AM102" s="50"/>
      <c r="AN102" s="85">
        <f>AM102*$F102</f>
        <v>0</v>
      </c>
      <c r="AO102" s="82" t="str">
        <f t="shared" si="57"/>
        <v/>
      </c>
      <c r="AP102" s="48">
        <f t="shared" si="45"/>
        <v>2173.9699999999998</v>
      </c>
      <c r="AQ102" s="85">
        <f>AP102*$F102</f>
        <v>92937.217499999984</v>
      </c>
      <c r="AR102" s="82">
        <f t="shared" si="58"/>
        <v>1</v>
      </c>
      <c r="AS102" s="48">
        <f t="shared" si="46"/>
        <v>0</v>
      </c>
      <c r="AT102" s="85">
        <f>AS102*$F102</f>
        <v>0</v>
      </c>
      <c r="AU102" s="82" t="str">
        <f t="shared" si="59"/>
        <v/>
      </c>
    </row>
    <row r="103" spans="1:47" s="104" customFormat="1" ht="15" customHeight="1">
      <c r="A103" s="94"/>
      <c r="B103" s="171" t="s">
        <v>2122</v>
      </c>
      <c r="C103" s="1932" t="s">
        <v>739</v>
      </c>
      <c r="D103" s="1932"/>
      <c r="E103" s="1932"/>
      <c r="F103" s="1932"/>
      <c r="G103" s="1933"/>
      <c r="H103" s="106">
        <f>H104+H105</f>
        <v>22138.808499999996</v>
      </c>
      <c r="I103" s="101"/>
      <c r="J103" s="106">
        <f>J104+J105</f>
        <v>0</v>
      </c>
      <c r="K103" s="102">
        <f>J103/$H103</f>
        <v>0</v>
      </c>
      <c r="L103" s="101"/>
      <c r="M103" s="106">
        <f>M104+M105</f>
        <v>0</v>
      </c>
      <c r="N103" s="102">
        <f>M103/$H103</f>
        <v>0</v>
      </c>
      <c r="O103" s="101"/>
      <c r="P103" s="106">
        <f>P104+P105</f>
        <v>0</v>
      </c>
      <c r="Q103" s="102">
        <f>P103/$H103</f>
        <v>0</v>
      </c>
      <c r="R103" s="101"/>
      <c r="S103" s="106">
        <f>S104+S105</f>
        <v>3874.1429058430276</v>
      </c>
      <c r="T103" s="102">
        <f>S103/$H103</f>
        <v>0.17499328863353367</v>
      </c>
      <c r="U103" s="101"/>
      <c r="V103" s="106">
        <f>V104+V105</f>
        <v>0</v>
      </c>
      <c r="W103" s="102">
        <f>V103/$H103</f>
        <v>0</v>
      </c>
      <c r="X103" s="101"/>
      <c r="Y103" s="106">
        <f>Y104+Y105</f>
        <v>0</v>
      </c>
      <c r="Z103" s="102">
        <f>Y103/$H103</f>
        <v>0</v>
      </c>
      <c r="AA103" s="101"/>
      <c r="AB103" s="106">
        <f>AB104+AB105</f>
        <v>0</v>
      </c>
      <c r="AC103" s="102">
        <f>AB103/$H103</f>
        <v>0</v>
      </c>
      <c r="AD103" s="101"/>
      <c r="AE103" s="106">
        <f>AE104+AE105</f>
        <v>0</v>
      </c>
      <c r="AF103" s="102">
        <f>AE103/$H103</f>
        <v>0</v>
      </c>
      <c r="AG103" s="101"/>
      <c r="AH103" s="106">
        <f>AH104+AH105</f>
        <v>0</v>
      </c>
      <c r="AI103" s="102">
        <f>AH103/$H103</f>
        <v>0</v>
      </c>
      <c r="AJ103" s="101"/>
      <c r="AK103" s="106">
        <f>AK104+AK105</f>
        <v>0</v>
      </c>
      <c r="AL103" s="102">
        <f>AK103/$H103</f>
        <v>0</v>
      </c>
      <c r="AM103" s="101"/>
      <c r="AN103" s="106">
        <f>AN104+AN105</f>
        <v>0</v>
      </c>
      <c r="AO103" s="102">
        <f>AN103/$H103</f>
        <v>0</v>
      </c>
      <c r="AP103" s="103">
        <f t="shared" si="45"/>
        <v>0</v>
      </c>
      <c r="AQ103" s="106">
        <f>AQ104+AQ105</f>
        <v>3874.1429058430276</v>
      </c>
      <c r="AR103" s="102">
        <f>AQ103/$H103</f>
        <v>0.17499328863353367</v>
      </c>
      <c r="AS103" s="103">
        <f t="shared" si="46"/>
        <v>0</v>
      </c>
      <c r="AT103" s="106">
        <f>AT104+AT105</f>
        <v>18264.66559415697</v>
      </c>
      <c r="AU103" s="102">
        <f>AT103/$H103</f>
        <v>0.82500671136646642</v>
      </c>
    </row>
    <row r="104" spans="1:47" ht="60">
      <c r="A104" s="16"/>
      <c r="B104" s="97" t="s">
        <v>740</v>
      </c>
      <c r="C104" s="167" t="s">
        <v>741</v>
      </c>
      <c r="D104" s="86" t="s">
        <v>742</v>
      </c>
      <c r="E104" s="97" t="s">
        <v>28</v>
      </c>
      <c r="F104" s="141">
        <v>21.4</v>
      </c>
      <c r="G104" s="97">
        <v>938</v>
      </c>
      <c r="H104" s="85">
        <f>G104*$F104</f>
        <v>20073.199999999997</v>
      </c>
      <c r="I104" s="50">
        <f t="shared" si="62"/>
        <v>0</v>
      </c>
      <c r="J104" s="85">
        <f>I104*$F104</f>
        <v>0</v>
      </c>
      <c r="K104" s="82" t="str">
        <f t="shared" si="47"/>
        <v/>
      </c>
      <c r="L104" s="50"/>
      <c r="M104" s="85">
        <f>L104*$F104</f>
        <v>0</v>
      </c>
      <c r="N104" s="82" t="str">
        <f t="shared" si="48"/>
        <v/>
      </c>
      <c r="O104" s="50"/>
      <c r="P104" s="85">
        <f>O104*$F104</f>
        <v>0</v>
      </c>
      <c r="Q104" s="82" t="str">
        <f t="shared" si="49"/>
        <v/>
      </c>
      <c r="R104" s="50">
        <v>152</v>
      </c>
      <c r="S104" s="85">
        <f>R104*$F104</f>
        <v>3252.7999999999997</v>
      </c>
      <c r="T104" s="82">
        <f t="shared" si="50"/>
        <v>0.16204690831556504</v>
      </c>
      <c r="U104" s="50"/>
      <c r="V104" s="85">
        <f>U104*$F104</f>
        <v>0</v>
      </c>
      <c r="W104" s="82" t="str">
        <f t="shared" si="51"/>
        <v/>
      </c>
      <c r="X104" s="50"/>
      <c r="Y104" s="85">
        <f>X104*$F104</f>
        <v>0</v>
      </c>
      <c r="Z104" s="82" t="str">
        <f t="shared" si="52"/>
        <v/>
      </c>
      <c r="AA104" s="50"/>
      <c r="AB104" s="85">
        <f>AA104*$F104</f>
        <v>0</v>
      </c>
      <c r="AC104" s="82" t="str">
        <f t="shared" si="53"/>
        <v/>
      </c>
      <c r="AD104" s="50"/>
      <c r="AE104" s="85">
        <f>AD104*$F104</f>
        <v>0</v>
      </c>
      <c r="AF104" s="82" t="str">
        <f t="shared" si="54"/>
        <v/>
      </c>
      <c r="AG104" s="50"/>
      <c r="AH104" s="85">
        <f>AG104*$F104</f>
        <v>0</v>
      </c>
      <c r="AI104" s="82" t="str">
        <f t="shared" si="55"/>
        <v/>
      </c>
      <c r="AJ104" s="50"/>
      <c r="AK104" s="85">
        <f>AJ104*$F104</f>
        <v>0</v>
      </c>
      <c r="AL104" s="82" t="str">
        <f t="shared" si="56"/>
        <v/>
      </c>
      <c r="AM104" s="50"/>
      <c r="AN104" s="85">
        <f>AM104*$F104</f>
        <v>0</v>
      </c>
      <c r="AO104" s="82" t="str">
        <f t="shared" si="57"/>
        <v/>
      </c>
      <c r="AP104" s="48">
        <f t="shared" si="45"/>
        <v>152</v>
      </c>
      <c r="AQ104" s="85">
        <f>AP104*$F104</f>
        <v>3252.7999999999997</v>
      </c>
      <c r="AR104" s="82">
        <f t="shared" si="58"/>
        <v>0.16204690831556504</v>
      </c>
      <c r="AS104" s="48">
        <f t="shared" si="46"/>
        <v>786</v>
      </c>
      <c r="AT104" s="85">
        <f>AS104*$F104</f>
        <v>16820.399999999998</v>
      </c>
      <c r="AU104" s="82">
        <f t="shared" si="59"/>
        <v>0.83795309168443499</v>
      </c>
    </row>
    <row r="105" spans="1:47" ht="45">
      <c r="A105" s="16"/>
      <c r="B105" s="97" t="s">
        <v>743</v>
      </c>
      <c r="C105" s="167" t="s">
        <v>744</v>
      </c>
      <c r="D105" s="86" t="s">
        <v>745</v>
      </c>
      <c r="E105" s="97" t="s">
        <v>746</v>
      </c>
      <c r="F105" s="141">
        <v>200.35</v>
      </c>
      <c r="G105" s="97">
        <v>10.31</v>
      </c>
      <c r="H105" s="85">
        <f>G105*$F105</f>
        <v>2065.6084999999998</v>
      </c>
      <c r="I105" s="50">
        <f t="shared" si="62"/>
        <v>0</v>
      </c>
      <c r="J105" s="85">
        <f>I105*$F105</f>
        <v>0</v>
      </c>
      <c r="K105" s="82" t="str">
        <f t="shared" si="47"/>
        <v/>
      </c>
      <c r="L105" s="50"/>
      <c r="M105" s="85">
        <f>L105*$F105</f>
        <v>0</v>
      </c>
      <c r="N105" s="82" t="str">
        <f t="shared" si="48"/>
        <v/>
      </c>
      <c r="O105" s="50"/>
      <c r="P105" s="85">
        <f>O105*$F105</f>
        <v>0</v>
      </c>
      <c r="Q105" s="82" t="str">
        <f t="shared" si="49"/>
        <v/>
      </c>
      <c r="R105" s="50">
        <v>3.101287276481298</v>
      </c>
      <c r="S105" s="85">
        <f>R105*$F105</f>
        <v>621.34290584302801</v>
      </c>
      <c r="T105" s="82">
        <f t="shared" si="50"/>
        <v>0.30080380955201724</v>
      </c>
      <c r="U105" s="50"/>
      <c r="V105" s="85">
        <f>U105*$F105</f>
        <v>0</v>
      </c>
      <c r="W105" s="82" t="str">
        <f t="shared" si="51"/>
        <v/>
      </c>
      <c r="X105" s="50"/>
      <c r="Y105" s="85">
        <f>X105*$F105</f>
        <v>0</v>
      </c>
      <c r="Z105" s="82" t="str">
        <f t="shared" si="52"/>
        <v/>
      </c>
      <c r="AA105" s="50"/>
      <c r="AB105" s="85">
        <f>AA105*$F105</f>
        <v>0</v>
      </c>
      <c r="AC105" s="82" t="str">
        <f t="shared" si="53"/>
        <v/>
      </c>
      <c r="AD105" s="50"/>
      <c r="AE105" s="85">
        <f>AD105*$F105</f>
        <v>0</v>
      </c>
      <c r="AF105" s="82" t="str">
        <f t="shared" si="54"/>
        <v/>
      </c>
      <c r="AG105" s="50"/>
      <c r="AH105" s="85">
        <f>AG105*$F105</f>
        <v>0</v>
      </c>
      <c r="AI105" s="82" t="str">
        <f t="shared" si="55"/>
        <v/>
      </c>
      <c r="AJ105" s="50"/>
      <c r="AK105" s="85">
        <f>AJ105*$F105</f>
        <v>0</v>
      </c>
      <c r="AL105" s="82" t="str">
        <f t="shared" si="56"/>
        <v/>
      </c>
      <c r="AM105" s="50"/>
      <c r="AN105" s="85">
        <f>AM105*$F105</f>
        <v>0</v>
      </c>
      <c r="AO105" s="82" t="str">
        <f t="shared" si="57"/>
        <v/>
      </c>
      <c r="AP105" s="48">
        <f t="shared" si="45"/>
        <v>3.101287276481298</v>
      </c>
      <c r="AQ105" s="85">
        <f>AP105*$F105</f>
        <v>621.34290584302801</v>
      </c>
      <c r="AR105" s="82">
        <f t="shared" si="58"/>
        <v>0.30080380955201724</v>
      </c>
      <c r="AS105" s="48">
        <f t="shared" si="46"/>
        <v>7.208712723518703</v>
      </c>
      <c r="AT105" s="85">
        <f>AS105*$F105</f>
        <v>1444.2655941569722</v>
      </c>
      <c r="AU105" s="82">
        <f t="shared" si="59"/>
        <v>0.69919619044798276</v>
      </c>
    </row>
    <row r="106" spans="1:47" s="104" customFormat="1" ht="15" customHeight="1">
      <c r="A106" s="94"/>
      <c r="B106" s="171" t="s">
        <v>2123</v>
      </c>
      <c r="C106" s="1932" t="s">
        <v>747</v>
      </c>
      <c r="D106" s="1932"/>
      <c r="E106" s="1932"/>
      <c r="F106" s="1932"/>
      <c r="G106" s="1933"/>
      <c r="H106" s="106">
        <f>SUM(H107+H108+H109)</f>
        <v>88326.330000000016</v>
      </c>
      <c r="I106" s="101"/>
      <c r="J106" s="106">
        <f>SUM(J107+J108+J109)</f>
        <v>0</v>
      </c>
      <c r="K106" s="102">
        <f>J106/$H106</f>
        <v>0</v>
      </c>
      <c r="L106" s="101"/>
      <c r="M106" s="106">
        <f>SUM(M107+M108+M109)</f>
        <v>0</v>
      </c>
      <c r="N106" s="102">
        <f>M106/$H106</f>
        <v>0</v>
      </c>
      <c r="O106" s="101"/>
      <c r="P106" s="106">
        <f>SUM(P107+P108+P109)</f>
        <v>0</v>
      </c>
      <c r="Q106" s="102">
        <f>P106/$H106</f>
        <v>0</v>
      </c>
      <c r="R106" s="101"/>
      <c r="S106" s="106">
        <f>SUM(S107+S108+S109)</f>
        <v>88326.330000000016</v>
      </c>
      <c r="T106" s="102">
        <f>S106/$H106</f>
        <v>1</v>
      </c>
      <c r="U106" s="101"/>
      <c r="V106" s="106">
        <f>SUM(V107+V108+V109)</f>
        <v>0</v>
      </c>
      <c r="W106" s="102">
        <f>V106/$H106</f>
        <v>0</v>
      </c>
      <c r="X106" s="101"/>
      <c r="Y106" s="106">
        <f>SUM(Y107+Y108+Y109)</f>
        <v>0</v>
      </c>
      <c r="Z106" s="102">
        <f>Y106/$H106</f>
        <v>0</v>
      </c>
      <c r="AA106" s="101"/>
      <c r="AB106" s="106">
        <f>SUM(AB107+AB108+AB109)</f>
        <v>0</v>
      </c>
      <c r="AC106" s="102">
        <f>AB106/$H106</f>
        <v>0</v>
      </c>
      <c r="AD106" s="101"/>
      <c r="AE106" s="106">
        <f>SUM(AE107+AE108+AE109)</f>
        <v>0</v>
      </c>
      <c r="AF106" s="102">
        <f>AE106/$H106</f>
        <v>0</v>
      </c>
      <c r="AG106" s="101"/>
      <c r="AH106" s="106">
        <f>SUM(AH107+AH108+AH109)</f>
        <v>0</v>
      </c>
      <c r="AI106" s="102">
        <f>AH106/$H106</f>
        <v>0</v>
      </c>
      <c r="AJ106" s="101"/>
      <c r="AK106" s="106">
        <f>SUM(AK107+AK108+AK109)</f>
        <v>0</v>
      </c>
      <c r="AL106" s="102">
        <f>AK106/$H106</f>
        <v>0</v>
      </c>
      <c r="AM106" s="101"/>
      <c r="AN106" s="106">
        <f>SUM(AN107+AN108+AN109)</f>
        <v>0</v>
      </c>
      <c r="AO106" s="102">
        <f>AN106/$H106</f>
        <v>0</v>
      </c>
      <c r="AP106" s="103">
        <f t="shared" si="45"/>
        <v>0</v>
      </c>
      <c r="AQ106" s="106">
        <f>SUM(AQ107+AQ108+AQ109)</f>
        <v>88326.330000000016</v>
      </c>
      <c r="AR106" s="102">
        <f>AQ106/$H106</f>
        <v>1</v>
      </c>
      <c r="AS106" s="103">
        <f t="shared" si="46"/>
        <v>0</v>
      </c>
      <c r="AT106" s="106">
        <f>SUM(AT107+AT108+AT109)</f>
        <v>0</v>
      </c>
      <c r="AU106" s="102">
        <f>AT106/$H106</f>
        <v>0</v>
      </c>
    </row>
    <row r="107" spans="1:47" ht="45">
      <c r="A107" s="16"/>
      <c r="B107" s="97" t="s">
        <v>748</v>
      </c>
      <c r="C107" s="167" t="s">
        <v>749</v>
      </c>
      <c r="D107" s="86" t="s">
        <v>750</v>
      </c>
      <c r="E107" s="97" t="s">
        <v>28</v>
      </c>
      <c r="F107" s="141">
        <v>8445.4500000000007</v>
      </c>
      <c r="G107" s="97">
        <v>1</v>
      </c>
      <c r="H107" s="85">
        <f t="shared" ref="H107:H117" si="90">G107*$F107</f>
        <v>8445.4500000000007</v>
      </c>
      <c r="I107" s="50">
        <f t="shared" si="62"/>
        <v>0</v>
      </c>
      <c r="J107" s="85">
        <f>I107*$F107</f>
        <v>0</v>
      </c>
      <c r="K107" s="82" t="str">
        <f t="shared" si="47"/>
        <v/>
      </c>
      <c r="L107" s="50"/>
      <c r="M107" s="85">
        <f>L107*$F107</f>
        <v>0</v>
      </c>
      <c r="N107" s="82" t="str">
        <f t="shared" si="48"/>
        <v/>
      </c>
      <c r="O107" s="50"/>
      <c r="P107" s="85">
        <f>O107*$F107</f>
        <v>0</v>
      </c>
      <c r="Q107" s="82" t="str">
        <f t="shared" si="49"/>
        <v/>
      </c>
      <c r="R107" s="50">
        <v>1</v>
      </c>
      <c r="S107" s="85">
        <f>R107*$F107</f>
        <v>8445.4500000000007</v>
      </c>
      <c r="T107" s="82">
        <f t="shared" si="50"/>
        <v>1</v>
      </c>
      <c r="U107" s="50"/>
      <c r="V107" s="85">
        <f>U107*$F107</f>
        <v>0</v>
      </c>
      <c r="W107" s="82" t="str">
        <f t="shared" si="51"/>
        <v/>
      </c>
      <c r="X107" s="50"/>
      <c r="Y107" s="85">
        <f>X107*$F107</f>
        <v>0</v>
      </c>
      <c r="Z107" s="82" t="str">
        <f t="shared" si="52"/>
        <v/>
      </c>
      <c r="AA107" s="50"/>
      <c r="AB107" s="85">
        <f>AA107*$F107</f>
        <v>0</v>
      </c>
      <c r="AC107" s="82" t="str">
        <f t="shared" si="53"/>
        <v/>
      </c>
      <c r="AD107" s="50"/>
      <c r="AE107" s="85">
        <f>AD107*$F107</f>
        <v>0</v>
      </c>
      <c r="AF107" s="82" t="str">
        <f t="shared" si="54"/>
        <v/>
      </c>
      <c r="AG107" s="50"/>
      <c r="AH107" s="85">
        <f>AG107*$F107</f>
        <v>0</v>
      </c>
      <c r="AI107" s="82" t="str">
        <f t="shared" si="55"/>
        <v/>
      </c>
      <c r="AJ107" s="50"/>
      <c r="AK107" s="85">
        <f>AJ107*$F107</f>
        <v>0</v>
      </c>
      <c r="AL107" s="82" t="str">
        <f t="shared" si="56"/>
        <v/>
      </c>
      <c r="AM107" s="50"/>
      <c r="AN107" s="85">
        <f>AM107*$F107</f>
        <v>0</v>
      </c>
      <c r="AO107" s="82" t="str">
        <f t="shared" si="57"/>
        <v/>
      </c>
      <c r="AP107" s="48">
        <f t="shared" si="45"/>
        <v>1</v>
      </c>
      <c r="AQ107" s="85">
        <f>AP107*$F107</f>
        <v>8445.4500000000007</v>
      </c>
      <c r="AR107" s="82">
        <f t="shared" si="58"/>
        <v>1</v>
      </c>
      <c r="AS107" s="48">
        <f t="shared" si="46"/>
        <v>0</v>
      </c>
      <c r="AT107" s="85">
        <f>AS107*$F107</f>
        <v>0</v>
      </c>
      <c r="AU107" s="82" t="str">
        <f t="shared" si="59"/>
        <v/>
      </c>
    </row>
    <row r="108" spans="1:47" ht="60">
      <c r="A108" s="16"/>
      <c r="B108" s="97" t="s">
        <v>751</v>
      </c>
      <c r="C108" s="167" t="s">
        <v>752</v>
      </c>
      <c r="D108" s="86" t="s">
        <v>753</v>
      </c>
      <c r="E108" s="97" t="s">
        <v>44</v>
      </c>
      <c r="F108" s="141">
        <v>272.67</v>
      </c>
      <c r="G108" s="97">
        <v>144</v>
      </c>
      <c r="H108" s="85">
        <f t="shared" si="90"/>
        <v>39264.480000000003</v>
      </c>
      <c r="I108" s="50">
        <f t="shared" si="62"/>
        <v>0</v>
      </c>
      <c r="J108" s="85">
        <f>I108*$F108</f>
        <v>0</v>
      </c>
      <c r="K108" s="82" t="str">
        <f t="shared" si="47"/>
        <v/>
      </c>
      <c r="L108" s="50"/>
      <c r="M108" s="85">
        <f>L108*$F108</f>
        <v>0</v>
      </c>
      <c r="N108" s="82" t="str">
        <f t="shared" si="48"/>
        <v/>
      </c>
      <c r="O108" s="50"/>
      <c r="P108" s="85">
        <f>O108*$F108</f>
        <v>0</v>
      </c>
      <c r="Q108" s="82" t="str">
        <f t="shared" si="49"/>
        <v/>
      </c>
      <c r="R108" s="50">
        <v>144</v>
      </c>
      <c r="S108" s="85">
        <f>R108*$F108</f>
        <v>39264.480000000003</v>
      </c>
      <c r="T108" s="82">
        <f t="shared" si="50"/>
        <v>1</v>
      </c>
      <c r="U108" s="50"/>
      <c r="V108" s="85">
        <f>U108*$F108</f>
        <v>0</v>
      </c>
      <c r="W108" s="82" t="str">
        <f t="shared" si="51"/>
        <v/>
      </c>
      <c r="X108" s="50"/>
      <c r="Y108" s="85">
        <f>X108*$F108</f>
        <v>0</v>
      </c>
      <c r="Z108" s="82" t="str">
        <f t="shared" si="52"/>
        <v/>
      </c>
      <c r="AA108" s="50"/>
      <c r="AB108" s="85">
        <f>AA108*$F108</f>
        <v>0</v>
      </c>
      <c r="AC108" s="82" t="str">
        <f t="shared" si="53"/>
        <v/>
      </c>
      <c r="AD108" s="50"/>
      <c r="AE108" s="85">
        <f>AD108*$F108</f>
        <v>0</v>
      </c>
      <c r="AF108" s="82" t="str">
        <f t="shared" si="54"/>
        <v/>
      </c>
      <c r="AG108" s="50"/>
      <c r="AH108" s="85">
        <f>AG108*$F108</f>
        <v>0</v>
      </c>
      <c r="AI108" s="82" t="str">
        <f t="shared" si="55"/>
        <v/>
      </c>
      <c r="AJ108" s="50"/>
      <c r="AK108" s="85">
        <f>AJ108*$F108</f>
        <v>0</v>
      </c>
      <c r="AL108" s="82" t="str">
        <f t="shared" si="56"/>
        <v/>
      </c>
      <c r="AM108" s="50"/>
      <c r="AN108" s="85">
        <f>AM108*$F108</f>
        <v>0</v>
      </c>
      <c r="AO108" s="82" t="str">
        <f t="shared" si="57"/>
        <v/>
      </c>
      <c r="AP108" s="48">
        <f t="shared" si="45"/>
        <v>144</v>
      </c>
      <c r="AQ108" s="85">
        <f>AP108*$F108</f>
        <v>39264.480000000003</v>
      </c>
      <c r="AR108" s="82">
        <f t="shared" si="58"/>
        <v>1</v>
      </c>
      <c r="AS108" s="48">
        <f t="shared" si="46"/>
        <v>0</v>
      </c>
      <c r="AT108" s="85">
        <f>AS108*$F108</f>
        <v>0</v>
      </c>
      <c r="AU108" s="82" t="str">
        <f t="shared" si="59"/>
        <v/>
      </c>
    </row>
    <row r="109" spans="1:47" ht="60">
      <c r="A109" s="16"/>
      <c r="B109" s="97" t="s">
        <v>754</v>
      </c>
      <c r="C109" s="167" t="s">
        <v>755</v>
      </c>
      <c r="D109" s="86" t="s">
        <v>756</v>
      </c>
      <c r="E109" s="97" t="s">
        <v>44</v>
      </c>
      <c r="F109" s="141">
        <v>307.7</v>
      </c>
      <c r="G109" s="97">
        <v>132</v>
      </c>
      <c r="H109" s="85">
        <f t="shared" si="90"/>
        <v>40616.400000000001</v>
      </c>
      <c r="I109" s="50">
        <f t="shared" si="62"/>
        <v>0</v>
      </c>
      <c r="J109" s="85">
        <f>I109*$F109</f>
        <v>0</v>
      </c>
      <c r="K109" s="82" t="str">
        <f t="shared" si="47"/>
        <v/>
      </c>
      <c r="L109" s="50"/>
      <c r="M109" s="85">
        <f>L109*$F109</f>
        <v>0</v>
      </c>
      <c r="N109" s="82" t="str">
        <f t="shared" si="48"/>
        <v/>
      </c>
      <c r="O109" s="50"/>
      <c r="P109" s="85">
        <f>O109*$F109</f>
        <v>0</v>
      </c>
      <c r="Q109" s="82" t="str">
        <f t="shared" si="49"/>
        <v/>
      </c>
      <c r="R109" s="50">
        <v>132</v>
      </c>
      <c r="S109" s="85">
        <f>R109*$F109</f>
        <v>40616.400000000001</v>
      </c>
      <c r="T109" s="82">
        <f t="shared" si="50"/>
        <v>1</v>
      </c>
      <c r="U109" s="50"/>
      <c r="V109" s="85">
        <f>U109*$F109</f>
        <v>0</v>
      </c>
      <c r="W109" s="82" t="str">
        <f t="shared" si="51"/>
        <v/>
      </c>
      <c r="X109" s="50"/>
      <c r="Y109" s="85">
        <f>X109*$F109</f>
        <v>0</v>
      </c>
      <c r="Z109" s="82" t="str">
        <f t="shared" si="52"/>
        <v/>
      </c>
      <c r="AA109" s="50"/>
      <c r="AB109" s="85">
        <f>AA109*$F109</f>
        <v>0</v>
      </c>
      <c r="AC109" s="82" t="str">
        <f t="shared" si="53"/>
        <v/>
      </c>
      <c r="AD109" s="50"/>
      <c r="AE109" s="85">
        <f>AD109*$F109</f>
        <v>0</v>
      </c>
      <c r="AF109" s="82" t="str">
        <f t="shared" si="54"/>
        <v/>
      </c>
      <c r="AG109" s="50"/>
      <c r="AH109" s="85">
        <f>AG109*$F109</f>
        <v>0</v>
      </c>
      <c r="AI109" s="82" t="str">
        <f t="shared" si="55"/>
        <v/>
      </c>
      <c r="AJ109" s="50"/>
      <c r="AK109" s="85">
        <f>AJ109*$F109</f>
        <v>0</v>
      </c>
      <c r="AL109" s="82" t="str">
        <f t="shared" si="56"/>
        <v/>
      </c>
      <c r="AM109" s="50"/>
      <c r="AN109" s="85">
        <f>AM109*$F109</f>
        <v>0</v>
      </c>
      <c r="AO109" s="82" t="str">
        <f t="shared" si="57"/>
        <v/>
      </c>
      <c r="AP109" s="48">
        <f t="shared" si="45"/>
        <v>132</v>
      </c>
      <c r="AQ109" s="85">
        <f>AP109*$F109</f>
        <v>40616.400000000001</v>
      </c>
      <c r="AR109" s="82">
        <f t="shared" si="58"/>
        <v>1</v>
      </c>
      <c r="AS109" s="48">
        <f t="shared" si="46"/>
        <v>0</v>
      </c>
      <c r="AT109" s="85">
        <f>AS109*$F109</f>
        <v>0</v>
      </c>
      <c r="AU109" s="82" t="str">
        <f t="shared" si="59"/>
        <v/>
      </c>
    </row>
    <row r="110" spans="1:47" s="104" customFormat="1">
      <c r="A110" s="94"/>
      <c r="B110" s="171" t="s">
        <v>2124</v>
      </c>
      <c r="C110" s="1932" t="s">
        <v>757</v>
      </c>
      <c r="D110" s="1932"/>
      <c r="E110" s="1932"/>
      <c r="F110" s="1932"/>
      <c r="G110" s="1933"/>
      <c r="H110" s="106">
        <f>H111+H112</f>
        <v>12496.429</v>
      </c>
      <c r="I110" s="101"/>
      <c r="J110" s="106">
        <f>J111+J112</f>
        <v>0</v>
      </c>
      <c r="K110" s="102">
        <f>J110/$H110</f>
        <v>0</v>
      </c>
      <c r="L110" s="101"/>
      <c r="M110" s="106">
        <f>M111+M112</f>
        <v>0</v>
      </c>
      <c r="N110" s="102">
        <f>M110/$H110</f>
        <v>0</v>
      </c>
      <c r="O110" s="101"/>
      <c r="P110" s="106">
        <f>P111+P112</f>
        <v>0</v>
      </c>
      <c r="Q110" s="102">
        <f>P110/$H110</f>
        <v>0</v>
      </c>
      <c r="R110" s="101"/>
      <c r="S110" s="106">
        <f>S111+S112</f>
        <v>0</v>
      </c>
      <c r="T110" s="102">
        <f>S110/$H110</f>
        <v>0</v>
      </c>
      <c r="U110" s="101"/>
      <c r="V110" s="106">
        <f>V111+V112</f>
        <v>0</v>
      </c>
      <c r="W110" s="102">
        <f>V110/$H110</f>
        <v>0</v>
      </c>
      <c r="X110" s="101"/>
      <c r="Y110" s="106">
        <f>Y111+Y112</f>
        <v>0</v>
      </c>
      <c r="Z110" s="102">
        <f>Y110/$H110</f>
        <v>0</v>
      </c>
      <c r="AA110" s="101"/>
      <c r="AB110" s="106">
        <f>AB111+AB112</f>
        <v>0</v>
      </c>
      <c r="AC110" s="102">
        <f>AB110/$H110</f>
        <v>0</v>
      </c>
      <c r="AD110" s="101"/>
      <c r="AE110" s="106">
        <f>AE111+AE112</f>
        <v>0</v>
      </c>
      <c r="AF110" s="102">
        <f>AE110/$H110</f>
        <v>0</v>
      </c>
      <c r="AG110" s="101"/>
      <c r="AH110" s="106">
        <f>AH111+AH112</f>
        <v>0</v>
      </c>
      <c r="AI110" s="102">
        <f>AH110/$H110</f>
        <v>0</v>
      </c>
      <c r="AJ110" s="101"/>
      <c r="AK110" s="106">
        <f>AK111+AK112</f>
        <v>0</v>
      </c>
      <c r="AL110" s="102">
        <f>AK110/$H110</f>
        <v>0</v>
      </c>
      <c r="AM110" s="101"/>
      <c r="AN110" s="106">
        <f>AN111+AN112</f>
        <v>0</v>
      </c>
      <c r="AO110" s="102">
        <f>AN110/$H110</f>
        <v>0</v>
      </c>
      <c r="AP110" s="103">
        <f t="shared" si="45"/>
        <v>0</v>
      </c>
      <c r="AQ110" s="106">
        <f>AQ111+AQ112</f>
        <v>0</v>
      </c>
      <c r="AR110" s="102">
        <f>AQ110/$H110</f>
        <v>0</v>
      </c>
      <c r="AS110" s="103">
        <f t="shared" si="46"/>
        <v>0</v>
      </c>
      <c r="AT110" s="106">
        <f>AT111+AT112</f>
        <v>12496.429</v>
      </c>
      <c r="AU110" s="102">
        <f>AT110/$H110</f>
        <v>1</v>
      </c>
    </row>
    <row r="111" spans="1:47" ht="30">
      <c r="A111" s="16"/>
      <c r="B111" s="97" t="s">
        <v>758</v>
      </c>
      <c r="C111" s="167" t="s">
        <v>759</v>
      </c>
      <c r="D111" s="86" t="s">
        <v>760</v>
      </c>
      <c r="E111" s="97" t="s">
        <v>12</v>
      </c>
      <c r="F111" s="141">
        <v>79.09</v>
      </c>
      <c r="G111" s="97">
        <v>108.1</v>
      </c>
      <c r="H111" s="85">
        <f t="shared" si="90"/>
        <v>8549.6290000000008</v>
      </c>
      <c r="I111" s="50">
        <f t="shared" si="62"/>
        <v>0</v>
      </c>
      <c r="J111" s="85">
        <f>I111*$F111</f>
        <v>0</v>
      </c>
      <c r="K111" s="82" t="str">
        <f t="shared" si="47"/>
        <v/>
      </c>
      <c r="L111" s="50"/>
      <c r="M111" s="85">
        <f>L111*$F111</f>
        <v>0</v>
      </c>
      <c r="N111" s="82" t="str">
        <f t="shared" si="48"/>
        <v/>
      </c>
      <c r="O111" s="50"/>
      <c r="P111" s="85">
        <f>O111*$F111</f>
        <v>0</v>
      </c>
      <c r="Q111" s="82" t="str">
        <f t="shared" si="49"/>
        <v/>
      </c>
      <c r="R111" s="50"/>
      <c r="S111" s="85">
        <f>R111*$F111</f>
        <v>0</v>
      </c>
      <c r="T111" s="82" t="str">
        <f t="shared" si="50"/>
        <v/>
      </c>
      <c r="U111" s="50"/>
      <c r="V111" s="85">
        <f>U111*$F111</f>
        <v>0</v>
      </c>
      <c r="W111" s="82" t="str">
        <f t="shared" si="51"/>
        <v/>
      </c>
      <c r="X111" s="50"/>
      <c r="Y111" s="85">
        <f>X111*$F111</f>
        <v>0</v>
      </c>
      <c r="Z111" s="82" t="str">
        <f t="shared" si="52"/>
        <v/>
      </c>
      <c r="AA111" s="50"/>
      <c r="AB111" s="85">
        <f>AA111*$F111</f>
        <v>0</v>
      </c>
      <c r="AC111" s="82" t="str">
        <f t="shared" si="53"/>
        <v/>
      </c>
      <c r="AD111" s="50"/>
      <c r="AE111" s="85">
        <f>AD111*$F111</f>
        <v>0</v>
      </c>
      <c r="AF111" s="82" t="str">
        <f t="shared" si="54"/>
        <v/>
      </c>
      <c r="AG111" s="50"/>
      <c r="AH111" s="85">
        <f>AG111*$F111</f>
        <v>0</v>
      </c>
      <c r="AI111" s="82" t="str">
        <f t="shared" si="55"/>
        <v/>
      </c>
      <c r="AJ111" s="50"/>
      <c r="AK111" s="85">
        <f>AJ111*$F111</f>
        <v>0</v>
      </c>
      <c r="AL111" s="82" t="str">
        <f t="shared" si="56"/>
        <v/>
      </c>
      <c r="AM111" s="50"/>
      <c r="AN111" s="85">
        <f>AM111*$F111</f>
        <v>0</v>
      </c>
      <c r="AO111" s="82" t="str">
        <f t="shared" si="57"/>
        <v/>
      </c>
      <c r="AP111" s="48">
        <f t="shared" si="45"/>
        <v>0</v>
      </c>
      <c r="AQ111" s="85">
        <f>AP111*$F111</f>
        <v>0</v>
      </c>
      <c r="AR111" s="82" t="str">
        <f t="shared" si="58"/>
        <v/>
      </c>
      <c r="AS111" s="48">
        <f t="shared" si="46"/>
        <v>108.1</v>
      </c>
      <c r="AT111" s="85">
        <f>AS111*$F111</f>
        <v>8549.6290000000008</v>
      </c>
      <c r="AU111" s="82">
        <f t="shared" si="59"/>
        <v>1</v>
      </c>
    </row>
    <row r="112" spans="1:47" ht="30">
      <c r="A112" s="16"/>
      <c r="B112" s="97" t="s">
        <v>761</v>
      </c>
      <c r="C112" s="167" t="s">
        <v>762</v>
      </c>
      <c r="D112" s="86" t="s">
        <v>763</v>
      </c>
      <c r="E112" s="97" t="s">
        <v>12</v>
      </c>
      <c r="F112" s="141">
        <v>17.940000000000001</v>
      </c>
      <c r="G112" s="97">
        <v>220</v>
      </c>
      <c r="H112" s="85">
        <f t="shared" si="90"/>
        <v>3946.8</v>
      </c>
      <c r="I112" s="50">
        <f t="shared" si="62"/>
        <v>0</v>
      </c>
      <c r="J112" s="85">
        <f>I112*$F112</f>
        <v>0</v>
      </c>
      <c r="K112" s="82" t="str">
        <f t="shared" si="47"/>
        <v/>
      </c>
      <c r="L112" s="50"/>
      <c r="M112" s="85">
        <f>L112*$F112</f>
        <v>0</v>
      </c>
      <c r="N112" s="82" t="str">
        <f t="shared" si="48"/>
        <v/>
      </c>
      <c r="O112" s="50"/>
      <c r="P112" s="85">
        <f>O112*$F112</f>
        <v>0</v>
      </c>
      <c r="Q112" s="82" t="str">
        <f t="shared" si="49"/>
        <v/>
      </c>
      <c r="R112" s="50"/>
      <c r="S112" s="85">
        <f>R112*$F112</f>
        <v>0</v>
      </c>
      <c r="T112" s="82" t="str">
        <f t="shared" si="50"/>
        <v/>
      </c>
      <c r="U112" s="50"/>
      <c r="V112" s="85">
        <f>U112*$F112</f>
        <v>0</v>
      </c>
      <c r="W112" s="82" t="str">
        <f t="shared" si="51"/>
        <v/>
      </c>
      <c r="X112" s="50"/>
      <c r="Y112" s="85">
        <f>X112*$F112</f>
        <v>0</v>
      </c>
      <c r="Z112" s="82" t="str">
        <f t="shared" si="52"/>
        <v/>
      </c>
      <c r="AA112" s="50"/>
      <c r="AB112" s="85">
        <f>AA112*$F112</f>
        <v>0</v>
      </c>
      <c r="AC112" s="82" t="str">
        <f t="shared" si="53"/>
        <v/>
      </c>
      <c r="AD112" s="50"/>
      <c r="AE112" s="85">
        <f>AD112*$F112</f>
        <v>0</v>
      </c>
      <c r="AF112" s="82" t="str">
        <f t="shared" si="54"/>
        <v/>
      </c>
      <c r="AG112" s="50"/>
      <c r="AH112" s="85">
        <f>AG112*$F112</f>
        <v>0</v>
      </c>
      <c r="AI112" s="82" t="str">
        <f t="shared" si="55"/>
        <v/>
      </c>
      <c r="AJ112" s="50"/>
      <c r="AK112" s="85">
        <f>AJ112*$F112</f>
        <v>0</v>
      </c>
      <c r="AL112" s="82" t="str">
        <f t="shared" si="56"/>
        <v/>
      </c>
      <c r="AM112" s="50"/>
      <c r="AN112" s="85">
        <f>AM112*$F112</f>
        <v>0</v>
      </c>
      <c r="AO112" s="82" t="str">
        <f t="shared" si="57"/>
        <v/>
      </c>
      <c r="AP112" s="48">
        <f t="shared" si="45"/>
        <v>0</v>
      </c>
      <c r="AQ112" s="85">
        <f>AP112*$F112</f>
        <v>0</v>
      </c>
      <c r="AR112" s="82" t="str">
        <f t="shared" si="58"/>
        <v/>
      </c>
      <c r="AS112" s="48">
        <f t="shared" si="46"/>
        <v>220</v>
      </c>
      <c r="AT112" s="85">
        <f>AS112*$F112</f>
        <v>3946.8</v>
      </c>
      <c r="AU112" s="82">
        <f t="shared" si="59"/>
        <v>1</v>
      </c>
    </row>
    <row r="113" spans="1:47" s="104" customFormat="1" ht="15" customHeight="1">
      <c r="A113" s="94"/>
      <c r="B113" s="171" t="s">
        <v>2125</v>
      </c>
      <c r="C113" s="1932" t="s">
        <v>764</v>
      </c>
      <c r="D113" s="1932"/>
      <c r="E113" s="1932"/>
      <c r="F113" s="1932"/>
      <c r="G113" s="1933"/>
      <c r="H113" s="106">
        <f>SUM(H114:H117)</f>
        <v>25923.946400000001</v>
      </c>
      <c r="I113" s="101"/>
      <c r="J113" s="106">
        <f>SUM(J114:J117)</f>
        <v>0</v>
      </c>
      <c r="K113" s="102">
        <f>J113/$H113</f>
        <v>0</v>
      </c>
      <c r="L113" s="101"/>
      <c r="M113" s="106">
        <f>SUM(M114:M117)</f>
        <v>0</v>
      </c>
      <c r="N113" s="102">
        <f>M113/$H113</f>
        <v>0</v>
      </c>
      <c r="O113" s="101"/>
      <c r="P113" s="106">
        <f>SUM(P114:P117)</f>
        <v>0</v>
      </c>
      <c r="Q113" s="102">
        <f>P113/$H113</f>
        <v>0</v>
      </c>
      <c r="R113" s="101"/>
      <c r="S113" s="106">
        <f>SUM(S114:S117)</f>
        <v>0</v>
      </c>
      <c r="T113" s="102">
        <f>S113/$H113</f>
        <v>0</v>
      </c>
      <c r="U113" s="101"/>
      <c r="V113" s="106">
        <f>SUM(V114:V117)</f>
        <v>0</v>
      </c>
      <c r="W113" s="102">
        <f>V113/$H113</f>
        <v>0</v>
      </c>
      <c r="X113" s="101"/>
      <c r="Y113" s="106">
        <f>SUM(Y114:Y117)</f>
        <v>0</v>
      </c>
      <c r="Z113" s="102">
        <f>Y113/$H113</f>
        <v>0</v>
      </c>
      <c r="AA113" s="101"/>
      <c r="AB113" s="106">
        <f>SUM(AB114:AB117)</f>
        <v>0</v>
      </c>
      <c r="AC113" s="102">
        <f>AB113/$H113</f>
        <v>0</v>
      </c>
      <c r="AD113" s="101"/>
      <c r="AE113" s="106">
        <f>SUM(AE114:AE117)</f>
        <v>0</v>
      </c>
      <c r="AF113" s="102">
        <f>AE113/$H113</f>
        <v>0</v>
      </c>
      <c r="AG113" s="101"/>
      <c r="AH113" s="106">
        <f>SUM(AH114:AH117)</f>
        <v>0</v>
      </c>
      <c r="AI113" s="102">
        <f>AH113/$H113</f>
        <v>0</v>
      </c>
      <c r="AJ113" s="101"/>
      <c r="AK113" s="106">
        <f>SUM(AK114:AK117)</f>
        <v>0</v>
      </c>
      <c r="AL113" s="102">
        <f>AK113/$H113</f>
        <v>0</v>
      </c>
      <c r="AM113" s="101"/>
      <c r="AN113" s="106">
        <f>SUM(AN114:AN117)</f>
        <v>0</v>
      </c>
      <c r="AO113" s="102">
        <f>AN113/$H113</f>
        <v>0</v>
      </c>
      <c r="AP113" s="103">
        <f t="shared" si="45"/>
        <v>0</v>
      </c>
      <c r="AQ113" s="106">
        <f>SUM(AQ114:AQ117)</f>
        <v>0</v>
      </c>
      <c r="AR113" s="102">
        <f>AQ113/$H113</f>
        <v>0</v>
      </c>
      <c r="AS113" s="103">
        <f t="shared" si="46"/>
        <v>0</v>
      </c>
      <c r="AT113" s="106">
        <f>SUM(AT114:AT117)</f>
        <v>25923.946400000001</v>
      </c>
      <c r="AU113" s="102">
        <f>AT113/$H113</f>
        <v>1</v>
      </c>
    </row>
    <row r="114" spans="1:47" ht="60">
      <c r="A114" s="16"/>
      <c r="B114" s="97" t="s">
        <v>765</v>
      </c>
      <c r="C114" s="167" t="s">
        <v>78</v>
      </c>
      <c r="D114" s="86" t="s">
        <v>79</v>
      </c>
      <c r="E114" s="97" t="s">
        <v>12</v>
      </c>
      <c r="F114" s="141">
        <v>155.46</v>
      </c>
      <c r="G114" s="97">
        <v>32.56</v>
      </c>
      <c r="H114" s="85">
        <f t="shared" si="90"/>
        <v>5061.7776000000003</v>
      </c>
      <c r="I114" s="50">
        <f t="shared" si="62"/>
        <v>0</v>
      </c>
      <c r="J114" s="85">
        <f>I114*$F114</f>
        <v>0</v>
      </c>
      <c r="K114" s="82" t="str">
        <f t="shared" si="47"/>
        <v/>
      </c>
      <c r="L114" s="50"/>
      <c r="M114" s="85">
        <f>L114*$F114</f>
        <v>0</v>
      </c>
      <c r="N114" s="82" t="str">
        <f t="shared" si="48"/>
        <v/>
      </c>
      <c r="O114" s="50"/>
      <c r="P114" s="85">
        <f>O114*$F114</f>
        <v>0</v>
      </c>
      <c r="Q114" s="82" t="str">
        <f t="shared" si="49"/>
        <v/>
      </c>
      <c r="R114" s="50"/>
      <c r="S114" s="85">
        <f>R114*$F114</f>
        <v>0</v>
      </c>
      <c r="T114" s="82" t="str">
        <f t="shared" si="50"/>
        <v/>
      </c>
      <c r="U114" s="50"/>
      <c r="V114" s="85">
        <f>U114*$F114</f>
        <v>0</v>
      </c>
      <c r="W114" s="82" t="str">
        <f t="shared" si="51"/>
        <v/>
      </c>
      <c r="X114" s="50"/>
      <c r="Y114" s="85">
        <f>X114*$F114</f>
        <v>0</v>
      </c>
      <c r="Z114" s="82" t="str">
        <f t="shared" si="52"/>
        <v/>
      </c>
      <c r="AA114" s="50"/>
      <c r="AB114" s="85">
        <f>AA114*$F114</f>
        <v>0</v>
      </c>
      <c r="AC114" s="82" t="str">
        <f t="shared" si="53"/>
        <v/>
      </c>
      <c r="AD114" s="50"/>
      <c r="AE114" s="85">
        <f>AD114*$F114</f>
        <v>0</v>
      </c>
      <c r="AF114" s="82" t="str">
        <f t="shared" si="54"/>
        <v/>
      </c>
      <c r="AG114" s="50"/>
      <c r="AH114" s="85">
        <f>AG114*$F114</f>
        <v>0</v>
      </c>
      <c r="AI114" s="82" t="str">
        <f t="shared" si="55"/>
        <v/>
      </c>
      <c r="AJ114" s="50"/>
      <c r="AK114" s="85">
        <f>AJ114*$F114</f>
        <v>0</v>
      </c>
      <c r="AL114" s="82" t="str">
        <f t="shared" si="56"/>
        <v/>
      </c>
      <c r="AM114" s="50"/>
      <c r="AN114" s="85">
        <f>AM114*$F114</f>
        <v>0</v>
      </c>
      <c r="AO114" s="82" t="str">
        <f t="shared" si="57"/>
        <v/>
      </c>
      <c r="AP114" s="48">
        <f t="shared" si="45"/>
        <v>0</v>
      </c>
      <c r="AQ114" s="85">
        <f>AP114*$F114</f>
        <v>0</v>
      </c>
      <c r="AR114" s="82" t="str">
        <f t="shared" si="58"/>
        <v/>
      </c>
      <c r="AS114" s="48">
        <f t="shared" si="46"/>
        <v>32.56</v>
      </c>
      <c r="AT114" s="85">
        <f>AS114*$F114</f>
        <v>5061.7776000000003</v>
      </c>
      <c r="AU114" s="82">
        <f t="shared" si="59"/>
        <v>1</v>
      </c>
    </row>
    <row r="115" spans="1:47" ht="60">
      <c r="A115" s="16"/>
      <c r="B115" s="97" t="s">
        <v>766</v>
      </c>
      <c r="C115" s="167" t="s">
        <v>84</v>
      </c>
      <c r="D115" s="86" t="s">
        <v>85</v>
      </c>
      <c r="E115" s="97" t="s">
        <v>12</v>
      </c>
      <c r="F115" s="141">
        <v>27.64</v>
      </c>
      <c r="G115" s="97">
        <v>32.56</v>
      </c>
      <c r="H115" s="85">
        <f t="shared" si="90"/>
        <v>899.9584000000001</v>
      </c>
      <c r="I115" s="50">
        <f t="shared" si="62"/>
        <v>0</v>
      </c>
      <c r="J115" s="85">
        <f>I115*$F115</f>
        <v>0</v>
      </c>
      <c r="K115" s="82" t="str">
        <f t="shared" si="47"/>
        <v/>
      </c>
      <c r="L115" s="50"/>
      <c r="M115" s="85">
        <f>L115*$F115</f>
        <v>0</v>
      </c>
      <c r="N115" s="82" t="str">
        <f t="shared" si="48"/>
        <v/>
      </c>
      <c r="O115" s="50"/>
      <c r="P115" s="85">
        <f>O115*$F115</f>
        <v>0</v>
      </c>
      <c r="Q115" s="82" t="str">
        <f t="shared" si="49"/>
        <v/>
      </c>
      <c r="R115" s="50"/>
      <c r="S115" s="85">
        <f>R115*$F115</f>
        <v>0</v>
      </c>
      <c r="T115" s="82" t="str">
        <f t="shared" si="50"/>
        <v/>
      </c>
      <c r="U115" s="50"/>
      <c r="V115" s="85">
        <f>U115*$F115</f>
        <v>0</v>
      </c>
      <c r="W115" s="82" t="str">
        <f t="shared" si="51"/>
        <v/>
      </c>
      <c r="X115" s="50"/>
      <c r="Y115" s="85">
        <f>X115*$F115</f>
        <v>0</v>
      </c>
      <c r="Z115" s="82" t="str">
        <f t="shared" si="52"/>
        <v/>
      </c>
      <c r="AA115" s="50"/>
      <c r="AB115" s="85">
        <f>AA115*$F115</f>
        <v>0</v>
      </c>
      <c r="AC115" s="82" t="str">
        <f t="shared" si="53"/>
        <v/>
      </c>
      <c r="AD115" s="50"/>
      <c r="AE115" s="85">
        <f>AD115*$F115</f>
        <v>0</v>
      </c>
      <c r="AF115" s="82" t="str">
        <f t="shared" si="54"/>
        <v/>
      </c>
      <c r="AG115" s="50"/>
      <c r="AH115" s="85">
        <f>AG115*$F115</f>
        <v>0</v>
      </c>
      <c r="AI115" s="82" t="str">
        <f t="shared" si="55"/>
        <v/>
      </c>
      <c r="AJ115" s="50"/>
      <c r="AK115" s="85">
        <f>AJ115*$F115</f>
        <v>0</v>
      </c>
      <c r="AL115" s="82" t="str">
        <f t="shared" si="56"/>
        <v/>
      </c>
      <c r="AM115" s="50"/>
      <c r="AN115" s="85">
        <f>AM115*$F115</f>
        <v>0</v>
      </c>
      <c r="AO115" s="82" t="str">
        <f t="shared" si="57"/>
        <v/>
      </c>
      <c r="AP115" s="48">
        <f t="shared" si="45"/>
        <v>0</v>
      </c>
      <c r="AQ115" s="85">
        <f>AP115*$F115</f>
        <v>0</v>
      </c>
      <c r="AR115" s="82" t="str">
        <f t="shared" si="58"/>
        <v/>
      </c>
      <c r="AS115" s="48">
        <f t="shared" si="46"/>
        <v>32.56</v>
      </c>
      <c r="AT115" s="85">
        <f>AS115*$F115</f>
        <v>899.9584000000001</v>
      </c>
      <c r="AU115" s="82">
        <f t="shared" si="59"/>
        <v>1</v>
      </c>
    </row>
    <row r="116" spans="1:47" ht="45">
      <c r="A116" s="16"/>
      <c r="B116" s="97" t="s">
        <v>767</v>
      </c>
      <c r="C116" s="167" t="s">
        <v>87</v>
      </c>
      <c r="D116" s="86" t="s">
        <v>88</v>
      </c>
      <c r="E116" s="97" t="s">
        <v>12</v>
      </c>
      <c r="F116" s="141">
        <v>83.6</v>
      </c>
      <c r="G116" s="97">
        <v>32.56</v>
      </c>
      <c r="H116" s="85">
        <f t="shared" si="90"/>
        <v>2722.0160000000001</v>
      </c>
      <c r="I116" s="50">
        <f t="shared" si="62"/>
        <v>0</v>
      </c>
      <c r="J116" s="85">
        <f>I116*$F116</f>
        <v>0</v>
      </c>
      <c r="K116" s="82" t="str">
        <f t="shared" si="47"/>
        <v/>
      </c>
      <c r="L116" s="50"/>
      <c r="M116" s="85">
        <f>L116*$F116</f>
        <v>0</v>
      </c>
      <c r="N116" s="82" t="str">
        <f t="shared" si="48"/>
        <v/>
      </c>
      <c r="O116" s="50"/>
      <c r="P116" s="85">
        <f>O116*$F116</f>
        <v>0</v>
      </c>
      <c r="Q116" s="82" t="str">
        <f t="shared" si="49"/>
        <v/>
      </c>
      <c r="R116" s="50"/>
      <c r="S116" s="85">
        <f>R116*$F116</f>
        <v>0</v>
      </c>
      <c r="T116" s="82" t="str">
        <f t="shared" si="50"/>
        <v/>
      </c>
      <c r="U116" s="50"/>
      <c r="V116" s="85">
        <f>U116*$F116</f>
        <v>0</v>
      </c>
      <c r="W116" s="82" t="str">
        <f t="shared" si="51"/>
        <v/>
      </c>
      <c r="X116" s="50"/>
      <c r="Y116" s="85">
        <f>X116*$F116</f>
        <v>0</v>
      </c>
      <c r="Z116" s="82" t="str">
        <f t="shared" si="52"/>
        <v/>
      </c>
      <c r="AA116" s="50"/>
      <c r="AB116" s="85">
        <f>AA116*$F116</f>
        <v>0</v>
      </c>
      <c r="AC116" s="82" t="str">
        <f t="shared" si="53"/>
        <v/>
      </c>
      <c r="AD116" s="50"/>
      <c r="AE116" s="85">
        <f>AD116*$F116</f>
        <v>0</v>
      </c>
      <c r="AF116" s="82" t="str">
        <f t="shared" si="54"/>
        <v/>
      </c>
      <c r="AG116" s="50"/>
      <c r="AH116" s="85">
        <f>AG116*$F116</f>
        <v>0</v>
      </c>
      <c r="AI116" s="82" t="str">
        <f t="shared" si="55"/>
        <v/>
      </c>
      <c r="AJ116" s="50"/>
      <c r="AK116" s="85">
        <f>AJ116*$F116</f>
        <v>0</v>
      </c>
      <c r="AL116" s="82" t="str">
        <f t="shared" si="56"/>
        <v/>
      </c>
      <c r="AM116" s="50"/>
      <c r="AN116" s="85">
        <f>AM116*$F116</f>
        <v>0</v>
      </c>
      <c r="AO116" s="82" t="str">
        <f t="shared" si="57"/>
        <v/>
      </c>
      <c r="AP116" s="48">
        <f t="shared" si="45"/>
        <v>0</v>
      </c>
      <c r="AQ116" s="85">
        <f>AP116*$F116</f>
        <v>0</v>
      </c>
      <c r="AR116" s="82" t="str">
        <f t="shared" si="58"/>
        <v/>
      </c>
      <c r="AS116" s="48">
        <f t="shared" si="46"/>
        <v>32.56</v>
      </c>
      <c r="AT116" s="85">
        <f>AS116*$F116</f>
        <v>2722.0160000000001</v>
      </c>
      <c r="AU116" s="82">
        <f t="shared" si="59"/>
        <v>1</v>
      </c>
    </row>
    <row r="117" spans="1:47" ht="60">
      <c r="A117" s="16"/>
      <c r="B117" s="97" t="s">
        <v>768</v>
      </c>
      <c r="C117" s="167" t="s">
        <v>94</v>
      </c>
      <c r="D117" s="86" t="s">
        <v>95</v>
      </c>
      <c r="E117" s="97" t="s">
        <v>12</v>
      </c>
      <c r="F117" s="141">
        <v>529.49</v>
      </c>
      <c r="G117" s="97">
        <v>32.56</v>
      </c>
      <c r="H117" s="85">
        <f t="shared" si="90"/>
        <v>17240.1944</v>
      </c>
      <c r="I117" s="50">
        <f t="shared" si="62"/>
        <v>0</v>
      </c>
      <c r="J117" s="85">
        <f>I117*$F117</f>
        <v>0</v>
      </c>
      <c r="K117" s="82" t="str">
        <f t="shared" si="47"/>
        <v/>
      </c>
      <c r="L117" s="50"/>
      <c r="M117" s="85">
        <f>L117*$F117</f>
        <v>0</v>
      </c>
      <c r="N117" s="82" t="str">
        <f t="shared" si="48"/>
        <v/>
      </c>
      <c r="O117" s="50"/>
      <c r="P117" s="85">
        <f>O117*$F117</f>
        <v>0</v>
      </c>
      <c r="Q117" s="82" t="str">
        <f t="shared" si="49"/>
        <v/>
      </c>
      <c r="R117" s="50"/>
      <c r="S117" s="85">
        <f>R117*$F117</f>
        <v>0</v>
      </c>
      <c r="T117" s="82" t="str">
        <f t="shared" si="50"/>
        <v/>
      </c>
      <c r="U117" s="50"/>
      <c r="V117" s="85">
        <f>U117*$F117</f>
        <v>0</v>
      </c>
      <c r="W117" s="82" t="str">
        <f t="shared" si="51"/>
        <v/>
      </c>
      <c r="X117" s="50"/>
      <c r="Y117" s="85">
        <f>X117*$F117</f>
        <v>0</v>
      </c>
      <c r="Z117" s="82" t="str">
        <f t="shared" si="52"/>
        <v/>
      </c>
      <c r="AA117" s="50"/>
      <c r="AB117" s="85">
        <f>AA117*$F117</f>
        <v>0</v>
      </c>
      <c r="AC117" s="82" t="str">
        <f t="shared" si="53"/>
        <v/>
      </c>
      <c r="AD117" s="50"/>
      <c r="AE117" s="85">
        <f>AD117*$F117</f>
        <v>0</v>
      </c>
      <c r="AF117" s="82" t="str">
        <f t="shared" si="54"/>
        <v/>
      </c>
      <c r="AG117" s="50"/>
      <c r="AH117" s="85">
        <f>AG117*$F117</f>
        <v>0</v>
      </c>
      <c r="AI117" s="82" t="str">
        <f t="shared" si="55"/>
        <v/>
      </c>
      <c r="AJ117" s="50"/>
      <c r="AK117" s="85">
        <f>AJ117*$F117</f>
        <v>0</v>
      </c>
      <c r="AL117" s="82" t="str">
        <f t="shared" si="56"/>
        <v/>
      </c>
      <c r="AM117" s="50"/>
      <c r="AN117" s="85">
        <f>AM117*$F117</f>
        <v>0</v>
      </c>
      <c r="AO117" s="82" t="str">
        <f t="shared" si="57"/>
        <v/>
      </c>
      <c r="AP117" s="48">
        <f t="shared" si="45"/>
        <v>0</v>
      </c>
      <c r="AQ117" s="85">
        <f>AP117*$F117</f>
        <v>0</v>
      </c>
      <c r="AR117" s="82" t="str">
        <f t="shared" si="58"/>
        <v/>
      </c>
      <c r="AS117" s="48">
        <f t="shared" si="46"/>
        <v>32.56</v>
      </c>
      <c r="AT117" s="85">
        <f>AS117*$F117</f>
        <v>17240.1944</v>
      </c>
      <c r="AU117" s="82">
        <f t="shared" si="59"/>
        <v>1</v>
      </c>
    </row>
    <row r="118" spans="1:47" s="123" customFormat="1" ht="21" customHeight="1">
      <c r="A118" s="109"/>
      <c r="B118" s="121" t="s">
        <v>2127</v>
      </c>
      <c r="C118" s="1943" t="s">
        <v>769</v>
      </c>
      <c r="D118" s="1943"/>
      <c r="E118" s="1943"/>
      <c r="F118" s="1943"/>
      <c r="G118" s="1944"/>
      <c r="H118" s="110">
        <f>H119+H121+H123+H125+H127+H131</f>
        <v>327535.37929999997</v>
      </c>
      <c r="I118" s="111"/>
      <c r="J118" s="110">
        <f>J119+J121+J123+J125+J127+J131</f>
        <v>0</v>
      </c>
      <c r="K118" s="113">
        <f>J118/$H118</f>
        <v>0</v>
      </c>
      <c r="L118" s="111"/>
      <c r="M118" s="110">
        <f>M119+M121+M123+M125+M127+M131</f>
        <v>0</v>
      </c>
      <c r="N118" s="113">
        <f>M118/$H118</f>
        <v>0</v>
      </c>
      <c r="O118" s="111"/>
      <c r="P118" s="110">
        <f>P119+P121+P123+P125+P127+P131</f>
        <v>0</v>
      </c>
      <c r="Q118" s="113">
        <f>P118/$H118</f>
        <v>0</v>
      </c>
      <c r="R118" s="111"/>
      <c r="S118" s="110">
        <f>S119+S121+S123+S125+S127+S131</f>
        <v>22228.023836</v>
      </c>
      <c r="T118" s="113">
        <f>S118/$H118</f>
        <v>6.7864497214026626E-2</v>
      </c>
      <c r="U118" s="111"/>
      <c r="V118" s="110">
        <f>V119+V121+V123+V125+V127+V131</f>
        <v>0</v>
      </c>
      <c r="W118" s="113">
        <f>V118/$H118</f>
        <v>0</v>
      </c>
      <c r="X118" s="111"/>
      <c r="Y118" s="110">
        <f>Y119+Y121+Y123+Y125+Y127+Y131</f>
        <v>0</v>
      </c>
      <c r="Z118" s="113">
        <f>Y118/$H118</f>
        <v>0</v>
      </c>
      <c r="AA118" s="111"/>
      <c r="AB118" s="110">
        <f>AB119+AB121+AB123+AB125+AB127+AB131</f>
        <v>0</v>
      </c>
      <c r="AC118" s="113">
        <f>AB118/$H118</f>
        <v>0</v>
      </c>
      <c r="AD118" s="111"/>
      <c r="AE118" s="110">
        <f>AE119+AE121+AE123+AE125+AE127+AE131</f>
        <v>0</v>
      </c>
      <c r="AF118" s="113">
        <f>AE118/$H118</f>
        <v>0</v>
      </c>
      <c r="AG118" s="111"/>
      <c r="AH118" s="110">
        <f>AH119+AH121+AH123+AH125+AH127+AH131</f>
        <v>0</v>
      </c>
      <c r="AI118" s="113">
        <f>AH118/$H118</f>
        <v>0</v>
      </c>
      <c r="AJ118" s="111"/>
      <c r="AK118" s="110">
        <f>AK119+AK121+AK123+AK125+AK127+AK131</f>
        <v>0</v>
      </c>
      <c r="AL118" s="113">
        <f>AK118/$H118</f>
        <v>0</v>
      </c>
      <c r="AM118" s="111"/>
      <c r="AN118" s="110">
        <f>AN119+AN121+AN123+AN125+AN127+AN131</f>
        <v>0</v>
      </c>
      <c r="AO118" s="113">
        <f>AN118/$H118</f>
        <v>0</v>
      </c>
      <c r="AP118" s="122">
        <f t="shared" si="45"/>
        <v>0</v>
      </c>
      <c r="AQ118" s="110">
        <f>AQ119+AQ121+AQ123+AQ125+AQ127+AQ131</f>
        <v>22228.023836</v>
      </c>
      <c r="AR118" s="113">
        <f>AQ118/$H118</f>
        <v>6.7864497214026626E-2</v>
      </c>
      <c r="AS118" s="122">
        <f t="shared" si="46"/>
        <v>0</v>
      </c>
      <c r="AT118" s="110">
        <f>AT119+AT121+AT123+AT125+AT127+AT131</f>
        <v>305307.35546399996</v>
      </c>
      <c r="AU118" s="113">
        <f>AT118/$H118</f>
        <v>0.93213550278597335</v>
      </c>
    </row>
    <row r="119" spans="1:47" s="104" customFormat="1" ht="15" customHeight="1">
      <c r="A119" s="94"/>
      <c r="B119" s="171" t="s">
        <v>2128</v>
      </c>
      <c r="C119" s="1932" t="s">
        <v>770</v>
      </c>
      <c r="D119" s="1932"/>
      <c r="E119" s="1932"/>
      <c r="F119" s="1932"/>
      <c r="G119" s="1933"/>
      <c r="H119" s="106">
        <f>H120</f>
        <v>5639.2630000000008</v>
      </c>
      <c r="I119" s="101"/>
      <c r="J119" s="106">
        <f>J120</f>
        <v>0</v>
      </c>
      <c r="K119" s="102">
        <f>J119/$H119</f>
        <v>0</v>
      </c>
      <c r="L119" s="101"/>
      <c r="M119" s="106">
        <f>M120</f>
        <v>0</v>
      </c>
      <c r="N119" s="102">
        <f>M119/$H119</f>
        <v>0</v>
      </c>
      <c r="O119" s="101"/>
      <c r="P119" s="106">
        <f>P120</f>
        <v>0</v>
      </c>
      <c r="Q119" s="102">
        <f>P119/$H119</f>
        <v>0</v>
      </c>
      <c r="R119" s="101"/>
      <c r="S119" s="106">
        <f>S120</f>
        <v>0</v>
      </c>
      <c r="T119" s="102">
        <f>S119/$H119</f>
        <v>0</v>
      </c>
      <c r="U119" s="101"/>
      <c r="V119" s="106">
        <f>V120</f>
        <v>0</v>
      </c>
      <c r="W119" s="102">
        <f>V119/$H119</f>
        <v>0</v>
      </c>
      <c r="X119" s="101"/>
      <c r="Y119" s="106">
        <f>Y120</f>
        <v>0</v>
      </c>
      <c r="Z119" s="102">
        <f>Y119/$H119</f>
        <v>0</v>
      </c>
      <c r="AA119" s="101"/>
      <c r="AB119" s="106">
        <f>AB120</f>
        <v>0</v>
      </c>
      <c r="AC119" s="102">
        <f>AB119/$H119</f>
        <v>0</v>
      </c>
      <c r="AD119" s="101"/>
      <c r="AE119" s="106">
        <f>AE120</f>
        <v>0</v>
      </c>
      <c r="AF119" s="102">
        <f>AE119/$H119</f>
        <v>0</v>
      </c>
      <c r="AG119" s="101"/>
      <c r="AH119" s="106">
        <f>AH120</f>
        <v>0</v>
      </c>
      <c r="AI119" s="102">
        <f>AH119/$H119</f>
        <v>0</v>
      </c>
      <c r="AJ119" s="101"/>
      <c r="AK119" s="106">
        <f>AK120</f>
        <v>0</v>
      </c>
      <c r="AL119" s="102">
        <f>AK119/$H119</f>
        <v>0</v>
      </c>
      <c r="AM119" s="101"/>
      <c r="AN119" s="106">
        <f>AN120</f>
        <v>0</v>
      </c>
      <c r="AO119" s="102">
        <f>AN119/$H119</f>
        <v>0</v>
      </c>
      <c r="AP119" s="103">
        <f t="shared" si="45"/>
        <v>0</v>
      </c>
      <c r="AQ119" s="106">
        <f>AQ120</f>
        <v>0</v>
      </c>
      <c r="AR119" s="102">
        <f>AQ119/$H119</f>
        <v>0</v>
      </c>
      <c r="AS119" s="103">
        <f t="shared" si="46"/>
        <v>0</v>
      </c>
      <c r="AT119" s="106">
        <f>AT120</f>
        <v>5639.2630000000008</v>
      </c>
      <c r="AU119" s="102">
        <f>AT119/$H119</f>
        <v>1</v>
      </c>
    </row>
    <row r="120" spans="1:47" ht="60">
      <c r="A120" s="16"/>
      <c r="B120" s="97" t="s">
        <v>771</v>
      </c>
      <c r="C120" s="167" t="s">
        <v>772</v>
      </c>
      <c r="D120" s="86" t="s">
        <v>773</v>
      </c>
      <c r="E120" s="97" t="s">
        <v>12</v>
      </c>
      <c r="F120" s="141">
        <v>982.45</v>
      </c>
      <c r="G120" s="97">
        <v>5.74</v>
      </c>
      <c r="H120" s="85">
        <f>G120*$F120</f>
        <v>5639.2630000000008</v>
      </c>
      <c r="I120" s="50">
        <f t="shared" ref="I120:I133" si="91">L120+O120</f>
        <v>0</v>
      </c>
      <c r="J120" s="85">
        <f>I120*$F120</f>
        <v>0</v>
      </c>
      <c r="K120" s="82" t="str">
        <f t="shared" si="47"/>
        <v/>
      </c>
      <c r="L120" s="50"/>
      <c r="M120" s="85">
        <f>L120*$F120</f>
        <v>0</v>
      </c>
      <c r="N120" s="82" t="str">
        <f t="shared" si="48"/>
        <v/>
      </c>
      <c r="O120" s="50"/>
      <c r="P120" s="85">
        <f>O120*$F120</f>
        <v>0</v>
      </c>
      <c r="Q120" s="82" t="str">
        <f t="shared" si="49"/>
        <v/>
      </c>
      <c r="R120" s="50"/>
      <c r="S120" s="85">
        <f>R120*$F120</f>
        <v>0</v>
      </c>
      <c r="T120" s="82" t="str">
        <f t="shared" si="50"/>
        <v/>
      </c>
      <c r="U120" s="50"/>
      <c r="V120" s="85">
        <f>U120*$F120</f>
        <v>0</v>
      </c>
      <c r="W120" s="82" t="str">
        <f t="shared" si="51"/>
        <v/>
      </c>
      <c r="X120" s="50"/>
      <c r="Y120" s="85">
        <f>X120*$F120</f>
        <v>0</v>
      </c>
      <c r="Z120" s="82" t="str">
        <f t="shared" si="52"/>
        <v/>
      </c>
      <c r="AA120" s="50"/>
      <c r="AB120" s="85">
        <f>AA120*$F120</f>
        <v>0</v>
      </c>
      <c r="AC120" s="82" t="str">
        <f t="shared" si="53"/>
        <v/>
      </c>
      <c r="AD120" s="50"/>
      <c r="AE120" s="85">
        <f>AD120*$F120</f>
        <v>0</v>
      </c>
      <c r="AF120" s="82" t="str">
        <f t="shared" si="54"/>
        <v/>
      </c>
      <c r="AG120" s="50"/>
      <c r="AH120" s="85">
        <f>AG120*$F120</f>
        <v>0</v>
      </c>
      <c r="AI120" s="82" t="str">
        <f t="shared" si="55"/>
        <v/>
      </c>
      <c r="AJ120" s="50"/>
      <c r="AK120" s="85">
        <f>AJ120*$F120</f>
        <v>0</v>
      </c>
      <c r="AL120" s="82" t="str">
        <f t="shared" si="56"/>
        <v/>
      </c>
      <c r="AM120" s="50"/>
      <c r="AN120" s="85">
        <f>AM120*$F120</f>
        <v>0</v>
      </c>
      <c r="AO120" s="82" t="str">
        <f t="shared" si="57"/>
        <v/>
      </c>
      <c r="AP120" s="48">
        <f t="shared" si="45"/>
        <v>0</v>
      </c>
      <c r="AQ120" s="85">
        <f>AP120*$F120</f>
        <v>0</v>
      </c>
      <c r="AR120" s="82" t="str">
        <f t="shared" si="58"/>
        <v/>
      </c>
      <c r="AS120" s="48">
        <f t="shared" si="46"/>
        <v>5.74</v>
      </c>
      <c r="AT120" s="85">
        <f>AS120*$F120</f>
        <v>5639.2630000000008</v>
      </c>
      <c r="AU120" s="82">
        <f t="shared" si="59"/>
        <v>1</v>
      </c>
    </row>
    <row r="121" spans="1:47" s="104" customFormat="1" ht="15" customHeight="1">
      <c r="A121" s="94"/>
      <c r="B121" s="120" t="s">
        <v>2106</v>
      </c>
      <c r="C121" s="1932" t="s">
        <v>774</v>
      </c>
      <c r="D121" s="1932"/>
      <c r="E121" s="1932"/>
      <c r="F121" s="1932"/>
      <c r="G121" s="1933"/>
      <c r="H121" s="106">
        <f>H122</f>
        <v>25518.199100000002</v>
      </c>
      <c r="I121" s="101"/>
      <c r="J121" s="106">
        <f>J122</f>
        <v>0</v>
      </c>
      <c r="K121" s="102">
        <f>J121/$H121</f>
        <v>0</v>
      </c>
      <c r="L121" s="101"/>
      <c r="M121" s="106">
        <f>M122</f>
        <v>0</v>
      </c>
      <c r="N121" s="102">
        <f>M121/$H121</f>
        <v>0</v>
      </c>
      <c r="O121" s="101"/>
      <c r="P121" s="106">
        <f>P122</f>
        <v>0</v>
      </c>
      <c r="Q121" s="102">
        <f>P121/$H121</f>
        <v>0</v>
      </c>
      <c r="R121" s="101"/>
      <c r="S121" s="106">
        <f>S122</f>
        <v>622.39509999999996</v>
      </c>
      <c r="T121" s="102">
        <f>S121/$H121</f>
        <v>2.4390243902439022E-2</v>
      </c>
      <c r="U121" s="101"/>
      <c r="V121" s="106">
        <f>V122</f>
        <v>0</v>
      </c>
      <c r="W121" s="102">
        <f>V121/$H121</f>
        <v>0</v>
      </c>
      <c r="X121" s="101"/>
      <c r="Y121" s="106">
        <f>Y122</f>
        <v>0</v>
      </c>
      <c r="Z121" s="102">
        <f>Y121/$H121</f>
        <v>0</v>
      </c>
      <c r="AA121" s="101"/>
      <c r="AB121" s="106">
        <f>AB122</f>
        <v>0</v>
      </c>
      <c r="AC121" s="102">
        <f>AB121/$H121</f>
        <v>0</v>
      </c>
      <c r="AD121" s="101"/>
      <c r="AE121" s="106">
        <f>AE122</f>
        <v>0</v>
      </c>
      <c r="AF121" s="102">
        <f>AE121/$H121</f>
        <v>0</v>
      </c>
      <c r="AG121" s="101"/>
      <c r="AH121" s="106">
        <f>AH122</f>
        <v>0</v>
      </c>
      <c r="AI121" s="102">
        <f>AH121/$H121</f>
        <v>0</v>
      </c>
      <c r="AJ121" s="101"/>
      <c r="AK121" s="106">
        <f>AK122</f>
        <v>0</v>
      </c>
      <c r="AL121" s="102">
        <f>AK121/$H121</f>
        <v>0</v>
      </c>
      <c r="AM121" s="101"/>
      <c r="AN121" s="106">
        <f>AN122</f>
        <v>0</v>
      </c>
      <c r="AO121" s="102">
        <f>AN121/$H121</f>
        <v>0</v>
      </c>
      <c r="AP121" s="103">
        <f t="shared" si="45"/>
        <v>0</v>
      </c>
      <c r="AQ121" s="106">
        <f>AQ122</f>
        <v>622.39509999999996</v>
      </c>
      <c r="AR121" s="102">
        <f>AQ121/$H121</f>
        <v>2.4390243902439022E-2</v>
      </c>
      <c r="AS121" s="103">
        <f t="shared" si="46"/>
        <v>0</v>
      </c>
      <c r="AT121" s="106">
        <f>AT122</f>
        <v>24895.804000000004</v>
      </c>
      <c r="AU121" s="102">
        <f>AT121/$H121</f>
        <v>0.97560975609756106</v>
      </c>
    </row>
    <row r="122" spans="1:47" ht="90">
      <c r="A122" s="16"/>
      <c r="B122" s="97" t="s">
        <v>775</v>
      </c>
      <c r="C122" s="167" t="s">
        <v>776</v>
      </c>
      <c r="D122" s="86" t="s">
        <v>777</v>
      </c>
      <c r="E122" s="97" t="s">
        <v>51</v>
      </c>
      <c r="F122" s="141">
        <v>2146.19</v>
      </c>
      <c r="G122" s="97">
        <v>11.89</v>
      </c>
      <c r="H122" s="85">
        <f>G122*$F122</f>
        <v>25518.199100000002</v>
      </c>
      <c r="I122" s="50">
        <f t="shared" si="91"/>
        <v>0</v>
      </c>
      <c r="J122" s="85">
        <f>I122*$F122</f>
        <v>0</v>
      </c>
      <c r="K122" s="82" t="str">
        <f t="shared" si="47"/>
        <v/>
      </c>
      <c r="L122" s="50"/>
      <c r="M122" s="85">
        <f>L122*$F122</f>
        <v>0</v>
      </c>
      <c r="N122" s="82" t="str">
        <f t="shared" si="48"/>
        <v/>
      </c>
      <c r="O122" s="50"/>
      <c r="P122" s="85">
        <f>O122*$F122</f>
        <v>0</v>
      </c>
      <c r="Q122" s="82" t="str">
        <f t="shared" si="49"/>
        <v/>
      </c>
      <c r="R122" s="50">
        <v>0.28999999999999998</v>
      </c>
      <c r="S122" s="85">
        <f>R122*$F122</f>
        <v>622.39509999999996</v>
      </c>
      <c r="T122" s="82">
        <f t="shared" si="50"/>
        <v>2.4390243902439022E-2</v>
      </c>
      <c r="U122" s="50"/>
      <c r="V122" s="85">
        <f>U122*$F122</f>
        <v>0</v>
      </c>
      <c r="W122" s="82" t="str">
        <f t="shared" si="51"/>
        <v/>
      </c>
      <c r="X122" s="50"/>
      <c r="Y122" s="85">
        <f>X122*$F122</f>
        <v>0</v>
      </c>
      <c r="Z122" s="82" t="str">
        <f t="shared" si="52"/>
        <v/>
      </c>
      <c r="AA122" s="50"/>
      <c r="AB122" s="85">
        <f>AA122*$F122</f>
        <v>0</v>
      </c>
      <c r="AC122" s="82" t="str">
        <f t="shared" si="53"/>
        <v/>
      </c>
      <c r="AD122" s="50"/>
      <c r="AE122" s="85">
        <f>AD122*$F122</f>
        <v>0</v>
      </c>
      <c r="AF122" s="82" t="str">
        <f t="shared" si="54"/>
        <v/>
      </c>
      <c r="AG122" s="50"/>
      <c r="AH122" s="85">
        <f>AG122*$F122</f>
        <v>0</v>
      </c>
      <c r="AI122" s="82" t="str">
        <f t="shared" si="55"/>
        <v/>
      </c>
      <c r="AJ122" s="50"/>
      <c r="AK122" s="85">
        <f>AJ122*$F122</f>
        <v>0</v>
      </c>
      <c r="AL122" s="82" t="str">
        <f t="shared" si="56"/>
        <v/>
      </c>
      <c r="AM122" s="50"/>
      <c r="AN122" s="85">
        <f>AM122*$F122</f>
        <v>0</v>
      </c>
      <c r="AO122" s="82" t="str">
        <f t="shared" si="57"/>
        <v/>
      </c>
      <c r="AP122" s="48">
        <f t="shared" si="45"/>
        <v>0.28999999999999998</v>
      </c>
      <c r="AQ122" s="85">
        <f>AP122*$F122</f>
        <v>622.39509999999996</v>
      </c>
      <c r="AR122" s="82">
        <f t="shared" si="58"/>
        <v>2.4390243902439022E-2</v>
      </c>
      <c r="AS122" s="48">
        <f t="shared" si="46"/>
        <v>11.600000000000001</v>
      </c>
      <c r="AT122" s="85">
        <f>AS122*$F122</f>
        <v>24895.804000000004</v>
      </c>
      <c r="AU122" s="82">
        <f t="shared" si="59"/>
        <v>0.97560975609756106</v>
      </c>
    </row>
    <row r="123" spans="1:47" s="128" customFormat="1" ht="15" customHeight="1">
      <c r="A123" s="124"/>
      <c r="B123" s="129" t="s">
        <v>2129</v>
      </c>
      <c r="C123" s="1932" t="s">
        <v>2130</v>
      </c>
      <c r="D123" s="1932"/>
      <c r="E123" s="1932"/>
      <c r="F123" s="1932"/>
      <c r="G123" s="1933"/>
      <c r="H123" s="125">
        <f>H124</f>
        <v>15156.7598</v>
      </c>
      <c r="I123" s="126"/>
      <c r="J123" s="125">
        <f>J124</f>
        <v>0</v>
      </c>
      <c r="K123" s="102">
        <f>J123/$H123</f>
        <v>0</v>
      </c>
      <c r="L123" s="126"/>
      <c r="M123" s="125">
        <f>M124</f>
        <v>0</v>
      </c>
      <c r="N123" s="102">
        <f>M123/$H123</f>
        <v>0</v>
      </c>
      <c r="O123" s="126"/>
      <c r="P123" s="125">
        <f>P124</f>
        <v>0</v>
      </c>
      <c r="Q123" s="102">
        <f>P123/$H123</f>
        <v>0</v>
      </c>
      <c r="R123" s="126"/>
      <c r="S123" s="125">
        <f>S124</f>
        <v>2010.7776000000001</v>
      </c>
      <c r="T123" s="102">
        <f>S123/$H123</f>
        <v>0.13266539989635517</v>
      </c>
      <c r="U123" s="126"/>
      <c r="V123" s="125">
        <f>V124</f>
        <v>0</v>
      </c>
      <c r="W123" s="102">
        <f>V123/$H123</f>
        <v>0</v>
      </c>
      <c r="X123" s="126"/>
      <c r="Y123" s="125">
        <f>Y124</f>
        <v>0</v>
      </c>
      <c r="Z123" s="102">
        <f>Y123/$H123</f>
        <v>0</v>
      </c>
      <c r="AA123" s="126"/>
      <c r="AB123" s="125">
        <f>AB124</f>
        <v>0</v>
      </c>
      <c r="AC123" s="102">
        <f>AB123/$H123</f>
        <v>0</v>
      </c>
      <c r="AD123" s="126"/>
      <c r="AE123" s="125">
        <f>AE124</f>
        <v>0</v>
      </c>
      <c r="AF123" s="102">
        <f>AE123/$H123</f>
        <v>0</v>
      </c>
      <c r="AG123" s="126"/>
      <c r="AH123" s="125">
        <f>AH124</f>
        <v>0</v>
      </c>
      <c r="AI123" s="102">
        <f>AH123/$H123</f>
        <v>0</v>
      </c>
      <c r="AJ123" s="126"/>
      <c r="AK123" s="125">
        <f>AK124</f>
        <v>0</v>
      </c>
      <c r="AL123" s="102">
        <f>AK123/$H123</f>
        <v>0</v>
      </c>
      <c r="AM123" s="126"/>
      <c r="AN123" s="125">
        <f>AN124</f>
        <v>0</v>
      </c>
      <c r="AO123" s="102">
        <f>AN123/$H123</f>
        <v>0</v>
      </c>
      <c r="AP123" s="127">
        <f t="shared" si="45"/>
        <v>0</v>
      </c>
      <c r="AQ123" s="125">
        <f>AQ124</f>
        <v>2010.7776000000001</v>
      </c>
      <c r="AR123" s="102">
        <f>AQ123/$H123</f>
        <v>0.13266539989635517</v>
      </c>
      <c r="AS123" s="127">
        <f t="shared" si="46"/>
        <v>0</v>
      </c>
      <c r="AT123" s="125">
        <f>AT124</f>
        <v>13145.9822</v>
      </c>
      <c r="AU123" s="102">
        <f>AT123/$H123</f>
        <v>0.86733460010364483</v>
      </c>
    </row>
    <row r="124" spans="1:47" ht="90">
      <c r="A124" s="16"/>
      <c r="B124" s="97" t="s">
        <v>778</v>
      </c>
      <c r="C124" s="167" t="s">
        <v>779</v>
      </c>
      <c r="D124" s="86" t="s">
        <v>780</v>
      </c>
      <c r="E124" s="97" t="s">
        <v>12</v>
      </c>
      <c r="F124" s="141">
        <v>130.91</v>
      </c>
      <c r="G124" s="97">
        <v>115.78</v>
      </c>
      <c r="H124" s="85">
        <f>G124*$F124</f>
        <v>15156.7598</v>
      </c>
      <c r="I124" s="50">
        <f t="shared" si="91"/>
        <v>0</v>
      </c>
      <c r="J124" s="85">
        <f>I124*$F124</f>
        <v>0</v>
      </c>
      <c r="K124" s="82" t="str">
        <f t="shared" si="47"/>
        <v/>
      </c>
      <c r="L124" s="50"/>
      <c r="M124" s="85">
        <f>L124*$F124</f>
        <v>0</v>
      </c>
      <c r="N124" s="82" t="str">
        <f t="shared" si="48"/>
        <v/>
      </c>
      <c r="O124" s="50"/>
      <c r="P124" s="85">
        <f>O124*$F124</f>
        <v>0</v>
      </c>
      <c r="Q124" s="82" t="str">
        <f t="shared" si="49"/>
        <v/>
      </c>
      <c r="R124" s="195">
        <f>'[10]MEMÓRIA 3ª medição'!H1300</f>
        <v>15.360000000000001</v>
      </c>
      <c r="S124" s="85">
        <f>R124*$F124</f>
        <v>2010.7776000000001</v>
      </c>
      <c r="T124" s="82">
        <f t="shared" si="50"/>
        <v>0.13266539989635517</v>
      </c>
      <c r="U124" s="50"/>
      <c r="V124" s="85">
        <f>U124*$F124</f>
        <v>0</v>
      </c>
      <c r="W124" s="82" t="str">
        <f t="shared" si="51"/>
        <v/>
      </c>
      <c r="X124" s="50"/>
      <c r="Y124" s="85">
        <f>X124*$F124</f>
        <v>0</v>
      </c>
      <c r="Z124" s="82" t="str">
        <f t="shared" si="52"/>
        <v/>
      </c>
      <c r="AA124" s="50"/>
      <c r="AB124" s="85">
        <f>AA124*$F124</f>
        <v>0</v>
      </c>
      <c r="AC124" s="82" t="str">
        <f t="shared" si="53"/>
        <v/>
      </c>
      <c r="AD124" s="50"/>
      <c r="AE124" s="85">
        <f>AD124*$F124</f>
        <v>0</v>
      </c>
      <c r="AF124" s="82" t="str">
        <f t="shared" si="54"/>
        <v/>
      </c>
      <c r="AG124" s="50"/>
      <c r="AH124" s="85">
        <f>AG124*$F124</f>
        <v>0</v>
      </c>
      <c r="AI124" s="82" t="str">
        <f t="shared" si="55"/>
        <v/>
      </c>
      <c r="AJ124" s="50"/>
      <c r="AK124" s="85">
        <f>AJ124*$F124</f>
        <v>0</v>
      </c>
      <c r="AL124" s="82" t="str">
        <f t="shared" si="56"/>
        <v/>
      </c>
      <c r="AM124" s="50"/>
      <c r="AN124" s="85">
        <f>AM124*$F124</f>
        <v>0</v>
      </c>
      <c r="AO124" s="82" t="str">
        <f t="shared" si="57"/>
        <v/>
      </c>
      <c r="AP124" s="48">
        <f t="shared" si="45"/>
        <v>15.360000000000001</v>
      </c>
      <c r="AQ124" s="85">
        <f>AP124*$F124</f>
        <v>2010.7776000000001</v>
      </c>
      <c r="AR124" s="82">
        <f t="shared" si="58"/>
        <v>0.13266539989635517</v>
      </c>
      <c r="AS124" s="48">
        <f t="shared" si="46"/>
        <v>100.42</v>
      </c>
      <c r="AT124" s="85">
        <f>AS124*$F124</f>
        <v>13145.9822</v>
      </c>
      <c r="AU124" s="82">
        <f t="shared" si="59"/>
        <v>0.86733460010364483</v>
      </c>
    </row>
    <row r="125" spans="1:47" s="131" customFormat="1" ht="28.5" customHeight="1">
      <c r="A125" s="124"/>
      <c r="B125" s="129" t="s">
        <v>2131</v>
      </c>
      <c r="C125" s="1948" t="s">
        <v>781</v>
      </c>
      <c r="D125" s="1948"/>
      <c r="E125" s="1948"/>
      <c r="F125" s="1948"/>
      <c r="G125" s="1949"/>
      <c r="H125" s="125">
        <f>H126</f>
        <v>60820.302399999993</v>
      </c>
      <c r="I125" s="126"/>
      <c r="J125" s="125">
        <f>J126</f>
        <v>0</v>
      </c>
      <c r="K125" s="102">
        <f>J125/$H125</f>
        <v>0</v>
      </c>
      <c r="L125" s="126"/>
      <c r="M125" s="125">
        <f>M126</f>
        <v>0</v>
      </c>
      <c r="N125" s="102">
        <f>M125/$H125</f>
        <v>0</v>
      </c>
      <c r="O125" s="126"/>
      <c r="P125" s="125">
        <f>P126</f>
        <v>0</v>
      </c>
      <c r="Q125" s="102">
        <f>P125/$H125</f>
        <v>0</v>
      </c>
      <c r="R125" s="126"/>
      <c r="S125" s="125">
        <f>S126</f>
        <v>16334.671136000001</v>
      </c>
      <c r="T125" s="102">
        <f>S125/$H125</f>
        <v>0.26857267214113689</v>
      </c>
      <c r="U125" s="126"/>
      <c r="V125" s="125">
        <f>V126</f>
        <v>0</v>
      </c>
      <c r="W125" s="102">
        <f>V125/$H125</f>
        <v>0</v>
      </c>
      <c r="X125" s="126"/>
      <c r="Y125" s="125">
        <f>Y126</f>
        <v>0</v>
      </c>
      <c r="Z125" s="102">
        <f>Y125/$H125</f>
        <v>0</v>
      </c>
      <c r="AA125" s="126"/>
      <c r="AB125" s="125">
        <f>AB126</f>
        <v>0</v>
      </c>
      <c r="AC125" s="102">
        <f>AB125/$H125</f>
        <v>0</v>
      </c>
      <c r="AD125" s="126"/>
      <c r="AE125" s="125">
        <f>AE126</f>
        <v>0</v>
      </c>
      <c r="AF125" s="102">
        <f>AE125/$H125</f>
        <v>0</v>
      </c>
      <c r="AG125" s="126"/>
      <c r="AH125" s="125">
        <f>AH126</f>
        <v>0</v>
      </c>
      <c r="AI125" s="102">
        <f>AH125/$H125</f>
        <v>0</v>
      </c>
      <c r="AJ125" s="126"/>
      <c r="AK125" s="125">
        <f>AK126</f>
        <v>0</v>
      </c>
      <c r="AL125" s="102">
        <f>AK125/$H125</f>
        <v>0</v>
      </c>
      <c r="AM125" s="126"/>
      <c r="AN125" s="125">
        <f>AN126</f>
        <v>0</v>
      </c>
      <c r="AO125" s="102">
        <f>AN125/$H125</f>
        <v>0</v>
      </c>
      <c r="AP125" s="130">
        <f t="shared" si="45"/>
        <v>0</v>
      </c>
      <c r="AQ125" s="125">
        <f>AQ126</f>
        <v>16334.671136000001</v>
      </c>
      <c r="AR125" s="102">
        <f>AQ125/$H125</f>
        <v>0.26857267214113689</v>
      </c>
      <c r="AS125" s="130">
        <f t="shared" si="46"/>
        <v>0</v>
      </c>
      <c r="AT125" s="125">
        <f>AT126</f>
        <v>44485.631263999996</v>
      </c>
      <c r="AU125" s="102">
        <f>AT125/$H125</f>
        <v>0.73142732785886311</v>
      </c>
    </row>
    <row r="126" spans="1:47" ht="90">
      <c r="A126" s="16"/>
      <c r="B126" s="97" t="s">
        <v>782</v>
      </c>
      <c r="C126" s="167" t="s">
        <v>783</v>
      </c>
      <c r="D126" s="86" t="s">
        <v>784</v>
      </c>
      <c r="E126" s="97" t="s">
        <v>12</v>
      </c>
      <c r="F126" s="141">
        <v>88.24</v>
      </c>
      <c r="G126" s="97">
        <v>689.26</v>
      </c>
      <c r="H126" s="85">
        <f>G126*$F126</f>
        <v>60820.302399999993</v>
      </c>
      <c r="I126" s="50">
        <f t="shared" si="91"/>
        <v>0</v>
      </c>
      <c r="J126" s="85">
        <f>I126*$F126</f>
        <v>0</v>
      </c>
      <c r="K126" s="82" t="str">
        <f t="shared" ref="K126:K147" si="92">IF(I126=0,"",I126/$G126)</f>
        <v/>
      </c>
      <c r="L126" s="50"/>
      <c r="M126" s="85">
        <f>L126*$F126</f>
        <v>0</v>
      </c>
      <c r="N126" s="82" t="str">
        <f t="shared" ref="N126:N147" si="93">IF(L126=0,"",L126/$G126)</f>
        <v/>
      </c>
      <c r="O126" s="50"/>
      <c r="P126" s="85">
        <f>O126*$F126</f>
        <v>0</v>
      </c>
      <c r="Q126" s="82" t="str">
        <f t="shared" ref="Q126:Q147" si="94">IF(O126=0,"",O126/$G126)</f>
        <v/>
      </c>
      <c r="R126" s="195">
        <f>'[10]MEMÓRIA 3ª medição'!H1314</f>
        <v>185.11640000000003</v>
      </c>
      <c r="S126" s="85">
        <f>R126*$F126</f>
        <v>16334.671136000001</v>
      </c>
      <c r="T126" s="82">
        <f t="shared" ref="T126:T147" si="95">IF(R126=0,"",R126/$G126)</f>
        <v>0.26857267214113689</v>
      </c>
      <c r="U126" s="50"/>
      <c r="V126" s="85">
        <f>U126*$F126</f>
        <v>0</v>
      </c>
      <c r="W126" s="82" t="str">
        <f t="shared" ref="W126:W147" si="96">IF(U126=0,"",U126/$G126)</f>
        <v/>
      </c>
      <c r="X126" s="50"/>
      <c r="Y126" s="85">
        <f>X126*$F126</f>
        <v>0</v>
      </c>
      <c r="Z126" s="82" t="str">
        <f t="shared" ref="Z126:Z147" si="97">IF(X126=0,"",X126/$G126)</f>
        <v/>
      </c>
      <c r="AA126" s="50"/>
      <c r="AB126" s="85">
        <f>AA126*$F126</f>
        <v>0</v>
      </c>
      <c r="AC126" s="82" t="str">
        <f t="shared" ref="AC126:AC147" si="98">IF(AA126=0,"",AA126/$G126)</f>
        <v/>
      </c>
      <c r="AD126" s="50"/>
      <c r="AE126" s="85">
        <f>AD126*$F126</f>
        <v>0</v>
      </c>
      <c r="AF126" s="82" t="str">
        <f t="shared" ref="AF126:AF147" si="99">IF(AD126=0,"",AD126/$G126)</f>
        <v/>
      </c>
      <c r="AG126" s="50"/>
      <c r="AH126" s="85">
        <f>AG126*$F126</f>
        <v>0</v>
      </c>
      <c r="AI126" s="82" t="str">
        <f t="shared" ref="AI126:AI147" si="100">IF(AG126=0,"",AG126/$G126)</f>
        <v/>
      </c>
      <c r="AJ126" s="50"/>
      <c r="AK126" s="85">
        <f>AJ126*$F126</f>
        <v>0</v>
      </c>
      <c r="AL126" s="82" t="str">
        <f t="shared" ref="AL126:AL147" si="101">IF(AJ126=0,"",AJ126/$G126)</f>
        <v/>
      </c>
      <c r="AM126" s="50"/>
      <c r="AN126" s="85">
        <f>AM126*$F126</f>
        <v>0</v>
      </c>
      <c r="AO126" s="82" t="str">
        <f t="shared" ref="AO126:AO147" si="102">IF(AM126=0,"",AM126/$G126)</f>
        <v/>
      </c>
      <c r="AP126" s="48">
        <f t="shared" si="45"/>
        <v>185.11640000000003</v>
      </c>
      <c r="AQ126" s="85">
        <f>AP126*$F126</f>
        <v>16334.671136000001</v>
      </c>
      <c r="AR126" s="82">
        <f t="shared" ref="AR126:AR147" si="103">IF(AP126=0,"",AP126/$G126)</f>
        <v>0.26857267214113689</v>
      </c>
      <c r="AS126" s="48">
        <f t="shared" si="46"/>
        <v>504.14359999999999</v>
      </c>
      <c r="AT126" s="85">
        <f>AS126*$F126</f>
        <v>44485.631263999996</v>
      </c>
      <c r="AU126" s="82">
        <f t="shared" ref="AU126:AU147" si="104">IF(AS126=0,"",AS126/$G126)</f>
        <v>0.73142732785886311</v>
      </c>
    </row>
    <row r="127" spans="1:47" s="104" customFormat="1">
      <c r="A127" s="94"/>
      <c r="B127" s="171" t="s">
        <v>2132</v>
      </c>
      <c r="C127" s="1932" t="s">
        <v>785</v>
      </c>
      <c r="D127" s="1932"/>
      <c r="E127" s="1932"/>
      <c r="F127" s="1932"/>
      <c r="G127" s="1933"/>
      <c r="H127" s="106">
        <f>SUM(H128:H130)</f>
        <v>202022.51179999998</v>
      </c>
      <c r="I127" s="101"/>
      <c r="J127" s="106">
        <f>SUM(J128:J130)</f>
        <v>0</v>
      </c>
      <c r="K127" s="102">
        <f>J127/$H127</f>
        <v>0</v>
      </c>
      <c r="L127" s="101"/>
      <c r="M127" s="106">
        <f>SUM(M128:M130)</f>
        <v>0</v>
      </c>
      <c r="N127" s="102">
        <f>M127/$H127</f>
        <v>0</v>
      </c>
      <c r="O127" s="101"/>
      <c r="P127" s="106">
        <f>SUM(P128:P130)</f>
        <v>0</v>
      </c>
      <c r="Q127" s="102">
        <f>P127/$H127</f>
        <v>0</v>
      </c>
      <c r="R127" s="101"/>
      <c r="S127" s="106">
        <f>SUM(S128:S130)</f>
        <v>0</v>
      </c>
      <c r="T127" s="102">
        <f>S127/$H127</f>
        <v>0</v>
      </c>
      <c r="U127" s="101"/>
      <c r="V127" s="106">
        <f>SUM(V128:V130)</f>
        <v>0</v>
      </c>
      <c r="W127" s="102">
        <f>V127/$H127</f>
        <v>0</v>
      </c>
      <c r="X127" s="101"/>
      <c r="Y127" s="106">
        <f>SUM(Y128:Y130)</f>
        <v>0</v>
      </c>
      <c r="Z127" s="102">
        <f>Y127/$H127</f>
        <v>0</v>
      </c>
      <c r="AA127" s="101"/>
      <c r="AB127" s="106">
        <f>SUM(AB128:AB130)</f>
        <v>0</v>
      </c>
      <c r="AC127" s="102">
        <f>AB127/$H127</f>
        <v>0</v>
      </c>
      <c r="AD127" s="101"/>
      <c r="AE127" s="106">
        <f>SUM(AE128:AE130)</f>
        <v>0</v>
      </c>
      <c r="AF127" s="102">
        <f>AE127/$H127</f>
        <v>0</v>
      </c>
      <c r="AG127" s="101"/>
      <c r="AH127" s="106">
        <f>SUM(AH128:AH130)</f>
        <v>0</v>
      </c>
      <c r="AI127" s="102">
        <f>AH127/$H127</f>
        <v>0</v>
      </c>
      <c r="AJ127" s="101"/>
      <c r="AK127" s="106">
        <f>SUM(AK128:AK130)</f>
        <v>0</v>
      </c>
      <c r="AL127" s="102">
        <f>AK127/$H127</f>
        <v>0</v>
      </c>
      <c r="AM127" s="101"/>
      <c r="AN127" s="106">
        <f>SUM(AN128:AN130)</f>
        <v>0</v>
      </c>
      <c r="AO127" s="102">
        <f>AN127/$H127</f>
        <v>0</v>
      </c>
      <c r="AP127" s="103">
        <f t="shared" si="45"/>
        <v>0</v>
      </c>
      <c r="AQ127" s="106">
        <f>SUM(AQ128:AQ130)</f>
        <v>0</v>
      </c>
      <c r="AR127" s="102">
        <f>AQ127/$H127</f>
        <v>0</v>
      </c>
      <c r="AS127" s="103">
        <f t="shared" si="46"/>
        <v>0</v>
      </c>
      <c r="AT127" s="106">
        <f>SUM(AT128:AT130)</f>
        <v>202022.51179999998</v>
      </c>
      <c r="AU127" s="102">
        <f>AT127/$H127</f>
        <v>1</v>
      </c>
    </row>
    <row r="128" spans="1:47" ht="120">
      <c r="A128" s="16"/>
      <c r="B128" s="97" t="s">
        <v>786</v>
      </c>
      <c r="C128" s="167" t="s">
        <v>787</v>
      </c>
      <c r="D128" s="86" t="s">
        <v>788</v>
      </c>
      <c r="E128" s="97" t="s">
        <v>12</v>
      </c>
      <c r="F128" s="141">
        <v>333.77</v>
      </c>
      <c r="G128" s="97">
        <v>587.38</v>
      </c>
      <c r="H128" s="85">
        <f t="shared" ref="H128:H133" si="105">G128*$F128</f>
        <v>196049.82259999998</v>
      </c>
      <c r="I128" s="50">
        <f t="shared" si="91"/>
        <v>0</v>
      </c>
      <c r="J128" s="85">
        <f>I128*$F128</f>
        <v>0</v>
      </c>
      <c r="K128" s="82" t="str">
        <f t="shared" si="92"/>
        <v/>
      </c>
      <c r="L128" s="50"/>
      <c r="M128" s="85">
        <f>L128*$F128</f>
        <v>0</v>
      </c>
      <c r="N128" s="82" t="str">
        <f t="shared" si="93"/>
        <v/>
      </c>
      <c r="O128" s="50"/>
      <c r="P128" s="85">
        <f>O128*$F128</f>
        <v>0</v>
      </c>
      <c r="Q128" s="82" t="str">
        <f t="shared" si="94"/>
        <v/>
      </c>
      <c r="R128" s="50"/>
      <c r="S128" s="85">
        <f>R128*$F128</f>
        <v>0</v>
      </c>
      <c r="T128" s="82" t="str">
        <f t="shared" si="95"/>
        <v/>
      </c>
      <c r="U128" s="50"/>
      <c r="V128" s="85">
        <f>U128*$F128</f>
        <v>0</v>
      </c>
      <c r="W128" s="82" t="str">
        <f t="shared" si="96"/>
        <v/>
      </c>
      <c r="X128" s="50"/>
      <c r="Y128" s="85">
        <f>X128*$F128</f>
        <v>0</v>
      </c>
      <c r="Z128" s="82" t="str">
        <f t="shared" si="97"/>
        <v/>
      </c>
      <c r="AA128" s="50"/>
      <c r="AB128" s="85">
        <f>AA128*$F128</f>
        <v>0</v>
      </c>
      <c r="AC128" s="82" t="str">
        <f t="shared" si="98"/>
        <v/>
      </c>
      <c r="AD128" s="50"/>
      <c r="AE128" s="85">
        <f>AD128*$F128</f>
        <v>0</v>
      </c>
      <c r="AF128" s="82" t="str">
        <f t="shared" si="99"/>
        <v/>
      </c>
      <c r="AG128" s="50"/>
      <c r="AH128" s="85">
        <f>AG128*$F128</f>
        <v>0</v>
      </c>
      <c r="AI128" s="82" t="str">
        <f t="shared" si="100"/>
        <v/>
      </c>
      <c r="AJ128" s="50"/>
      <c r="AK128" s="85">
        <f>AJ128*$F128</f>
        <v>0</v>
      </c>
      <c r="AL128" s="82" t="str">
        <f t="shared" si="101"/>
        <v/>
      </c>
      <c r="AM128" s="50"/>
      <c r="AN128" s="85">
        <f>AM128*$F128</f>
        <v>0</v>
      </c>
      <c r="AO128" s="82" t="str">
        <f t="shared" si="102"/>
        <v/>
      </c>
      <c r="AP128" s="48">
        <f t="shared" si="45"/>
        <v>0</v>
      </c>
      <c r="AQ128" s="85">
        <f>AP128*$F128</f>
        <v>0</v>
      </c>
      <c r="AR128" s="82" t="str">
        <f t="shared" si="103"/>
        <v/>
      </c>
      <c r="AS128" s="48">
        <f t="shared" si="46"/>
        <v>587.38</v>
      </c>
      <c r="AT128" s="85">
        <f>AS128*$F128</f>
        <v>196049.82259999998</v>
      </c>
      <c r="AU128" s="82">
        <f t="shared" si="104"/>
        <v>1</v>
      </c>
    </row>
    <row r="129" spans="1:47" ht="120">
      <c r="A129" s="16"/>
      <c r="B129" s="97" t="s">
        <v>789</v>
      </c>
      <c r="C129" s="167" t="s">
        <v>790</v>
      </c>
      <c r="D129" s="86" t="s">
        <v>791</v>
      </c>
      <c r="E129" s="97" t="s">
        <v>12</v>
      </c>
      <c r="F129" s="141">
        <v>341.46</v>
      </c>
      <c r="G129" s="97">
        <v>12.86</v>
      </c>
      <c r="H129" s="85">
        <f t="shared" si="105"/>
        <v>4391.1755999999996</v>
      </c>
      <c r="I129" s="50">
        <f t="shared" si="91"/>
        <v>0</v>
      </c>
      <c r="J129" s="85">
        <f>I129*$F129</f>
        <v>0</v>
      </c>
      <c r="K129" s="82" t="str">
        <f t="shared" si="92"/>
        <v/>
      </c>
      <c r="L129" s="50"/>
      <c r="M129" s="85">
        <f>L129*$F129</f>
        <v>0</v>
      </c>
      <c r="N129" s="82" t="str">
        <f t="shared" si="93"/>
        <v/>
      </c>
      <c r="O129" s="50"/>
      <c r="P129" s="85">
        <f>O129*$F129</f>
        <v>0</v>
      </c>
      <c r="Q129" s="82" t="str">
        <f t="shared" si="94"/>
        <v/>
      </c>
      <c r="R129" s="50"/>
      <c r="S129" s="85">
        <f>R129*$F129</f>
        <v>0</v>
      </c>
      <c r="T129" s="82" t="str">
        <f t="shared" si="95"/>
        <v/>
      </c>
      <c r="U129" s="50"/>
      <c r="V129" s="85">
        <f>U129*$F129</f>
        <v>0</v>
      </c>
      <c r="W129" s="82" t="str">
        <f t="shared" si="96"/>
        <v/>
      </c>
      <c r="X129" s="50"/>
      <c r="Y129" s="85">
        <f>X129*$F129</f>
        <v>0</v>
      </c>
      <c r="Z129" s="82" t="str">
        <f t="shared" si="97"/>
        <v/>
      </c>
      <c r="AA129" s="50"/>
      <c r="AB129" s="85">
        <f>AA129*$F129</f>
        <v>0</v>
      </c>
      <c r="AC129" s="82" t="str">
        <f t="shared" si="98"/>
        <v/>
      </c>
      <c r="AD129" s="50"/>
      <c r="AE129" s="85">
        <f>AD129*$F129</f>
        <v>0</v>
      </c>
      <c r="AF129" s="82" t="str">
        <f t="shared" si="99"/>
        <v/>
      </c>
      <c r="AG129" s="50"/>
      <c r="AH129" s="85">
        <f>AG129*$F129</f>
        <v>0</v>
      </c>
      <c r="AI129" s="82" t="str">
        <f t="shared" si="100"/>
        <v/>
      </c>
      <c r="AJ129" s="50"/>
      <c r="AK129" s="85">
        <f>AJ129*$F129</f>
        <v>0</v>
      </c>
      <c r="AL129" s="82" t="str">
        <f t="shared" si="101"/>
        <v/>
      </c>
      <c r="AM129" s="50"/>
      <c r="AN129" s="85">
        <f>AM129*$F129</f>
        <v>0</v>
      </c>
      <c r="AO129" s="82" t="str">
        <f t="shared" si="102"/>
        <v/>
      </c>
      <c r="AP129" s="48">
        <f t="shared" si="45"/>
        <v>0</v>
      </c>
      <c r="AQ129" s="85">
        <f>AP129*$F129</f>
        <v>0</v>
      </c>
      <c r="AR129" s="82" t="str">
        <f t="shared" si="103"/>
        <v/>
      </c>
      <c r="AS129" s="48">
        <f t="shared" si="46"/>
        <v>12.86</v>
      </c>
      <c r="AT129" s="85">
        <f>AS129*$F129</f>
        <v>4391.1755999999996</v>
      </c>
      <c r="AU129" s="82">
        <f t="shared" si="104"/>
        <v>1</v>
      </c>
    </row>
    <row r="130" spans="1:47" ht="120">
      <c r="A130" s="16"/>
      <c r="B130" s="97" t="s">
        <v>792</v>
      </c>
      <c r="C130" s="167" t="s">
        <v>793</v>
      </c>
      <c r="D130" s="86" t="s">
        <v>794</v>
      </c>
      <c r="E130" s="97" t="s">
        <v>12</v>
      </c>
      <c r="F130" s="141">
        <v>349.12</v>
      </c>
      <c r="G130" s="97">
        <v>4.53</v>
      </c>
      <c r="H130" s="85">
        <f t="shared" si="105"/>
        <v>1581.5136</v>
      </c>
      <c r="I130" s="50">
        <f t="shared" si="91"/>
        <v>0</v>
      </c>
      <c r="J130" s="85">
        <f>I130*$F130</f>
        <v>0</v>
      </c>
      <c r="K130" s="82" t="str">
        <f t="shared" si="92"/>
        <v/>
      </c>
      <c r="L130" s="50"/>
      <c r="M130" s="85">
        <f>L130*$F130</f>
        <v>0</v>
      </c>
      <c r="N130" s="82" t="str">
        <f t="shared" si="93"/>
        <v/>
      </c>
      <c r="O130" s="50"/>
      <c r="P130" s="85">
        <f>O130*$F130</f>
        <v>0</v>
      </c>
      <c r="Q130" s="82" t="str">
        <f t="shared" si="94"/>
        <v/>
      </c>
      <c r="R130" s="50"/>
      <c r="S130" s="85">
        <f>R130*$F130</f>
        <v>0</v>
      </c>
      <c r="T130" s="82" t="str">
        <f t="shared" si="95"/>
        <v/>
      </c>
      <c r="U130" s="50"/>
      <c r="V130" s="85">
        <f>U130*$F130</f>
        <v>0</v>
      </c>
      <c r="W130" s="82" t="str">
        <f t="shared" si="96"/>
        <v/>
      </c>
      <c r="X130" s="50"/>
      <c r="Y130" s="85">
        <f>X130*$F130</f>
        <v>0</v>
      </c>
      <c r="Z130" s="82" t="str">
        <f t="shared" si="97"/>
        <v/>
      </c>
      <c r="AA130" s="50"/>
      <c r="AB130" s="85">
        <f>AA130*$F130</f>
        <v>0</v>
      </c>
      <c r="AC130" s="82" t="str">
        <f t="shared" si="98"/>
        <v/>
      </c>
      <c r="AD130" s="50"/>
      <c r="AE130" s="85">
        <f>AD130*$F130</f>
        <v>0</v>
      </c>
      <c r="AF130" s="82" t="str">
        <f t="shared" si="99"/>
        <v/>
      </c>
      <c r="AG130" s="50"/>
      <c r="AH130" s="85">
        <f>AG130*$F130</f>
        <v>0</v>
      </c>
      <c r="AI130" s="82" t="str">
        <f t="shared" si="100"/>
        <v/>
      </c>
      <c r="AJ130" s="50"/>
      <c r="AK130" s="85">
        <f>AJ130*$F130</f>
        <v>0</v>
      </c>
      <c r="AL130" s="82" t="str">
        <f t="shared" si="101"/>
        <v/>
      </c>
      <c r="AM130" s="50"/>
      <c r="AN130" s="85">
        <f>AM130*$F130</f>
        <v>0</v>
      </c>
      <c r="AO130" s="82" t="str">
        <f t="shared" si="102"/>
        <v/>
      </c>
      <c r="AP130" s="48">
        <f t="shared" si="45"/>
        <v>0</v>
      </c>
      <c r="AQ130" s="85">
        <f>AP130*$F130</f>
        <v>0</v>
      </c>
      <c r="AR130" s="82" t="str">
        <f t="shared" si="103"/>
        <v/>
      </c>
      <c r="AS130" s="48">
        <f t="shared" si="46"/>
        <v>4.53</v>
      </c>
      <c r="AT130" s="85">
        <f>AS130*$F130</f>
        <v>1581.5136</v>
      </c>
      <c r="AU130" s="82">
        <f t="shared" si="104"/>
        <v>1</v>
      </c>
    </row>
    <row r="131" spans="1:47" s="104" customFormat="1">
      <c r="A131" s="94"/>
      <c r="B131" s="116" t="s">
        <v>795</v>
      </c>
      <c r="C131" s="1934" t="s">
        <v>677</v>
      </c>
      <c r="D131" s="1935"/>
      <c r="E131" s="1935"/>
      <c r="F131" s="1935"/>
      <c r="G131" s="1936"/>
      <c r="H131" s="106">
        <f>H132+H133</f>
        <v>18378.343199999999</v>
      </c>
      <c r="I131" s="101"/>
      <c r="J131" s="106">
        <f>J132+J133</f>
        <v>0</v>
      </c>
      <c r="K131" s="102">
        <f>J131/$H131</f>
        <v>0</v>
      </c>
      <c r="L131" s="101"/>
      <c r="M131" s="106">
        <f>M132+M133</f>
        <v>0</v>
      </c>
      <c r="N131" s="102">
        <f>M131/$H131</f>
        <v>0</v>
      </c>
      <c r="O131" s="101"/>
      <c r="P131" s="106">
        <f>P132+P133</f>
        <v>0</v>
      </c>
      <c r="Q131" s="102">
        <f>P131/$H131</f>
        <v>0</v>
      </c>
      <c r="R131" s="101"/>
      <c r="S131" s="106">
        <f>S132+S133</f>
        <v>3260.1800000000003</v>
      </c>
      <c r="T131" s="102">
        <f>S131/$H131</f>
        <v>0.17739248660891263</v>
      </c>
      <c r="U131" s="101"/>
      <c r="V131" s="106">
        <f>V132+V133</f>
        <v>0</v>
      </c>
      <c r="W131" s="102">
        <f>V131/$H131</f>
        <v>0</v>
      </c>
      <c r="X131" s="101"/>
      <c r="Y131" s="106">
        <f>Y132+Y133</f>
        <v>0</v>
      </c>
      <c r="Z131" s="102">
        <f>Y131/$H131</f>
        <v>0</v>
      </c>
      <c r="AA131" s="101"/>
      <c r="AB131" s="106">
        <f>AB132+AB133</f>
        <v>0</v>
      </c>
      <c r="AC131" s="102">
        <f>AB131/$H131</f>
        <v>0</v>
      </c>
      <c r="AD131" s="101"/>
      <c r="AE131" s="106">
        <f>AE132+AE133</f>
        <v>0</v>
      </c>
      <c r="AF131" s="102">
        <f>AE131/$H131</f>
        <v>0</v>
      </c>
      <c r="AG131" s="101"/>
      <c r="AH131" s="106">
        <f>AH132+AH133</f>
        <v>0</v>
      </c>
      <c r="AI131" s="102">
        <f>AH131/$H131</f>
        <v>0</v>
      </c>
      <c r="AJ131" s="101"/>
      <c r="AK131" s="106">
        <f>AK132+AK133</f>
        <v>0</v>
      </c>
      <c r="AL131" s="102">
        <f>AK131/$H131</f>
        <v>0</v>
      </c>
      <c r="AM131" s="101"/>
      <c r="AN131" s="106">
        <f>AN132+AN133</f>
        <v>0</v>
      </c>
      <c r="AO131" s="102">
        <f>AN131/$H131</f>
        <v>0</v>
      </c>
      <c r="AP131" s="103">
        <f t="shared" si="45"/>
        <v>0</v>
      </c>
      <c r="AQ131" s="106">
        <f>AQ132+AQ133</f>
        <v>3260.1800000000003</v>
      </c>
      <c r="AR131" s="102">
        <f>AQ131/$H131</f>
        <v>0.17739248660891263</v>
      </c>
      <c r="AS131" s="103">
        <f t="shared" si="46"/>
        <v>0</v>
      </c>
      <c r="AT131" s="106">
        <f>AT132+AT133</f>
        <v>15118.163199999999</v>
      </c>
      <c r="AU131" s="102">
        <f>AT131/$H131</f>
        <v>0.8226075133910874</v>
      </c>
    </row>
    <row r="132" spans="1:47" ht="60">
      <c r="A132" s="16"/>
      <c r="B132" s="97" t="s">
        <v>796</v>
      </c>
      <c r="C132" s="167" t="s">
        <v>797</v>
      </c>
      <c r="D132" s="86" t="s">
        <v>798</v>
      </c>
      <c r="E132" s="97" t="s">
        <v>28</v>
      </c>
      <c r="F132" s="141">
        <v>5.1100000000000003</v>
      </c>
      <c r="G132" s="147">
        <v>1274</v>
      </c>
      <c r="H132" s="85">
        <f t="shared" si="105"/>
        <v>6510.14</v>
      </c>
      <c r="I132" s="50">
        <f t="shared" si="91"/>
        <v>0</v>
      </c>
      <c r="J132" s="85">
        <f>I132*$F132</f>
        <v>0</v>
      </c>
      <c r="K132" s="82" t="str">
        <f t="shared" si="92"/>
        <v/>
      </c>
      <c r="L132" s="50"/>
      <c r="M132" s="85">
        <f>L132*$F132</f>
        <v>0</v>
      </c>
      <c r="N132" s="82" t="str">
        <f t="shared" si="93"/>
        <v/>
      </c>
      <c r="O132" s="50"/>
      <c r="P132" s="85">
        <f>O132*$F132</f>
        <v>0</v>
      </c>
      <c r="Q132" s="82" t="str">
        <f t="shared" si="94"/>
        <v/>
      </c>
      <c r="R132" s="195">
        <f>638</f>
        <v>638</v>
      </c>
      <c r="S132" s="85">
        <f>R132*$F132</f>
        <v>3260.1800000000003</v>
      </c>
      <c r="T132" s="82">
        <f t="shared" si="95"/>
        <v>0.50078492935635788</v>
      </c>
      <c r="U132" s="50"/>
      <c r="V132" s="85">
        <f>U132*$F132</f>
        <v>0</v>
      </c>
      <c r="W132" s="82" t="str">
        <f t="shared" si="96"/>
        <v/>
      </c>
      <c r="X132" s="50"/>
      <c r="Y132" s="85">
        <f>X132*$F132</f>
        <v>0</v>
      </c>
      <c r="Z132" s="82" t="str">
        <f t="shared" si="97"/>
        <v/>
      </c>
      <c r="AA132" s="50"/>
      <c r="AB132" s="85">
        <f>AA132*$F132</f>
        <v>0</v>
      </c>
      <c r="AC132" s="82" t="str">
        <f t="shared" si="98"/>
        <v/>
      </c>
      <c r="AD132" s="50"/>
      <c r="AE132" s="85">
        <f>AD132*$F132</f>
        <v>0</v>
      </c>
      <c r="AF132" s="82" t="str">
        <f t="shared" si="99"/>
        <v/>
      </c>
      <c r="AG132" s="50"/>
      <c r="AH132" s="85">
        <f>AG132*$F132</f>
        <v>0</v>
      </c>
      <c r="AI132" s="82" t="str">
        <f t="shared" si="100"/>
        <v/>
      </c>
      <c r="AJ132" s="50"/>
      <c r="AK132" s="85">
        <f>AJ132*$F132</f>
        <v>0</v>
      </c>
      <c r="AL132" s="82" t="str">
        <f t="shared" si="101"/>
        <v/>
      </c>
      <c r="AM132" s="50"/>
      <c r="AN132" s="85">
        <f>AM132*$F132</f>
        <v>0</v>
      </c>
      <c r="AO132" s="82" t="str">
        <f t="shared" si="102"/>
        <v/>
      </c>
      <c r="AP132" s="48">
        <f t="shared" si="45"/>
        <v>638</v>
      </c>
      <c r="AQ132" s="85">
        <f>AP132*$F132</f>
        <v>3260.1800000000003</v>
      </c>
      <c r="AR132" s="82">
        <f t="shared" si="103"/>
        <v>0.50078492935635788</v>
      </c>
      <c r="AS132" s="48">
        <f t="shared" si="46"/>
        <v>636</v>
      </c>
      <c r="AT132" s="85">
        <f>AS132*$F132</f>
        <v>3249.96</v>
      </c>
      <c r="AU132" s="82">
        <f t="shared" si="104"/>
        <v>0.49921507064364207</v>
      </c>
    </row>
    <row r="133" spans="1:47" ht="90">
      <c r="A133" s="16"/>
      <c r="B133" s="97" t="s">
        <v>799</v>
      </c>
      <c r="C133" s="167" t="s">
        <v>800</v>
      </c>
      <c r="D133" s="86" t="s">
        <v>801</v>
      </c>
      <c r="E133" s="97" t="s">
        <v>12</v>
      </c>
      <c r="F133" s="141">
        <v>56.44</v>
      </c>
      <c r="G133" s="97">
        <v>210.28</v>
      </c>
      <c r="H133" s="85">
        <f t="shared" si="105"/>
        <v>11868.2032</v>
      </c>
      <c r="I133" s="50">
        <f t="shared" si="91"/>
        <v>0</v>
      </c>
      <c r="J133" s="85">
        <f>I133*$F133</f>
        <v>0</v>
      </c>
      <c r="K133" s="82" t="str">
        <f t="shared" si="92"/>
        <v/>
      </c>
      <c r="L133" s="50"/>
      <c r="M133" s="85">
        <f>L133*$F133</f>
        <v>0</v>
      </c>
      <c r="N133" s="82" t="str">
        <f t="shared" si="93"/>
        <v/>
      </c>
      <c r="O133" s="50"/>
      <c r="P133" s="85">
        <f>O133*$F133</f>
        <v>0</v>
      </c>
      <c r="Q133" s="82" t="str">
        <f t="shared" si="94"/>
        <v/>
      </c>
      <c r="R133" s="50"/>
      <c r="S133" s="85">
        <f>R133*$F133</f>
        <v>0</v>
      </c>
      <c r="T133" s="82" t="str">
        <f t="shared" si="95"/>
        <v/>
      </c>
      <c r="U133" s="50"/>
      <c r="V133" s="85">
        <f>U133*$F133</f>
        <v>0</v>
      </c>
      <c r="W133" s="82" t="str">
        <f t="shared" si="96"/>
        <v/>
      </c>
      <c r="X133" s="50"/>
      <c r="Y133" s="85">
        <f>X133*$F133</f>
        <v>0</v>
      </c>
      <c r="Z133" s="82" t="str">
        <f t="shared" si="97"/>
        <v/>
      </c>
      <c r="AA133" s="50"/>
      <c r="AB133" s="85">
        <f>AA133*$F133</f>
        <v>0</v>
      </c>
      <c r="AC133" s="82" t="str">
        <f t="shared" si="98"/>
        <v/>
      </c>
      <c r="AD133" s="50"/>
      <c r="AE133" s="85">
        <f>AD133*$F133</f>
        <v>0</v>
      </c>
      <c r="AF133" s="82" t="str">
        <f t="shared" si="99"/>
        <v/>
      </c>
      <c r="AG133" s="50"/>
      <c r="AH133" s="85">
        <f>AG133*$F133</f>
        <v>0</v>
      </c>
      <c r="AI133" s="82" t="str">
        <f t="shared" si="100"/>
        <v/>
      </c>
      <c r="AJ133" s="50"/>
      <c r="AK133" s="85">
        <f>AJ133*$F133</f>
        <v>0</v>
      </c>
      <c r="AL133" s="82" t="str">
        <f t="shared" si="101"/>
        <v/>
      </c>
      <c r="AM133" s="50"/>
      <c r="AN133" s="85">
        <f>AM133*$F133</f>
        <v>0</v>
      </c>
      <c r="AO133" s="82" t="str">
        <f t="shared" si="102"/>
        <v/>
      </c>
      <c r="AP133" s="48">
        <f t="shared" si="45"/>
        <v>0</v>
      </c>
      <c r="AQ133" s="85">
        <f>AP133*$F133</f>
        <v>0</v>
      </c>
      <c r="AR133" s="82" t="str">
        <f t="shared" si="103"/>
        <v/>
      </c>
      <c r="AS133" s="48">
        <f t="shared" si="46"/>
        <v>210.28</v>
      </c>
      <c r="AT133" s="85">
        <f>AS133*$F133</f>
        <v>11868.2032</v>
      </c>
      <c r="AU133" s="82">
        <f t="shared" si="104"/>
        <v>1</v>
      </c>
    </row>
    <row r="134" spans="1:47" s="115" customFormat="1" ht="15.75">
      <c r="A134" s="109"/>
      <c r="B134" s="118" t="s">
        <v>802</v>
      </c>
      <c r="C134" s="1937" t="s">
        <v>803</v>
      </c>
      <c r="D134" s="1938"/>
      <c r="E134" s="1938"/>
      <c r="F134" s="1938"/>
      <c r="G134" s="1939"/>
      <c r="H134" s="110">
        <f>H135+H145+H152</f>
        <v>80105.01999999999</v>
      </c>
      <c r="I134" s="111"/>
      <c r="J134" s="110">
        <f>J135+J145+J152</f>
        <v>0</v>
      </c>
      <c r="K134" s="113">
        <f>J134/$H134</f>
        <v>0</v>
      </c>
      <c r="L134" s="111"/>
      <c r="M134" s="110">
        <f>M135+M145+M152</f>
        <v>0</v>
      </c>
      <c r="N134" s="113">
        <f>M134/$H134</f>
        <v>0</v>
      </c>
      <c r="O134" s="111"/>
      <c r="P134" s="110">
        <f>P135+P145+P152</f>
        <v>0</v>
      </c>
      <c r="Q134" s="113">
        <f>P134/$H134</f>
        <v>0</v>
      </c>
      <c r="R134" s="111"/>
      <c r="S134" s="110">
        <f>S135+S145+S152</f>
        <v>0</v>
      </c>
      <c r="T134" s="113">
        <f>S134/$H134</f>
        <v>0</v>
      </c>
      <c r="U134" s="111"/>
      <c r="V134" s="110">
        <f>V135+V145+V152</f>
        <v>0</v>
      </c>
      <c r="W134" s="113">
        <f>V134/$H134</f>
        <v>0</v>
      </c>
      <c r="X134" s="111"/>
      <c r="Y134" s="110">
        <f>Y135+Y145+Y152</f>
        <v>0</v>
      </c>
      <c r="Z134" s="113">
        <f>Y134/$H134</f>
        <v>0</v>
      </c>
      <c r="AA134" s="111"/>
      <c r="AB134" s="110">
        <f>AB135+AB145+AB152</f>
        <v>0</v>
      </c>
      <c r="AC134" s="113">
        <f>AB134/$H134</f>
        <v>0</v>
      </c>
      <c r="AD134" s="111"/>
      <c r="AE134" s="110">
        <f>AE135+AE145+AE152</f>
        <v>0</v>
      </c>
      <c r="AF134" s="113">
        <f>AE134/$H134</f>
        <v>0</v>
      </c>
      <c r="AG134" s="111"/>
      <c r="AH134" s="110">
        <f>AH135+AH145+AH152</f>
        <v>0</v>
      </c>
      <c r="AI134" s="113">
        <f>AH134/$H134</f>
        <v>0</v>
      </c>
      <c r="AJ134" s="111"/>
      <c r="AK134" s="110">
        <f>AK135+AK145+AK152</f>
        <v>0</v>
      </c>
      <c r="AL134" s="113">
        <f>AK134/$H134</f>
        <v>0</v>
      </c>
      <c r="AM134" s="111"/>
      <c r="AN134" s="110">
        <f>AN135+AN145+AN152</f>
        <v>0</v>
      </c>
      <c r="AO134" s="113">
        <f>AN134/$H134</f>
        <v>0</v>
      </c>
      <c r="AP134" s="114">
        <f t="shared" si="45"/>
        <v>0</v>
      </c>
      <c r="AQ134" s="110">
        <f>AQ135+AQ145+AQ152</f>
        <v>0</v>
      </c>
      <c r="AR134" s="113">
        <f>AQ134/$H134</f>
        <v>0</v>
      </c>
      <c r="AS134" s="114">
        <f t="shared" si="46"/>
        <v>0</v>
      </c>
      <c r="AT134" s="110">
        <f>AT135+AT145+AT152</f>
        <v>80105.01999999999</v>
      </c>
      <c r="AU134" s="113">
        <f>AT134/$H134</f>
        <v>1</v>
      </c>
    </row>
    <row r="135" spans="1:47" s="104" customFormat="1" ht="15.75" customHeight="1">
      <c r="A135" s="94"/>
      <c r="B135" s="116" t="s">
        <v>804</v>
      </c>
      <c r="C135" s="1934" t="s">
        <v>805</v>
      </c>
      <c r="D135" s="1935"/>
      <c r="E135" s="1935"/>
      <c r="F135" s="1935"/>
      <c r="G135" s="1936"/>
      <c r="H135" s="106">
        <f>SUM(H136:H144)</f>
        <v>29297.31</v>
      </c>
      <c r="I135" s="101"/>
      <c r="J135" s="106">
        <f>SUM(J136:J144)</f>
        <v>0</v>
      </c>
      <c r="K135" s="102">
        <f>J135/$H135</f>
        <v>0</v>
      </c>
      <c r="L135" s="101"/>
      <c r="M135" s="106">
        <f>SUM(M136:M144)</f>
        <v>0</v>
      </c>
      <c r="N135" s="102">
        <f>M135/$H135</f>
        <v>0</v>
      </c>
      <c r="O135" s="101"/>
      <c r="P135" s="106">
        <f>SUM(P136:P144)</f>
        <v>0</v>
      </c>
      <c r="Q135" s="102">
        <f>P135/$H135</f>
        <v>0</v>
      </c>
      <c r="R135" s="101"/>
      <c r="S135" s="106">
        <f>SUM(S136:S144)</f>
        <v>0</v>
      </c>
      <c r="T135" s="102">
        <f>S135/$H135</f>
        <v>0</v>
      </c>
      <c r="U135" s="101"/>
      <c r="V135" s="106">
        <f>SUM(V136:V144)</f>
        <v>0</v>
      </c>
      <c r="W135" s="102">
        <f>V135/$H135</f>
        <v>0</v>
      </c>
      <c r="X135" s="101"/>
      <c r="Y135" s="106">
        <f>SUM(Y136:Y144)</f>
        <v>0</v>
      </c>
      <c r="Z135" s="102">
        <f>Y135/$H135</f>
        <v>0</v>
      </c>
      <c r="AA135" s="101"/>
      <c r="AB135" s="106">
        <f>SUM(AB136:AB144)</f>
        <v>0</v>
      </c>
      <c r="AC135" s="102">
        <f>AB135/$H135</f>
        <v>0</v>
      </c>
      <c r="AD135" s="101"/>
      <c r="AE135" s="106">
        <f>SUM(AE136:AE144)</f>
        <v>0</v>
      </c>
      <c r="AF135" s="102">
        <f>AE135/$H135</f>
        <v>0</v>
      </c>
      <c r="AG135" s="101"/>
      <c r="AH135" s="106">
        <f>SUM(AH136:AH144)</f>
        <v>0</v>
      </c>
      <c r="AI135" s="102">
        <f>AH135/$H135</f>
        <v>0</v>
      </c>
      <c r="AJ135" s="101"/>
      <c r="AK135" s="106">
        <f>SUM(AK136:AK144)</f>
        <v>0</v>
      </c>
      <c r="AL135" s="102">
        <f>AK135/$H135</f>
        <v>0</v>
      </c>
      <c r="AM135" s="101"/>
      <c r="AN135" s="106">
        <f>SUM(AN136:AN144)</f>
        <v>0</v>
      </c>
      <c r="AO135" s="102">
        <f>AN135/$H135</f>
        <v>0</v>
      </c>
      <c r="AP135" s="103">
        <f t="shared" si="45"/>
        <v>0</v>
      </c>
      <c r="AQ135" s="106">
        <f>SUM(AQ136:AQ144)</f>
        <v>0</v>
      </c>
      <c r="AR135" s="102">
        <f>AQ135/$H135</f>
        <v>0</v>
      </c>
      <c r="AS135" s="103">
        <f t="shared" si="46"/>
        <v>0</v>
      </c>
      <c r="AT135" s="106">
        <f>SUM(AT136:AT144)</f>
        <v>29297.31</v>
      </c>
      <c r="AU135" s="102">
        <f>AT135/$H135</f>
        <v>1</v>
      </c>
    </row>
    <row r="136" spans="1:47" ht="60">
      <c r="A136" s="16"/>
      <c r="B136" s="97" t="s">
        <v>806</v>
      </c>
      <c r="C136" s="167" t="s">
        <v>807</v>
      </c>
      <c r="D136" s="86" t="s">
        <v>808</v>
      </c>
      <c r="E136" s="97" t="s">
        <v>28</v>
      </c>
      <c r="F136" s="172">
        <v>494.47</v>
      </c>
      <c r="G136" s="97">
        <v>4</v>
      </c>
      <c r="H136" s="85">
        <f t="shared" ref="H136:H153" si="106">G136*$F136</f>
        <v>1977.88</v>
      </c>
      <c r="I136" s="50">
        <f t="shared" ref="I136:I153" si="107">L136+O136</f>
        <v>0</v>
      </c>
      <c r="J136" s="85">
        <f t="shared" ref="J136:J144" si="108">I136*$F136</f>
        <v>0</v>
      </c>
      <c r="K136" s="82" t="str">
        <f t="shared" si="92"/>
        <v/>
      </c>
      <c r="L136" s="50"/>
      <c r="M136" s="85">
        <f t="shared" ref="M136:M144" si="109">L136*$F136</f>
        <v>0</v>
      </c>
      <c r="N136" s="82" t="str">
        <f t="shared" si="93"/>
        <v/>
      </c>
      <c r="O136" s="50"/>
      <c r="P136" s="85">
        <f t="shared" ref="P136:P144" si="110">O136*$F136</f>
        <v>0</v>
      </c>
      <c r="Q136" s="82" t="str">
        <f t="shared" si="94"/>
        <v/>
      </c>
      <c r="R136" s="50"/>
      <c r="S136" s="85">
        <f t="shared" ref="S136:S144" si="111">R136*$F136</f>
        <v>0</v>
      </c>
      <c r="T136" s="82" t="str">
        <f t="shared" si="95"/>
        <v/>
      </c>
      <c r="U136" s="50"/>
      <c r="V136" s="85">
        <f t="shared" ref="V136:V144" si="112">U136*$F136</f>
        <v>0</v>
      </c>
      <c r="W136" s="82" t="str">
        <f t="shared" si="96"/>
        <v/>
      </c>
      <c r="X136" s="50"/>
      <c r="Y136" s="85">
        <f t="shared" ref="Y136:Y144" si="113">X136*$F136</f>
        <v>0</v>
      </c>
      <c r="Z136" s="82" t="str">
        <f t="shared" si="97"/>
        <v/>
      </c>
      <c r="AA136" s="50"/>
      <c r="AB136" s="85">
        <f t="shared" ref="AB136:AB144" si="114">AA136*$F136</f>
        <v>0</v>
      </c>
      <c r="AC136" s="82" t="str">
        <f t="shared" si="98"/>
        <v/>
      </c>
      <c r="AD136" s="50"/>
      <c r="AE136" s="85">
        <f t="shared" ref="AE136:AE144" si="115">AD136*$F136</f>
        <v>0</v>
      </c>
      <c r="AF136" s="82" t="str">
        <f t="shared" si="99"/>
        <v/>
      </c>
      <c r="AG136" s="50"/>
      <c r="AH136" s="85">
        <f t="shared" ref="AH136:AH144" si="116">AG136*$F136</f>
        <v>0</v>
      </c>
      <c r="AI136" s="82" t="str">
        <f t="shared" si="100"/>
        <v/>
      </c>
      <c r="AJ136" s="50"/>
      <c r="AK136" s="85">
        <f t="shared" ref="AK136:AK144" si="117">AJ136*$F136</f>
        <v>0</v>
      </c>
      <c r="AL136" s="82" t="str">
        <f t="shared" si="101"/>
        <v/>
      </c>
      <c r="AM136" s="50"/>
      <c r="AN136" s="85">
        <f t="shared" ref="AN136:AN144" si="118">AM136*$F136</f>
        <v>0</v>
      </c>
      <c r="AO136" s="82" t="str">
        <f t="shared" si="102"/>
        <v/>
      </c>
      <c r="AP136" s="48">
        <f t="shared" si="45"/>
        <v>0</v>
      </c>
      <c r="AQ136" s="85">
        <f t="shared" ref="AQ136:AQ144" si="119">AP136*$F136</f>
        <v>0</v>
      </c>
      <c r="AR136" s="82" t="str">
        <f t="shared" si="103"/>
        <v/>
      </c>
      <c r="AS136" s="48">
        <f t="shared" si="46"/>
        <v>4</v>
      </c>
      <c r="AT136" s="85">
        <f t="shared" ref="AT136:AT144" si="120">AS136*$F136</f>
        <v>1977.88</v>
      </c>
      <c r="AU136" s="82">
        <f t="shared" si="104"/>
        <v>1</v>
      </c>
    </row>
    <row r="137" spans="1:47" ht="60">
      <c r="A137" s="16"/>
      <c r="B137" s="97" t="s">
        <v>809</v>
      </c>
      <c r="C137" s="167" t="s">
        <v>810</v>
      </c>
      <c r="D137" s="86" t="s">
        <v>811</v>
      </c>
      <c r="E137" s="97" t="s">
        <v>28</v>
      </c>
      <c r="F137" s="172">
        <v>515.09</v>
      </c>
      <c r="G137" s="97">
        <v>8</v>
      </c>
      <c r="H137" s="85">
        <f t="shared" si="106"/>
        <v>4120.72</v>
      </c>
      <c r="I137" s="50">
        <f t="shared" si="107"/>
        <v>0</v>
      </c>
      <c r="J137" s="85">
        <f t="shared" si="108"/>
        <v>0</v>
      </c>
      <c r="K137" s="82" t="str">
        <f t="shared" si="92"/>
        <v/>
      </c>
      <c r="L137" s="50"/>
      <c r="M137" s="85">
        <f t="shared" si="109"/>
        <v>0</v>
      </c>
      <c r="N137" s="82" t="str">
        <f t="shared" si="93"/>
        <v/>
      </c>
      <c r="O137" s="50"/>
      <c r="P137" s="85">
        <f t="shared" si="110"/>
        <v>0</v>
      </c>
      <c r="Q137" s="82" t="str">
        <f t="shared" si="94"/>
        <v/>
      </c>
      <c r="R137" s="50"/>
      <c r="S137" s="85">
        <f t="shared" si="111"/>
        <v>0</v>
      </c>
      <c r="T137" s="82" t="str">
        <f t="shared" si="95"/>
        <v/>
      </c>
      <c r="U137" s="50"/>
      <c r="V137" s="85">
        <f t="shared" si="112"/>
        <v>0</v>
      </c>
      <c r="W137" s="82" t="str">
        <f t="shared" si="96"/>
        <v/>
      </c>
      <c r="X137" s="50"/>
      <c r="Y137" s="85">
        <f t="shared" si="113"/>
        <v>0</v>
      </c>
      <c r="Z137" s="82" t="str">
        <f t="shared" si="97"/>
        <v/>
      </c>
      <c r="AA137" s="50"/>
      <c r="AB137" s="85">
        <f t="shared" si="114"/>
        <v>0</v>
      </c>
      <c r="AC137" s="82" t="str">
        <f t="shared" si="98"/>
        <v/>
      </c>
      <c r="AD137" s="50"/>
      <c r="AE137" s="85">
        <f t="shared" si="115"/>
        <v>0</v>
      </c>
      <c r="AF137" s="82" t="str">
        <f t="shared" si="99"/>
        <v/>
      </c>
      <c r="AG137" s="50"/>
      <c r="AH137" s="85">
        <f t="shared" si="116"/>
        <v>0</v>
      </c>
      <c r="AI137" s="82" t="str">
        <f t="shared" si="100"/>
        <v/>
      </c>
      <c r="AJ137" s="50"/>
      <c r="AK137" s="85">
        <f t="shared" si="117"/>
        <v>0</v>
      </c>
      <c r="AL137" s="82" t="str">
        <f t="shared" si="101"/>
        <v/>
      </c>
      <c r="AM137" s="50"/>
      <c r="AN137" s="85">
        <f t="shared" si="118"/>
        <v>0</v>
      </c>
      <c r="AO137" s="82" t="str">
        <f t="shared" si="102"/>
        <v/>
      </c>
      <c r="AP137" s="48">
        <f t="shared" ref="AP137:AP150" si="121">AM137+AJ137+AG137+AD137+AA137+X137+U137+R137+O137+L137</f>
        <v>0</v>
      </c>
      <c r="AQ137" s="85">
        <f t="shared" si="119"/>
        <v>0</v>
      </c>
      <c r="AR137" s="82" t="str">
        <f t="shared" si="103"/>
        <v/>
      </c>
      <c r="AS137" s="48">
        <f t="shared" ref="AS137:AS151" si="122">G137-AP137</f>
        <v>8</v>
      </c>
      <c r="AT137" s="85">
        <f t="shared" si="120"/>
        <v>4120.72</v>
      </c>
      <c r="AU137" s="82">
        <f t="shared" si="104"/>
        <v>1</v>
      </c>
    </row>
    <row r="138" spans="1:47" ht="60">
      <c r="A138" s="16"/>
      <c r="B138" s="97" t="s">
        <v>812</v>
      </c>
      <c r="C138" s="167" t="s">
        <v>813</v>
      </c>
      <c r="D138" s="86" t="s">
        <v>814</v>
      </c>
      <c r="E138" s="97" t="s">
        <v>28</v>
      </c>
      <c r="F138" s="172">
        <v>525.38</v>
      </c>
      <c r="G138" s="97">
        <v>5</v>
      </c>
      <c r="H138" s="85">
        <f t="shared" si="106"/>
        <v>2626.9</v>
      </c>
      <c r="I138" s="50">
        <f t="shared" si="107"/>
        <v>0</v>
      </c>
      <c r="J138" s="85">
        <f t="shared" si="108"/>
        <v>0</v>
      </c>
      <c r="K138" s="82" t="str">
        <f t="shared" si="92"/>
        <v/>
      </c>
      <c r="L138" s="50"/>
      <c r="M138" s="85">
        <f t="shared" si="109"/>
        <v>0</v>
      </c>
      <c r="N138" s="82" t="str">
        <f t="shared" si="93"/>
        <v/>
      </c>
      <c r="O138" s="50"/>
      <c r="P138" s="85">
        <f t="shared" si="110"/>
        <v>0</v>
      </c>
      <c r="Q138" s="82" t="str">
        <f t="shared" si="94"/>
        <v/>
      </c>
      <c r="R138" s="50"/>
      <c r="S138" s="85">
        <f t="shared" si="111"/>
        <v>0</v>
      </c>
      <c r="T138" s="82" t="str">
        <f t="shared" si="95"/>
        <v/>
      </c>
      <c r="U138" s="50"/>
      <c r="V138" s="85">
        <f t="shared" si="112"/>
        <v>0</v>
      </c>
      <c r="W138" s="82" t="str">
        <f t="shared" si="96"/>
        <v/>
      </c>
      <c r="X138" s="50"/>
      <c r="Y138" s="85">
        <f t="shared" si="113"/>
        <v>0</v>
      </c>
      <c r="Z138" s="82" t="str">
        <f t="shared" si="97"/>
        <v/>
      </c>
      <c r="AA138" s="50"/>
      <c r="AB138" s="85">
        <f t="shared" si="114"/>
        <v>0</v>
      </c>
      <c r="AC138" s="82" t="str">
        <f t="shared" si="98"/>
        <v/>
      </c>
      <c r="AD138" s="50"/>
      <c r="AE138" s="85">
        <f t="shared" si="115"/>
        <v>0</v>
      </c>
      <c r="AF138" s="82" t="str">
        <f t="shared" si="99"/>
        <v/>
      </c>
      <c r="AG138" s="50"/>
      <c r="AH138" s="85">
        <f t="shared" si="116"/>
        <v>0</v>
      </c>
      <c r="AI138" s="82" t="str">
        <f t="shared" si="100"/>
        <v/>
      </c>
      <c r="AJ138" s="50"/>
      <c r="AK138" s="85">
        <f t="shared" si="117"/>
        <v>0</v>
      </c>
      <c r="AL138" s="82" t="str">
        <f t="shared" si="101"/>
        <v/>
      </c>
      <c r="AM138" s="50"/>
      <c r="AN138" s="85">
        <f t="shared" si="118"/>
        <v>0</v>
      </c>
      <c r="AO138" s="82" t="str">
        <f t="shared" si="102"/>
        <v/>
      </c>
      <c r="AP138" s="48">
        <f t="shared" si="121"/>
        <v>0</v>
      </c>
      <c r="AQ138" s="85">
        <f t="shared" si="119"/>
        <v>0</v>
      </c>
      <c r="AR138" s="82" t="str">
        <f t="shared" si="103"/>
        <v/>
      </c>
      <c r="AS138" s="48">
        <f t="shared" si="122"/>
        <v>5</v>
      </c>
      <c r="AT138" s="85">
        <f t="shared" si="120"/>
        <v>2626.9</v>
      </c>
      <c r="AU138" s="82">
        <f t="shared" si="104"/>
        <v>1</v>
      </c>
    </row>
    <row r="139" spans="1:47" ht="90">
      <c r="A139" s="16"/>
      <c r="B139" s="97" t="s">
        <v>815</v>
      </c>
      <c r="C139" s="167" t="s">
        <v>816</v>
      </c>
      <c r="D139" s="86" t="s">
        <v>817</v>
      </c>
      <c r="E139" s="97" t="s">
        <v>28</v>
      </c>
      <c r="F139" s="172">
        <v>763.48</v>
      </c>
      <c r="G139" s="97">
        <v>1</v>
      </c>
      <c r="H139" s="85">
        <f t="shared" si="106"/>
        <v>763.48</v>
      </c>
      <c r="I139" s="50">
        <f t="shared" si="107"/>
        <v>0</v>
      </c>
      <c r="J139" s="85">
        <f t="shared" si="108"/>
        <v>0</v>
      </c>
      <c r="K139" s="82" t="str">
        <f t="shared" si="92"/>
        <v/>
      </c>
      <c r="L139" s="50"/>
      <c r="M139" s="85">
        <f t="shared" si="109"/>
        <v>0</v>
      </c>
      <c r="N139" s="82" t="str">
        <f t="shared" si="93"/>
        <v/>
      </c>
      <c r="O139" s="50"/>
      <c r="P139" s="85">
        <f t="shared" si="110"/>
        <v>0</v>
      </c>
      <c r="Q139" s="82" t="str">
        <f t="shared" si="94"/>
        <v/>
      </c>
      <c r="R139" s="50"/>
      <c r="S139" s="85">
        <f t="shared" si="111"/>
        <v>0</v>
      </c>
      <c r="T139" s="82" t="str">
        <f t="shared" si="95"/>
        <v/>
      </c>
      <c r="U139" s="50"/>
      <c r="V139" s="85">
        <f t="shared" si="112"/>
        <v>0</v>
      </c>
      <c r="W139" s="82" t="str">
        <f t="shared" si="96"/>
        <v/>
      </c>
      <c r="X139" s="50"/>
      <c r="Y139" s="85">
        <f t="shared" si="113"/>
        <v>0</v>
      </c>
      <c r="Z139" s="82" t="str">
        <f t="shared" si="97"/>
        <v/>
      </c>
      <c r="AA139" s="50"/>
      <c r="AB139" s="85">
        <f t="shared" si="114"/>
        <v>0</v>
      </c>
      <c r="AC139" s="82" t="str">
        <f t="shared" si="98"/>
        <v/>
      </c>
      <c r="AD139" s="50"/>
      <c r="AE139" s="85">
        <f t="shared" si="115"/>
        <v>0</v>
      </c>
      <c r="AF139" s="82" t="str">
        <f t="shared" si="99"/>
        <v/>
      </c>
      <c r="AG139" s="50"/>
      <c r="AH139" s="85">
        <f t="shared" si="116"/>
        <v>0</v>
      </c>
      <c r="AI139" s="82" t="str">
        <f t="shared" si="100"/>
        <v/>
      </c>
      <c r="AJ139" s="50"/>
      <c r="AK139" s="85">
        <f t="shared" si="117"/>
        <v>0</v>
      </c>
      <c r="AL139" s="82" t="str">
        <f t="shared" si="101"/>
        <v/>
      </c>
      <c r="AM139" s="50"/>
      <c r="AN139" s="85">
        <f t="shared" si="118"/>
        <v>0</v>
      </c>
      <c r="AO139" s="82" t="str">
        <f t="shared" si="102"/>
        <v/>
      </c>
      <c r="AP139" s="48">
        <f t="shared" si="121"/>
        <v>0</v>
      </c>
      <c r="AQ139" s="85">
        <f t="shared" si="119"/>
        <v>0</v>
      </c>
      <c r="AR139" s="82" t="str">
        <f t="shared" si="103"/>
        <v/>
      </c>
      <c r="AS139" s="48">
        <f t="shared" si="122"/>
        <v>1</v>
      </c>
      <c r="AT139" s="85">
        <f t="shared" si="120"/>
        <v>763.48</v>
      </c>
      <c r="AU139" s="82">
        <f t="shared" si="104"/>
        <v>1</v>
      </c>
    </row>
    <row r="140" spans="1:47" ht="75">
      <c r="A140" s="16"/>
      <c r="B140" s="119" t="s">
        <v>818</v>
      </c>
      <c r="C140" s="168" t="s">
        <v>819</v>
      </c>
      <c r="D140" s="87" t="s">
        <v>820</v>
      </c>
      <c r="E140" s="98" t="s">
        <v>28</v>
      </c>
      <c r="F140" s="172">
        <v>372.9</v>
      </c>
      <c r="G140" s="148">
        <v>28</v>
      </c>
      <c r="H140" s="85">
        <f t="shared" si="106"/>
        <v>10441.199999999999</v>
      </c>
      <c r="I140" s="50">
        <f t="shared" si="107"/>
        <v>0</v>
      </c>
      <c r="J140" s="85">
        <f t="shared" si="108"/>
        <v>0</v>
      </c>
      <c r="K140" s="82" t="str">
        <f t="shared" si="92"/>
        <v/>
      </c>
      <c r="L140" s="50"/>
      <c r="M140" s="85">
        <f t="shared" si="109"/>
        <v>0</v>
      </c>
      <c r="N140" s="82" t="str">
        <f t="shared" si="93"/>
        <v/>
      </c>
      <c r="O140" s="50"/>
      <c r="P140" s="85">
        <f t="shared" si="110"/>
        <v>0</v>
      </c>
      <c r="Q140" s="82" t="str">
        <f t="shared" si="94"/>
        <v/>
      </c>
      <c r="R140" s="50"/>
      <c r="S140" s="85">
        <f t="shared" si="111"/>
        <v>0</v>
      </c>
      <c r="T140" s="82" t="str">
        <f t="shared" si="95"/>
        <v/>
      </c>
      <c r="U140" s="50"/>
      <c r="V140" s="85">
        <f t="shared" si="112"/>
        <v>0</v>
      </c>
      <c r="W140" s="82" t="str">
        <f t="shared" si="96"/>
        <v/>
      </c>
      <c r="X140" s="50"/>
      <c r="Y140" s="85">
        <f t="shared" si="113"/>
        <v>0</v>
      </c>
      <c r="Z140" s="82" t="str">
        <f t="shared" si="97"/>
        <v/>
      </c>
      <c r="AA140" s="50"/>
      <c r="AB140" s="85">
        <f t="shared" si="114"/>
        <v>0</v>
      </c>
      <c r="AC140" s="82" t="str">
        <f t="shared" si="98"/>
        <v/>
      </c>
      <c r="AD140" s="50"/>
      <c r="AE140" s="85">
        <f t="shared" si="115"/>
        <v>0</v>
      </c>
      <c r="AF140" s="82" t="str">
        <f t="shared" si="99"/>
        <v/>
      </c>
      <c r="AG140" s="50"/>
      <c r="AH140" s="85">
        <f t="shared" si="116"/>
        <v>0</v>
      </c>
      <c r="AI140" s="82" t="str">
        <f t="shared" si="100"/>
        <v/>
      </c>
      <c r="AJ140" s="50"/>
      <c r="AK140" s="85">
        <f t="shared" si="117"/>
        <v>0</v>
      </c>
      <c r="AL140" s="82" t="str">
        <f t="shared" si="101"/>
        <v/>
      </c>
      <c r="AM140" s="50"/>
      <c r="AN140" s="85">
        <f t="shared" si="118"/>
        <v>0</v>
      </c>
      <c r="AO140" s="82" t="str">
        <f t="shared" si="102"/>
        <v/>
      </c>
      <c r="AP140" s="48">
        <f t="shared" si="121"/>
        <v>0</v>
      </c>
      <c r="AQ140" s="85">
        <f t="shared" si="119"/>
        <v>0</v>
      </c>
      <c r="AR140" s="82" t="str">
        <f t="shared" si="103"/>
        <v/>
      </c>
      <c r="AS140" s="48">
        <f t="shared" si="122"/>
        <v>28</v>
      </c>
      <c r="AT140" s="85">
        <f t="shared" si="120"/>
        <v>10441.199999999999</v>
      </c>
      <c r="AU140" s="82">
        <f t="shared" si="104"/>
        <v>1</v>
      </c>
    </row>
    <row r="141" spans="1:47" ht="45">
      <c r="A141" s="16"/>
      <c r="B141" s="97" t="s">
        <v>821</v>
      </c>
      <c r="C141" s="167" t="s">
        <v>822</v>
      </c>
      <c r="D141" s="86" t="s">
        <v>823</v>
      </c>
      <c r="E141" s="97" t="s">
        <v>28</v>
      </c>
      <c r="F141" s="172">
        <v>194.67</v>
      </c>
      <c r="G141" s="97">
        <v>4</v>
      </c>
      <c r="H141" s="85">
        <f t="shared" si="106"/>
        <v>778.68</v>
      </c>
      <c r="I141" s="50">
        <f t="shared" si="107"/>
        <v>0</v>
      </c>
      <c r="J141" s="85">
        <f t="shared" si="108"/>
        <v>0</v>
      </c>
      <c r="K141" s="82" t="str">
        <f t="shared" si="92"/>
        <v/>
      </c>
      <c r="L141" s="50"/>
      <c r="M141" s="85">
        <f t="shared" si="109"/>
        <v>0</v>
      </c>
      <c r="N141" s="82" t="str">
        <f t="shared" si="93"/>
        <v/>
      </c>
      <c r="O141" s="50"/>
      <c r="P141" s="85">
        <f t="shared" si="110"/>
        <v>0</v>
      </c>
      <c r="Q141" s="82" t="str">
        <f t="shared" si="94"/>
        <v/>
      </c>
      <c r="R141" s="50"/>
      <c r="S141" s="85">
        <f t="shared" si="111"/>
        <v>0</v>
      </c>
      <c r="T141" s="82" t="str">
        <f t="shared" si="95"/>
        <v/>
      </c>
      <c r="U141" s="50"/>
      <c r="V141" s="85">
        <f t="shared" si="112"/>
        <v>0</v>
      </c>
      <c r="W141" s="82" t="str">
        <f t="shared" si="96"/>
        <v/>
      </c>
      <c r="X141" s="50"/>
      <c r="Y141" s="85">
        <f t="shared" si="113"/>
        <v>0</v>
      </c>
      <c r="Z141" s="82" t="str">
        <f t="shared" si="97"/>
        <v/>
      </c>
      <c r="AA141" s="50"/>
      <c r="AB141" s="85">
        <f t="shared" si="114"/>
        <v>0</v>
      </c>
      <c r="AC141" s="82" t="str">
        <f t="shared" si="98"/>
        <v/>
      </c>
      <c r="AD141" s="50"/>
      <c r="AE141" s="85">
        <f t="shared" si="115"/>
        <v>0</v>
      </c>
      <c r="AF141" s="82" t="str">
        <f t="shared" si="99"/>
        <v/>
      </c>
      <c r="AG141" s="50"/>
      <c r="AH141" s="85">
        <f t="shared" si="116"/>
        <v>0</v>
      </c>
      <c r="AI141" s="82" t="str">
        <f t="shared" si="100"/>
        <v/>
      </c>
      <c r="AJ141" s="50"/>
      <c r="AK141" s="85">
        <f t="shared" si="117"/>
        <v>0</v>
      </c>
      <c r="AL141" s="82" t="str">
        <f t="shared" si="101"/>
        <v/>
      </c>
      <c r="AM141" s="50"/>
      <c r="AN141" s="85">
        <f t="shared" si="118"/>
        <v>0</v>
      </c>
      <c r="AO141" s="82" t="str">
        <f t="shared" si="102"/>
        <v/>
      </c>
      <c r="AP141" s="48">
        <f t="shared" si="121"/>
        <v>0</v>
      </c>
      <c r="AQ141" s="85">
        <f t="shared" si="119"/>
        <v>0</v>
      </c>
      <c r="AR141" s="82" t="str">
        <f t="shared" si="103"/>
        <v/>
      </c>
      <c r="AS141" s="48">
        <f t="shared" si="122"/>
        <v>4</v>
      </c>
      <c r="AT141" s="85">
        <f t="shared" si="120"/>
        <v>778.68</v>
      </c>
      <c r="AU141" s="82">
        <f t="shared" si="104"/>
        <v>1</v>
      </c>
    </row>
    <row r="142" spans="1:47" ht="45">
      <c r="A142" s="16"/>
      <c r="B142" s="97" t="s">
        <v>824</v>
      </c>
      <c r="C142" s="167" t="s">
        <v>825</v>
      </c>
      <c r="D142" s="86" t="s">
        <v>826</v>
      </c>
      <c r="E142" s="97" t="s">
        <v>28</v>
      </c>
      <c r="F142" s="172">
        <v>202.8</v>
      </c>
      <c r="G142" s="97">
        <v>36</v>
      </c>
      <c r="H142" s="85">
        <f t="shared" si="106"/>
        <v>7300.8</v>
      </c>
      <c r="I142" s="50">
        <f t="shared" si="107"/>
        <v>0</v>
      </c>
      <c r="J142" s="85">
        <f t="shared" si="108"/>
        <v>0</v>
      </c>
      <c r="K142" s="82" t="str">
        <f t="shared" si="92"/>
        <v/>
      </c>
      <c r="L142" s="50"/>
      <c r="M142" s="85">
        <f t="shared" si="109"/>
        <v>0</v>
      </c>
      <c r="N142" s="82" t="str">
        <f t="shared" si="93"/>
        <v/>
      </c>
      <c r="O142" s="50"/>
      <c r="P142" s="85">
        <f t="shared" si="110"/>
        <v>0</v>
      </c>
      <c r="Q142" s="82" t="str">
        <f t="shared" si="94"/>
        <v/>
      </c>
      <c r="R142" s="50"/>
      <c r="S142" s="85">
        <f t="shared" si="111"/>
        <v>0</v>
      </c>
      <c r="T142" s="82" t="str">
        <f t="shared" si="95"/>
        <v/>
      </c>
      <c r="U142" s="50"/>
      <c r="V142" s="85">
        <f t="shared" si="112"/>
        <v>0</v>
      </c>
      <c r="W142" s="82" t="str">
        <f t="shared" si="96"/>
        <v/>
      </c>
      <c r="X142" s="50"/>
      <c r="Y142" s="85">
        <f t="shared" si="113"/>
        <v>0</v>
      </c>
      <c r="Z142" s="82" t="str">
        <f t="shared" si="97"/>
        <v/>
      </c>
      <c r="AA142" s="50"/>
      <c r="AB142" s="85">
        <f t="shared" si="114"/>
        <v>0</v>
      </c>
      <c r="AC142" s="82" t="str">
        <f t="shared" si="98"/>
        <v/>
      </c>
      <c r="AD142" s="50"/>
      <c r="AE142" s="85">
        <f t="shared" si="115"/>
        <v>0</v>
      </c>
      <c r="AF142" s="82" t="str">
        <f t="shared" si="99"/>
        <v/>
      </c>
      <c r="AG142" s="50"/>
      <c r="AH142" s="85">
        <f t="shared" si="116"/>
        <v>0</v>
      </c>
      <c r="AI142" s="82" t="str">
        <f t="shared" si="100"/>
        <v/>
      </c>
      <c r="AJ142" s="50"/>
      <c r="AK142" s="85">
        <f t="shared" si="117"/>
        <v>0</v>
      </c>
      <c r="AL142" s="82" t="str">
        <f t="shared" si="101"/>
        <v/>
      </c>
      <c r="AM142" s="50"/>
      <c r="AN142" s="85">
        <f t="shared" si="118"/>
        <v>0</v>
      </c>
      <c r="AO142" s="82" t="str">
        <f t="shared" si="102"/>
        <v/>
      </c>
      <c r="AP142" s="48">
        <f t="shared" si="121"/>
        <v>0</v>
      </c>
      <c r="AQ142" s="85">
        <f t="shared" si="119"/>
        <v>0</v>
      </c>
      <c r="AR142" s="82" t="str">
        <f t="shared" si="103"/>
        <v/>
      </c>
      <c r="AS142" s="48">
        <f t="shared" si="122"/>
        <v>36</v>
      </c>
      <c r="AT142" s="85">
        <f t="shared" si="120"/>
        <v>7300.8</v>
      </c>
      <c r="AU142" s="82">
        <f t="shared" si="104"/>
        <v>1</v>
      </c>
    </row>
    <row r="143" spans="1:47" ht="45">
      <c r="A143" s="16"/>
      <c r="B143" s="97" t="s">
        <v>827</v>
      </c>
      <c r="C143" s="167" t="s">
        <v>828</v>
      </c>
      <c r="D143" s="86" t="s">
        <v>829</v>
      </c>
      <c r="E143" s="97" t="s">
        <v>28</v>
      </c>
      <c r="F143" s="172">
        <v>210.89</v>
      </c>
      <c r="G143" s="97">
        <v>5</v>
      </c>
      <c r="H143" s="85">
        <f t="shared" si="106"/>
        <v>1054.4499999999998</v>
      </c>
      <c r="I143" s="50">
        <f t="shared" si="107"/>
        <v>0</v>
      </c>
      <c r="J143" s="85">
        <f t="shared" si="108"/>
        <v>0</v>
      </c>
      <c r="K143" s="82" t="str">
        <f t="shared" si="92"/>
        <v/>
      </c>
      <c r="L143" s="50"/>
      <c r="M143" s="85">
        <f t="shared" si="109"/>
        <v>0</v>
      </c>
      <c r="N143" s="82" t="str">
        <f t="shared" si="93"/>
        <v/>
      </c>
      <c r="O143" s="50"/>
      <c r="P143" s="85">
        <f t="shared" si="110"/>
        <v>0</v>
      </c>
      <c r="Q143" s="82" t="str">
        <f t="shared" si="94"/>
        <v/>
      </c>
      <c r="R143" s="50"/>
      <c r="S143" s="85">
        <f t="shared" si="111"/>
        <v>0</v>
      </c>
      <c r="T143" s="82" t="str">
        <f t="shared" si="95"/>
        <v/>
      </c>
      <c r="U143" s="50"/>
      <c r="V143" s="85">
        <f t="shared" si="112"/>
        <v>0</v>
      </c>
      <c r="W143" s="82" t="str">
        <f t="shared" si="96"/>
        <v/>
      </c>
      <c r="X143" s="50"/>
      <c r="Y143" s="85">
        <f t="shared" si="113"/>
        <v>0</v>
      </c>
      <c r="Z143" s="82" t="str">
        <f t="shared" si="97"/>
        <v/>
      </c>
      <c r="AA143" s="50"/>
      <c r="AB143" s="85">
        <f t="shared" si="114"/>
        <v>0</v>
      </c>
      <c r="AC143" s="82" t="str">
        <f t="shared" si="98"/>
        <v/>
      </c>
      <c r="AD143" s="50"/>
      <c r="AE143" s="85">
        <f t="shared" si="115"/>
        <v>0</v>
      </c>
      <c r="AF143" s="82" t="str">
        <f t="shared" si="99"/>
        <v/>
      </c>
      <c r="AG143" s="50"/>
      <c r="AH143" s="85">
        <f t="shared" si="116"/>
        <v>0</v>
      </c>
      <c r="AI143" s="82" t="str">
        <f t="shared" si="100"/>
        <v/>
      </c>
      <c r="AJ143" s="50"/>
      <c r="AK143" s="85">
        <f t="shared" si="117"/>
        <v>0</v>
      </c>
      <c r="AL143" s="82" t="str">
        <f t="shared" si="101"/>
        <v/>
      </c>
      <c r="AM143" s="50"/>
      <c r="AN143" s="85">
        <f t="shared" si="118"/>
        <v>0</v>
      </c>
      <c r="AO143" s="82" t="str">
        <f t="shared" si="102"/>
        <v/>
      </c>
      <c r="AP143" s="48">
        <f t="shared" si="121"/>
        <v>0</v>
      </c>
      <c r="AQ143" s="85">
        <f t="shared" si="119"/>
        <v>0</v>
      </c>
      <c r="AR143" s="82" t="str">
        <f t="shared" si="103"/>
        <v/>
      </c>
      <c r="AS143" s="48">
        <f t="shared" si="122"/>
        <v>5</v>
      </c>
      <c r="AT143" s="85">
        <f t="shared" si="120"/>
        <v>1054.4499999999998</v>
      </c>
      <c r="AU143" s="82">
        <f t="shared" si="104"/>
        <v>1</v>
      </c>
    </row>
    <row r="144" spans="1:47" ht="45">
      <c r="A144" s="16"/>
      <c r="B144" s="97" t="s">
        <v>830</v>
      </c>
      <c r="C144" s="167" t="s">
        <v>831</v>
      </c>
      <c r="D144" s="86" t="s">
        <v>832</v>
      </c>
      <c r="E144" s="97" t="s">
        <v>28</v>
      </c>
      <c r="F144" s="172">
        <v>233.2</v>
      </c>
      <c r="G144" s="97">
        <v>1</v>
      </c>
      <c r="H144" s="85">
        <f t="shared" si="106"/>
        <v>233.2</v>
      </c>
      <c r="I144" s="50">
        <f t="shared" si="107"/>
        <v>0</v>
      </c>
      <c r="J144" s="85">
        <f t="shared" si="108"/>
        <v>0</v>
      </c>
      <c r="K144" s="82" t="str">
        <f t="shared" si="92"/>
        <v/>
      </c>
      <c r="L144" s="50"/>
      <c r="M144" s="85">
        <f t="shared" si="109"/>
        <v>0</v>
      </c>
      <c r="N144" s="82" t="str">
        <f t="shared" si="93"/>
        <v/>
      </c>
      <c r="O144" s="50"/>
      <c r="P144" s="85">
        <f t="shared" si="110"/>
        <v>0</v>
      </c>
      <c r="Q144" s="82" t="str">
        <f t="shared" si="94"/>
        <v/>
      </c>
      <c r="R144" s="50"/>
      <c r="S144" s="85">
        <f t="shared" si="111"/>
        <v>0</v>
      </c>
      <c r="T144" s="82" t="str">
        <f t="shared" si="95"/>
        <v/>
      </c>
      <c r="U144" s="50"/>
      <c r="V144" s="85">
        <f t="shared" si="112"/>
        <v>0</v>
      </c>
      <c r="W144" s="82" t="str">
        <f t="shared" si="96"/>
        <v/>
      </c>
      <c r="X144" s="50"/>
      <c r="Y144" s="85">
        <f t="shared" si="113"/>
        <v>0</v>
      </c>
      <c r="Z144" s="82" t="str">
        <f t="shared" si="97"/>
        <v/>
      </c>
      <c r="AA144" s="50"/>
      <c r="AB144" s="85">
        <f t="shared" si="114"/>
        <v>0</v>
      </c>
      <c r="AC144" s="82" t="str">
        <f t="shared" si="98"/>
        <v/>
      </c>
      <c r="AD144" s="50"/>
      <c r="AE144" s="85">
        <f t="shared" si="115"/>
        <v>0</v>
      </c>
      <c r="AF144" s="82" t="str">
        <f t="shared" si="99"/>
        <v/>
      </c>
      <c r="AG144" s="50"/>
      <c r="AH144" s="85">
        <f t="shared" si="116"/>
        <v>0</v>
      </c>
      <c r="AI144" s="82" t="str">
        <f t="shared" si="100"/>
        <v/>
      </c>
      <c r="AJ144" s="50"/>
      <c r="AK144" s="85">
        <f t="shared" si="117"/>
        <v>0</v>
      </c>
      <c r="AL144" s="82" t="str">
        <f t="shared" si="101"/>
        <v/>
      </c>
      <c r="AM144" s="50"/>
      <c r="AN144" s="85">
        <f t="shared" si="118"/>
        <v>0</v>
      </c>
      <c r="AO144" s="82" t="str">
        <f t="shared" si="102"/>
        <v/>
      </c>
      <c r="AP144" s="48">
        <f t="shared" si="121"/>
        <v>0</v>
      </c>
      <c r="AQ144" s="85">
        <f t="shared" si="119"/>
        <v>0</v>
      </c>
      <c r="AR144" s="82" t="str">
        <f t="shared" si="103"/>
        <v/>
      </c>
      <c r="AS144" s="48">
        <f t="shared" si="122"/>
        <v>1</v>
      </c>
      <c r="AT144" s="85">
        <f t="shared" si="120"/>
        <v>233.2</v>
      </c>
      <c r="AU144" s="82">
        <f t="shared" si="104"/>
        <v>1</v>
      </c>
    </row>
    <row r="145" spans="1:47" s="136" customFormat="1">
      <c r="A145" s="94"/>
      <c r="B145" s="116" t="s">
        <v>833</v>
      </c>
      <c r="C145" s="1934" t="s">
        <v>834</v>
      </c>
      <c r="D145" s="1935"/>
      <c r="E145" s="1935"/>
      <c r="F145" s="1935"/>
      <c r="G145" s="1936"/>
      <c r="H145" s="132">
        <f>SUM(H146:H151)</f>
        <v>47319.069999999992</v>
      </c>
      <c r="I145" s="133"/>
      <c r="J145" s="132">
        <f>SUM(J146:J151)</f>
        <v>0</v>
      </c>
      <c r="K145" s="102">
        <f>J145/$H145</f>
        <v>0</v>
      </c>
      <c r="L145" s="133"/>
      <c r="M145" s="132">
        <f>SUM(M146:M151)</f>
        <v>0</v>
      </c>
      <c r="N145" s="102">
        <f>M145/$H145</f>
        <v>0</v>
      </c>
      <c r="O145" s="133"/>
      <c r="P145" s="132">
        <f>SUM(P146:P151)</f>
        <v>0</v>
      </c>
      <c r="Q145" s="102">
        <f>P145/$H145</f>
        <v>0</v>
      </c>
      <c r="R145" s="133"/>
      <c r="S145" s="132">
        <f>SUM(S146:S151)</f>
        <v>0</v>
      </c>
      <c r="T145" s="102">
        <f>S145/$H145</f>
        <v>0</v>
      </c>
      <c r="U145" s="133"/>
      <c r="V145" s="132">
        <f>SUM(V146:V151)</f>
        <v>0</v>
      </c>
      <c r="W145" s="102">
        <f>V145/$H145</f>
        <v>0</v>
      </c>
      <c r="X145" s="133"/>
      <c r="Y145" s="132">
        <f>SUM(Y146:Y151)</f>
        <v>0</v>
      </c>
      <c r="Z145" s="102">
        <f>Y145/$H145</f>
        <v>0</v>
      </c>
      <c r="AA145" s="133"/>
      <c r="AB145" s="132">
        <f>SUM(AB146:AB151)</f>
        <v>0</v>
      </c>
      <c r="AC145" s="102">
        <f>AB145/$H145</f>
        <v>0</v>
      </c>
      <c r="AD145" s="133"/>
      <c r="AE145" s="132">
        <f>SUM(AE146:AE151)</f>
        <v>0</v>
      </c>
      <c r="AF145" s="102">
        <f>AE145/$H145</f>
        <v>0</v>
      </c>
      <c r="AG145" s="133"/>
      <c r="AH145" s="132">
        <f>SUM(AH146:AH151)</f>
        <v>0</v>
      </c>
      <c r="AI145" s="102">
        <f>AH145/$H145</f>
        <v>0</v>
      </c>
      <c r="AJ145" s="133"/>
      <c r="AK145" s="132">
        <f>SUM(AK146:AK151)</f>
        <v>0</v>
      </c>
      <c r="AL145" s="102">
        <f>AK145/$H145</f>
        <v>0</v>
      </c>
      <c r="AM145" s="133"/>
      <c r="AN145" s="132">
        <f>SUM(AN146:AN151)</f>
        <v>0</v>
      </c>
      <c r="AO145" s="102">
        <f>AN145/$H145</f>
        <v>0</v>
      </c>
      <c r="AP145" s="135">
        <f t="shared" si="121"/>
        <v>0</v>
      </c>
      <c r="AQ145" s="132">
        <f>SUM(AQ146:AQ151)</f>
        <v>0</v>
      </c>
      <c r="AR145" s="102">
        <f>AQ145/$H145</f>
        <v>0</v>
      </c>
      <c r="AS145" s="135">
        <f t="shared" si="122"/>
        <v>0</v>
      </c>
      <c r="AT145" s="132">
        <f>SUM(AT146:AT151)</f>
        <v>47319.069999999992</v>
      </c>
      <c r="AU145" s="102">
        <f>AT145/$H145</f>
        <v>1</v>
      </c>
    </row>
    <row r="146" spans="1:47" ht="90">
      <c r="A146" s="16"/>
      <c r="B146" s="97" t="s">
        <v>835</v>
      </c>
      <c r="C146" s="167" t="s">
        <v>836</v>
      </c>
      <c r="D146" s="86" t="s">
        <v>837</v>
      </c>
      <c r="E146" s="97" t="s">
        <v>28</v>
      </c>
      <c r="F146" s="172">
        <v>874.76</v>
      </c>
      <c r="G146" s="97">
        <v>4</v>
      </c>
      <c r="H146" s="85">
        <f t="shared" si="106"/>
        <v>3499.04</v>
      </c>
      <c r="I146" s="50">
        <f t="shared" si="107"/>
        <v>0</v>
      </c>
      <c r="J146" s="85">
        <f t="shared" ref="J146:J151" si="123">I146*$F146</f>
        <v>0</v>
      </c>
      <c r="K146" s="82" t="str">
        <f t="shared" si="92"/>
        <v/>
      </c>
      <c r="L146" s="50"/>
      <c r="M146" s="85">
        <f t="shared" ref="M146:M151" si="124">L146*$F146</f>
        <v>0</v>
      </c>
      <c r="N146" s="82" t="str">
        <f t="shared" si="93"/>
        <v/>
      </c>
      <c r="O146" s="50"/>
      <c r="P146" s="85">
        <f t="shared" ref="P146:P151" si="125">O146*$F146</f>
        <v>0</v>
      </c>
      <c r="Q146" s="82" t="str">
        <f t="shared" si="94"/>
        <v/>
      </c>
      <c r="R146" s="50"/>
      <c r="S146" s="85">
        <f t="shared" ref="S146:S151" si="126">R146*$F146</f>
        <v>0</v>
      </c>
      <c r="T146" s="82" t="str">
        <f t="shared" si="95"/>
        <v/>
      </c>
      <c r="U146" s="50"/>
      <c r="V146" s="85">
        <f t="shared" ref="V146:V151" si="127">U146*$F146</f>
        <v>0</v>
      </c>
      <c r="W146" s="82" t="str">
        <f t="shared" si="96"/>
        <v/>
      </c>
      <c r="X146" s="50"/>
      <c r="Y146" s="85">
        <f t="shared" ref="Y146:Y151" si="128">X146*$F146</f>
        <v>0</v>
      </c>
      <c r="Z146" s="82" t="str">
        <f t="shared" si="97"/>
        <v/>
      </c>
      <c r="AA146" s="50"/>
      <c r="AB146" s="85">
        <f t="shared" ref="AB146:AB151" si="129">AA146*$F146</f>
        <v>0</v>
      </c>
      <c r="AC146" s="82" t="str">
        <f t="shared" si="98"/>
        <v/>
      </c>
      <c r="AD146" s="50"/>
      <c r="AE146" s="85">
        <f t="shared" ref="AE146:AE151" si="130">AD146*$F146</f>
        <v>0</v>
      </c>
      <c r="AF146" s="82" t="str">
        <f t="shared" si="99"/>
        <v/>
      </c>
      <c r="AG146" s="50"/>
      <c r="AH146" s="85">
        <f t="shared" ref="AH146:AH151" si="131">AG146*$F146</f>
        <v>0</v>
      </c>
      <c r="AI146" s="82" t="str">
        <f t="shared" si="100"/>
        <v/>
      </c>
      <c r="AJ146" s="50"/>
      <c r="AK146" s="85">
        <f t="shared" ref="AK146:AK151" si="132">AJ146*$F146</f>
        <v>0</v>
      </c>
      <c r="AL146" s="82" t="str">
        <f t="shared" si="101"/>
        <v/>
      </c>
      <c r="AM146" s="50"/>
      <c r="AN146" s="85">
        <f t="shared" ref="AN146:AN151" si="133">AM146*$F146</f>
        <v>0</v>
      </c>
      <c r="AO146" s="82" t="str">
        <f t="shared" si="102"/>
        <v/>
      </c>
      <c r="AP146" s="48">
        <f t="shared" si="121"/>
        <v>0</v>
      </c>
      <c r="AQ146" s="85">
        <f t="shared" ref="AQ146:AQ151" si="134">AP146*$F146</f>
        <v>0</v>
      </c>
      <c r="AR146" s="82" t="str">
        <f t="shared" si="103"/>
        <v/>
      </c>
      <c r="AS146" s="48">
        <f t="shared" si="122"/>
        <v>4</v>
      </c>
      <c r="AT146" s="85">
        <f t="shared" ref="AT146:AT151" si="135">AS146*$F146</f>
        <v>3499.04</v>
      </c>
      <c r="AU146" s="82">
        <f t="shared" si="104"/>
        <v>1</v>
      </c>
    </row>
    <row r="147" spans="1:47" ht="90">
      <c r="A147" s="16"/>
      <c r="B147" s="97" t="s">
        <v>838</v>
      </c>
      <c r="C147" s="167" t="s">
        <v>839</v>
      </c>
      <c r="D147" s="86" t="s">
        <v>840</v>
      </c>
      <c r="E147" s="97" t="s">
        <v>28</v>
      </c>
      <c r="F147" s="172">
        <v>934.18</v>
      </c>
      <c r="G147" s="97">
        <v>8</v>
      </c>
      <c r="H147" s="85">
        <f t="shared" si="106"/>
        <v>7473.44</v>
      </c>
      <c r="I147" s="50">
        <f t="shared" si="107"/>
        <v>0</v>
      </c>
      <c r="J147" s="85">
        <f t="shared" si="123"/>
        <v>0</v>
      </c>
      <c r="K147" s="82" t="str">
        <f t="shared" si="92"/>
        <v/>
      </c>
      <c r="L147" s="50"/>
      <c r="M147" s="85">
        <f t="shared" si="124"/>
        <v>0</v>
      </c>
      <c r="N147" s="82" t="str">
        <f t="shared" si="93"/>
        <v/>
      </c>
      <c r="O147" s="50"/>
      <c r="P147" s="85">
        <f t="shared" si="125"/>
        <v>0</v>
      </c>
      <c r="Q147" s="82" t="str">
        <f t="shared" si="94"/>
        <v/>
      </c>
      <c r="R147" s="50"/>
      <c r="S147" s="85">
        <f t="shared" si="126"/>
        <v>0</v>
      </c>
      <c r="T147" s="82" t="str">
        <f t="shared" si="95"/>
        <v/>
      </c>
      <c r="U147" s="50"/>
      <c r="V147" s="85">
        <f t="shared" si="127"/>
        <v>0</v>
      </c>
      <c r="W147" s="82" t="str">
        <f t="shared" si="96"/>
        <v/>
      </c>
      <c r="X147" s="50"/>
      <c r="Y147" s="85">
        <f t="shared" si="128"/>
        <v>0</v>
      </c>
      <c r="Z147" s="82" t="str">
        <f t="shared" si="97"/>
        <v/>
      </c>
      <c r="AA147" s="50"/>
      <c r="AB147" s="85">
        <f t="shared" si="129"/>
        <v>0</v>
      </c>
      <c r="AC147" s="82" t="str">
        <f t="shared" si="98"/>
        <v/>
      </c>
      <c r="AD147" s="50"/>
      <c r="AE147" s="85">
        <f t="shared" si="130"/>
        <v>0</v>
      </c>
      <c r="AF147" s="82" t="str">
        <f t="shared" si="99"/>
        <v/>
      </c>
      <c r="AG147" s="50"/>
      <c r="AH147" s="85">
        <f t="shared" si="131"/>
        <v>0</v>
      </c>
      <c r="AI147" s="82" t="str">
        <f t="shared" si="100"/>
        <v/>
      </c>
      <c r="AJ147" s="50"/>
      <c r="AK147" s="85">
        <f t="shared" si="132"/>
        <v>0</v>
      </c>
      <c r="AL147" s="82" t="str">
        <f t="shared" si="101"/>
        <v/>
      </c>
      <c r="AM147" s="50"/>
      <c r="AN147" s="85">
        <f t="shared" si="133"/>
        <v>0</v>
      </c>
      <c r="AO147" s="82" t="str">
        <f t="shared" si="102"/>
        <v/>
      </c>
      <c r="AP147" s="48">
        <f t="shared" si="121"/>
        <v>0</v>
      </c>
      <c r="AQ147" s="85">
        <f t="shared" si="134"/>
        <v>0</v>
      </c>
      <c r="AR147" s="82" t="str">
        <f t="shared" si="103"/>
        <v/>
      </c>
      <c r="AS147" s="48">
        <f t="shared" si="122"/>
        <v>8</v>
      </c>
      <c r="AT147" s="85">
        <f t="shared" si="135"/>
        <v>7473.44</v>
      </c>
      <c r="AU147" s="82">
        <f t="shared" si="104"/>
        <v>1</v>
      </c>
    </row>
    <row r="148" spans="1:47" ht="90">
      <c r="A148" s="16"/>
      <c r="B148" s="97" t="s">
        <v>841</v>
      </c>
      <c r="C148" s="167" t="s">
        <v>842</v>
      </c>
      <c r="D148" s="86" t="s">
        <v>843</v>
      </c>
      <c r="E148" s="97" t="s">
        <v>28</v>
      </c>
      <c r="F148" s="172">
        <v>1442.73</v>
      </c>
      <c r="G148" s="97">
        <v>5</v>
      </c>
      <c r="H148" s="85">
        <f t="shared" si="106"/>
        <v>7213.65</v>
      </c>
      <c r="I148" s="50">
        <f t="shared" si="107"/>
        <v>0</v>
      </c>
      <c r="J148" s="85">
        <f t="shared" si="123"/>
        <v>0</v>
      </c>
      <c r="K148" s="82"/>
      <c r="L148" s="50"/>
      <c r="M148" s="85">
        <f t="shared" si="124"/>
        <v>0</v>
      </c>
      <c r="N148" s="82"/>
      <c r="O148" s="50"/>
      <c r="P148" s="85">
        <f t="shared" si="125"/>
        <v>0</v>
      </c>
      <c r="Q148" s="82"/>
      <c r="R148" s="50"/>
      <c r="S148" s="85">
        <f t="shared" si="126"/>
        <v>0</v>
      </c>
      <c r="T148" s="82"/>
      <c r="U148" s="50"/>
      <c r="V148" s="85">
        <f t="shared" si="127"/>
        <v>0</v>
      </c>
      <c r="W148" s="82"/>
      <c r="X148" s="50"/>
      <c r="Y148" s="85">
        <f t="shared" si="128"/>
        <v>0</v>
      </c>
      <c r="Z148" s="82"/>
      <c r="AA148" s="50"/>
      <c r="AB148" s="85">
        <f t="shared" si="129"/>
        <v>0</v>
      </c>
      <c r="AC148" s="82"/>
      <c r="AD148" s="50"/>
      <c r="AE148" s="85">
        <f t="shared" si="130"/>
        <v>0</v>
      </c>
      <c r="AF148" s="82"/>
      <c r="AG148" s="50"/>
      <c r="AH148" s="85">
        <f t="shared" si="131"/>
        <v>0</v>
      </c>
      <c r="AI148" s="82"/>
      <c r="AJ148" s="50"/>
      <c r="AK148" s="85">
        <f t="shared" si="132"/>
        <v>0</v>
      </c>
      <c r="AL148" s="82"/>
      <c r="AM148" s="50"/>
      <c r="AN148" s="85">
        <f t="shared" si="133"/>
        <v>0</v>
      </c>
      <c r="AO148" s="82"/>
      <c r="AP148" s="48"/>
      <c r="AQ148" s="85">
        <f t="shared" si="134"/>
        <v>0</v>
      </c>
      <c r="AR148" s="82"/>
      <c r="AS148" s="48">
        <f t="shared" si="122"/>
        <v>5</v>
      </c>
      <c r="AT148" s="85">
        <f t="shared" si="135"/>
        <v>7213.65</v>
      </c>
      <c r="AU148" s="82"/>
    </row>
    <row r="149" spans="1:47" ht="75">
      <c r="A149" s="16"/>
      <c r="B149" s="97" t="s">
        <v>844</v>
      </c>
      <c r="C149" s="167" t="s">
        <v>845</v>
      </c>
      <c r="D149" s="86" t="s">
        <v>846</v>
      </c>
      <c r="E149" s="97" t="s">
        <v>28</v>
      </c>
      <c r="F149" s="172">
        <v>1022.66</v>
      </c>
      <c r="G149" s="97">
        <v>1</v>
      </c>
      <c r="H149" s="85">
        <f t="shared" si="106"/>
        <v>1022.66</v>
      </c>
      <c r="I149" s="50">
        <f t="shared" si="107"/>
        <v>0</v>
      </c>
      <c r="J149" s="85">
        <f t="shared" si="123"/>
        <v>0</v>
      </c>
      <c r="K149" s="82"/>
      <c r="L149" s="50"/>
      <c r="M149" s="85">
        <f t="shared" si="124"/>
        <v>0</v>
      </c>
      <c r="N149" s="82"/>
      <c r="O149" s="50"/>
      <c r="P149" s="85">
        <f t="shared" si="125"/>
        <v>0</v>
      </c>
      <c r="Q149" s="82"/>
      <c r="R149" s="50"/>
      <c r="S149" s="85">
        <f t="shared" si="126"/>
        <v>0</v>
      </c>
      <c r="T149" s="82"/>
      <c r="U149" s="50"/>
      <c r="V149" s="85">
        <f t="shared" si="127"/>
        <v>0</v>
      </c>
      <c r="W149" s="82"/>
      <c r="X149" s="50"/>
      <c r="Y149" s="85">
        <f t="shared" si="128"/>
        <v>0</v>
      </c>
      <c r="Z149" s="82"/>
      <c r="AA149" s="50"/>
      <c r="AB149" s="85">
        <f t="shared" si="129"/>
        <v>0</v>
      </c>
      <c r="AC149" s="82"/>
      <c r="AD149" s="50"/>
      <c r="AE149" s="85">
        <f t="shared" si="130"/>
        <v>0</v>
      </c>
      <c r="AF149" s="82"/>
      <c r="AG149" s="50"/>
      <c r="AH149" s="85">
        <f t="shared" si="131"/>
        <v>0</v>
      </c>
      <c r="AI149" s="82"/>
      <c r="AJ149" s="50"/>
      <c r="AK149" s="85">
        <f t="shared" si="132"/>
        <v>0</v>
      </c>
      <c r="AL149" s="82"/>
      <c r="AM149" s="50"/>
      <c r="AN149" s="85">
        <f t="shared" si="133"/>
        <v>0</v>
      </c>
      <c r="AO149" s="82"/>
      <c r="AP149" s="48"/>
      <c r="AQ149" s="85">
        <f t="shared" si="134"/>
        <v>0</v>
      </c>
      <c r="AR149" s="82"/>
      <c r="AS149" s="48">
        <f t="shared" si="122"/>
        <v>1</v>
      </c>
      <c r="AT149" s="85">
        <f t="shared" si="135"/>
        <v>1022.66</v>
      </c>
      <c r="AU149" s="82"/>
    </row>
    <row r="150" spans="1:47" ht="75">
      <c r="A150" s="16"/>
      <c r="B150" s="97" t="s">
        <v>847</v>
      </c>
      <c r="C150" s="167" t="s">
        <v>848</v>
      </c>
      <c r="D150" s="86" t="s">
        <v>849</v>
      </c>
      <c r="E150" s="97" t="s">
        <v>28</v>
      </c>
      <c r="F150" s="172">
        <v>934.18</v>
      </c>
      <c r="G150" s="97">
        <v>28</v>
      </c>
      <c r="H150" s="85">
        <f t="shared" si="106"/>
        <v>26157.039999999997</v>
      </c>
      <c r="I150" s="50">
        <f t="shared" si="107"/>
        <v>0</v>
      </c>
      <c r="J150" s="85">
        <f t="shared" si="123"/>
        <v>0</v>
      </c>
      <c r="K150" s="82" t="str">
        <f>IF(I150=0,"",I150/$G150)</f>
        <v/>
      </c>
      <c r="L150" s="50"/>
      <c r="M150" s="85">
        <f t="shared" si="124"/>
        <v>0</v>
      </c>
      <c r="N150" s="82" t="str">
        <f>IF(L150=0,"",L150/$G150)</f>
        <v/>
      </c>
      <c r="O150" s="50"/>
      <c r="P150" s="85">
        <f t="shared" si="125"/>
        <v>0</v>
      </c>
      <c r="Q150" s="82" t="str">
        <f>IF(O150=0,"",O150/$G150)</f>
        <v/>
      </c>
      <c r="R150" s="50"/>
      <c r="S150" s="85">
        <f t="shared" si="126"/>
        <v>0</v>
      </c>
      <c r="T150" s="82" t="str">
        <f>IF(R150=0,"",R150/$G150)</f>
        <v/>
      </c>
      <c r="U150" s="50"/>
      <c r="V150" s="85">
        <f t="shared" si="127"/>
        <v>0</v>
      </c>
      <c r="W150" s="82" t="str">
        <f>IF(U150=0,"",U150/$G150)</f>
        <v/>
      </c>
      <c r="X150" s="50"/>
      <c r="Y150" s="85">
        <f t="shared" si="128"/>
        <v>0</v>
      </c>
      <c r="Z150" s="82" t="str">
        <f>IF(X150=0,"",X150/$G150)</f>
        <v/>
      </c>
      <c r="AA150" s="50"/>
      <c r="AB150" s="85">
        <f t="shared" si="129"/>
        <v>0</v>
      </c>
      <c r="AC150" s="82" t="str">
        <f>IF(AA150=0,"",AA150/$G150)</f>
        <v/>
      </c>
      <c r="AD150" s="50"/>
      <c r="AE150" s="85">
        <f t="shared" si="130"/>
        <v>0</v>
      </c>
      <c r="AF150" s="82" t="str">
        <f>IF(AD150=0,"",AD150/$G150)</f>
        <v/>
      </c>
      <c r="AG150" s="50"/>
      <c r="AH150" s="85">
        <f t="shared" si="131"/>
        <v>0</v>
      </c>
      <c r="AI150" s="82" t="str">
        <f>IF(AG150=0,"",AG150/$G150)</f>
        <v/>
      </c>
      <c r="AJ150" s="50"/>
      <c r="AK150" s="85">
        <f t="shared" si="132"/>
        <v>0</v>
      </c>
      <c r="AL150" s="82" t="str">
        <f>IF(AJ150=0,"",AJ150/$G150)</f>
        <v/>
      </c>
      <c r="AM150" s="50"/>
      <c r="AN150" s="85">
        <f t="shared" si="133"/>
        <v>0</v>
      </c>
      <c r="AO150" s="82" t="str">
        <f>IF(AM150=0,"",AM150/$G150)</f>
        <v/>
      </c>
      <c r="AP150" s="48">
        <f t="shared" si="121"/>
        <v>0</v>
      </c>
      <c r="AQ150" s="85">
        <f t="shared" si="134"/>
        <v>0</v>
      </c>
      <c r="AR150" s="82" t="str">
        <f>IF(AP150=0,"",AP150/$G150)</f>
        <v/>
      </c>
      <c r="AS150" s="48">
        <f t="shared" si="122"/>
        <v>28</v>
      </c>
      <c r="AT150" s="85">
        <f t="shared" si="135"/>
        <v>26157.039999999997</v>
      </c>
      <c r="AU150" s="82">
        <f>IF(AS150=0,"",AS150/$G150)</f>
        <v>1</v>
      </c>
    </row>
    <row r="151" spans="1:47" ht="75">
      <c r="A151" s="16"/>
      <c r="B151" s="97" t="s">
        <v>850</v>
      </c>
      <c r="C151" s="167" t="s">
        <v>851</v>
      </c>
      <c r="D151" s="86" t="s">
        <v>852</v>
      </c>
      <c r="E151" s="97" t="s">
        <v>28</v>
      </c>
      <c r="F151" s="172">
        <v>976.62</v>
      </c>
      <c r="G151" s="97">
        <v>2</v>
      </c>
      <c r="H151" s="85">
        <f t="shared" si="106"/>
        <v>1953.24</v>
      </c>
      <c r="I151" s="50">
        <f t="shared" si="107"/>
        <v>0</v>
      </c>
      <c r="J151" s="85">
        <f t="shared" si="123"/>
        <v>0</v>
      </c>
      <c r="K151" s="82"/>
      <c r="L151" s="83"/>
      <c r="M151" s="85">
        <f t="shared" si="124"/>
        <v>0</v>
      </c>
      <c r="N151" s="82"/>
      <c r="O151" s="83"/>
      <c r="P151" s="85">
        <f t="shared" si="125"/>
        <v>0</v>
      </c>
      <c r="Q151" s="82"/>
      <c r="R151" s="83"/>
      <c r="S151" s="85">
        <f t="shared" si="126"/>
        <v>0</v>
      </c>
      <c r="T151" s="82"/>
      <c r="U151" s="83"/>
      <c r="V151" s="85">
        <f t="shared" si="127"/>
        <v>0</v>
      </c>
      <c r="W151" s="82"/>
      <c r="X151" s="83"/>
      <c r="Y151" s="85">
        <f t="shared" si="128"/>
        <v>0</v>
      </c>
      <c r="Z151" s="82"/>
      <c r="AA151" s="83"/>
      <c r="AB151" s="85">
        <f t="shared" si="129"/>
        <v>0</v>
      </c>
      <c r="AC151" s="82"/>
      <c r="AD151" s="83"/>
      <c r="AE151" s="85">
        <f t="shared" si="130"/>
        <v>0</v>
      </c>
      <c r="AF151" s="82"/>
      <c r="AG151" s="83"/>
      <c r="AH151" s="85">
        <f t="shared" si="131"/>
        <v>0</v>
      </c>
      <c r="AI151" s="82"/>
      <c r="AJ151" s="83"/>
      <c r="AK151" s="85">
        <f t="shared" si="132"/>
        <v>0</v>
      </c>
      <c r="AL151" s="82"/>
      <c r="AM151" s="83"/>
      <c r="AN151" s="85">
        <f t="shared" si="133"/>
        <v>0</v>
      </c>
      <c r="AO151" s="82"/>
      <c r="AP151" s="84"/>
      <c r="AQ151" s="85">
        <f t="shared" si="134"/>
        <v>0</v>
      </c>
      <c r="AR151" s="82"/>
      <c r="AS151" s="48">
        <f t="shared" si="122"/>
        <v>2</v>
      </c>
      <c r="AT151" s="85">
        <f t="shared" si="135"/>
        <v>1953.24</v>
      </c>
      <c r="AU151" s="82"/>
    </row>
    <row r="152" spans="1:47" s="140" customFormat="1" ht="19.5" customHeight="1">
      <c r="A152" s="94"/>
      <c r="B152" s="116" t="s">
        <v>853</v>
      </c>
      <c r="C152" s="1945" t="s">
        <v>677</v>
      </c>
      <c r="D152" s="1946"/>
      <c r="E152" s="1946"/>
      <c r="F152" s="1946"/>
      <c r="G152" s="1947"/>
      <c r="H152" s="132">
        <f>H153</f>
        <v>3488.6400000000003</v>
      </c>
      <c r="I152" s="137"/>
      <c r="J152" s="132">
        <f>J153</f>
        <v>0</v>
      </c>
      <c r="K152" s="102">
        <f>J152/$H152</f>
        <v>0</v>
      </c>
      <c r="L152" s="137"/>
      <c r="M152" s="132">
        <f>M153</f>
        <v>0</v>
      </c>
      <c r="N152" s="102">
        <f>M152/$H152</f>
        <v>0</v>
      </c>
      <c r="O152" s="137"/>
      <c r="P152" s="132">
        <f>P153</f>
        <v>0</v>
      </c>
      <c r="Q152" s="102">
        <f>P152/$H152</f>
        <v>0</v>
      </c>
      <c r="R152" s="137"/>
      <c r="S152" s="132">
        <f>S153</f>
        <v>0</v>
      </c>
      <c r="T152" s="102">
        <f>S152/$H152</f>
        <v>0</v>
      </c>
      <c r="U152" s="137"/>
      <c r="V152" s="132">
        <f>V153</f>
        <v>0</v>
      </c>
      <c r="W152" s="102">
        <f>V152/$H152</f>
        <v>0</v>
      </c>
      <c r="X152" s="137"/>
      <c r="Y152" s="132">
        <f>Y153</f>
        <v>0</v>
      </c>
      <c r="Z152" s="102">
        <f>Y152/$H152</f>
        <v>0</v>
      </c>
      <c r="AA152" s="137"/>
      <c r="AB152" s="132">
        <f>AB153</f>
        <v>0</v>
      </c>
      <c r="AC152" s="102">
        <f>AB152/$H152</f>
        <v>0</v>
      </c>
      <c r="AD152" s="137"/>
      <c r="AE152" s="132">
        <f>AE153</f>
        <v>0</v>
      </c>
      <c r="AF152" s="102">
        <f>AE152/$H152</f>
        <v>0</v>
      </c>
      <c r="AG152" s="137"/>
      <c r="AH152" s="132">
        <f>AH153</f>
        <v>0</v>
      </c>
      <c r="AI152" s="102">
        <f>AH152/$H152</f>
        <v>0</v>
      </c>
      <c r="AJ152" s="137"/>
      <c r="AK152" s="132">
        <f>AK153</f>
        <v>0</v>
      </c>
      <c r="AL152" s="102">
        <f>AK152/$H152</f>
        <v>0</v>
      </c>
      <c r="AM152" s="137"/>
      <c r="AN152" s="132">
        <f>AN153</f>
        <v>0</v>
      </c>
      <c r="AO152" s="102">
        <f>AN152/$H152</f>
        <v>0</v>
      </c>
      <c r="AP152" s="138"/>
      <c r="AQ152" s="132">
        <f>AQ153</f>
        <v>0</v>
      </c>
      <c r="AR152" s="102">
        <f>AQ152/$H152</f>
        <v>0</v>
      </c>
      <c r="AS152" s="139"/>
      <c r="AT152" s="132">
        <f>AT153</f>
        <v>3488.6400000000003</v>
      </c>
      <c r="AU152" s="102">
        <f>AT152/$H152</f>
        <v>1</v>
      </c>
    </row>
    <row r="153" spans="1:47" ht="30">
      <c r="A153" s="16"/>
      <c r="B153" s="97" t="s">
        <v>854</v>
      </c>
      <c r="C153" s="167" t="s">
        <v>855</v>
      </c>
      <c r="D153" s="86" t="s">
        <v>856</v>
      </c>
      <c r="E153" s="97" t="s">
        <v>28</v>
      </c>
      <c r="F153" s="141">
        <v>72.680000000000007</v>
      </c>
      <c r="G153" s="97">
        <v>48</v>
      </c>
      <c r="H153" s="85">
        <f t="shared" si="106"/>
        <v>3488.6400000000003</v>
      </c>
      <c r="I153" s="50">
        <f t="shared" si="107"/>
        <v>0</v>
      </c>
      <c r="J153" s="85">
        <f>I153*$F153</f>
        <v>0</v>
      </c>
      <c r="K153" s="82"/>
      <c r="L153" s="83"/>
      <c r="M153" s="85">
        <f>L153*$F153</f>
        <v>0</v>
      </c>
      <c r="N153" s="82"/>
      <c r="O153" s="83"/>
      <c r="P153" s="85">
        <f>O153*$F153</f>
        <v>0</v>
      </c>
      <c r="Q153" s="82"/>
      <c r="R153" s="83"/>
      <c r="S153" s="85">
        <f>R153*$F153</f>
        <v>0</v>
      </c>
      <c r="T153" s="82"/>
      <c r="U153" s="83"/>
      <c r="V153" s="85">
        <f>U153*$F153</f>
        <v>0</v>
      </c>
      <c r="W153" s="82"/>
      <c r="X153" s="83"/>
      <c r="Y153" s="85">
        <f>X153*$F153</f>
        <v>0</v>
      </c>
      <c r="Z153" s="82"/>
      <c r="AA153" s="83"/>
      <c r="AB153" s="85">
        <f>AA153*$F153</f>
        <v>0</v>
      </c>
      <c r="AC153" s="82"/>
      <c r="AD153" s="83"/>
      <c r="AE153" s="85">
        <f>AD153*$F153</f>
        <v>0</v>
      </c>
      <c r="AF153" s="82"/>
      <c r="AG153" s="83"/>
      <c r="AH153" s="85">
        <f>AG153*$F153</f>
        <v>0</v>
      </c>
      <c r="AI153" s="82"/>
      <c r="AJ153" s="83"/>
      <c r="AK153" s="85">
        <f>AJ153*$F153</f>
        <v>0</v>
      </c>
      <c r="AL153" s="82"/>
      <c r="AM153" s="83"/>
      <c r="AN153" s="85">
        <f>AM153*$F153</f>
        <v>0</v>
      </c>
      <c r="AO153" s="82"/>
      <c r="AP153" s="84"/>
      <c r="AQ153" s="85">
        <f>AP153*$F153</f>
        <v>0</v>
      </c>
      <c r="AR153" s="82"/>
      <c r="AS153" s="48">
        <f>G153-AP153</f>
        <v>48</v>
      </c>
      <c r="AT153" s="85">
        <f>AS153*$F153</f>
        <v>3488.6400000000003</v>
      </c>
      <c r="AU153" s="82"/>
    </row>
    <row r="154" spans="1:47" s="115" customFormat="1" ht="15.75">
      <c r="A154" s="109"/>
      <c r="B154" s="118" t="s">
        <v>857</v>
      </c>
      <c r="C154" s="1937" t="s">
        <v>858</v>
      </c>
      <c r="D154" s="1938"/>
      <c r="E154" s="1938"/>
      <c r="F154" s="1938"/>
      <c r="G154" s="1939"/>
      <c r="H154" s="110">
        <f>H155+H157+H159+H164+H168+H175+H179</f>
        <v>305967.63210000005</v>
      </c>
      <c r="I154" s="154"/>
      <c r="J154" s="110">
        <f>J155+J157+J159+J164+J168+J175+J179</f>
        <v>0</v>
      </c>
      <c r="K154" s="113">
        <f>J154/$H154</f>
        <v>0</v>
      </c>
      <c r="L154" s="154"/>
      <c r="M154" s="110">
        <f>M155+M157+M159+M164+M168+M175+M179</f>
        <v>0</v>
      </c>
      <c r="N154" s="113">
        <f>M154/$H154</f>
        <v>0</v>
      </c>
      <c r="O154" s="154"/>
      <c r="P154" s="110">
        <f>P155+P157+P159+P164+P168+P175+P179</f>
        <v>0</v>
      </c>
      <c r="Q154" s="113">
        <f>P154/$H154</f>
        <v>0</v>
      </c>
      <c r="R154" s="154"/>
      <c r="S154" s="110">
        <f>S155+S157+S159+S164+S168+S175+S179</f>
        <v>0</v>
      </c>
      <c r="T154" s="113">
        <f>S154/$H154</f>
        <v>0</v>
      </c>
      <c r="U154" s="154"/>
      <c r="V154" s="110">
        <f>V155+V157+V159+V164+V168+V175+V179</f>
        <v>0</v>
      </c>
      <c r="W154" s="113">
        <f>V154/$H154</f>
        <v>0</v>
      </c>
      <c r="X154" s="154"/>
      <c r="Y154" s="110">
        <f>Y155+Y157+Y159+Y164+Y168+Y175+Y179</f>
        <v>0</v>
      </c>
      <c r="Z154" s="113">
        <f>Y154/$H154</f>
        <v>0</v>
      </c>
      <c r="AA154" s="154"/>
      <c r="AB154" s="110">
        <f>AB155+AB157+AB159+AB164+AB168+AB175+AB179</f>
        <v>0</v>
      </c>
      <c r="AC154" s="113">
        <f>AB154/$H154</f>
        <v>0</v>
      </c>
      <c r="AD154" s="154"/>
      <c r="AE154" s="110">
        <f>AE155+AE157+AE159+AE164+AE168+AE175+AE179</f>
        <v>0</v>
      </c>
      <c r="AF154" s="113">
        <f>AE154/$H154</f>
        <v>0</v>
      </c>
      <c r="AG154" s="154"/>
      <c r="AH154" s="110">
        <f>AH155+AH157+AH159+AH164+AH168+AH175+AH179</f>
        <v>0</v>
      </c>
      <c r="AI154" s="113">
        <f>AH154/$H154</f>
        <v>0</v>
      </c>
      <c r="AJ154" s="154"/>
      <c r="AK154" s="110">
        <f>AK155+AK157+AK159+AK164+AK168+AK175+AK179</f>
        <v>0</v>
      </c>
      <c r="AL154" s="113">
        <f>AK154/$H154</f>
        <v>0</v>
      </c>
      <c r="AM154" s="154"/>
      <c r="AN154" s="110">
        <f>AN155+AN157+AN159+AN164+AN168+AN175+AN179</f>
        <v>0</v>
      </c>
      <c r="AO154" s="113">
        <f>AN154/$H154</f>
        <v>0</v>
      </c>
      <c r="AP154" s="155"/>
      <c r="AQ154" s="110">
        <f>AQ155+AQ157+AQ159+AQ164+AQ168+AQ175+AQ179</f>
        <v>0</v>
      </c>
      <c r="AR154" s="113">
        <f>AQ154/$H154</f>
        <v>0</v>
      </c>
      <c r="AS154" s="114"/>
      <c r="AT154" s="110">
        <f>AT155+AT157+AT159+AT164+AT168+AT175+AT179</f>
        <v>305967.63210000005</v>
      </c>
      <c r="AU154" s="113">
        <f>AT154/$H154</f>
        <v>1</v>
      </c>
    </row>
    <row r="155" spans="1:47" s="136" customFormat="1">
      <c r="A155" s="94"/>
      <c r="B155" s="116" t="s">
        <v>859</v>
      </c>
      <c r="C155" s="1934" t="s">
        <v>860</v>
      </c>
      <c r="D155" s="1935"/>
      <c r="E155" s="1935"/>
      <c r="F155" s="1935"/>
      <c r="G155" s="1936"/>
      <c r="H155" s="132">
        <f>H156</f>
        <v>9063.0750000000007</v>
      </c>
      <c r="I155" s="137"/>
      <c r="J155" s="132">
        <f>J156</f>
        <v>0</v>
      </c>
      <c r="K155" s="102">
        <f>J155/$H155</f>
        <v>0</v>
      </c>
      <c r="L155" s="137"/>
      <c r="M155" s="132">
        <f>M156</f>
        <v>0</v>
      </c>
      <c r="N155" s="102">
        <f>M155/$H155</f>
        <v>0</v>
      </c>
      <c r="O155" s="137"/>
      <c r="P155" s="132">
        <f>P156</f>
        <v>0</v>
      </c>
      <c r="Q155" s="102">
        <f>P155/$H155</f>
        <v>0</v>
      </c>
      <c r="R155" s="137"/>
      <c r="S155" s="132">
        <f>S156</f>
        <v>0</v>
      </c>
      <c r="T155" s="102">
        <f>S155/$H155</f>
        <v>0</v>
      </c>
      <c r="U155" s="137"/>
      <c r="V155" s="132">
        <f>V156</f>
        <v>0</v>
      </c>
      <c r="W155" s="102">
        <f>V155/$H155</f>
        <v>0</v>
      </c>
      <c r="X155" s="137"/>
      <c r="Y155" s="132">
        <f>Y156</f>
        <v>0</v>
      </c>
      <c r="Z155" s="102">
        <f>Y155/$H155</f>
        <v>0</v>
      </c>
      <c r="AA155" s="137"/>
      <c r="AB155" s="132">
        <f>AB156</f>
        <v>0</v>
      </c>
      <c r="AC155" s="102">
        <f>AB155/$H155</f>
        <v>0</v>
      </c>
      <c r="AD155" s="137"/>
      <c r="AE155" s="132">
        <f>AE156</f>
        <v>0</v>
      </c>
      <c r="AF155" s="102">
        <f>AE155/$H155</f>
        <v>0</v>
      </c>
      <c r="AG155" s="137"/>
      <c r="AH155" s="132">
        <f>AH156</f>
        <v>0</v>
      </c>
      <c r="AI155" s="102">
        <f>AH155/$H155</f>
        <v>0</v>
      </c>
      <c r="AJ155" s="137"/>
      <c r="AK155" s="132">
        <f>AK156</f>
        <v>0</v>
      </c>
      <c r="AL155" s="102">
        <f>AK155/$H155</f>
        <v>0</v>
      </c>
      <c r="AM155" s="137"/>
      <c r="AN155" s="132">
        <f>AN156</f>
        <v>0</v>
      </c>
      <c r="AO155" s="102">
        <f>AN155/$H155</f>
        <v>0</v>
      </c>
      <c r="AP155" s="157"/>
      <c r="AQ155" s="132">
        <f>AQ156</f>
        <v>0</v>
      </c>
      <c r="AR155" s="102">
        <f>AQ155/$H155</f>
        <v>0</v>
      </c>
      <c r="AS155" s="135"/>
      <c r="AT155" s="132">
        <f>AT156</f>
        <v>9063.0750000000007</v>
      </c>
      <c r="AU155" s="102">
        <f>AT155/$H155</f>
        <v>1</v>
      </c>
    </row>
    <row r="156" spans="1:47" ht="60">
      <c r="A156" s="16"/>
      <c r="B156" s="97" t="s">
        <v>861</v>
      </c>
      <c r="C156" s="167" t="s">
        <v>862</v>
      </c>
      <c r="D156" s="86" t="s">
        <v>863</v>
      </c>
      <c r="E156" s="97" t="s">
        <v>12</v>
      </c>
      <c r="F156" s="141">
        <v>707.5</v>
      </c>
      <c r="G156" s="97">
        <v>12.81</v>
      </c>
      <c r="H156" s="85">
        <f>G156*$F156</f>
        <v>9063.0750000000007</v>
      </c>
      <c r="I156" s="50">
        <f t="shared" ref="I156:I182" si="136">L156+O156</f>
        <v>0</v>
      </c>
      <c r="J156" s="85">
        <f>I156*$F156</f>
        <v>0</v>
      </c>
      <c r="K156" s="82"/>
      <c r="L156" s="83"/>
      <c r="M156" s="85">
        <f>L156*$F156</f>
        <v>0</v>
      </c>
      <c r="N156" s="82"/>
      <c r="O156" s="83"/>
      <c r="P156" s="85">
        <f>O156*$F156</f>
        <v>0</v>
      </c>
      <c r="Q156" s="82"/>
      <c r="R156" s="83"/>
      <c r="S156" s="85">
        <f>R156*$F156</f>
        <v>0</v>
      </c>
      <c r="T156" s="82"/>
      <c r="U156" s="83"/>
      <c r="V156" s="85">
        <f>U156*$F156</f>
        <v>0</v>
      </c>
      <c r="W156" s="82"/>
      <c r="X156" s="83"/>
      <c r="Y156" s="85">
        <f>X156*$F156</f>
        <v>0</v>
      </c>
      <c r="Z156" s="82"/>
      <c r="AA156" s="83"/>
      <c r="AB156" s="85">
        <f>AA156*$F156</f>
        <v>0</v>
      </c>
      <c r="AC156" s="82"/>
      <c r="AD156" s="83"/>
      <c r="AE156" s="85">
        <f>AD156*$F156</f>
        <v>0</v>
      </c>
      <c r="AF156" s="82"/>
      <c r="AG156" s="83"/>
      <c r="AH156" s="85">
        <f>AG156*$F156</f>
        <v>0</v>
      </c>
      <c r="AI156" s="82"/>
      <c r="AJ156" s="83"/>
      <c r="AK156" s="85">
        <f>AJ156*$F156</f>
        <v>0</v>
      </c>
      <c r="AL156" s="82"/>
      <c r="AM156" s="83"/>
      <c r="AN156" s="85">
        <f>AM156*$F156</f>
        <v>0</v>
      </c>
      <c r="AO156" s="82"/>
      <c r="AP156" s="84"/>
      <c r="AQ156" s="85">
        <f>AP156*$F156</f>
        <v>0</v>
      </c>
      <c r="AR156" s="82"/>
      <c r="AS156" s="48">
        <f t="shared" ref="AS156:AS174" si="137">G156-AP156</f>
        <v>12.81</v>
      </c>
      <c r="AT156" s="85">
        <f>AS156*$F156</f>
        <v>9063.0750000000007</v>
      </c>
      <c r="AU156" s="82"/>
    </row>
    <row r="157" spans="1:47" s="136" customFormat="1">
      <c r="A157" s="94"/>
      <c r="B157" s="116" t="s">
        <v>864</v>
      </c>
      <c r="C157" s="1934" t="s">
        <v>865</v>
      </c>
      <c r="D157" s="1935"/>
      <c r="E157" s="1935"/>
      <c r="F157" s="1935"/>
      <c r="G157" s="1936"/>
      <c r="H157" s="132">
        <f>H158</f>
        <v>12430.5993</v>
      </c>
      <c r="I157" s="137"/>
      <c r="J157" s="132">
        <f>J158</f>
        <v>0</v>
      </c>
      <c r="K157" s="102">
        <f>J157/$H157</f>
        <v>0</v>
      </c>
      <c r="L157" s="137"/>
      <c r="M157" s="132">
        <f>M158</f>
        <v>0</v>
      </c>
      <c r="N157" s="102">
        <f>M157/$H157</f>
        <v>0</v>
      </c>
      <c r="O157" s="137"/>
      <c r="P157" s="132">
        <f>P158</f>
        <v>0</v>
      </c>
      <c r="Q157" s="102">
        <f>P157/$H157</f>
        <v>0</v>
      </c>
      <c r="R157" s="137"/>
      <c r="S157" s="132">
        <f>S158</f>
        <v>0</v>
      </c>
      <c r="T157" s="102">
        <f>S157/$H157</f>
        <v>0</v>
      </c>
      <c r="U157" s="137"/>
      <c r="V157" s="132">
        <f>V158</f>
        <v>0</v>
      </c>
      <c r="W157" s="102">
        <f>V157/$H157</f>
        <v>0</v>
      </c>
      <c r="X157" s="137"/>
      <c r="Y157" s="132">
        <f>Y158</f>
        <v>0</v>
      </c>
      <c r="Z157" s="102">
        <f>Y157/$H157</f>
        <v>0</v>
      </c>
      <c r="AA157" s="137"/>
      <c r="AB157" s="132">
        <f>AB158</f>
        <v>0</v>
      </c>
      <c r="AC157" s="102">
        <f>AB157/$H157</f>
        <v>0</v>
      </c>
      <c r="AD157" s="137"/>
      <c r="AE157" s="132">
        <f>AE158</f>
        <v>0</v>
      </c>
      <c r="AF157" s="102">
        <f>AE157/$H157</f>
        <v>0</v>
      </c>
      <c r="AG157" s="137"/>
      <c r="AH157" s="132">
        <f>AH158</f>
        <v>0</v>
      </c>
      <c r="AI157" s="102">
        <f>AH157/$H157</f>
        <v>0</v>
      </c>
      <c r="AJ157" s="137"/>
      <c r="AK157" s="132">
        <f>AK158</f>
        <v>0</v>
      </c>
      <c r="AL157" s="102">
        <f>AK157/$H157</f>
        <v>0</v>
      </c>
      <c r="AM157" s="137"/>
      <c r="AN157" s="132">
        <f>AN158</f>
        <v>0</v>
      </c>
      <c r="AO157" s="102">
        <f>AN157/$H157</f>
        <v>0</v>
      </c>
      <c r="AP157" s="157"/>
      <c r="AQ157" s="132">
        <f>AQ158</f>
        <v>0</v>
      </c>
      <c r="AR157" s="102">
        <f>AQ157/$H157</f>
        <v>0</v>
      </c>
      <c r="AS157" s="135"/>
      <c r="AT157" s="132">
        <f>AT158</f>
        <v>12430.5993</v>
      </c>
      <c r="AU157" s="102">
        <f>AT157/$H157</f>
        <v>1</v>
      </c>
    </row>
    <row r="158" spans="1:47" ht="60">
      <c r="A158" s="16"/>
      <c r="B158" s="97" t="s">
        <v>866</v>
      </c>
      <c r="C158" s="167" t="s">
        <v>867</v>
      </c>
      <c r="D158" s="86" t="s">
        <v>868</v>
      </c>
      <c r="E158" s="97" t="s">
        <v>12</v>
      </c>
      <c r="F158" s="141">
        <v>707.49</v>
      </c>
      <c r="G158" s="97">
        <v>17.57</v>
      </c>
      <c r="H158" s="85">
        <f>G158*$F158</f>
        <v>12430.5993</v>
      </c>
      <c r="I158" s="50">
        <f t="shared" si="136"/>
        <v>0</v>
      </c>
      <c r="J158" s="85">
        <f>I158*$F158</f>
        <v>0</v>
      </c>
      <c r="K158" s="82"/>
      <c r="L158" s="83"/>
      <c r="M158" s="85">
        <f>L158*$F158</f>
        <v>0</v>
      </c>
      <c r="N158" s="82"/>
      <c r="O158" s="83"/>
      <c r="P158" s="85">
        <f>O158*$F158</f>
        <v>0</v>
      </c>
      <c r="Q158" s="82"/>
      <c r="R158" s="83"/>
      <c r="S158" s="85">
        <f>R158*$F158</f>
        <v>0</v>
      </c>
      <c r="T158" s="82"/>
      <c r="U158" s="83"/>
      <c r="V158" s="85">
        <f>U158*$F158</f>
        <v>0</v>
      </c>
      <c r="W158" s="82"/>
      <c r="X158" s="83"/>
      <c r="Y158" s="85">
        <f>X158*$F158</f>
        <v>0</v>
      </c>
      <c r="Z158" s="82"/>
      <c r="AA158" s="83"/>
      <c r="AB158" s="85">
        <f>AA158*$F158</f>
        <v>0</v>
      </c>
      <c r="AC158" s="82"/>
      <c r="AD158" s="83"/>
      <c r="AE158" s="85">
        <f>AD158*$F158</f>
        <v>0</v>
      </c>
      <c r="AF158" s="82"/>
      <c r="AG158" s="83"/>
      <c r="AH158" s="85">
        <f>AG158*$F158</f>
        <v>0</v>
      </c>
      <c r="AI158" s="82"/>
      <c r="AJ158" s="83"/>
      <c r="AK158" s="85">
        <f>AJ158*$F158</f>
        <v>0</v>
      </c>
      <c r="AL158" s="82"/>
      <c r="AM158" s="83"/>
      <c r="AN158" s="85">
        <f>AM158*$F158</f>
        <v>0</v>
      </c>
      <c r="AO158" s="82"/>
      <c r="AP158" s="84"/>
      <c r="AQ158" s="85">
        <f>AP158*$F158</f>
        <v>0</v>
      </c>
      <c r="AR158" s="82"/>
      <c r="AS158" s="48">
        <f t="shared" si="137"/>
        <v>17.57</v>
      </c>
      <c r="AT158" s="85">
        <f>AS158*$F158</f>
        <v>12430.5993</v>
      </c>
      <c r="AU158" s="82"/>
    </row>
    <row r="159" spans="1:47" s="136" customFormat="1">
      <c r="A159" s="94"/>
      <c r="B159" s="116" t="s">
        <v>869</v>
      </c>
      <c r="C159" s="1934" t="s">
        <v>870</v>
      </c>
      <c r="D159" s="1935"/>
      <c r="E159" s="1935"/>
      <c r="F159" s="1935"/>
      <c r="G159" s="1936"/>
      <c r="H159" s="132">
        <f>SUM(H160:H163)</f>
        <v>33733.796799999996</v>
      </c>
      <c r="I159" s="137"/>
      <c r="J159" s="132">
        <f>SUM(J160:J163)</f>
        <v>0</v>
      </c>
      <c r="K159" s="102">
        <f>J159/$H159</f>
        <v>0</v>
      </c>
      <c r="L159" s="137"/>
      <c r="M159" s="132">
        <f>SUM(M160:M163)</f>
        <v>0</v>
      </c>
      <c r="N159" s="102">
        <f>M159/$H159</f>
        <v>0</v>
      </c>
      <c r="O159" s="137"/>
      <c r="P159" s="132">
        <f>SUM(P160:P163)</f>
        <v>0</v>
      </c>
      <c r="Q159" s="102">
        <f>P159/$H159</f>
        <v>0</v>
      </c>
      <c r="R159" s="137"/>
      <c r="S159" s="132">
        <f>SUM(S160:S163)</f>
        <v>0</v>
      </c>
      <c r="T159" s="102">
        <f>S159/$H159</f>
        <v>0</v>
      </c>
      <c r="U159" s="137"/>
      <c r="V159" s="132">
        <f>SUM(V160:V163)</f>
        <v>0</v>
      </c>
      <c r="W159" s="102">
        <f>V159/$H159</f>
        <v>0</v>
      </c>
      <c r="X159" s="137"/>
      <c r="Y159" s="132">
        <f>SUM(Y160:Y163)</f>
        <v>0</v>
      </c>
      <c r="Z159" s="102">
        <f>Y159/$H159</f>
        <v>0</v>
      </c>
      <c r="AA159" s="137"/>
      <c r="AB159" s="132">
        <f>SUM(AB160:AB163)</f>
        <v>0</v>
      </c>
      <c r="AC159" s="102">
        <f>AB159/$H159</f>
        <v>0</v>
      </c>
      <c r="AD159" s="137"/>
      <c r="AE159" s="132">
        <f>SUM(AE160:AE163)</f>
        <v>0</v>
      </c>
      <c r="AF159" s="102">
        <f>AE159/$H159</f>
        <v>0</v>
      </c>
      <c r="AG159" s="137"/>
      <c r="AH159" s="132">
        <f>SUM(AH160:AH163)</f>
        <v>0</v>
      </c>
      <c r="AI159" s="102">
        <f>AH159/$H159</f>
        <v>0</v>
      </c>
      <c r="AJ159" s="137"/>
      <c r="AK159" s="132">
        <f>SUM(AK160:AK163)</f>
        <v>0</v>
      </c>
      <c r="AL159" s="102">
        <f>AK159/$H159</f>
        <v>0</v>
      </c>
      <c r="AM159" s="137"/>
      <c r="AN159" s="132">
        <f>SUM(AN160:AN163)</f>
        <v>0</v>
      </c>
      <c r="AO159" s="102">
        <f>AN159/$H159</f>
        <v>0</v>
      </c>
      <c r="AP159" s="157"/>
      <c r="AQ159" s="132">
        <f>SUM(AQ160:AQ163)</f>
        <v>0</v>
      </c>
      <c r="AR159" s="102">
        <f>AQ159/$H159</f>
        <v>0</v>
      </c>
      <c r="AS159" s="135"/>
      <c r="AT159" s="132">
        <f>SUM(AT160:AT163)</f>
        <v>33733.796799999996</v>
      </c>
      <c r="AU159" s="102">
        <f>AT159/$H159</f>
        <v>1</v>
      </c>
    </row>
    <row r="160" spans="1:47" ht="90">
      <c r="A160" s="16"/>
      <c r="B160" s="97" t="s">
        <v>871</v>
      </c>
      <c r="C160" s="167" t="s">
        <v>872</v>
      </c>
      <c r="D160" s="86" t="s">
        <v>873</v>
      </c>
      <c r="E160" s="97" t="s">
        <v>12</v>
      </c>
      <c r="F160" s="141">
        <v>707.5</v>
      </c>
      <c r="G160" s="97">
        <v>19.22</v>
      </c>
      <c r="H160" s="85">
        <f t="shared" ref="H160:H182" si="138">G160*$F160</f>
        <v>13598.15</v>
      </c>
      <c r="I160" s="50">
        <f t="shared" si="136"/>
        <v>0</v>
      </c>
      <c r="J160" s="85">
        <f>I160*$F160</f>
        <v>0</v>
      </c>
      <c r="K160" s="82"/>
      <c r="L160" s="83"/>
      <c r="M160" s="85">
        <f>L160*$F160</f>
        <v>0</v>
      </c>
      <c r="N160" s="82"/>
      <c r="O160" s="83"/>
      <c r="P160" s="85">
        <f>O160*$F160</f>
        <v>0</v>
      </c>
      <c r="Q160" s="82"/>
      <c r="R160" s="83"/>
      <c r="S160" s="85">
        <f>R160*$F160</f>
        <v>0</v>
      </c>
      <c r="T160" s="82"/>
      <c r="U160" s="83"/>
      <c r="V160" s="85">
        <f>U160*$F160</f>
        <v>0</v>
      </c>
      <c r="W160" s="82"/>
      <c r="X160" s="83"/>
      <c r="Y160" s="85">
        <f>X160*$F160</f>
        <v>0</v>
      </c>
      <c r="Z160" s="82"/>
      <c r="AA160" s="83"/>
      <c r="AB160" s="85">
        <f>AA160*$F160</f>
        <v>0</v>
      </c>
      <c r="AC160" s="82"/>
      <c r="AD160" s="83"/>
      <c r="AE160" s="85">
        <f>AD160*$F160</f>
        <v>0</v>
      </c>
      <c r="AF160" s="82"/>
      <c r="AG160" s="83"/>
      <c r="AH160" s="85">
        <f>AG160*$F160</f>
        <v>0</v>
      </c>
      <c r="AI160" s="82"/>
      <c r="AJ160" s="83"/>
      <c r="AK160" s="85">
        <f>AJ160*$F160</f>
        <v>0</v>
      </c>
      <c r="AL160" s="82"/>
      <c r="AM160" s="83"/>
      <c r="AN160" s="85">
        <f>AM160*$F160</f>
        <v>0</v>
      </c>
      <c r="AO160" s="82"/>
      <c r="AP160" s="84"/>
      <c r="AQ160" s="85">
        <f>AP160*$F160</f>
        <v>0</v>
      </c>
      <c r="AR160" s="82"/>
      <c r="AS160" s="48">
        <f t="shared" si="137"/>
        <v>19.22</v>
      </c>
      <c r="AT160" s="85">
        <f>AS160*$F160</f>
        <v>13598.15</v>
      </c>
      <c r="AU160" s="82"/>
    </row>
    <row r="161" spans="1:47" ht="60">
      <c r="A161" s="16"/>
      <c r="B161" s="97" t="s">
        <v>874</v>
      </c>
      <c r="C161" s="167" t="s">
        <v>875</v>
      </c>
      <c r="D161" s="86" t="s">
        <v>876</v>
      </c>
      <c r="E161" s="97" t="s">
        <v>12</v>
      </c>
      <c r="F161" s="141">
        <v>680.91</v>
      </c>
      <c r="G161" s="97">
        <v>15.4</v>
      </c>
      <c r="H161" s="85">
        <f t="shared" si="138"/>
        <v>10486.013999999999</v>
      </c>
      <c r="I161" s="50">
        <f t="shared" si="136"/>
        <v>0</v>
      </c>
      <c r="J161" s="85">
        <f>I161*$F161</f>
        <v>0</v>
      </c>
      <c r="K161" s="82"/>
      <c r="L161" s="83"/>
      <c r="M161" s="85">
        <f>L161*$F161</f>
        <v>0</v>
      </c>
      <c r="N161" s="82"/>
      <c r="O161" s="83"/>
      <c r="P161" s="85">
        <f>O161*$F161</f>
        <v>0</v>
      </c>
      <c r="Q161" s="82"/>
      <c r="R161" s="83"/>
      <c r="S161" s="85">
        <f>R161*$F161</f>
        <v>0</v>
      </c>
      <c r="T161" s="82"/>
      <c r="U161" s="83"/>
      <c r="V161" s="85">
        <f>U161*$F161</f>
        <v>0</v>
      </c>
      <c r="W161" s="82"/>
      <c r="X161" s="83"/>
      <c r="Y161" s="85">
        <f>X161*$F161</f>
        <v>0</v>
      </c>
      <c r="Z161" s="82"/>
      <c r="AA161" s="83"/>
      <c r="AB161" s="85">
        <f>AA161*$F161</f>
        <v>0</v>
      </c>
      <c r="AC161" s="82"/>
      <c r="AD161" s="83"/>
      <c r="AE161" s="85">
        <f>AD161*$F161</f>
        <v>0</v>
      </c>
      <c r="AF161" s="82"/>
      <c r="AG161" s="83"/>
      <c r="AH161" s="85">
        <f>AG161*$F161</f>
        <v>0</v>
      </c>
      <c r="AI161" s="82"/>
      <c r="AJ161" s="83"/>
      <c r="AK161" s="85">
        <f>AJ161*$F161</f>
        <v>0</v>
      </c>
      <c r="AL161" s="82"/>
      <c r="AM161" s="83"/>
      <c r="AN161" s="85">
        <f>AM161*$F161</f>
        <v>0</v>
      </c>
      <c r="AO161" s="82"/>
      <c r="AP161" s="84"/>
      <c r="AQ161" s="85">
        <f>AP161*$F161</f>
        <v>0</v>
      </c>
      <c r="AR161" s="82"/>
      <c r="AS161" s="48">
        <f t="shared" si="137"/>
        <v>15.4</v>
      </c>
      <c r="AT161" s="85">
        <f>AS161*$F161</f>
        <v>10486.013999999999</v>
      </c>
      <c r="AU161" s="82"/>
    </row>
    <row r="162" spans="1:47" ht="45">
      <c r="A162" s="16"/>
      <c r="B162" s="97" t="s">
        <v>877</v>
      </c>
      <c r="C162" s="167" t="s">
        <v>878</v>
      </c>
      <c r="D162" s="86" t="s">
        <v>879</v>
      </c>
      <c r="E162" s="97" t="s">
        <v>12</v>
      </c>
      <c r="F162" s="141">
        <v>1157.72</v>
      </c>
      <c r="G162" s="97">
        <v>1.62</v>
      </c>
      <c r="H162" s="85">
        <f t="shared" si="138"/>
        <v>1875.5064000000002</v>
      </c>
      <c r="I162" s="50">
        <f t="shared" si="136"/>
        <v>0</v>
      </c>
      <c r="J162" s="85">
        <f>I162*$F162</f>
        <v>0</v>
      </c>
      <c r="K162" s="82"/>
      <c r="L162" s="83"/>
      <c r="M162" s="85">
        <f>L162*$F162</f>
        <v>0</v>
      </c>
      <c r="N162" s="82"/>
      <c r="O162" s="83"/>
      <c r="P162" s="85">
        <f>O162*$F162</f>
        <v>0</v>
      </c>
      <c r="Q162" s="82"/>
      <c r="R162" s="83"/>
      <c r="S162" s="85">
        <f>R162*$F162</f>
        <v>0</v>
      </c>
      <c r="T162" s="82"/>
      <c r="U162" s="83"/>
      <c r="V162" s="85">
        <f>U162*$F162</f>
        <v>0</v>
      </c>
      <c r="W162" s="82"/>
      <c r="X162" s="83"/>
      <c r="Y162" s="85">
        <f>X162*$F162</f>
        <v>0</v>
      </c>
      <c r="Z162" s="82"/>
      <c r="AA162" s="83"/>
      <c r="AB162" s="85">
        <f>AA162*$F162</f>
        <v>0</v>
      </c>
      <c r="AC162" s="82"/>
      <c r="AD162" s="83"/>
      <c r="AE162" s="85">
        <f>AD162*$F162</f>
        <v>0</v>
      </c>
      <c r="AF162" s="82"/>
      <c r="AG162" s="83"/>
      <c r="AH162" s="85">
        <f>AG162*$F162</f>
        <v>0</v>
      </c>
      <c r="AI162" s="82"/>
      <c r="AJ162" s="83"/>
      <c r="AK162" s="85">
        <f>AJ162*$F162</f>
        <v>0</v>
      </c>
      <c r="AL162" s="82"/>
      <c r="AM162" s="83"/>
      <c r="AN162" s="85">
        <f>AM162*$F162</f>
        <v>0</v>
      </c>
      <c r="AO162" s="82"/>
      <c r="AP162" s="84"/>
      <c r="AQ162" s="85">
        <f>AP162*$F162</f>
        <v>0</v>
      </c>
      <c r="AR162" s="82"/>
      <c r="AS162" s="48">
        <f t="shared" si="137"/>
        <v>1.62</v>
      </c>
      <c r="AT162" s="85">
        <f>AS162*$F162</f>
        <v>1875.5064000000002</v>
      </c>
      <c r="AU162" s="82"/>
    </row>
    <row r="163" spans="1:47" ht="135">
      <c r="A163" s="16"/>
      <c r="B163" s="97" t="s">
        <v>880</v>
      </c>
      <c r="C163" s="167" t="s">
        <v>881</v>
      </c>
      <c r="D163" s="86" t="s">
        <v>882</v>
      </c>
      <c r="E163" s="97" t="s">
        <v>12</v>
      </c>
      <c r="F163" s="141">
        <v>574.16</v>
      </c>
      <c r="G163" s="97">
        <v>13.54</v>
      </c>
      <c r="H163" s="85">
        <f t="shared" si="138"/>
        <v>7774.1263999999992</v>
      </c>
      <c r="I163" s="50">
        <f t="shared" si="136"/>
        <v>0</v>
      </c>
      <c r="J163" s="85">
        <f>I163*$F163</f>
        <v>0</v>
      </c>
      <c r="K163" s="82"/>
      <c r="L163" s="83"/>
      <c r="M163" s="85">
        <f>L163*$F163</f>
        <v>0</v>
      </c>
      <c r="N163" s="82"/>
      <c r="O163" s="83"/>
      <c r="P163" s="85">
        <f>O163*$F163</f>
        <v>0</v>
      </c>
      <c r="Q163" s="82"/>
      <c r="R163" s="83"/>
      <c r="S163" s="85">
        <f>R163*$F163</f>
        <v>0</v>
      </c>
      <c r="T163" s="82"/>
      <c r="U163" s="83"/>
      <c r="V163" s="85">
        <f>U163*$F163</f>
        <v>0</v>
      </c>
      <c r="W163" s="82"/>
      <c r="X163" s="83"/>
      <c r="Y163" s="85">
        <f>X163*$F163</f>
        <v>0</v>
      </c>
      <c r="Z163" s="82"/>
      <c r="AA163" s="83"/>
      <c r="AB163" s="85">
        <f>AA163*$F163</f>
        <v>0</v>
      </c>
      <c r="AC163" s="82"/>
      <c r="AD163" s="83"/>
      <c r="AE163" s="85">
        <f>AD163*$F163</f>
        <v>0</v>
      </c>
      <c r="AF163" s="82"/>
      <c r="AG163" s="83"/>
      <c r="AH163" s="85">
        <f>AG163*$F163</f>
        <v>0</v>
      </c>
      <c r="AI163" s="82"/>
      <c r="AJ163" s="83"/>
      <c r="AK163" s="85">
        <f>AJ163*$F163</f>
        <v>0</v>
      </c>
      <c r="AL163" s="82"/>
      <c r="AM163" s="83"/>
      <c r="AN163" s="85">
        <f>AM163*$F163</f>
        <v>0</v>
      </c>
      <c r="AO163" s="82"/>
      <c r="AP163" s="84"/>
      <c r="AQ163" s="85">
        <f>AP163*$F163</f>
        <v>0</v>
      </c>
      <c r="AR163" s="82"/>
      <c r="AS163" s="48">
        <f t="shared" si="137"/>
        <v>13.54</v>
      </c>
      <c r="AT163" s="85">
        <f>AS163*$F163</f>
        <v>7774.1263999999992</v>
      </c>
      <c r="AU163" s="82"/>
    </row>
    <row r="164" spans="1:47" s="136" customFormat="1">
      <c r="A164" s="94"/>
      <c r="B164" s="116" t="s">
        <v>883</v>
      </c>
      <c r="C164" s="1934" t="s">
        <v>884</v>
      </c>
      <c r="D164" s="1935"/>
      <c r="E164" s="1935"/>
      <c r="F164" s="1935"/>
      <c r="G164" s="1936"/>
      <c r="H164" s="132">
        <f>SUM(H165:H167)</f>
        <v>98393.640000000014</v>
      </c>
      <c r="I164" s="137"/>
      <c r="J164" s="132">
        <f>SUM(J165:J167)</f>
        <v>0</v>
      </c>
      <c r="K164" s="102">
        <f>J164/$H164</f>
        <v>0</v>
      </c>
      <c r="L164" s="137"/>
      <c r="M164" s="132">
        <f>SUM(M165:M167)</f>
        <v>0</v>
      </c>
      <c r="N164" s="102">
        <f>M164/$H164</f>
        <v>0</v>
      </c>
      <c r="O164" s="137"/>
      <c r="P164" s="132">
        <f>SUM(P165:P167)</f>
        <v>0</v>
      </c>
      <c r="Q164" s="102">
        <f>P164/$H164</f>
        <v>0</v>
      </c>
      <c r="R164" s="137"/>
      <c r="S164" s="132">
        <f>SUM(S165:S167)</f>
        <v>0</v>
      </c>
      <c r="T164" s="102">
        <f>S164/$H164</f>
        <v>0</v>
      </c>
      <c r="U164" s="137"/>
      <c r="V164" s="132">
        <f>SUM(V165:V167)</f>
        <v>0</v>
      </c>
      <c r="W164" s="102">
        <f>V164/$H164</f>
        <v>0</v>
      </c>
      <c r="X164" s="137"/>
      <c r="Y164" s="132">
        <f>SUM(Y165:Y167)</f>
        <v>0</v>
      </c>
      <c r="Z164" s="102">
        <f>Y164/$H164</f>
        <v>0</v>
      </c>
      <c r="AA164" s="137"/>
      <c r="AB164" s="132">
        <f>SUM(AB165:AB167)</f>
        <v>0</v>
      </c>
      <c r="AC164" s="102">
        <f>AB164/$H164</f>
        <v>0</v>
      </c>
      <c r="AD164" s="137"/>
      <c r="AE164" s="132">
        <f>SUM(AE165:AE167)</f>
        <v>0</v>
      </c>
      <c r="AF164" s="102">
        <f>AE164/$H164</f>
        <v>0</v>
      </c>
      <c r="AG164" s="137"/>
      <c r="AH164" s="132">
        <f>SUM(AH165:AH167)</f>
        <v>0</v>
      </c>
      <c r="AI164" s="102">
        <f>AH164/$H164</f>
        <v>0</v>
      </c>
      <c r="AJ164" s="137"/>
      <c r="AK164" s="132">
        <f>SUM(AK165:AK167)</f>
        <v>0</v>
      </c>
      <c r="AL164" s="102">
        <f>AK164/$H164</f>
        <v>0</v>
      </c>
      <c r="AM164" s="137"/>
      <c r="AN164" s="132">
        <f>SUM(AN165:AN167)</f>
        <v>0</v>
      </c>
      <c r="AO164" s="102">
        <f>AN164/$H164</f>
        <v>0</v>
      </c>
      <c r="AP164" s="157"/>
      <c r="AQ164" s="132">
        <f>SUM(AQ165:AQ167)</f>
        <v>0</v>
      </c>
      <c r="AR164" s="102">
        <f>AQ164/$H164</f>
        <v>0</v>
      </c>
      <c r="AS164" s="135"/>
      <c r="AT164" s="132">
        <f>SUM(AT165:AT167)</f>
        <v>98393.640000000014</v>
      </c>
      <c r="AU164" s="102">
        <f>AT164/$H164</f>
        <v>1</v>
      </c>
    </row>
    <row r="165" spans="1:47" ht="105">
      <c r="A165" s="16"/>
      <c r="B165" s="97" t="s">
        <v>885</v>
      </c>
      <c r="C165" s="167" t="s">
        <v>886</v>
      </c>
      <c r="D165" s="86" t="s">
        <v>887</v>
      </c>
      <c r="E165" s="97" t="s">
        <v>28</v>
      </c>
      <c r="F165" s="172">
        <v>19153.88</v>
      </c>
      <c r="G165" s="97">
        <v>1</v>
      </c>
      <c r="H165" s="85">
        <f t="shared" si="138"/>
        <v>19153.88</v>
      </c>
      <c r="I165" s="50">
        <f t="shared" si="136"/>
        <v>0</v>
      </c>
      <c r="J165" s="85">
        <f>I165*$F165</f>
        <v>0</v>
      </c>
      <c r="K165" s="82"/>
      <c r="L165" s="83"/>
      <c r="M165" s="85">
        <f>L165*$F165</f>
        <v>0</v>
      </c>
      <c r="N165" s="82"/>
      <c r="O165" s="83"/>
      <c r="P165" s="85">
        <f>O165*$F165</f>
        <v>0</v>
      </c>
      <c r="Q165" s="82"/>
      <c r="R165" s="83"/>
      <c r="S165" s="85">
        <f>R165*$F165</f>
        <v>0</v>
      </c>
      <c r="T165" s="82"/>
      <c r="U165" s="83"/>
      <c r="V165" s="85">
        <f>U165*$F165</f>
        <v>0</v>
      </c>
      <c r="W165" s="82"/>
      <c r="X165" s="83"/>
      <c r="Y165" s="85">
        <f>X165*$F165</f>
        <v>0</v>
      </c>
      <c r="Z165" s="82"/>
      <c r="AA165" s="83"/>
      <c r="AB165" s="85">
        <f>AA165*$F165</f>
        <v>0</v>
      </c>
      <c r="AC165" s="82"/>
      <c r="AD165" s="83"/>
      <c r="AE165" s="85">
        <f>AD165*$F165</f>
        <v>0</v>
      </c>
      <c r="AF165" s="82"/>
      <c r="AG165" s="83"/>
      <c r="AH165" s="85">
        <f>AG165*$F165</f>
        <v>0</v>
      </c>
      <c r="AI165" s="82"/>
      <c r="AJ165" s="83"/>
      <c r="AK165" s="85">
        <f>AJ165*$F165</f>
        <v>0</v>
      </c>
      <c r="AL165" s="82"/>
      <c r="AM165" s="83"/>
      <c r="AN165" s="85">
        <f>AM165*$F165</f>
        <v>0</v>
      </c>
      <c r="AO165" s="82"/>
      <c r="AP165" s="84"/>
      <c r="AQ165" s="85">
        <f>AP165*$F165</f>
        <v>0</v>
      </c>
      <c r="AR165" s="82"/>
      <c r="AS165" s="48">
        <f t="shared" si="137"/>
        <v>1</v>
      </c>
      <c r="AT165" s="85">
        <f>AS165*$F165</f>
        <v>19153.88</v>
      </c>
      <c r="AU165" s="82"/>
    </row>
    <row r="166" spans="1:47" ht="105">
      <c r="A166" s="16"/>
      <c r="B166" s="97" t="s">
        <v>888</v>
      </c>
      <c r="C166" s="167" t="s">
        <v>889</v>
      </c>
      <c r="D166" s="86" t="s">
        <v>890</v>
      </c>
      <c r="E166" s="97" t="s">
        <v>28</v>
      </c>
      <c r="F166" s="172">
        <v>22660.32</v>
      </c>
      <c r="G166" s="97">
        <v>2</v>
      </c>
      <c r="H166" s="85">
        <f t="shared" si="138"/>
        <v>45320.639999999999</v>
      </c>
      <c r="I166" s="50">
        <f t="shared" si="136"/>
        <v>0</v>
      </c>
      <c r="J166" s="85">
        <f>I166*$F166</f>
        <v>0</v>
      </c>
      <c r="K166" s="82"/>
      <c r="L166" s="83"/>
      <c r="M166" s="85">
        <f>L166*$F166</f>
        <v>0</v>
      </c>
      <c r="N166" s="82"/>
      <c r="O166" s="83"/>
      <c r="P166" s="85">
        <f>O166*$F166</f>
        <v>0</v>
      </c>
      <c r="Q166" s="82"/>
      <c r="R166" s="83"/>
      <c r="S166" s="85">
        <f>R166*$F166</f>
        <v>0</v>
      </c>
      <c r="T166" s="82"/>
      <c r="U166" s="83"/>
      <c r="V166" s="85">
        <f>U166*$F166</f>
        <v>0</v>
      </c>
      <c r="W166" s="82"/>
      <c r="X166" s="83"/>
      <c r="Y166" s="85">
        <f>X166*$F166</f>
        <v>0</v>
      </c>
      <c r="Z166" s="82"/>
      <c r="AA166" s="83"/>
      <c r="AB166" s="85">
        <f>AA166*$F166</f>
        <v>0</v>
      </c>
      <c r="AC166" s="82"/>
      <c r="AD166" s="83"/>
      <c r="AE166" s="85">
        <f>AD166*$F166</f>
        <v>0</v>
      </c>
      <c r="AF166" s="82"/>
      <c r="AG166" s="83"/>
      <c r="AH166" s="85">
        <f>AG166*$F166</f>
        <v>0</v>
      </c>
      <c r="AI166" s="82"/>
      <c r="AJ166" s="83"/>
      <c r="AK166" s="85">
        <f>AJ166*$F166</f>
        <v>0</v>
      </c>
      <c r="AL166" s="82"/>
      <c r="AM166" s="83"/>
      <c r="AN166" s="85">
        <f>AM166*$F166</f>
        <v>0</v>
      </c>
      <c r="AO166" s="82"/>
      <c r="AP166" s="84"/>
      <c r="AQ166" s="85">
        <f>AP166*$F166</f>
        <v>0</v>
      </c>
      <c r="AR166" s="82"/>
      <c r="AS166" s="48">
        <f t="shared" si="137"/>
        <v>2</v>
      </c>
      <c r="AT166" s="85">
        <f>AS166*$F166</f>
        <v>45320.639999999999</v>
      </c>
      <c r="AU166" s="82"/>
    </row>
    <row r="167" spans="1:47" ht="90">
      <c r="A167" s="16"/>
      <c r="B167" s="97" t="s">
        <v>891</v>
      </c>
      <c r="C167" s="167" t="s">
        <v>892</v>
      </c>
      <c r="D167" s="86" t="s">
        <v>893</v>
      </c>
      <c r="E167" s="97" t="s">
        <v>28</v>
      </c>
      <c r="F167" s="172">
        <v>16959.560000000001</v>
      </c>
      <c r="G167" s="97">
        <v>2</v>
      </c>
      <c r="H167" s="85">
        <f t="shared" si="138"/>
        <v>33919.120000000003</v>
      </c>
      <c r="I167" s="50">
        <f t="shared" si="136"/>
        <v>0</v>
      </c>
      <c r="J167" s="85">
        <f>I167*$F167</f>
        <v>0</v>
      </c>
      <c r="K167" s="82"/>
      <c r="L167" s="83"/>
      <c r="M167" s="85">
        <f>L167*$F167</f>
        <v>0</v>
      </c>
      <c r="N167" s="82"/>
      <c r="O167" s="83"/>
      <c r="P167" s="85">
        <f>O167*$F167</f>
        <v>0</v>
      </c>
      <c r="Q167" s="82"/>
      <c r="R167" s="83"/>
      <c r="S167" s="85">
        <f>R167*$F167</f>
        <v>0</v>
      </c>
      <c r="T167" s="82"/>
      <c r="U167" s="83"/>
      <c r="V167" s="85">
        <f>U167*$F167</f>
        <v>0</v>
      </c>
      <c r="W167" s="82"/>
      <c r="X167" s="83"/>
      <c r="Y167" s="85">
        <f>X167*$F167</f>
        <v>0</v>
      </c>
      <c r="Z167" s="82"/>
      <c r="AA167" s="83"/>
      <c r="AB167" s="85">
        <f>AA167*$F167</f>
        <v>0</v>
      </c>
      <c r="AC167" s="82"/>
      <c r="AD167" s="83"/>
      <c r="AE167" s="85">
        <f>AD167*$F167</f>
        <v>0</v>
      </c>
      <c r="AF167" s="82"/>
      <c r="AG167" s="83"/>
      <c r="AH167" s="85">
        <f>AG167*$F167</f>
        <v>0</v>
      </c>
      <c r="AI167" s="82"/>
      <c r="AJ167" s="83"/>
      <c r="AK167" s="85">
        <f>AJ167*$F167</f>
        <v>0</v>
      </c>
      <c r="AL167" s="82"/>
      <c r="AM167" s="83"/>
      <c r="AN167" s="85">
        <f>AM167*$F167</f>
        <v>0</v>
      </c>
      <c r="AO167" s="82"/>
      <c r="AP167" s="84"/>
      <c r="AQ167" s="85">
        <f>AP167*$F167</f>
        <v>0</v>
      </c>
      <c r="AR167" s="82"/>
      <c r="AS167" s="48">
        <f t="shared" si="137"/>
        <v>2</v>
      </c>
      <c r="AT167" s="85">
        <f>AS167*$F167</f>
        <v>33919.120000000003</v>
      </c>
      <c r="AU167" s="82"/>
    </row>
    <row r="168" spans="1:47" s="136" customFormat="1">
      <c r="A168" s="94"/>
      <c r="B168" s="116" t="s">
        <v>894</v>
      </c>
      <c r="C168" s="1934" t="s">
        <v>895</v>
      </c>
      <c r="D168" s="1935"/>
      <c r="E168" s="1935"/>
      <c r="F168" s="1935"/>
      <c r="G168" s="1936"/>
      <c r="H168" s="132">
        <f>SUM(H169:H174)</f>
        <v>68254.035000000003</v>
      </c>
      <c r="I168" s="137"/>
      <c r="J168" s="132">
        <f>SUM(J169:J174)</f>
        <v>0</v>
      </c>
      <c r="K168" s="102">
        <f>J168/$H168</f>
        <v>0</v>
      </c>
      <c r="L168" s="137"/>
      <c r="M168" s="132">
        <f>SUM(M169:M174)</f>
        <v>0</v>
      </c>
      <c r="N168" s="102">
        <f>M168/$H168</f>
        <v>0</v>
      </c>
      <c r="O168" s="137"/>
      <c r="P168" s="132">
        <f>SUM(P169:P174)</f>
        <v>0</v>
      </c>
      <c r="Q168" s="102">
        <f>P168/$H168</f>
        <v>0</v>
      </c>
      <c r="R168" s="137"/>
      <c r="S168" s="132">
        <f>SUM(S169:S174)</f>
        <v>0</v>
      </c>
      <c r="T168" s="102">
        <f>S168/$H168</f>
        <v>0</v>
      </c>
      <c r="U168" s="137"/>
      <c r="V168" s="132">
        <f>SUM(V169:V174)</f>
        <v>0</v>
      </c>
      <c r="W168" s="102">
        <f>V168/$H168</f>
        <v>0</v>
      </c>
      <c r="X168" s="137"/>
      <c r="Y168" s="132">
        <f>SUM(Y169:Y174)</f>
        <v>0</v>
      </c>
      <c r="Z168" s="102">
        <f>Y168/$H168</f>
        <v>0</v>
      </c>
      <c r="AA168" s="137"/>
      <c r="AB168" s="132">
        <f>SUM(AB169:AB174)</f>
        <v>0</v>
      </c>
      <c r="AC168" s="102">
        <f>AB168/$H168</f>
        <v>0</v>
      </c>
      <c r="AD168" s="137"/>
      <c r="AE168" s="132">
        <f>SUM(AE169:AE174)</f>
        <v>0</v>
      </c>
      <c r="AF168" s="102">
        <f>AE168/$H168</f>
        <v>0</v>
      </c>
      <c r="AG168" s="137"/>
      <c r="AH168" s="132">
        <f>SUM(AH169:AH174)</f>
        <v>0</v>
      </c>
      <c r="AI168" s="102">
        <f>AH168/$H168</f>
        <v>0</v>
      </c>
      <c r="AJ168" s="137"/>
      <c r="AK168" s="132">
        <f>SUM(AK169:AK174)</f>
        <v>0</v>
      </c>
      <c r="AL168" s="102">
        <f>AK168/$H168</f>
        <v>0</v>
      </c>
      <c r="AM168" s="137"/>
      <c r="AN168" s="132">
        <f>SUM(AN169:AN174)</f>
        <v>0</v>
      </c>
      <c r="AO168" s="102">
        <f>AN168/$H168</f>
        <v>0</v>
      </c>
      <c r="AP168" s="157"/>
      <c r="AQ168" s="132">
        <f>SUM(AQ169:AQ174)</f>
        <v>0</v>
      </c>
      <c r="AR168" s="102">
        <f>AQ168/$H168</f>
        <v>0</v>
      </c>
      <c r="AS168" s="135"/>
      <c r="AT168" s="132">
        <f>SUM(AT169:AT174)</f>
        <v>68254.035000000003</v>
      </c>
      <c r="AU168" s="102">
        <f>AT168/$H168</f>
        <v>1</v>
      </c>
    </row>
    <row r="169" spans="1:47" ht="60">
      <c r="A169" s="16"/>
      <c r="B169" s="97" t="s">
        <v>896</v>
      </c>
      <c r="C169" s="167" t="s">
        <v>897</v>
      </c>
      <c r="D169" s="86" t="s">
        <v>898</v>
      </c>
      <c r="E169" s="97" t="s">
        <v>28</v>
      </c>
      <c r="F169" s="172">
        <v>2886.91</v>
      </c>
      <c r="G169" s="97">
        <v>2</v>
      </c>
      <c r="H169" s="85">
        <f t="shared" si="138"/>
        <v>5773.82</v>
      </c>
      <c r="I169" s="50">
        <f t="shared" si="136"/>
        <v>0</v>
      </c>
      <c r="J169" s="85">
        <f t="shared" ref="J169:J174" si="139">I169*$F169</f>
        <v>0</v>
      </c>
      <c r="K169" s="82"/>
      <c r="L169" s="83"/>
      <c r="M169" s="85">
        <f t="shared" ref="M169:M174" si="140">L169*$F169</f>
        <v>0</v>
      </c>
      <c r="N169" s="82"/>
      <c r="O169" s="83"/>
      <c r="P169" s="85">
        <f t="shared" ref="P169:P174" si="141">O169*$F169</f>
        <v>0</v>
      </c>
      <c r="Q169" s="82"/>
      <c r="R169" s="83"/>
      <c r="S169" s="85">
        <f t="shared" ref="S169:S174" si="142">R169*$F169</f>
        <v>0</v>
      </c>
      <c r="T169" s="82"/>
      <c r="U169" s="83"/>
      <c r="V169" s="85">
        <f t="shared" ref="V169:V174" si="143">U169*$F169</f>
        <v>0</v>
      </c>
      <c r="W169" s="82"/>
      <c r="X169" s="83"/>
      <c r="Y169" s="85">
        <f t="shared" ref="Y169:Y174" si="144">X169*$F169</f>
        <v>0</v>
      </c>
      <c r="Z169" s="82"/>
      <c r="AA169" s="83"/>
      <c r="AB169" s="85">
        <f t="shared" ref="AB169:AB174" si="145">AA169*$F169</f>
        <v>0</v>
      </c>
      <c r="AC169" s="82"/>
      <c r="AD169" s="83"/>
      <c r="AE169" s="85">
        <f t="shared" ref="AE169:AE174" si="146">AD169*$F169</f>
        <v>0</v>
      </c>
      <c r="AF169" s="82"/>
      <c r="AG169" s="83"/>
      <c r="AH169" s="85">
        <f t="shared" ref="AH169:AH174" si="147">AG169*$F169</f>
        <v>0</v>
      </c>
      <c r="AI169" s="82"/>
      <c r="AJ169" s="83"/>
      <c r="AK169" s="85">
        <f t="shared" ref="AK169:AK174" si="148">AJ169*$F169</f>
        <v>0</v>
      </c>
      <c r="AL169" s="82"/>
      <c r="AM169" s="83"/>
      <c r="AN169" s="85">
        <f t="shared" ref="AN169:AN174" si="149">AM169*$F169</f>
        <v>0</v>
      </c>
      <c r="AO169" s="82"/>
      <c r="AP169" s="84"/>
      <c r="AQ169" s="85">
        <f t="shared" ref="AQ169:AQ174" si="150">AP169*$F169</f>
        <v>0</v>
      </c>
      <c r="AR169" s="82"/>
      <c r="AS169" s="48">
        <f t="shared" si="137"/>
        <v>2</v>
      </c>
      <c r="AT169" s="85">
        <f t="shared" ref="AT169:AT174" si="151">AS169*$F169</f>
        <v>5773.82</v>
      </c>
      <c r="AU169" s="82"/>
    </row>
    <row r="170" spans="1:47" ht="60">
      <c r="A170" s="16"/>
      <c r="B170" s="97" t="s">
        <v>899</v>
      </c>
      <c r="C170" s="167" t="s">
        <v>900</v>
      </c>
      <c r="D170" s="86" t="s">
        <v>901</v>
      </c>
      <c r="E170" s="97" t="s">
        <v>28</v>
      </c>
      <c r="F170" s="172">
        <v>5707.38</v>
      </c>
      <c r="G170" s="97">
        <v>1</v>
      </c>
      <c r="H170" s="85">
        <f t="shared" si="138"/>
        <v>5707.38</v>
      </c>
      <c r="I170" s="50">
        <f t="shared" si="136"/>
        <v>0</v>
      </c>
      <c r="J170" s="85">
        <f t="shared" si="139"/>
        <v>0</v>
      </c>
      <c r="K170" s="82"/>
      <c r="L170" s="83"/>
      <c r="M170" s="85">
        <f t="shared" si="140"/>
        <v>0</v>
      </c>
      <c r="N170" s="82"/>
      <c r="O170" s="83"/>
      <c r="P170" s="85">
        <f t="shared" si="141"/>
        <v>0</v>
      </c>
      <c r="Q170" s="82"/>
      <c r="R170" s="83"/>
      <c r="S170" s="85">
        <f t="shared" si="142"/>
        <v>0</v>
      </c>
      <c r="T170" s="82"/>
      <c r="U170" s="83"/>
      <c r="V170" s="85">
        <f t="shared" si="143"/>
        <v>0</v>
      </c>
      <c r="W170" s="82"/>
      <c r="X170" s="83"/>
      <c r="Y170" s="85">
        <f t="shared" si="144"/>
        <v>0</v>
      </c>
      <c r="Z170" s="82"/>
      <c r="AA170" s="83"/>
      <c r="AB170" s="85">
        <f t="shared" si="145"/>
        <v>0</v>
      </c>
      <c r="AC170" s="82"/>
      <c r="AD170" s="83"/>
      <c r="AE170" s="85">
        <f t="shared" si="146"/>
        <v>0</v>
      </c>
      <c r="AF170" s="82"/>
      <c r="AG170" s="83"/>
      <c r="AH170" s="85">
        <f t="shared" si="147"/>
        <v>0</v>
      </c>
      <c r="AI170" s="82"/>
      <c r="AJ170" s="83"/>
      <c r="AK170" s="85">
        <f t="shared" si="148"/>
        <v>0</v>
      </c>
      <c r="AL170" s="82"/>
      <c r="AM170" s="83"/>
      <c r="AN170" s="85">
        <f t="shared" si="149"/>
        <v>0</v>
      </c>
      <c r="AO170" s="82"/>
      <c r="AP170" s="84"/>
      <c r="AQ170" s="85">
        <f t="shared" si="150"/>
        <v>0</v>
      </c>
      <c r="AR170" s="82"/>
      <c r="AS170" s="48">
        <f t="shared" si="137"/>
        <v>1</v>
      </c>
      <c r="AT170" s="85">
        <f t="shared" si="151"/>
        <v>5707.38</v>
      </c>
      <c r="AU170" s="82"/>
    </row>
    <row r="171" spans="1:47" ht="75">
      <c r="A171" s="16"/>
      <c r="B171" s="97" t="s">
        <v>902</v>
      </c>
      <c r="C171" s="167" t="s">
        <v>903</v>
      </c>
      <c r="D171" s="86" t="s">
        <v>904</v>
      </c>
      <c r="E171" s="97" t="s">
        <v>28</v>
      </c>
      <c r="F171" s="172">
        <v>6531.91</v>
      </c>
      <c r="G171" s="97">
        <v>1</v>
      </c>
      <c r="H171" s="85">
        <f t="shared" si="138"/>
        <v>6531.91</v>
      </c>
      <c r="I171" s="50">
        <f t="shared" si="136"/>
        <v>0</v>
      </c>
      <c r="J171" s="85">
        <f t="shared" si="139"/>
        <v>0</v>
      </c>
      <c r="K171" s="82"/>
      <c r="L171" s="83"/>
      <c r="M171" s="85">
        <f t="shared" si="140"/>
        <v>0</v>
      </c>
      <c r="N171" s="82"/>
      <c r="O171" s="83"/>
      <c r="P171" s="85">
        <f t="shared" si="141"/>
        <v>0</v>
      </c>
      <c r="Q171" s="82"/>
      <c r="R171" s="83"/>
      <c r="S171" s="85">
        <f t="shared" si="142"/>
        <v>0</v>
      </c>
      <c r="T171" s="82"/>
      <c r="U171" s="83"/>
      <c r="V171" s="85">
        <f t="shared" si="143"/>
        <v>0</v>
      </c>
      <c r="W171" s="82"/>
      <c r="X171" s="83"/>
      <c r="Y171" s="85">
        <f t="shared" si="144"/>
        <v>0</v>
      </c>
      <c r="Z171" s="82"/>
      <c r="AA171" s="83"/>
      <c r="AB171" s="85">
        <f t="shared" si="145"/>
        <v>0</v>
      </c>
      <c r="AC171" s="82"/>
      <c r="AD171" s="83"/>
      <c r="AE171" s="85">
        <f t="shared" si="146"/>
        <v>0</v>
      </c>
      <c r="AF171" s="82"/>
      <c r="AG171" s="83"/>
      <c r="AH171" s="85">
        <f t="shared" si="147"/>
        <v>0</v>
      </c>
      <c r="AI171" s="82"/>
      <c r="AJ171" s="83"/>
      <c r="AK171" s="85">
        <f t="shared" si="148"/>
        <v>0</v>
      </c>
      <c r="AL171" s="82"/>
      <c r="AM171" s="83"/>
      <c r="AN171" s="85">
        <f t="shared" si="149"/>
        <v>0</v>
      </c>
      <c r="AO171" s="82"/>
      <c r="AP171" s="84"/>
      <c r="AQ171" s="85">
        <f t="shared" si="150"/>
        <v>0</v>
      </c>
      <c r="AR171" s="82"/>
      <c r="AS171" s="48">
        <f t="shared" si="137"/>
        <v>1</v>
      </c>
      <c r="AT171" s="85">
        <f t="shared" si="151"/>
        <v>6531.91</v>
      </c>
      <c r="AU171" s="82"/>
    </row>
    <row r="172" spans="1:47" ht="105">
      <c r="A172" s="16"/>
      <c r="B172" s="97" t="s">
        <v>905</v>
      </c>
      <c r="C172" s="167" t="s">
        <v>906</v>
      </c>
      <c r="D172" s="86" t="s">
        <v>907</v>
      </c>
      <c r="E172" s="97" t="s">
        <v>28</v>
      </c>
      <c r="F172" s="172">
        <v>10138.35</v>
      </c>
      <c r="G172" s="97">
        <v>1</v>
      </c>
      <c r="H172" s="85">
        <f t="shared" si="138"/>
        <v>10138.35</v>
      </c>
      <c r="I172" s="50">
        <f t="shared" si="136"/>
        <v>0</v>
      </c>
      <c r="J172" s="85">
        <f t="shared" si="139"/>
        <v>0</v>
      </c>
      <c r="K172" s="82"/>
      <c r="L172" s="83"/>
      <c r="M172" s="85">
        <f t="shared" si="140"/>
        <v>0</v>
      </c>
      <c r="N172" s="82"/>
      <c r="O172" s="83"/>
      <c r="P172" s="85">
        <f t="shared" si="141"/>
        <v>0</v>
      </c>
      <c r="Q172" s="82"/>
      <c r="R172" s="83"/>
      <c r="S172" s="85">
        <f t="shared" si="142"/>
        <v>0</v>
      </c>
      <c r="T172" s="82"/>
      <c r="U172" s="83"/>
      <c r="V172" s="85">
        <f t="shared" si="143"/>
        <v>0</v>
      </c>
      <c r="W172" s="82"/>
      <c r="X172" s="83"/>
      <c r="Y172" s="85">
        <f t="shared" si="144"/>
        <v>0</v>
      </c>
      <c r="Z172" s="82"/>
      <c r="AA172" s="83"/>
      <c r="AB172" s="85">
        <f t="shared" si="145"/>
        <v>0</v>
      </c>
      <c r="AC172" s="82"/>
      <c r="AD172" s="83"/>
      <c r="AE172" s="85">
        <f t="shared" si="146"/>
        <v>0</v>
      </c>
      <c r="AF172" s="82"/>
      <c r="AG172" s="83"/>
      <c r="AH172" s="85">
        <f t="shared" si="147"/>
        <v>0</v>
      </c>
      <c r="AI172" s="82"/>
      <c r="AJ172" s="83"/>
      <c r="AK172" s="85">
        <f t="shared" si="148"/>
        <v>0</v>
      </c>
      <c r="AL172" s="82"/>
      <c r="AM172" s="83"/>
      <c r="AN172" s="85">
        <f t="shared" si="149"/>
        <v>0</v>
      </c>
      <c r="AO172" s="82"/>
      <c r="AP172" s="84"/>
      <c r="AQ172" s="85">
        <f t="shared" si="150"/>
        <v>0</v>
      </c>
      <c r="AR172" s="82"/>
      <c r="AS172" s="48">
        <f t="shared" si="137"/>
        <v>1</v>
      </c>
      <c r="AT172" s="85">
        <f t="shared" si="151"/>
        <v>10138.35</v>
      </c>
      <c r="AU172" s="82"/>
    </row>
    <row r="173" spans="1:47" ht="105">
      <c r="A173" s="16"/>
      <c r="B173" s="97" t="s">
        <v>908</v>
      </c>
      <c r="C173" s="167" t="s">
        <v>909</v>
      </c>
      <c r="D173" s="86" t="s">
        <v>910</v>
      </c>
      <c r="E173" s="97" t="s">
        <v>28</v>
      </c>
      <c r="F173" s="172">
        <v>10670.96</v>
      </c>
      <c r="G173" s="97">
        <v>1</v>
      </c>
      <c r="H173" s="85">
        <f t="shared" si="138"/>
        <v>10670.96</v>
      </c>
      <c r="I173" s="50">
        <f t="shared" si="136"/>
        <v>0</v>
      </c>
      <c r="J173" s="85">
        <f t="shared" si="139"/>
        <v>0</v>
      </c>
      <c r="K173" s="82"/>
      <c r="L173" s="83"/>
      <c r="M173" s="85">
        <f t="shared" si="140"/>
        <v>0</v>
      </c>
      <c r="N173" s="82"/>
      <c r="O173" s="83"/>
      <c r="P173" s="85">
        <f t="shared" si="141"/>
        <v>0</v>
      </c>
      <c r="Q173" s="82"/>
      <c r="R173" s="83"/>
      <c r="S173" s="85">
        <f t="shared" si="142"/>
        <v>0</v>
      </c>
      <c r="T173" s="82"/>
      <c r="U173" s="83"/>
      <c r="V173" s="85">
        <f t="shared" si="143"/>
        <v>0</v>
      </c>
      <c r="W173" s="82"/>
      <c r="X173" s="83"/>
      <c r="Y173" s="85">
        <f t="shared" si="144"/>
        <v>0</v>
      </c>
      <c r="Z173" s="82"/>
      <c r="AA173" s="83"/>
      <c r="AB173" s="85">
        <f t="shared" si="145"/>
        <v>0</v>
      </c>
      <c r="AC173" s="82"/>
      <c r="AD173" s="83"/>
      <c r="AE173" s="85">
        <f t="shared" si="146"/>
        <v>0</v>
      </c>
      <c r="AF173" s="82"/>
      <c r="AG173" s="83"/>
      <c r="AH173" s="85">
        <f t="shared" si="147"/>
        <v>0</v>
      </c>
      <c r="AI173" s="82"/>
      <c r="AJ173" s="83"/>
      <c r="AK173" s="85">
        <f t="shared" si="148"/>
        <v>0</v>
      </c>
      <c r="AL173" s="82"/>
      <c r="AM173" s="83"/>
      <c r="AN173" s="85">
        <f t="shared" si="149"/>
        <v>0</v>
      </c>
      <c r="AO173" s="82"/>
      <c r="AP173" s="84"/>
      <c r="AQ173" s="85">
        <f t="shared" si="150"/>
        <v>0</v>
      </c>
      <c r="AR173" s="82"/>
      <c r="AS173" s="48">
        <f t="shared" si="137"/>
        <v>1</v>
      </c>
      <c r="AT173" s="85">
        <f t="shared" si="151"/>
        <v>10670.96</v>
      </c>
      <c r="AU173" s="82"/>
    </row>
    <row r="174" spans="1:47" ht="75">
      <c r="A174" s="16"/>
      <c r="B174" s="97" t="s">
        <v>911</v>
      </c>
      <c r="C174" s="167" t="s">
        <v>912</v>
      </c>
      <c r="D174" s="86" t="s">
        <v>913</v>
      </c>
      <c r="E174" s="97" t="s">
        <v>12</v>
      </c>
      <c r="F174" s="172">
        <v>463.49</v>
      </c>
      <c r="G174" s="97">
        <v>63.5</v>
      </c>
      <c r="H174" s="85">
        <f t="shared" si="138"/>
        <v>29431.615000000002</v>
      </c>
      <c r="I174" s="50">
        <f t="shared" si="136"/>
        <v>0</v>
      </c>
      <c r="J174" s="85">
        <f t="shared" si="139"/>
        <v>0</v>
      </c>
      <c r="K174" s="82"/>
      <c r="L174" s="83"/>
      <c r="M174" s="85">
        <f t="shared" si="140"/>
        <v>0</v>
      </c>
      <c r="N174" s="82"/>
      <c r="O174" s="83"/>
      <c r="P174" s="85">
        <f t="shared" si="141"/>
        <v>0</v>
      </c>
      <c r="Q174" s="82"/>
      <c r="R174" s="83"/>
      <c r="S174" s="85">
        <f t="shared" si="142"/>
        <v>0</v>
      </c>
      <c r="T174" s="82"/>
      <c r="U174" s="83"/>
      <c r="V174" s="85">
        <f t="shared" si="143"/>
        <v>0</v>
      </c>
      <c r="W174" s="82"/>
      <c r="X174" s="83"/>
      <c r="Y174" s="85">
        <f t="shared" si="144"/>
        <v>0</v>
      </c>
      <c r="Z174" s="82"/>
      <c r="AA174" s="83"/>
      <c r="AB174" s="85">
        <f t="shared" si="145"/>
        <v>0</v>
      </c>
      <c r="AC174" s="82"/>
      <c r="AD174" s="83"/>
      <c r="AE174" s="85">
        <f t="shared" si="146"/>
        <v>0</v>
      </c>
      <c r="AF174" s="82"/>
      <c r="AG174" s="83"/>
      <c r="AH174" s="85">
        <f t="shared" si="147"/>
        <v>0</v>
      </c>
      <c r="AI174" s="82"/>
      <c r="AJ174" s="83"/>
      <c r="AK174" s="85">
        <f t="shared" si="148"/>
        <v>0</v>
      </c>
      <c r="AL174" s="82"/>
      <c r="AM174" s="83"/>
      <c r="AN174" s="85">
        <f t="shared" si="149"/>
        <v>0</v>
      </c>
      <c r="AO174" s="82"/>
      <c r="AP174" s="84"/>
      <c r="AQ174" s="85">
        <f t="shared" si="150"/>
        <v>0</v>
      </c>
      <c r="AR174" s="82"/>
      <c r="AS174" s="48">
        <f t="shared" si="137"/>
        <v>63.5</v>
      </c>
      <c r="AT174" s="85">
        <f t="shared" si="151"/>
        <v>29431.615000000002</v>
      </c>
      <c r="AU174" s="82"/>
    </row>
    <row r="175" spans="1:47" s="136" customFormat="1">
      <c r="A175" s="94"/>
      <c r="B175" s="116" t="s">
        <v>914</v>
      </c>
      <c r="C175" s="1934" t="s">
        <v>915</v>
      </c>
      <c r="D175" s="1935"/>
      <c r="E175" s="1935"/>
      <c r="F175" s="1935"/>
      <c r="G175" s="1936"/>
      <c r="H175" s="132">
        <f>H176+H177+H178</f>
        <v>76176.625599999999</v>
      </c>
      <c r="I175" s="137"/>
      <c r="J175" s="132">
        <f>J176+J177+J178</f>
        <v>0</v>
      </c>
      <c r="K175" s="102">
        <f>J175/$H175</f>
        <v>0</v>
      </c>
      <c r="L175" s="137"/>
      <c r="M175" s="132">
        <f>M176+M177+M178</f>
        <v>0</v>
      </c>
      <c r="N175" s="102">
        <f>M175/$H175</f>
        <v>0</v>
      </c>
      <c r="O175" s="137"/>
      <c r="P175" s="132">
        <f>P176+P177+P178</f>
        <v>0</v>
      </c>
      <c r="Q175" s="102">
        <f>P175/$H175</f>
        <v>0</v>
      </c>
      <c r="R175" s="137"/>
      <c r="S175" s="132">
        <f>S176+S177+S178</f>
        <v>0</v>
      </c>
      <c r="T175" s="102">
        <f>S175/$H175</f>
        <v>0</v>
      </c>
      <c r="U175" s="137"/>
      <c r="V175" s="132">
        <f>V176+V177+V178</f>
        <v>0</v>
      </c>
      <c r="W175" s="102">
        <f>V175/$H175</f>
        <v>0</v>
      </c>
      <c r="X175" s="137"/>
      <c r="Y175" s="132">
        <f>Y176+Y177+Y178</f>
        <v>0</v>
      </c>
      <c r="Z175" s="102">
        <f>Y175/$H175</f>
        <v>0</v>
      </c>
      <c r="AA175" s="137"/>
      <c r="AB175" s="132">
        <f>AB176+AB177+AB178</f>
        <v>0</v>
      </c>
      <c r="AC175" s="102">
        <f>AB175/$H175</f>
        <v>0</v>
      </c>
      <c r="AD175" s="137"/>
      <c r="AE175" s="132">
        <f>AE176+AE177+AE178</f>
        <v>0</v>
      </c>
      <c r="AF175" s="102">
        <f>AE175/$H175</f>
        <v>0</v>
      </c>
      <c r="AG175" s="137"/>
      <c r="AH175" s="132">
        <f>AH176+AH177+AH178</f>
        <v>0</v>
      </c>
      <c r="AI175" s="102">
        <f>AH175/$H175</f>
        <v>0</v>
      </c>
      <c r="AJ175" s="137"/>
      <c r="AK175" s="132">
        <f>AK176+AK177+AK178</f>
        <v>0</v>
      </c>
      <c r="AL175" s="102">
        <f>AK175/$H175</f>
        <v>0</v>
      </c>
      <c r="AM175" s="137"/>
      <c r="AN175" s="132">
        <f>AN176+AN177+AN178</f>
        <v>0</v>
      </c>
      <c r="AO175" s="102">
        <f>AN175/$H175</f>
        <v>0</v>
      </c>
      <c r="AP175" s="157"/>
      <c r="AQ175" s="132">
        <f>AQ176+AQ177+AQ178</f>
        <v>0</v>
      </c>
      <c r="AR175" s="102">
        <f>AQ175/$H175</f>
        <v>0</v>
      </c>
      <c r="AS175" s="135"/>
      <c r="AT175" s="132">
        <f>AT176+AT177+AT178</f>
        <v>76176.625599999999</v>
      </c>
      <c r="AU175" s="102">
        <f>AT175/$H175</f>
        <v>1</v>
      </c>
    </row>
    <row r="176" spans="1:47" ht="195">
      <c r="A176" s="16"/>
      <c r="B176" s="98" t="s">
        <v>916</v>
      </c>
      <c r="C176" s="168" t="s">
        <v>917</v>
      </c>
      <c r="D176" s="87" t="s">
        <v>2134</v>
      </c>
      <c r="E176" s="98" t="s">
        <v>12</v>
      </c>
      <c r="F176" s="172">
        <v>1274.56</v>
      </c>
      <c r="G176" s="98">
        <v>22.91</v>
      </c>
      <c r="H176" s="85">
        <f t="shared" si="138"/>
        <v>29200.169599999997</v>
      </c>
      <c r="I176" s="50">
        <f t="shared" si="136"/>
        <v>0</v>
      </c>
      <c r="J176" s="85">
        <f>I176*$F176</f>
        <v>0</v>
      </c>
      <c r="K176" s="82"/>
      <c r="L176" s="83"/>
      <c r="M176" s="85">
        <f>L176*$F176</f>
        <v>0</v>
      </c>
      <c r="N176" s="82"/>
      <c r="O176" s="83"/>
      <c r="P176" s="85">
        <f>O176*$F176</f>
        <v>0</v>
      </c>
      <c r="Q176" s="82"/>
      <c r="R176" s="83"/>
      <c r="S176" s="85">
        <f>R176*$F176</f>
        <v>0</v>
      </c>
      <c r="T176" s="82"/>
      <c r="U176" s="83"/>
      <c r="V176" s="85">
        <f>U176*$F176</f>
        <v>0</v>
      </c>
      <c r="W176" s="82"/>
      <c r="X176" s="83"/>
      <c r="Y176" s="85">
        <f>X176*$F176</f>
        <v>0</v>
      </c>
      <c r="Z176" s="82"/>
      <c r="AA176" s="83"/>
      <c r="AB176" s="85">
        <f>AA176*$F176</f>
        <v>0</v>
      </c>
      <c r="AC176" s="82"/>
      <c r="AD176" s="83"/>
      <c r="AE176" s="85">
        <f>AD176*$F176</f>
        <v>0</v>
      </c>
      <c r="AF176" s="82"/>
      <c r="AG176" s="83"/>
      <c r="AH176" s="85">
        <f>AG176*$F176</f>
        <v>0</v>
      </c>
      <c r="AI176" s="82"/>
      <c r="AJ176" s="83"/>
      <c r="AK176" s="85">
        <f>AJ176*$F176</f>
        <v>0</v>
      </c>
      <c r="AL176" s="82"/>
      <c r="AM176" s="83"/>
      <c r="AN176" s="85">
        <f>AM176*$F176</f>
        <v>0</v>
      </c>
      <c r="AO176" s="82"/>
      <c r="AP176" s="84"/>
      <c r="AQ176" s="85">
        <f>AP176*$F176</f>
        <v>0</v>
      </c>
      <c r="AR176" s="82"/>
      <c r="AS176" s="48">
        <f>G176-AP176</f>
        <v>22.91</v>
      </c>
      <c r="AT176" s="85">
        <f>AS176*$F176</f>
        <v>29200.169599999997</v>
      </c>
      <c r="AU176" s="82"/>
    </row>
    <row r="177" spans="1:47" ht="60">
      <c r="A177" s="16"/>
      <c r="B177" s="97" t="s">
        <v>918</v>
      </c>
      <c r="C177" s="167" t="s">
        <v>919</v>
      </c>
      <c r="D177" s="86" t="s">
        <v>920</v>
      </c>
      <c r="E177" s="97" t="s">
        <v>28</v>
      </c>
      <c r="F177" s="172">
        <v>3389.64</v>
      </c>
      <c r="G177" s="97">
        <v>1</v>
      </c>
      <c r="H177" s="85">
        <f t="shared" si="138"/>
        <v>3389.64</v>
      </c>
      <c r="I177" s="50">
        <f t="shared" si="136"/>
        <v>0</v>
      </c>
      <c r="J177" s="85">
        <f>I177*$F177</f>
        <v>0</v>
      </c>
      <c r="K177" s="82"/>
      <c r="L177" s="83"/>
      <c r="M177" s="85">
        <f>L177*$F177</f>
        <v>0</v>
      </c>
      <c r="N177" s="82"/>
      <c r="O177" s="83"/>
      <c r="P177" s="85">
        <f>O177*$F177</f>
        <v>0</v>
      </c>
      <c r="Q177" s="82"/>
      <c r="R177" s="83"/>
      <c r="S177" s="85">
        <f>R177*$F177</f>
        <v>0</v>
      </c>
      <c r="T177" s="82"/>
      <c r="U177" s="83"/>
      <c r="V177" s="85">
        <f>U177*$F177</f>
        <v>0</v>
      </c>
      <c r="W177" s="82"/>
      <c r="X177" s="83"/>
      <c r="Y177" s="85">
        <f>X177*$F177</f>
        <v>0</v>
      </c>
      <c r="Z177" s="82"/>
      <c r="AA177" s="83"/>
      <c r="AB177" s="85">
        <f>AA177*$F177</f>
        <v>0</v>
      </c>
      <c r="AC177" s="82"/>
      <c r="AD177" s="83"/>
      <c r="AE177" s="85">
        <f>AD177*$F177</f>
        <v>0</v>
      </c>
      <c r="AF177" s="82"/>
      <c r="AG177" s="83"/>
      <c r="AH177" s="85">
        <f>AG177*$F177</f>
        <v>0</v>
      </c>
      <c r="AI177" s="82"/>
      <c r="AJ177" s="83"/>
      <c r="AK177" s="85">
        <f>AJ177*$F177</f>
        <v>0</v>
      </c>
      <c r="AL177" s="82"/>
      <c r="AM177" s="83"/>
      <c r="AN177" s="85">
        <f>AM177*$F177</f>
        <v>0</v>
      </c>
      <c r="AO177" s="82"/>
      <c r="AP177" s="84"/>
      <c r="AQ177" s="85">
        <f>AP177*$F177</f>
        <v>0</v>
      </c>
      <c r="AR177" s="82"/>
      <c r="AS177" s="48">
        <f>G177-AP177</f>
        <v>1</v>
      </c>
      <c r="AT177" s="85">
        <f>AS177*$F177</f>
        <v>3389.64</v>
      </c>
      <c r="AU177" s="82"/>
    </row>
    <row r="178" spans="1:47" ht="105">
      <c r="A178" s="16"/>
      <c r="B178" s="97" t="s">
        <v>921</v>
      </c>
      <c r="C178" s="167" t="s">
        <v>281</v>
      </c>
      <c r="D178" s="86" t="s">
        <v>922</v>
      </c>
      <c r="E178" s="97" t="s">
        <v>12</v>
      </c>
      <c r="F178" s="172">
        <v>598.72</v>
      </c>
      <c r="G178" s="97">
        <v>72.8</v>
      </c>
      <c r="H178" s="85">
        <f t="shared" si="138"/>
        <v>43586.815999999999</v>
      </c>
      <c r="I178" s="50">
        <f t="shared" si="136"/>
        <v>0</v>
      </c>
      <c r="J178" s="85">
        <f>I178*$F178</f>
        <v>0</v>
      </c>
      <c r="K178" s="82"/>
      <c r="L178" s="83"/>
      <c r="M178" s="85">
        <f>L178*$F178</f>
        <v>0</v>
      </c>
      <c r="N178" s="82"/>
      <c r="O178" s="83"/>
      <c r="P178" s="85">
        <f>O178*$F178</f>
        <v>0</v>
      </c>
      <c r="Q178" s="82"/>
      <c r="R178" s="83"/>
      <c r="S178" s="85">
        <f>R178*$F178</f>
        <v>0</v>
      </c>
      <c r="T178" s="82"/>
      <c r="U178" s="83"/>
      <c r="V178" s="85">
        <f>U178*$F178</f>
        <v>0</v>
      </c>
      <c r="W178" s="82"/>
      <c r="X178" s="83"/>
      <c r="Y178" s="85">
        <f>X178*$F178</f>
        <v>0</v>
      </c>
      <c r="Z178" s="82"/>
      <c r="AA178" s="83"/>
      <c r="AB178" s="85">
        <f>AA178*$F178</f>
        <v>0</v>
      </c>
      <c r="AC178" s="82"/>
      <c r="AD178" s="83"/>
      <c r="AE178" s="85">
        <f>AD178*$F178</f>
        <v>0</v>
      </c>
      <c r="AF178" s="82"/>
      <c r="AG178" s="83"/>
      <c r="AH178" s="85">
        <f>AG178*$F178</f>
        <v>0</v>
      </c>
      <c r="AI178" s="82"/>
      <c r="AJ178" s="83"/>
      <c r="AK178" s="85">
        <f>AJ178*$F178</f>
        <v>0</v>
      </c>
      <c r="AL178" s="82"/>
      <c r="AM178" s="83"/>
      <c r="AN178" s="85">
        <f>AM178*$F178</f>
        <v>0</v>
      </c>
      <c r="AO178" s="82"/>
      <c r="AP178" s="84"/>
      <c r="AQ178" s="85">
        <f>AP178*$F178</f>
        <v>0</v>
      </c>
      <c r="AR178" s="82"/>
      <c r="AS178" s="48">
        <f>G178-AP178</f>
        <v>72.8</v>
      </c>
      <c r="AT178" s="85">
        <f>AS178*$F178</f>
        <v>43586.815999999999</v>
      </c>
      <c r="AU178" s="82"/>
    </row>
    <row r="179" spans="1:47" s="136" customFormat="1">
      <c r="A179" s="94"/>
      <c r="B179" s="116" t="s">
        <v>923</v>
      </c>
      <c r="C179" s="1934" t="s">
        <v>924</v>
      </c>
      <c r="D179" s="1935"/>
      <c r="E179" s="1935"/>
      <c r="F179" s="1935"/>
      <c r="G179" s="1936"/>
      <c r="H179" s="132">
        <f>SUM(H180:H182)</f>
        <v>7915.8603999999996</v>
      </c>
      <c r="I179" s="137"/>
      <c r="J179" s="132">
        <f>SUM(J180:J182)</f>
        <v>0</v>
      </c>
      <c r="K179" s="102">
        <f>J179/$H179</f>
        <v>0</v>
      </c>
      <c r="L179" s="137"/>
      <c r="M179" s="132">
        <f>SUM(M180:M182)</f>
        <v>0</v>
      </c>
      <c r="N179" s="102">
        <f>M179/$H179</f>
        <v>0</v>
      </c>
      <c r="O179" s="137"/>
      <c r="P179" s="132">
        <f>SUM(P180:P182)</f>
        <v>0</v>
      </c>
      <c r="Q179" s="102">
        <f>P179/$H179</f>
        <v>0</v>
      </c>
      <c r="R179" s="137"/>
      <c r="S179" s="132">
        <f>SUM(S180:S182)</f>
        <v>0</v>
      </c>
      <c r="T179" s="102">
        <f>S179/$H179</f>
        <v>0</v>
      </c>
      <c r="U179" s="137"/>
      <c r="V179" s="132">
        <f>SUM(V180:V182)</f>
        <v>0</v>
      </c>
      <c r="W179" s="102">
        <f>V179/$H179</f>
        <v>0</v>
      </c>
      <c r="X179" s="137"/>
      <c r="Y179" s="132">
        <f>SUM(Y180:Y182)</f>
        <v>0</v>
      </c>
      <c r="Z179" s="102">
        <f>Y179/$H179</f>
        <v>0</v>
      </c>
      <c r="AA179" s="137"/>
      <c r="AB179" s="132">
        <f>SUM(AB180:AB182)</f>
        <v>0</v>
      </c>
      <c r="AC179" s="102">
        <f>AB179/$H179</f>
        <v>0</v>
      </c>
      <c r="AD179" s="137"/>
      <c r="AE179" s="132">
        <f>SUM(AE180:AE182)</f>
        <v>0</v>
      </c>
      <c r="AF179" s="102">
        <f>AE179/$H179</f>
        <v>0</v>
      </c>
      <c r="AG179" s="137"/>
      <c r="AH179" s="132">
        <f>SUM(AH180:AH182)</f>
        <v>0</v>
      </c>
      <c r="AI179" s="102">
        <f>AH179/$H179</f>
        <v>0</v>
      </c>
      <c r="AJ179" s="137"/>
      <c r="AK179" s="132">
        <f>SUM(AK180:AK182)</f>
        <v>0</v>
      </c>
      <c r="AL179" s="102">
        <f>AK179/$H179</f>
        <v>0</v>
      </c>
      <c r="AM179" s="137"/>
      <c r="AN179" s="132">
        <f>SUM(AN180:AN182)</f>
        <v>0</v>
      </c>
      <c r="AO179" s="102">
        <f>AN179/$H179</f>
        <v>0</v>
      </c>
      <c r="AP179" s="157"/>
      <c r="AQ179" s="132">
        <f>SUM(AQ180:AQ182)</f>
        <v>0</v>
      </c>
      <c r="AR179" s="102">
        <f>AQ179/$H179</f>
        <v>0</v>
      </c>
      <c r="AS179" s="135"/>
      <c r="AT179" s="132">
        <f>SUM(AT180:AT182)</f>
        <v>7915.8603999999996</v>
      </c>
      <c r="AU179" s="102">
        <f>AT179/$H179</f>
        <v>1</v>
      </c>
    </row>
    <row r="180" spans="1:47" ht="75">
      <c r="A180" s="16"/>
      <c r="B180" s="97" t="s">
        <v>925</v>
      </c>
      <c r="C180" s="167" t="s">
        <v>926</v>
      </c>
      <c r="D180" s="86" t="s">
        <v>927</v>
      </c>
      <c r="E180" s="97" t="s">
        <v>12</v>
      </c>
      <c r="F180" s="172">
        <v>285</v>
      </c>
      <c r="G180" s="97">
        <v>14.86</v>
      </c>
      <c r="H180" s="85">
        <f t="shared" si="138"/>
        <v>4235.0999999999995</v>
      </c>
      <c r="I180" s="50">
        <f t="shared" si="136"/>
        <v>0</v>
      </c>
      <c r="J180" s="85">
        <f>I180*$F180</f>
        <v>0</v>
      </c>
      <c r="K180" s="82"/>
      <c r="L180" s="83"/>
      <c r="M180" s="85">
        <f>L180*$F180</f>
        <v>0</v>
      </c>
      <c r="N180" s="82"/>
      <c r="O180" s="83"/>
      <c r="P180" s="85">
        <f>O180*$F180</f>
        <v>0</v>
      </c>
      <c r="Q180" s="82"/>
      <c r="R180" s="83"/>
      <c r="S180" s="85">
        <f>R180*$F180</f>
        <v>0</v>
      </c>
      <c r="T180" s="82"/>
      <c r="U180" s="83"/>
      <c r="V180" s="85">
        <f>U180*$F180</f>
        <v>0</v>
      </c>
      <c r="W180" s="82"/>
      <c r="X180" s="83"/>
      <c r="Y180" s="85">
        <f>X180*$F180</f>
        <v>0</v>
      </c>
      <c r="Z180" s="82"/>
      <c r="AA180" s="83"/>
      <c r="AB180" s="85">
        <f>AA180*$F180</f>
        <v>0</v>
      </c>
      <c r="AC180" s="82"/>
      <c r="AD180" s="83"/>
      <c r="AE180" s="85">
        <f>AD180*$F180</f>
        <v>0</v>
      </c>
      <c r="AF180" s="82"/>
      <c r="AG180" s="83"/>
      <c r="AH180" s="85">
        <f>AG180*$F180</f>
        <v>0</v>
      </c>
      <c r="AI180" s="82"/>
      <c r="AJ180" s="83"/>
      <c r="AK180" s="85">
        <f>AJ180*$F180</f>
        <v>0</v>
      </c>
      <c r="AL180" s="82"/>
      <c r="AM180" s="83"/>
      <c r="AN180" s="85">
        <f>AM180*$F180</f>
        <v>0</v>
      </c>
      <c r="AO180" s="82"/>
      <c r="AP180" s="84"/>
      <c r="AQ180" s="85">
        <f>AP180*$F180</f>
        <v>0</v>
      </c>
      <c r="AR180" s="82"/>
      <c r="AS180" s="48">
        <f>G180-AP180</f>
        <v>14.86</v>
      </c>
      <c r="AT180" s="85">
        <f>AS180*$F180</f>
        <v>4235.0999999999995</v>
      </c>
      <c r="AU180" s="82"/>
    </row>
    <row r="181" spans="1:47" ht="90">
      <c r="A181" s="16"/>
      <c r="B181" s="97" t="s">
        <v>928</v>
      </c>
      <c r="C181" s="167" t="s">
        <v>929</v>
      </c>
      <c r="D181" s="86" t="s">
        <v>930</v>
      </c>
      <c r="E181" s="97" t="s">
        <v>12</v>
      </c>
      <c r="F181" s="172">
        <v>203.53</v>
      </c>
      <c r="G181" s="97">
        <v>14.86</v>
      </c>
      <c r="H181" s="85">
        <f t="shared" si="138"/>
        <v>3024.4557999999997</v>
      </c>
      <c r="I181" s="50">
        <f t="shared" si="136"/>
        <v>0</v>
      </c>
      <c r="J181" s="85">
        <f>I181*$F181</f>
        <v>0</v>
      </c>
      <c r="K181" s="82"/>
      <c r="L181" s="83"/>
      <c r="M181" s="85">
        <f>L181*$F181</f>
        <v>0</v>
      </c>
      <c r="N181" s="82"/>
      <c r="O181" s="83"/>
      <c r="P181" s="85">
        <f>O181*$F181</f>
        <v>0</v>
      </c>
      <c r="Q181" s="82"/>
      <c r="R181" s="83"/>
      <c r="S181" s="85">
        <f>R181*$F181</f>
        <v>0</v>
      </c>
      <c r="T181" s="82"/>
      <c r="U181" s="83"/>
      <c r="V181" s="85">
        <f>U181*$F181</f>
        <v>0</v>
      </c>
      <c r="W181" s="82"/>
      <c r="X181" s="83"/>
      <c r="Y181" s="85">
        <f>X181*$F181</f>
        <v>0</v>
      </c>
      <c r="Z181" s="82"/>
      <c r="AA181" s="83"/>
      <c r="AB181" s="85">
        <f>AA181*$F181</f>
        <v>0</v>
      </c>
      <c r="AC181" s="82"/>
      <c r="AD181" s="83"/>
      <c r="AE181" s="85">
        <f>AD181*$F181</f>
        <v>0</v>
      </c>
      <c r="AF181" s="82"/>
      <c r="AG181" s="83"/>
      <c r="AH181" s="85">
        <f>AG181*$F181</f>
        <v>0</v>
      </c>
      <c r="AI181" s="82"/>
      <c r="AJ181" s="83"/>
      <c r="AK181" s="85">
        <f>AJ181*$F181</f>
        <v>0</v>
      </c>
      <c r="AL181" s="82"/>
      <c r="AM181" s="83"/>
      <c r="AN181" s="85">
        <f>AM181*$F181</f>
        <v>0</v>
      </c>
      <c r="AO181" s="82"/>
      <c r="AP181" s="84"/>
      <c r="AQ181" s="85">
        <f>AP181*$F181</f>
        <v>0</v>
      </c>
      <c r="AR181" s="82"/>
      <c r="AS181" s="48">
        <f>G181-AP181</f>
        <v>14.86</v>
      </c>
      <c r="AT181" s="85">
        <f>AS181*$F181</f>
        <v>3024.4557999999997</v>
      </c>
      <c r="AU181" s="82"/>
    </row>
    <row r="182" spans="1:47" ht="75">
      <c r="A182" s="16"/>
      <c r="B182" s="97" t="s">
        <v>931</v>
      </c>
      <c r="C182" s="167" t="s">
        <v>932</v>
      </c>
      <c r="D182" s="86" t="s">
        <v>933</v>
      </c>
      <c r="E182" s="97" t="s">
        <v>12</v>
      </c>
      <c r="F182" s="172">
        <v>64.47</v>
      </c>
      <c r="G182" s="97">
        <v>10.18</v>
      </c>
      <c r="H182" s="85">
        <f t="shared" si="138"/>
        <v>656.30459999999994</v>
      </c>
      <c r="I182" s="50">
        <f t="shared" si="136"/>
        <v>0</v>
      </c>
      <c r="J182" s="85">
        <f>I182*$F182</f>
        <v>0</v>
      </c>
      <c r="K182" s="82"/>
      <c r="L182" s="83"/>
      <c r="M182" s="85">
        <f>L182*$F182</f>
        <v>0</v>
      </c>
      <c r="N182" s="82"/>
      <c r="O182" s="83"/>
      <c r="P182" s="85">
        <f>O182*$F182</f>
        <v>0</v>
      </c>
      <c r="Q182" s="82"/>
      <c r="R182" s="83"/>
      <c r="S182" s="85">
        <f>R182*$F182</f>
        <v>0</v>
      </c>
      <c r="T182" s="82"/>
      <c r="U182" s="83"/>
      <c r="V182" s="85">
        <f>U182*$F182</f>
        <v>0</v>
      </c>
      <c r="W182" s="82"/>
      <c r="X182" s="83"/>
      <c r="Y182" s="85">
        <f>X182*$F182</f>
        <v>0</v>
      </c>
      <c r="Z182" s="82"/>
      <c r="AA182" s="83"/>
      <c r="AB182" s="85">
        <f>AA182*$F182</f>
        <v>0</v>
      </c>
      <c r="AC182" s="82"/>
      <c r="AD182" s="83"/>
      <c r="AE182" s="85">
        <f>AD182*$F182</f>
        <v>0</v>
      </c>
      <c r="AF182" s="82"/>
      <c r="AG182" s="83"/>
      <c r="AH182" s="85">
        <f>AG182*$F182</f>
        <v>0</v>
      </c>
      <c r="AI182" s="82"/>
      <c r="AJ182" s="83"/>
      <c r="AK182" s="85">
        <f>AJ182*$F182</f>
        <v>0</v>
      </c>
      <c r="AL182" s="82"/>
      <c r="AM182" s="83"/>
      <c r="AN182" s="85">
        <f>AM182*$F182</f>
        <v>0</v>
      </c>
      <c r="AO182" s="82"/>
      <c r="AP182" s="84"/>
      <c r="AQ182" s="85">
        <f>AP182*$F182</f>
        <v>0</v>
      </c>
      <c r="AR182" s="82"/>
      <c r="AS182" s="48">
        <f>G182-AP182</f>
        <v>10.18</v>
      </c>
      <c r="AT182" s="85">
        <f>AS182*$F182</f>
        <v>656.30459999999994</v>
      </c>
      <c r="AU182" s="82"/>
    </row>
    <row r="183" spans="1:47" s="115" customFormat="1" ht="15.75">
      <c r="A183" s="109"/>
      <c r="B183" s="118" t="s">
        <v>934</v>
      </c>
      <c r="C183" s="170"/>
      <c r="D183" s="152" t="s">
        <v>935</v>
      </c>
      <c r="E183" s="118"/>
      <c r="F183" s="153"/>
      <c r="G183" s="118"/>
      <c r="H183" s="110">
        <f>H184+H187+H189</f>
        <v>57613.604900000006</v>
      </c>
      <c r="I183" s="154"/>
      <c r="J183" s="110">
        <f>J184+J187+J189</f>
        <v>0</v>
      </c>
      <c r="K183" s="113">
        <f>J183/$H183</f>
        <v>0</v>
      </c>
      <c r="L183" s="154"/>
      <c r="M183" s="110">
        <f>M184+M187+M189</f>
        <v>0</v>
      </c>
      <c r="N183" s="113">
        <f>M183/$H183</f>
        <v>0</v>
      </c>
      <c r="O183" s="154"/>
      <c r="P183" s="110">
        <f>P184+P187+P189</f>
        <v>0</v>
      </c>
      <c r="Q183" s="113">
        <f>P183/$H183</f>
        <v>0</v>
      </c>
      <c r="R183" s="154"/>
      <c r="S183" s="110">
        <f>S184+S187+S189</f>
        <v>0</v>
      </c>
      <c r="T183" s="113">
        <f>S183/$H183</f>
        <v>0</v>
      </c>
      <c r="U183" s="154"/>
      <c r="V183" s="110">
        <f>V184+V187+V189</f>
        <v>0</v>
      </c>
      <c r="W183" s="113">
        <f>V183/$H183</f>
        <v>0</v>
      </c>
      <c r="X183" s="154"/>
      <c r="Y183" s="110">
        <f>Y184+Y187+Y189</f>
        <v>0</v>
      </c>
      <c r="Z183" s="113">
        <f>Y183/$H183</f>
        <v>0</v>
      </c>
      <c r="AA183" s="154"/>
      <c r="AB183" s="110">
        <f>AB184+AB187+AB189</f>
        <v>0</v>
      </c>
      <c r="AC183" s="113">
        <f>AB183/$H183</f>
        <v>0</v>
      </c>
      <c r="AD183" s="154"/>
      <c r="AE183" s="110">
        <f>AE184+AE187+AE189</f>
        <v>0</v>
      </c>
      <c r="AF183" s="113">
        <f>AE183/$H183</f>
        <v>0</v>
      </c>
      <c r="AG183" s="154"/>
      <c r="AH183" s="110">
        <f>AH184+AH187+AH189</f>
        <v>0</v>
      </c>
      <c r="AI183" s="113">
        <f>AH183/$H183</f>
        <v>0</v>
      </c>
      <c r="AJ183" s="154"/>
      <c r="AK183" s="110">
        <f>AK184+AK187+AK189</f>
        <v>0</v>
      </c>
      <c r="AL183" s="113">
        <f>AK183/$H183</f>
        <v>0</v>
      </c>
      <c r="AM183" s="154"/>
      <c r="AN183" s="110">
        <f>AN184+AN187+AN189</f>
        <v>0</v>
      </c>
      <c r="AO183" s="113">
        <f>AN183/$H183</f>
        <v>0</v>
      </c>
      <c r="AP183" s="155"/>
      <c r="AQ183" s="110">
        <f>AQ184+AQ187+AQ189</f>
        <v>0</v>
      </c>
      <c r="AR183" s="113">
        <f>AQ183/$H183</f>
        <v>0</v>
      </c>
      <c r="AS183" s="114"/>
      <c r="AT183" s="110">
        <f>AT184+AT187+AT189</f>
        <v>57613.604900000006</v>
      </c>
      <c r="AU183" s="113">
        <f>AT183/$H183</f>
        <v>1</v>
      </c>
    </row>
    <row r="184" spans="1:47" s="136" customFormat="1">
      <c r="A184" s="94"/>
      <c r="B184" s="116" t="s">
        <v>936</v>
      </c>
      <c r="C184" s="1934" t="s">
        <v>937</v>
      </c>
      <c r="D184" s="1935"/>
      <c r="E184" s="1935"/>
      <c r="F184" s="1935"/>
      <c r="G184" s="1936"/>
      <c r="H184" s="132">
        <f>H185+H186</f>
        <v>44193.421900000001</v>
      </c>
      <c r="I184" s="137"/>
      <c r="J184" s="132">
        <f>J185+J186</f>
        <v>0</v>
      </c>
      <c r="K184" s="102">
        <f>J184/$H184</f>
        <v>0</v>
      </c>
      <c r="L184" s="137"/>
      <c r="M184" s="132">
        <f>M185+M186</f>
        <v>0</v>
      </c>
      <c r="N184" s="102">
        <f>M184/$H184</f>
        <v>0</v>
      </c>
      <c r="O184" s="137"/>
      <c r="P184" s="132">
        <f>P185+P186</f>
        <v>0</v>
      </c>
      <c r="Q184" s="102">
        <f>P184/$H184</f>
        <v>0</v>
      </c>
      <c r="R184" s="137"/>
      <c r="S184" s="132">
        <f>S185+S186</f>
        <v>0</v>
      </c>
      <c r="T184" s="102">
        <f>S184/$H184</f>
        <v>0</v>
      </c>
      <c r="U184" s="137"/>
      <c r="V184" s="132">
        <f>V185+V186</f>
        <v>0</v>
      </c>
      <c r="W184" s="102">
        <f>V184/$H184</f>
        <v>0</v>
      </c>
      <c r="X184" s="137"/>
      <c r="Y184" s="132">
        <f>Y185+Y186</f>
        <v>0</v>
      </c>
      <c r="Z184" s="102">
        <f>Y184/$H184</f>
        <v>0</v>
      </c>
      <c r="AA184" s="137"/>
      <c r="AB184" s="132">
        <f>AB185+AB186</f>
        <v>0</v>
      </c>
      <c r="AC184" s="102">
        <f>AB184/$H184</f>
        <v>0</v>
      </c>
      <c r="AD184" s="137"/>
      <c r="AE184" s="132">
        <f>AE185+AE186</f>
        <v>0</v>
      </c>
      <c r="AF184" s="102">
        <f>AE184/$H184</f>
        <v>0</v>
      </c>
      <c r="AG184" s="137"/>
      <c r="AH184" s="132">
        <f>AH185+AH186</f>
        <v>0</v>
      </c>
      <c r="AI184" s="102">
        <f>AH184/$H184</f>
        <v>0</v>
      </c>
      <c r="AJ184" s="137"/>
      <c r="AK184" s="132">
        <f>AK185+AK186</f>
        <v>0</v>
      </c>
      <c r="AL184" s="102">
        <f>AK184/$H184</f>
        <v>0</v>
      </c>
      <c r="AM184" s="137"/>
      <c r="AN184" s="132">
        <f>AN185+AN186</f>
        <v>0</v>
      </c>
      <c r="AO184" s="102">
        <f>AN184/$H184</f>
        <v>0</v>
      </c>
      <c r="AP184" s="157"/>
      <c r="AQ184" s="132">
        <f>AQ185+AQ186</f>
        <v>0</v>
      </c>
      <c r="AR184" s="102">
        <f>AQ184/$H184</f>
        <v>0</v>
      </c>
      <c r="AS184" s="135"/>
      <c r="AT184" s="132">
        <f>AT185+AT186</f>
        <v>44193.421900000001</v>
      </c>
      <c r="AU184" s="102">
        <f>AT184/$H184</f>
        <v>1</v>
      </c>
    </row>
    <row r="185" spans="1:47" ht="60">
      <c r="A185" s="16"/>
      <c r="B185" s="97" t="s">
        <v>938</v>
      </c>
      <c r="C185" s="167" t="s">
        <v>939</v>
      </c>
      <c r="D185" s="86" t="s">
        <v>940</v>
      </c>
      <c r="E185" s="97" t="s">
        <v>12</v>
      </c>
      <c r="F185" s="141">
        <v>714.01</v>
      </c>
      <c r="G185" s="97">
        <v>51.19</v>
      </c>
      <c r="H185" s="85">
        <f>G185*$F185</f>
        <v>36550.171900000001</v>
      </c>
      <c r="I185" s="50">
        <f t="shared" ref="I185:I190" si="152">L185+O185</f>
        <v>0</v>
      </c>
      <c r="J185" s="85">
        <f>I185*$F185</f>
        <v>0</v>
      </c>
      <c r="K185" s="82"/>
      <c r="L185" s="83"/>
      <c r="M185" s="85">
        <f>L185*$F185</f>
        <v>0</v>
      </c>
      <c r="N185" s="82"/>
      <c r="O185" s="83"/>
      <c r="P185" s="85">
        <f>O185*$F185</f>
        <v>0</v>
      </c>
      <c r="Q185" s="82"/>
      <c r="R185" s="83"/>
      <c r="S185" s="85">
        <f>R185*$F185</f>
        <v>0</v>
      </c>
      <c r="T185" s="82"/>
      <c r="U185" s="83"/>
      <c r="V185" s="85">
        <f>U185*$F185</f>
        <v>0</v>
      </c>
      <c r="W185" s="82"/>
      <c r="X185" s="83"/>
      <c r="Y185" s="85">
        <f>X185*$F185</f>
        <v>0</v>
      </c>
      <c r="Z185" s="82"/>
      <c r="AA185" s="83"/>
      <c r="AB185" s="85">
        <f>AA185*$F185</f>
        <v>0</v>
      </c>
      <c r="AC185" s="82"/>
      <c r="AD185" s="83"/>
      <c r="AE185" s="85">
        <f>AD185*$F185</f>
        <v>0</v>
      </c>
      <c r="AF185" s="82"/>
      <c r="AG185" s="83"/>
      <c r="AH185" s="85">
        <f>AG185*$F185</f>
        <v>0</v>
      </c>
      <c r="AI185" s="82"/>
      <c r="AJ185" s="83"/>
      <c r="AK185" s="85">
        <f>AJ185*$F185</f>
        <v>0</v>
      </c>
      <c r="AL185" s="82"/>
      <c r="AM185" s="83"/>
      <c r="AN185" s="85">
        <f>AM185*$F185</f>
        <v>0</v>
      </c>
      <c r="AO185" s="82"/>
      <c r="AP185" s="84"/>
      <c r="AQ185" s="85">
        <f>AP185*$F185</f>
        <v>0</v>
      </c>
      <c r="AR185" s="82"/>
      <c r="AS185" s="48">
        <f>G185-AP185</f>
        <v>51.19</v>
      </c>
      <c r="AT185" s="85">
        <f>AS185*$F185</f>
        <v>36550.171900000001</v>
      </c>
      <c r="AU185" s="82"/>
    </row>
    <row r="186" spans="1:47" ht="45">
      <c r="A186" s="16"/>
      <c r="B186" s="97" t="s">
        <v>941</v>
      </c>
      <c r="C186" s="167" t="s">
        <v>942</v>
      </c>
      <c r="D186" s="86" t="s">
        <v>943</v>
      </c>
      <c r="E186" s="97" t="s">
        <v>12</v>
      </c>
      <c r="F186" s="141">
        <v>509.55</v>
      </c>
      <c r="G186" s="97">
        <v>15</v>
      </c>
      <c r="H186" s="85">
        <f>G186*$F186</f>
        <v>7643.25</v>
      </c>
      <c r="I186" s="50">
        <f t="shared" si="152"/>
        <v>0</v>
      </c>
      <c r="J186" s="85">
        <f>I186*$F186</f>
        <v>0</v>
      </c>
      <c r="K186" s="82"/>
      <c r="L186" s="83"/>
      <c r="M186" s="85">
        <f>L186*$F186</f>
        <v>0</v>
      </c>
      <c r="N186" s="82"/>
      <c r="O186" s="83"/>
      <c r="P186" s="85">
        <f>O186*$F186</f>
        <v>0</v>
      </c>
      <c r="Q186" s="82"/>
      <c r="R186" s="83"/>
      <c r="S186" s="85">
        <f>R186*$F186</f>
        <v>0</v>
      </c>
      <c r="T186" s="82"/>
      <c r="U186" s="83"/>
      <c r="V186" s="85">
        <f>U186*$F186</f>
        <v>0</v>
      </c>
      <c r="W186" s="82"/>
      <c r="X186" s="83"/>
      <c r="Y186" s="85">
        <f>X186*$F186</f>
        <v>0</v>
      </c>
      <c r="Z186" s="82"/>
      <c r="AA186" s="83"/>
      <c r="AB186" s="85">
        <f>AA186*$F186</f>
        <v>0</v>
      </c>
      <c r="AC186" s="82"/>
      <c r="AD186" s="83"/>
      <c r="AE186" s="85">
        <f>AD186*$F186</f>
        <v>0</v>
      </c>
      <c r="AF186" s="82"/>
      <c r="AG186" s="83"/>
      <c r="AH186" s="85">
        <f>AG186*$F186</f>
        <v>0</v>
      </c>
      <c r="AI186" s="82"/>
      <c r="AJ186" s="83"/>
      <c r="AK186" s="85">
        <f>AJ186*$F186</f>
        <v>0</v>
      </c>
      <c r="AL186" s="82"/>
      <c r="AM186" s="83"/>
      <c r="AN186" s="85">
        <f>AM186*$F186</f>
        <v>0</v>
      </c>
      <c r="AO186" s="82"/>
      <c r="AP186" s="84"/>
      <c r="AQ186" s="85">
        <f>AP186*$F186</f>
        <v>0</v>
      </c>
      <c r="AR186" s="82"/>
      <c r="AS186" s="48">
        <f>G186-AP186</f>
        <v>15</v>
      </c>
      <c r="AT186" s="85">
        <f>AS186*$F186</f>
        <v>7643.25</v>
      </c>
      <c r="AU186" s="82"/>
    </row>
    <row r="187" spans="1:47" s="136" customFormat="1">
      <c r="A187" s="94"/>
      <c r="B187" s="116" t="s">
        <v>944</v>
      </c>
      <c r="C187" s="1934" t="s">
        <v>945</v>
      </c>
      <c r="D187" s="1935"/>
      <c r="E187" s="1935"/>
      <c r="F187" s="1935"/>
      <c r="G187" s="1936"/>
      <c r="H187" s="132">
        <f>H188</f>
        <v>5675.0321999999996</v>
      </c>
      <c r="I187" s="137"/>
      <c r="J187" s="132">
        <f>J188</f>
        <v>0</v>
      </c>
      <c r="K187" s="102">
        <f>J187/$H187</f>
        <v>0</v>
      </c>
      <c r="L187" s="137"/>
      <c r="M187" s="132">
        <f>M188</f>
        <v>0</v>
      </c>
      <c r="N187" s="102">
        <f>M187/$H187</f>
        <v>0</v>
      </c>
      <c r="O187" s="137"/>
      <c r="P187" s="132">
        <f>P188</f>
        <v>0</v>
      </c>
      <c r="Q187" s="102">
        <f>P187/$H187</f>
        <v>0</v>
      </c>
      <c r="R187" s="137"/>
      <c r="S187" s="132">
        <f>S188</f>
        <v>0</v>
      </c>
      <c r="T187" s="102">
        <f>S187/$H187</f>
        <v>0</v>
      </c>
      <c r="U187" s="137"/>
      <c r="V187" s="132">
        <f>V188</f>
        <v>0</v>
      </c>
      <c r="W187" s="102">
        <f>V187/$H187</f>
        <v>0</v>
      </c>
      <c r="X187" s="137"/>
      <c r="Y187" s="132">
        <f>Y188</f>
        <v>0</v>
      </c>
      <c r="Z187" s="102">
        <f>Y187/$H187</f>
        <v>0</v>
      </c>
      <c r="AA187" s="137"/>
      <c r="AB187" s="132">
        <f>AB188</f>
        <v>0</v>
      </c>
      <c r="AC187" s="102">
        <f>AB187/$H187</f>
        <v>0</v>
      </c>
      <c r="AD187" s="137"/>
      <c r="AE187" s="132">
        <f>AE188</f>
        <v>0</v>
      </c>
      <c r="AF187" s="102">
        <f>AE187/$H187</f>
        <v>0</v>
      </c>
      <c r="AG187" s="137"/>
      <c r="AH187" s="132">
        <f>AH188</f>
        <v>0</v>
      </c>
      <c r="AI187" s="102">
        <f>AH187/$H187</f>
        <v>0</v>
      </c>
      <c r="AJ187" s="137"/>
      <c r="AK187" s="132">
        <f>AK188</f>
        <v>0</v>
      </c>
      <c r="AL187" s="102">
        <f>AK187/$H187</f>
        <v>0</v>
      </c>
      <c r="AM187" s="137"/>
      <c r="AN187" s="132">
        <f>AN188</f>
        <v>0</v>
      </c>
      <c r="AO187" s="102">
        <f>AN187/$H187</f>
        <v>0</v>
      </c>
      <c r="AP187" s="157"/>
      <c r="AQ187" s="132">
        <f>AQ188</f>
        <v>0</v>
      </c>
      <c r="AR187" s="102">
        <f>AQ187/$H187</f>
        <v>0</v>
      </c>
      <c r="AS187" s="135"/>
      <c r="AT187" s="132">
        <f>AT188</f>
        <v>5675.0321999999996</v>
      </c>
      <c r="AU187" s="102">
        <f>AT187/$H187</f>
        <v>1</v>
      </c>
    </row>
    <row r="188" spans="1:47" ht="75">
      <c r="A188" s="16"/>
      <c r="B188" s="97" t="s">
        <v>946</v>
      </c>
      <c r="C188" s="167" t="s">
        <v>163</v>
      </c>
      <c r="D188" s="86" t="s">
        <v>164</v>
      </c>
      <c r="E188" s="97" t="s">
        <v>12</v>
      </c>
      <c r="F188" s="141">
        <v>826.06</v>
      </c>
      <c r="G188" s="97">
        <v>6.87</v>
      </c>
      <c r="H188" s="85">
        <f>G188*$F188</f>
        <v>5675.0321999999996</v>
      </c>
      <c r="I188" s="50">
        <f t="shared" si="152"/>
        <v>0</v>
      </c>
      <c r="J188" s="85">
        <f>I188*$F188</f>
        <v>0</v>
      </c>
      <c r="K188" s="82"/>
      <c r="L188" s="83"/>
      <c r="M188" s="85">
        <f>L188*$F188</f>
        <v>0</v>
      </c>
      <c r="N188" s="82"/>
      <c r="O188" s="83"/>
      <c r="P188" s="85">
        <f>O188*$F188</f>
        <v>0</v>
      </c>
      <c r="Q188" s="82"/>
      <c r="R188" s="83"/>
      <c r="S188" s="85">
        <f>R188*$F188</f>
        <v>0</v>
      </c>
      <c r="T188" s="82"/>
      <c r="U188" s="83"/>
      <c r="V188" s="85">
        <f>U188*$F188</f>
        <v>0</v>
      </c>
      <c r="W188" s="82"/>
      <c r="X188" s="83"/>
      <c r="Y188" s="85">
        <f>X188*$F188</f>
        <v>0</v>
      </c>
      <c r="Z188" s="82"/>
      <c r="AA188" s="83"/>
      <c r="AB188" s="85">
        <f>AA188*$F188</f>
        <v>0</v>
      </c>
      <c r="AC188" s="82"/>
      <c r="AD188" s="83"/>
      <c r="AE188" s="85">
        <f>AD188*$F188</f>
        <v>0</v>
      </c>
      <c r="AF188" s="82"/>
      <c r="AG188" s="83"/>
      <c r="AH188" s="85">
        <f>AG188*$F188</f>
        <v>0</v>
      </c>
      <c r="AI188" s="82"/>
      <c r="AJ188" s="83"/>
      <c r="AK188" s="85">
        <f>AJ188*$F188</f>
        <v>0</v>
      </c>
      <c r="AL188" s="82"/>
      <c r="AM188" s="83"/>
      <c r="AN188" s="85">
        <f>AM188*$F188</f>
        <v>0</v>
      </c>
      <c r="AO188" s="82"/>
      <c r="AP188" s="84"/>
      <c r="AQ188" s="85">
        <f>AP188*$F188</f>
        <v>0</v>
      </c>
      <c r="AR188" s="82"/>
      <c r="AS188" s="48">
        <f>G188-AP188</f>
        <v>6.87</v>
      </c>
      <c r="AT188" s="85">
        <f>AS188*$F188</f>
        <v>5675.0321999999996</v>
      </c>
      <c r="AU188" s="82"/>
    </row>
    <row r="189" spans="1:47" s="136" customFormat="1">
      <c r="A189" s="94"/>
      <c r="B189" s="116" t="s">
        <v>947</v>
      </c>
      <c r="C189" s="1934" t="s">
        <v>948</v>
      </c>
      <c r="D189" s="1935"/>
      <c r="E189" s="1935"/>
      <c r="F189" s="1935"/>
      <c r="G189" s="1936"/>
      <c r="H189" s="132">
        <f>H190</f>
        <v>7745.1507999999994</v>
      </c>
      <c r="I189" s="137"/>
      <c r="J189" s="132">
        <f>J190</f>
        <v>0</v>
      </c>
      <c r="K189" s="102">
        <f>J189/$H189</f>
        <v>0</v>
      </c>
      <c r="L189" s="137"/>
      <c r="M189" s="132">
        <f>M190</f>
        <v>0</v>
      </c>
      <c r="N189" s="102">
        <f>M189/$H189</f>
        <v>0</v>
      </c>
      <c r="O189" s="137"/>
      <c r="P189" s="132">
        <f>P190</f>
        <v>0</v>
      </c>
      <c r="Q189" s="102">
        <f>P189/$H189</f>
        <v>0</v>
      </c>
      <c r="R189" s="137"/>
      <c r="S189" s="132">
        <f>S190</f>
        <v>0</v>
      </c>
      <c r="T189" s="102">
        <f>S189/$H189</f>
        <v>0</v>
      </c>
      <c r="U189" s="137"/>
      <c r="V189" s="132">
        <f>V190</f>
        <v>0</v>
      </c>
      <c r="W189" s="102">
        <f>V189/$H189</f>
        <v>0</v>
      </c>
      <c r="X189" s="137"/>
      <c r="Y189" s="132">
        <f>Y190</f>
        <v>0</v>
      </c>
      <c r="Z189" s="102">
        <f>Y189/$H189</f>
        <v>0</v>
      </c>
      <c r="AA189" s="137"/>
      <c r="AB189" s="132">
        <f>AB190</f>
        <v>0</v>
      </c>
      <c r="AC189" s="102">
        <f>AB189/$H189</f>
        <v>0</v>
      </c>
      <c r="AD189" s="137"/>
      <c r="AE189" s="132">
        <f>AE190</f>
        <v>0</v>
      </c>
      <c r="AF189" s="102">
        <f>AE189/$H189</f>
        <v>0</v>
      </c>
      <c r="AG189" s="137"/>
      <c r="AH189" s="132">
        <f>AH190</f>
        <v>0</v>
      </c>
      <c r="AI189" s="102">
        <f>AH189/$H189</f>
        <v>0</v>
      </c>
      <c r="AJ189" s="137"/>
      <c r="AK189" s="132">
        <f>AK190</f>
        <v>0</v>
      </c>
      <c r="AL189" s="102">
        <f>AK189/$H189</f>
        <v>0</v>
      </c>
      <c r="AM189" s="137"/>
      <c r="AN189" s="132">
        <f>AN190</f>
        <v>0</v>
      </c>
      <c r="AO189" s="102">
        <f>AN189/$H189</f>
        <v>0</v>
      </c>
      <c r="AP189" s="157"/>
      <c r="AQ189" s="132">
        <f>AQ190</f>
        <v>0</v>
      </c>
      <c r="AR189" s="102">
        <f>AQ189/$H189</f>
        <v>0</v>
      </c>
      <c r="AS189" s="135"/>
      <c r="AT189" s="132">
        <f>AT190</f>
        <v>7745.1507999999994</v>
      </c>
      <c r="AU189" s="102">
        <f>AT189/$H189</f>
        <v>1</v>
      </c>
    </row>
    <row r="190" spans="1:47" ht="45">
      <c r="A190" s="16"/>
      <c r="B190" s="97" t="s">
        <v>949</v>
      </c>
      <c r="C190" s="167" t="s">
        <v>950</v>
      </c>
      <c r="D190" s="86" t="s">
        <v>951</v>
      </c>
      <c r="E190" s="97" t="s">
        <v>12</v>
      </c>
      <c r="F190" s="141">
        <v>572.02</v>
      </c>
      <c r="G190" s="97">
        <v>13.54</v>
      </c>
      <c r="H190" s="85">
        <f>G190*$F190</f>
        <v>7745.1507999999994</v>
      </c>
      <c r="I190" s="50">
        <f t="shared" si="152"/>
        <v>0</v>
      </c>
      <c r="J190" s="85">
        <f>I190*$F190</f>
        <v>0</v>
      </c>
      <c r="K190" s="82"/>
      <c r="L190" s="83"/>
      <c r="M190" s="85">
        <f>L190*$F190</f>
        <v>0</v>
      </c>
      <c r="N190" s="82"/>
      <c r="O190" s="83"/>
      <c r="P190" s="85">
        <f>O190*$F190</f>
        <v>0</v>
      </c>
      <c r="Q190" s="82"/>
      <c r="R190" s="83"/>
      <c r="S190" s="85">
        <f>R190*$F190</f>
        <v>0</v>
      </c>
      <c r="T190" s="82"/>
      <c r="U190" s="83"/>
      <c r="V190" s="85">
        <f>U190*$F190</f>
        <v>0</v>
      </c>
      <c r="W190" s="82"/>
      <c r="X190" s="83"/>
      <c r="Y190" s="85">
        <f>X190*$F190</f>
        <v>0</v>
      </c>
      <c r="Z190" s="82"/>
      <c r="AA190" s="83"/>
      <c r="AB190" s="85">
        <f>AA190*$F190</f>
        <v>0</v>
      </c>
      <c r="AC190" s="82"/>
      <c r="AD190" s="83"/>
      <c r="AE190" s="85">
        <f>AD190*$F190</f>
        <v>0</v>
      </c>
      <c r="AF190" s="82"/>
      <c r="AG190" s="83"/>
      <c r="AH190" s="85">
        <f>AG190*$F190</f>
        <v>0</v>
      </c>
      <c r="AI190" s="82"/>
      <c r="AJ190" s="83"/>
      <c r="AK190" s="85">
        <f>AJ190*$F190</f>
        <v>0</v>
      </c>
      <c r="AL190" s="82"/>
      <c r="AM190" s="83"/>
      <c r="AN190" s="85">
        <f>AM190*$F190</f>
        <v>0</v>
      </c>
      <c r="AO190" s="82"/>
      <c r="AP190" s="84"/>
      <c r="AQ190" s="85">
        <f>AP190*$F190</f>
        <v>0</v>
      </c>
      <c r="AR190" s="82"/>
      <c r="AS190" s="48">
        <f>G190-AP190</f>
        <v>13.54</v>
      </c>
      <c r="AT190" s="85">
        <f>AS190*$F190</f>
        <v>7745.1507999999994</v>
      </c>
      <c r="AU190" s="82"/>
    </row>
    <row r="191" spans="1:47" s="115" customFormat="1" ht="15.75">
      <c r="A191" s="109"/>
      <c r="B191" s="118" t="s">
        <v>952</v>
      </c>
      <c r="C191" s="1937" t="s">
        <v>953</v>
      </c>
      <c r="D191" s="1938"/>
      <c r="E191" s="1938"/>
      <c r="F191" s="1938"/>
      <c r="G191" s="1939"/>
      <c r="H191" s="110">
        <f>H192+H194+H196+H199</f>
        <v>313202.44660000002</v>
      </c>
      <c r="I191" s="154"/>
      <c r="J191" s="110">
        <f>J192+J194+J196+J199</f>
        <v>0</v>
      </c>
      <c r="K191" s="113">
        <f>J191/$H191</f>
        <v>0</v>
      </c>
      <c r="L191" s="154"/>
      <c r="M191" s="110">
        <f>M192+M194+M196+M199</f>
        <v>0</v>
      </c>
      <c r="N191" s="113">
        <f>M191/$H191</f>
        <v>0</v>
      </c>
      <c r="O191" s="154"/>
      <c r="P191" s="110">
        <f>P192+P194+P196+P199</f>
        <v>0</v>
      </c>
      <c r="Q191" s="113">
        <f>P191/$H191</f>
        <v>0</v>
      </c>
      <c r="R191" s="154"/>
      <c r="S191" s="110">
        <f>S192+S194+S196+S199</f>
        <v>0</v>
      </c>
      <c r="T191" s="113">
        <f>S191/$H191</f>
        <v>0</v>
      </c>
      <c r="U191" s="154"/>
      <c r="V191" s="110">
        <f>V192+V194+V196+V199</f>
        <v>0</v>
      </c>
      <c r="W191" s="113">
        <f>V191/$H191</f>
        <v>0</v>
      </c>
      <c r="X191" s="154"/>
      <c r="Y191" s="110">
        <f>Y192+Y194+Y196+Y199</f>
        <v>0</v>
      </c>
      <c r="Z191" s="113">
        <f>Y191/$H191</f>
        <v>0</v>
      </c>
      <c r="AA191" s="154"/>
      <c r="AB191" s="110">
        <f>AB192+AB194+AB196+AB199</f>
        <v>0</v>
      </c>
      <c r="AC191" s="113">
        <f>AB191/$H191</f>
        <v>0</v>
      </c>
      <c r="AD191" s="154"/>
      <c r="AE191" s="110">
        <f>AE192+AE194+AE196+AE199</f>
        <v>0</v>
      </c>
      <c r="AF191" s="113">
        <f>AE191/$H191</f>
        <v>0</v>
      </c>
      <c r="AG191" s="154"/>
      <c r="AH191" s="110">
        <f>AH192+AH194+AH196+AH199</f>
        <v>0</v>
      </c>
      <c r="AI191" s="113">
        <f>AH191/$H191</f>
        <v>0</v>
      </c>
      <c r="AJ191" s="154"/>
      <c r="AK191" s="110">
        <f>AK192+AK194+AK196+AK199</f>
        <v>0</v>
      </c>
      <c r="AL191" s="113">
        <f>AK191/$H191</f>
        <v>0</v>
      </c>
      <c r="AM191" s="154"/>
      <c r="AN191" s="110">
        <f>AN192+AN194+AN196+AN199</f>
        <v>0</v>
      </c>
      <c r="AO191" s="113">
        <f>AN191/$H191</f>
        <v>0</v>
      </c>
      <c r="AP191" s="155"/>
      <c r="AQ191" s="110">
        <f>AQ192+AQ194+AQ196+AQ199</f>
        <v>0</v>
      </c>
      <c r="AR191" s="113">
        <f>AQ191/$H191</f>
        <v>0</v>
      </c>
      <c r="AS191" s="114"/>
      <c r="AT191" s="110">
        <f>AT192+AT194+AT196+AT199</f>
        <v>313202.44660000002</v>
      </c>
      <c r="AU191" s="113">
        <f>AT191/$H191</f>
        <v>1</v>
      </c>
    </row>
    <row r="192" spans="1:47" s="136" customFormat="1">
      <c r="A192" s="94"/>
      <c r="B192" s="116" t="s">
        <v>954</v>
      </c>
      <c r="C192" s="1934" t="s">
        <v>955</v>
      </c>
      <c r="D192" s="1935"/>
      <c r="E192" s="1935"/>
      <c r="F192" s="1935"/>
      <c r="G192" s="1936"/>
      <c r="H192" s="132">
        <f>H193</f>
        <v>198396.33750000002</v>
      </c>
      <c r="I192" s="137"/>
      <c r="J192" s="132">
        <f>J193</f>
        <v>0</v>
      </c>
      <c r="K192" s="102">
        <f>J192/$H192</f>
        <v>0</v>
      </c>
      <c r="L192" s="137"/>
      <c r="M192" s="132">
        <f>M193</f>
        <v>0</v>
      </c>
      <c r="N192" s="102">
        <f>M192/$H192</f>
        <v>0</v>
      </c>
      <c r="O192" s="137"/>
      <c r="P192" s="132">
        <f>P193</f>
        <v>0</v>
      </c>
      <c r="Q192" s="102">
        <f>P192/$H192</f>
        <v>0</v>
      </c>
      <c r="R192" s="137"/>
      <c r="S192" s="132">
        <f>S193</f>
        <v>0</v>
      </c>
      <c r="T192" s="102">
        <f>S192/$H192</f>
        <v>0</v>
      </c>
      <c r="U192" s="137"/>
      <c r="V192" s="132">
        <f>V193</f>
        <v>0</v>
      </c>
      <c r="W192" s="102">
        <f>V192/$H192</f>
        <v>0</v>
      </c>
      <c r="X192" s="137"/>
      <c r="Y192" s="132">
        <f>Y193</f>
        <v>0</v>
      </c>
      <c r="Z192" s="102">
        <f>Y192/$H192</f>
        <v>0</v>
      </c>
      <c r="AA192" s="137"/>
      <c r="AB192" s="132">
        <f>AB193</f>
        <v>0</v>
      </c>
      <c r="AC192" s="102">
        <f>AB192/$H192</f>
        <v>0</v>
      </c>
      <c r="AD192" s="137"/>
      <c r="AE192" s="132">
        <f>AE193</f>
        <v>0</v>
      </c>
      <c r="AF192" s="102">
        <f>AE192/$H192</f>
        <v>0</v>
      </c>
      <c r="AG192" s="137"/>
      <c r="AH192" s="132">
        <f>AH193</f>
        <v>0</v>
      </c>
      <c r="AI192" s="102">
        <f>AH192/$H192</f>
        <v>0</v>
      </c>
      <c r="AJ192" s="137"/>
      <c r="AK192" s="132">
        <f>AK193</f>
        <v>0</v>
      </c>
      <c r="AL192" s="102">
        <f>AK192/$H192</f>
        <v>0</v>
      </c>
      <c r="AM192" s="137"/>
      <c r="AN192" s="132">
        <f>AN193</f>
        <v>0</v>
      </c>
      <c r="AO192" s="102">
        <f>AN192/$H192</f>
        <v>0</v>
      </c>
      <c r="AP192" s="157"/>
      <c r="AQ192" s="132">
        <f>AQ193</f>
        <v>0</v>
      </c>
      <c r="AR192" s="102">
        <f>AQ192/$H192</f>
        <v>0</v>
      </c>
      <c r="AS192" s="135"/>
      <c r="AT192" s="132">
        <f>AT193</f>
        <v>198396.33750000002</v>
      </c>
      <c r="AU192" s="102">
        <f>AT192/$H192</f>
        <v>1</v>
      </c>
    </row>
    <row r="193" spans="1:56" ht="150">
      <c r="A193" s="16"/>
      <c r="B193" s="98" t="s">
        <v>956</v>
      </c>
      <c r="C193" s="168" t="s">
        <v>738</v>
      </c>
      <c r="D193" s="87" t="s">
        <v>2135</v>
      </c>
      <c r="E193" s="98" t="s">
        <v>92</v>
      </c>
      <c r="F193" s="142">
        <v>42.75</v>
      </c>
      <c r="G193" s="151">
        <v>4640.8500000000004</v>
      </c>
      <c r="H193" s="85">
        <f>G193*$F193</f>
        <v>198396.33750000002</v>
      </c>
      <c r="I193" s="50">
        <f t="shared" ref="I193:I200" si="153">L193+O193</f>
        <v>0</v>
      </c>
      <c r="J193" s="85">
        <f>I193*$F193</f>
        <v>0</v>
      </c>
      <c r="K193" s="82"/>
      <c r="L193" s="83"/>
      <c r="M193" s="85">
        <f>L193*$F193</f>
        <v>0</v>
      </c>
      <c r="N193" s="82"/>
      <c r="O193" s="83"/>
      <c r="P193" s="85">
        <f>O193*$F193</f>
        <v>0</v>
      </c>
      <c r="Q193" s="82"/>
      <c r="R193" s="83"/>
      <c r="S193" s="85">
        <f>R193*$F193</f>
        <v>0</v>
      </c>
      <c r="T193" s="82"/>
      <c r="U193" s="83"/>
      <c r="V193" s="85">
        <f>U193*$F193</f>
        <v>0</v>
      </c>
      <c r="W193" s="82"/>
      <c r="X193" s="83"/>
      <c r="Y193" s="85">
        <f>X193*$F193</f>
        <v>0</v>
      </c>
      <c r="Z193" s="82"/>
      <c r="AA193" s="83"/>
      <c r="AB193" s="85">
        <f>AA193*$F193</f>
        <v>0</v>
      </c>
      <c r="AC193" s="82"/>
      <c r="AD193" s="83"/>
      <c r="AE193" s="85">
        <f>AD193*$F193</f>
        <v>0</v>
      </c>
      <c r="AF193" s="82"/>
      <c r="AG193" s="83"/>
      <c r="AH193" s="85">
        <f>AG193*$F193</f>
        <v>0</v>
      </c>
      <c r="AI193" s="82"/>
      <c r="AJ193" s="83"/>
      <c r="AK193" s="85">
        <f>AJ193*$F193</f>
        <v>0</v>
      </c>
      <c r="AL193" s="82"/>
      <c r="AM193" s="83"/>
      <c r="AN193" s="85">
        <f>AM193*$F193</f>
        <v>0</v>
      </c>
      <c r="AO193" s="82"/>
      <c r="AP193" s="84"/>
      <c r="AQ193" s="85">
        <f>AP193*$F193</f>
        <v>0</v>
      </c>
      <c r="AR193" s="82"/>
      <c r="AS193" s="48">
        <f t="shared" ref="AS193:AS256" si="154">G193-AP193</f>
        <v>4640.8500000000004</v>
      </c>
      <c r="AT193" s="85">
        <f>AS193*$F193</f>
        <v>198396.33750000002</v>
      </c>
      <c r="AU193" s="82"/>
    </row>
    <row r="194" spans="1:56" s="136" customFormat="1">
      <c r="A194" s="94"/>
      <c r="B194" s="116" t="s">
        <v>957</v>
      </c>
      <c r="C194" s="1934" t="s">
        <v>958</v>
      </c>
      <c r="D194" s="1935"/>
      <c r="E194" s="1935"/>
      <c r="F194" s="1935"/>
      <c r="G194" s="1936"/>
      <c r="H194" s="132">
        <f>H195</f>
        <v>91375.443599999999</v>
      </c>
      <c r="I194" s="137"/>
      <c r="J194" s="132">
        <f>J195</f>
        <v>0</v>
      </c>
      <c r="K194" s="102">
        <f>J194/$H194</f>
        <v>0</v>
      </c>
      <c r="L194" s="137"/>
      <c r="M194" s="132">
        <f>M195</f>
        <v>0</v>
      </c>
      <c r="N194" s="102">
        <f>M194/$H194</f>
        <v>0</v>
      </c>
      <c r="O194" s="137"/>
      <c r="P194" s="132">
        <f>P195</f>
        <v>0</v>
      </c>
      <c r="Q194" s="102">
        <f>P194/$H194</f>
        <v>0</v>
      </c>
      <c r="R194" s="137"/>
      <c r="S194" s="132">
        <f>S195</f>
        <v>0</v>
      </c>
      <c r="T194" s="102">
        <f>S194/$H194</f>
        <v>0</v>
      </c>
      <c r="U194" s="137"/>
      <c r="V194" s="132">
        <f>V195</f>
        <v>0</v>
      </c>
      <c r="W194" s="102">
        <f>V194/$H194</f>
        <v>0</v>
      </c>
      <c r="X194" s="137"/>
      <c r="Y194" s="132">
        <f>Y195</f>
        <v>0</v>
      </c>
      <c r="Z194" s="102">
        <f>Y194/$H194</f>
        <v>0</v>
      </c>
      <c r="AA194" s="137"/>
      <c r="AB194" s="132">
        <f>AB195</f>
        <v>0</v>
      </c>
      <c r="AC194" s="102">
        <f>AB194/$H194</f>
        <v>0</v>
      </c>
      <c r="AD194" s="137"/>
      <c r="AE194" s="132">
        <f>AE195</f>
        <v>0</v>
      </c>
      <c r="AF194" s="102">
        <f>AE194/$H194</f>
        <v>0</v>
      </c>
      <c r="AG194" s="137"/>
      <c r="AH194" s="132">
        <f>AH195</f>
        <v>0</v>
      </c>
      <c r="AI194" s="102">
        <f>AH194/$H194</f>
        <v>0</v>
      </c>
      <c r="AJ194" s="137"/>
      <c r="AK194" s="132">
        <f>AK195</f>
        <v>0</v>
      </c>
      <c r="AL194" s="102">
        <f>AK194/$H194</f>
        <v>0</v>
      </c>
      <c r="AM194" s="137"/>
      <c r="AN194" s="132">
        <f>AN195</f>
        <v>0</v>
      </c>
      <c r="AO194" s="102">
        <f>AN194/$H194</f>
        <v>0</v>
      </c>
      <c r="AP194" s="157"/>
      <c r="AQ194" s="132">
        <f>AQ195</f>
        <v>0</v>
      </c>
      <c r="AR194" s="102">
        <f>AQ194/$H194</f>
        <v>0</v>
      </c>
      <c r="AS194" s="135"/>
      <c r="AT194" s="132">
        <f>AT195</f>
        <v>91375.443599999999</v>
      </c>
      <c r="AU194" s="102">
        <f>AT194/$H194</f>
        <v>1</v>
      </c>
    </row>
    <row r="195" spans="1:56" ht="150">
      <c r="A195" s="16"/>
      <c r="B195" s="119" t="s">
        <v>959</v>
      </c>
      <c r="C195" s="168" t="s">
        <v>960</v>
      </c>
      <c r="D195" s="87" t="s">
        <v>2133</v>
      </c>
      <c r="E195" s="98" t="s">
        <v>12</v>
      </c>
      <c r="F195" s="142">
        <v>282.52</v>
      </c>
      <c r="G195" s="148">
        <v>323.43</v>
      </c>
      <c r="H195" s="85">
        <f>G195*$F195</f>
        <v>91375.443599999999</v>
      </c>
      <c r="I195" s="50">
        <f t="shared" si="153"/>
        <v>0</v>
      </c>
      <c r="J195" s="85">
        <f>I195*$F195</f>
        <v>0</v>
      </c>
      <c r="K195" s="82"/>
      <c r="L195" s="83"/>
      <c r="M195" s="85">
        <f>L195*$F195</f>
        <v>0</v>
      </c>
      <c r="N195" s="82"/>
      <c r="O195" s="83"/>
      <c r="P195" s="85">
        <f>O195*$F195</f>
        <v>0</v>
      </c>
      <c r="Q195" s="82"/>
      <c r="R195" s="83"/>
      <c r="S195" s="85">
        <f>R195*$F195</f>
        <v>0</v>
      </c>
      <c r="T195" s="82"/>
      <c r="U195" s="83"/>
      <c r="V195" s="85">
        <f>U195*$F195</f>
        <v>0</v>
      </c>
      <c r="W195" s="82"/>
      <c r="X195" s="83"/>
      <c r="Y195" s="85">
        <f>X195*$F195</f>
        <v>0</v>
      </c>
      <c r="Z195" s="82"/>
      <c r="AA195" s="83"/>
      <c r="AB195" s="85">
        <f>AA195*$F195</f>
        <v>0</v>
      </c>
      <c r="AC195" s="82"/>
      <c r="AD195" s="83"/>
      <c r="AE195" s="85">
        <f>AD195*$F195</f>
        <v>0</v>
      </c>
      <c r="AF195" s="82"/>
      <c r="AG195" s="83"/>
      <c r="AH195" s="85">
        <f>AG195*$F195</f>
        <v>0</v>
      </c>
      <c r="AI195" s="82"/>
      <c r="AJ195" s="83"/>
      <c r="AK195" s="85">
        <f>AJ195*$F195</f>
        <v>0</v>
      </c>
      <c r="AL195" s="82"/>
      <c r="AM195" s="83"/>
      <c r="AN195" s="85">
        <f>AM195*$F195</f>
        <v>0</v>
      </c>
      <c r="AO195" s="82"/>
      <c r="AP195" s="84"/>
      <c r="AQ195" s="85">
        <f>AP195*$F195</f>
        <v>0</v>
      </c>
      <c r="AR195" s="82"/>
      <c r="AS195" s="48">
        <f t="shared" si="154"/>
        <v>323.43</v>
      </c>
      <c r="AT195" s="85">
        <f>AS195*$F195</f>
        <v>91375.443599999999</v>
      </c>
      <c r="AU195" s="82"/>
    </row>
    <row r="196" spans="1:56" s="136" customFormat="1">
      <c r="A196" s="94"/>
      <c r="B196" s="116" t="s">
        <v>961</v>
      </c>
      <c r="C196" s="1934" t="s">
        <v>962</v>
      </c>
      <c r="D196" s="1935"/>
      <c r="E196" s="1935"/>
      <c r="F196" s="1935"/>
      <c r="G196" s="1936"/>
      <c r="H196" s="132">
        <f>H197+H198</f>
        <v>9183.8639999999996</v>
      </c>
      <c r="I196" s="133"/>
      <c r="J196" s="132">
        <f>J197+J198</f>
        <v>0</v>
      </c>
      <c r="K196" s="102">
        <f>J196/$H196</f>
        <v>0</v>
      </c>
      <c r="L196" s="133"/>
      <c r="M196" s="132">
        <f>M197+M198</f>
        <v>0</v>
      </c>
      <c r="N196" s="102">
        <f>M196/$H196</f>
        <v>0</v>
      </c>
      <c r="O196" s="133"/>
      <c r="P196" s="132">
        <f>P197+P198</f>
        <v>0</v>
      </c>
      <c r="Q196" s="102">
        <f>P196/$H196</f>
        <v>0</v>
      </c>
      <c r="R196" s="133"/>
      <c r="S196" s="132">
        <f>S197+S198</f>
        <v>0</v>
      </c>
      <c r="T196" s="102">
        <f>S196/$H196</f>
        <v>0</v>
      </c>
      <c r="U196" s="133"/>
      <c r="V196" s="132">
        <f>V197+V198</f>
        <v>0</v>
      </c>
      <c r="W196" s="102">
        <f>V196/$H196</f>
        <v>0</v>
      </c>
      <c r="X196" s="133"/>
      <c r="Y196" s="132">
        <f>Y197+Y198</f>
        <v>0</v>
      </c>
      <c r="Z196" s="102">
        <f>Y196/$H196</f>
        <v>0</v>
      </c>
      <c r="AA196" s="133"/>
      <c r="AB196" s="132">
        <f>AB197+AB198</f>
        <v>0</v>
      </c>
      <c r="AC196" s="102">
        <f>AB196/$H196</f>
        <v>0</v>
      </c>
      <c r="AD196" s="133"/>
      <c r="AE196" s="132">
        <f>AE197+AE198</f>
        <v>0</v>
      </c>
      <c r="AF196" s="102">
        <f>AE196/$H196</f>
        <v>0</v>
      </c>
      <c r="AG196" s="133"/>
      <c r="AH196" s="132">
        <f>AH197+AH198</f>
        <v>0</v>
      </c>
      <c r="AI196" s="102">
        <f>AH196/$H196</f>
        <v>0</v>
      </c>
      <c r="AJ196" s="133"/>
      <c r="AK196" s="132">
        <f>AK197+AK198</f>
        <v>0</v>
      </c>
      <c r="AL196" s="102">
        <f>AK196/$H196</f>
        <v>0</v>
      </c>
      <c r="AM196" s="133"/>
      <c r="AN196" s="132">
        <f>AN197+AN198</f>
        <v>0</v>
      </c>
      <c r="AO196" s="102">
        <f>AN196/$H196</f>
        <v>0</v>
      </c>
      <c r="AP196" s="135">
        <f t="shared" ref="AP196:AP256" si="155">AM196+AJ196+AG196+AD196+AA196+X196+U196+R196+O196+L196</f>
        <v>0</v>
      </c>
      <c r="AQ196" s="132">
        <f>AQ197+AQ198</f>
        <v>0</v>
      </c>
      <c r="AR196" s="102">
        <f>AQ196/$H196</f>
        <v>0</v>
      </c>
      <c r="AS196" s="135">
        <f t="shared" si="154"/>
        <v>0</v>
      </c>
      <c r="AT196" s="132">
        <f>AT197+AT198</f>
        <v>9183.8639999999996</v>
      </c>
      <c r="AU196" s="102">
        <f>AT196/$H196</f>
        <v>1</v>
      </c>
    </row>
    <row r="197" spans="1:56" ht="45">
      <c r="A197" s="16"/>
      <c r="B197" s="97" t="s">
        <v>963</v>
      </c>
      <c r="C197" s="167" t="s">
        <v>964</v>
      </c>
      <c r="D197" s="86" t="s">
        <v>965</v>
      </c>
      <c r="E197" s="97" t="s">
        <v>44</v>
      </c>
      <c r="F197" s="141">
        <v>135.51</v>
      </c>
      <c r="G197" s="97">
        <v>48.78</v>
      </c>
      <c r="H197" s="85">
        <f>G197*$F197</f>
        <v>6610.1777999999995</v>
      </c>
      <c r="I197" s="50">
        <f t="shared" si="153"/>
        <v>0</v>
      </c>
      <c r="J197" s="85">
        <f>I197*$F197</f>
        <v>0</v>
      </c>
      <c r="K197" s="82" t="str">
        <f t="shared" ref="K197:K256" si="156">IF(I197=0,"",I197/$G197)</f>
        <v/>
      </c>
      <c r="L197" s="50"/>
      <c r="M197" s="85">
        <f>L197*$F197</f>
        <v>0</v>
      </c>
      <c r="N197" s="82" t="str">
        <f t="shared" ref="N197:N256" si="157">IF(L197=0,"",L197/$G197)</f>
        <v/>
      </c>
      <c r="O197" s="50"/>
      <c r="P197" s="85">
        <f>O197*$F197</f>
        <v>0</v>
      </c>
      <c r="Q197" s="82" t="str">
        <f t="shared" ref="Q197:Q256" si="158">IF(O197=0,"",O197/$G197)</f>
        <v/>
      </c>
      <c r="R197" s="50"/>
      <c r="S197" s="85">
        <f>R197*$F197</f>
        <v>0</v>
      </c>
      <c r="T197" s="82" t="str">
        <f t="shared" ref="T197:T256" si="159">IF(R197=0,"",R197/$G197)</f>
        <v/>
      </c>
      <c r="U197" s="50"/>
      <c r="V197" s="85">
        <f>U197*$F197</f>
        <v>0</v>
      </c>
      <c r="W197" s="82" t="str">
        <f t="shared" ref="W197:W256" si="160">IF(U197=0,"",U197/$G197)</f>
        <v/>
      </c>
      <c r="X197" s="50"/>
      <c r="Y197" s="85">
        <f>X197*$F197</f>
        <v>0</v>
      </c>
      <c r="Z197" s="82" t="str">
        <f t="shared" ref="Z197:Z256" si="161">IF(X197=0,"",X197/$G197)</f>
        <v/>
      </c>
      <c r="AA197" s="50"/>
      <c r="AB197" s="85">
        <f>AA197*$F197</f>
        <v>0</v>
      </c>
      <c r="AC197" s="82" t="str">
        <f t="shared" ref="AC197:AC256" si="162">IF(AA197=0,"",AA197/$G197)</f>
        <v/>
      </c>
      <c r="AD197" s="50"/>
      <c r="AE197" s="85">
        <f>AD197*$F197</f>
        <v>0</v>
      </c>
      <c r="AF197" s="82" t="str">
        <f t="shared" ref="AF197:AF256" si="163">IF(AD197=0,"",AD197/$G197)</f>
        <v/>
      </c>
      <c r="AG197" s="50"/>
      <c r="AH197" s="85">
        <f>AG197*$F197</f>
        <v>0</v>
      </c>
      <c r="AI197" s="82" t="str">
        <f t="shared" ref="AI197:AI256" si="164">IF(AG197=0,"",AG197/$G197)</f>
        <v/>
      </c>
      <c r="AJ197" s="50"/>
      <c r="AK197" s="85">
        <f>AJ197*$F197</f>
        <v>0</v>
      </c>
      <c r="AL197" s="82" t="str">
        <f t="shared" ref="AL197:AL256" si="165">IF(AJ197=0,"",AJ197/$G197)</f>
        <v/>
      </c>
      <c r="AM197" s="50"/>
      <c r="AN197" s="85">
        <f>AM197*$F197</f>
        <v>0</v>
      </c>
      <c r="AO197" s="82" t="str">
        <f t="shared" ref="AO197:AO256" si="166">IF(AM197=0,"",AM197/$G197)</f>
        <v/>
      </c>
      <c r="AP197" s="48">
        <f t="shared" si="155"/>
        <v>0</v>
      </c>
      <c r="AQ197" s="85">
        <f>AP197*$F197</f>
        <v>0</v>
      </c>
      <c r="AR197" s="82" t="str">
        <f t="shared" ref="AR197:AR256" si="167">IF(AP197=0,"",AP197/$G197)</f>
        <v/>
      </c>
      <c r="AS197" s="48">
        <f t="shared" si="154"/>
        <v>48.78</v>
      </c>
      <c r="AT197" s="85">
        <f>AS197*$F197</f>
        <v>6610.1777999999995</v>
      </c>
      <c r="AU197" s="82">
        <f t="shared" ref="AU197:AU256" si="168">IF(AS197=0,"",AS197/$G197)</f>
        <v>1</v>
      </c>
    </row>
    <row r="198" spans="1:56" ht="30">
      <c r="A198" s="16"/>
      <c r="B198" s="97" t="s">
        <v>966</v>
      </c>
      <c r="C198" s="167" t="s">
        <v>967</v>
      </c>
      <c r="D198" s="86" t="s">
        <v>968</v>
      </c>
      <c r="E198" s="97" t="s">
        <v>44</v>
      </c>
      <c r="F198" s="141">
        <v>50.14</v>
      </c>
      <c r="G198" s="97">
        <v>51.33</v>
      </c>
      <c r="H198" s="85">
        <f>G198*$F198</f>
        <v>2573.6862000000001</v>
      </c>
      <c r="I198" s="50">
        <f t="shared" si="153"/>
        <v>0</v>
      </c>
      <c r="J198" s="85">
        <f>I198*$F198</f>
        <v>0</v>
      </c>
      <c r="K198" s="82" t="str">
        <f t="shared" si="156"/>
        <v/>
      </c>
      <c r="L198" s="50"/>
      <c r="M198" s="85">
        <f>L198*$F198</f>
        <v>0</v>
      </c>
      <c r="N198" s="82" t="str">
        <f t="shared" si="157"/>
        <v/>
      </c>
      <c r="O198" s="50"/>
      <c r="P198" s="85">
        <f>O198*$F198</f>
        <v>0</v>
      </c>
      <c r="Q198" s="82" t="str">
        <f t="shared" si="158"/>
        <v/>
      </c>
      <c r="R198" s="50"/>
      <c r="S198" s="85">
        <f>R198*$F198</f>
        <v>0</v>
      </c>
      <c r="T198" s="82" t="str">
        <f t="shared" si="159"/>
        <v/>
      </c>
      <c r="U198" s="50"/>
      <c r="V198" s="85">
        <f>U198*$F198</f>
        <v>0</v>
      </c>
      <c r="W198" s="82" t="str">
        <f t="shared" si="160"/>
        <v/>
      </c>
      <c r="X198" s="50"/>
      <c r="Y198" s="85">
        <f>X198*$F198</f>
        <v>0</v>
      </c>
      <c r="Z198" s="82" t="str">
        <f t="shared" si="161"/>
        <v/>
      </c>
      <c r="AA198" s="50"/>
      <c r="AB198" s="85">
        <f>AA198*$F198</f>
        <v>0</v>
      </c>
      <c r="AC198" s="82" t="str">
        <f t="shared" si="162"/>
        <v/>
      </c>
      <c r="AD198" s="50"/>
      <c r="AE198" s="85">
        <f>AD198*$F198</f>
        <v>0</v>
      </c>
      <c r="AF198" s="82" t="str">
        <f t="shared" si="163"/>
        <v/>
      </c>
      <c r="AG198" s="50"/>
      <c r="AH198" s="85">
        <f>AG198*$F198</f>
        <v>0</v>
      </c>
      <c r="AI198" s="82" t="str">
        <f t="shared" si="164"/>
        <v/>
      </c>
      <c r="AJ198" s="50"/>
      <c r="AK198" s="85">
        <f>AJ198*$F198</f>
        <v>0</v>
      </c>
      <c r="AL198" s="82" t="str">
        <f t="shared" si="165"/>
        <v/>
      </c>
      <c r="AM198" s="50"/>
      <c r="AN198" s="85">
        <f>AM198*$F198</f>
        <v>0</v>
      </c>
      <c r="AO198" s="82" t="str">
        <f t="shared" si="166"/>
        <v/>
      </c>
      <c r="AP198" s="48">
        <f t="shared" si="155"/>
        <v>0</v>
      </c>
      <c r="AQ198" s="85">
        <f>AP198*$F198</f>
        <v>0</v>
      </c>
      <c r="AR198" s="82" t="str">
        <f t="shared" si="167"/>
        <v/>
      </c>
      <c r="AS198" s="48">
        <f t="shared" si="154"/>
        <v>51.33</v>
      </c>
      <c r="AT198" s="85">
        <f>AS198*$F198</f>
        <v>2573.6862000000001</v>
      </c>
      <c r="AU198" s="82">
        <f t="shared" si="168"/>
        <v>1</v>
      </c>
    </row>
    <row r="199" spans="1:56" s="136" customFormat="1">
      <c r="A199" s="94"/>
      <c r="B199" s="116" t="s">
        <v>969</v>
      </c>
      <c r="C199" s="1934" t="s">
        <v>970</v>
      </c>
      <c r="D199" s="1935"/>
      <c r="E199" s="1935"/>
      <c r="F199" s="1935"/>
      <c r="G199" s="1936"/>
      <c r="H199" s="132">
        <f>H200</f>
        <v>14246.8015</v>
      </c>
      <c r="I199" s="133"/>
      <c r="J199" s="132">
        <f>J200</f>
        <v>0</v>
      </c>
      <c r="K199" s="102">
        <f>J199/$H199</f>
        <v>0</v>
      </c>
      <c r="L199" s="133"/>
      <c r="M199" s="132">
        <f>M200</f>
        <v>0</v>
      </c>
      <c r="N199" s="102">
        <f>M199/$H199</f>
        <v>0</v>
      </c>
      <c r="O199" s="133"/>
      <c r="P199" s="132">
        <f>P200</f>
        <v>0</v>
      </c>
      <c r="Q199" s="102">
        <f>P199/$H199</f>
        <v>0</v>
      </c>
      <c r="R199" s="133"/>
      <c r="S199" s="132">
        <f>S200</f>
        <v>0</v>
      </c>
      <c r="T199" s="102">
        <f>S199/$H199</f>
        <v>0</v>
      </c>
      <c r="U199" s="133"/>
      <c r="V199" s="132">
        <f>V200</f>
        <v>0</v>
      </c>
      <c r="W199" s="102">
        <f>V199/$H199</f>
        <v>0</v>
      </c>
      <c r="X199" s="133"/>
      <c r="Y199" s="132">
        <f>Y200</f>
        <v>0</v>
      </c>
      <c r="Z199" s="102">
        <f>Y199/$H199</f>
        <v>0</v>
      </c>
      <c r="AA199" s="133"/>
      <c r="AB199" s="132">
        <f>AB200</f>
        <v>0</v>
      </c>
      <c r="AC199" s="102">
        <f>AB199/$H199</f>
        <v>0</v>
      </c>
      <c r="AD199" s="133"/>
      <c r="AE199" s="132">
        <f>AE200</f>
        <v>0</v>
      </c>
      <c r="AF199" s="102">
        <f>AE199/$H199</f>
        <v>0</v>
      </c>
      <c r="AG199" s="133"/>
      <c r="AH199" s="132">
        <f>AH200</f>
        <v>0</v>
      </c>
      <c r="AI199" s="102">
        <f>AH199/$H199</f>
        <v>0</v>
      </c>
      <c r="AJ199" s="133"/>
      <c r="AK199" s="132">
        <f>AK200</f>
        <v>0</v>
      </c>
      <c r="AL199" s="102">
        <f>AK199/$H199</f>
        <v>0</v>
      </c>
      <c r="AM199" s="133"/>
      <c r="AN199" s="132">
        <f>AN200</f>
        <v>0</v>
      </c>
      <c r="AO199" s="102">
        <f>AN199/$H199</f>
        <v>0</v>
      </c>
      <c r="AP199" s="135">
        <f t="shared" si="155"/>
        <v>0</v>
      </c>
      <c r="AQ199" s="132">
        <f>AQ200</f>
        <v>0</v>
      </c>
      <c r="AR199" s="102">
        <f>AQ199/$H199</f>
        <v>0</v>
      </c>
      <c r="AS199" s="135">
        <f t="shared" si="154"/>
        <v>0</v>
      </c>
      <c r="AT199" s="132">
        <f>AT200</f>
        <v>14246.8015</v>
      </c>
      <c r="AU199" s="102">
        <f>AT199/$H199</f>
        <v>1</v>
      </c>
    </row>
    <row r="200" spans="1:56" ht="45">
      <c r="A200" s="16"/>
      <c r="B200" s="97" t="s">
        <v>971</v>
      </c>
      <c r="C200" s="167" t="s">
        <v>972</v>
      </c>
      <c r="D200" s="86" t="s">
        <v>973</v>
      </c>
      <c r="E200" s="97" t="s">
        <v>44</v>
      </c>
      <c r="F200" s="141">
        <v>119.45</v>
      </c>
      <c r="G200" s="97">
        <v>119.27</v>
      </c>
      <c r="H200" s="85">
        <f>G200*$F200</f>
        <v>14246.8015</v>
      </c>
      <c r="I200" s="50">
        <f t="shared" si="153"/>
        <v>0</v>
      </c>
      <c r="J200" s="85">
        <f>I200*$F200</f>
        <v>0</v>
      </c>
      <c r="K200" s="82" t="str">
        <f t="shared" si="156"/>
        <v/>
      </c>
      <c r="L200" s="50"/>
      <c r="M200" s="85">
        <f>L200*$F200</f>
        <v>0</v>
      </c>
      <c r="N200" s="82" t="str">
        <f t="shared" si="157"/>
        <v/>
      </c>
      <c r="O200" s="50"/>
      <c r="P200" s="85">
        <f>O200*$F200</f>
        <v>0</v>
      </c>
      <c r="Q200" s="82" t="str">
        <f t="shared" si="158"/>
        <v/>
      </c>
      <c r="R200" s="50"/>
      <c r="S200" s="85">
        <f>R200*$F200</f>
        <v>0</v>
      </c>
      <c r="T200" s="82" t="str">
        <f t="shared" si="159"/>
        <v/>
      </c>
      <c r="U200" s="50"/>
      <c r="V200" s="85">
        <f>U200*$F200</f>
        <v>0</v>
      </c>
      <c r="W200" s="82" t="str">
        <f t="shared" si="160"/>
        <v/>
      </c>
      <c r="X200" s="50"/>
      <c r="Y200" s="85">
        <f>X200*$F200</f>
        <v>0</v>
      </c>
      <c r="Z200" s="82" t="str">
        <f t="shared" si="161"/>
        <v/>
      </c>
      <c r="AA200" s="50"/>
      <c r="AB200" s="85">
        <f>AA200*$F200</f>
        <v>0</v>
      </c>
      <c r="AC200" s="82" t="str">
        <f t="shared" si="162"/>
        <v/>
      </c>
      <c r="AD200" s="50"/>
      <c r="AE200" s="85">
        <f>AD200*$F200</f>
        <v>0</v>
      </c>
      <c r="AF200" s="82" t="str">
        <f t="shared" si="163"/>
        <v/>
      </c>
      <c r="AG200" s="50"/>
      <c r="AH200" s="85">
        <f>AG200*$F200</f>
        <v>0</v>
      </c>
      <c r="AI200" s="82" t="str">
        <f t="shared" si="164"/>
        <v/>
      </c>
      <c r="AJ200" s="50"/>
      <c r="AK200" s="85">
        <f>AJ200*$F200</f>
        <v>0</v>
      </c>
      <c r="AL200" s="82" t="str">
        <f t="shared" si="165"/>
        <v/>
      </c>
      <c r="AM200" s="50"/>
      <c r="AN200" s="85">
        <f>AM200*$F200</f>
        <v>0</v>
      </c>
      <c r="AO200" s="82" t="str">
        <f t="shared" si="166"/>
        <v/>
      </c>
      <c r="AP200" s="48">
        <f t="shared" si="155"/>
        <v>0</v>
      </c>
      <c r="AQ200" s="85">
        <f>AP200*$F200</f>
        <v>0</v>
      </c>
      <c r="AR200" s="82" t="str">
        <f t="shared" si="167"/>
        <v/>
      </c>
      <c r="AS200" s="48">
        <f t="shared" si="154"/>
        <v>119.27</v>
      </c>
      <c r="AT200" s="85">
        <f>AS200*$F200</f>
        <v>14246.8015</v>
      </c>
      <c r="AU200" s="82">
        <f t="shared" si="168"/>
        <v>1</v>
      </c>
    </row>
    <row r="201" spans="1:56" s="115" customFormat="1" ht="15.75">
      <c r="A201" s="109"/>
      <c r="B201" s="118" t="s">
        <v>974</v>
      </c>
      <c r="C201" s="1937" t="s">
        <v>975</v>
      </c>
      <c r="D201" s="1938"/>
      <c r="E201" s="1938"/>
      <c r="F201" s="1938"/>
      <c r="G201" s="1939"/>
      <c r="H201" s="110">
        <f>H202+H204+H207</f>
        <v>89778.755999999994</v>
      </c>
      <c r="I201" s="111"/>
      <c r="J201" s="110">
        <f>J202+J204+J207</f>
        <v>0</v>
      </c>
      <c r="K201" s="113">
        <f>J201/$H201</f>
        <v>0</v>
      </c>
      <c r="L201" s="111"/>
      <c r="M201" s="110">
        <f>M202+M204+M207</f>
        <v>0</v>
      </c>
      <c r="N201" s="113">
        <f>M201/$H201</f>
        <v>0</v>
      </c>
      <c r="O201" s="111"/>
      <c r="P201" s="110">
        <f>P202+P204+P207</f>
        <v>0</v>
      </c>
      <c r="Q201" s="113">
        <f>P201/$H201</f>
        <v>0</v>
      </c>
      <c r="R201" s="111"/>
      <c r="S201" s="110">
        <f>S202+S204+S207</f>
        <v>0</v>
      </c>
      <c r="T201" s="113">
        <f>S201/$H201</f>
        <v>0</v>
      </c>
      <c r="U201" s="111"/>
      <c r="V201" s="110">
        <f>V202+V204+V207</f>
        <v>0</v>
      </c>
      <c r="W201" s="113">
        <f>V201/$H201</f>
        <v>0</v>
      </c>
      <c r="X201" s="111"/>
      <c r="Y201" s="110">
        <f>Y202+Y204+Y207</f>
        <v>0</v>
      </c>
      <c r="Z201" s="113">
        <f>Y201/$H201</f>
        <v>0</v>
      </c>
      <c r="AA201" s="111"/>
      <c r="AB201" s="110">
        <f>AB202+AB204+AB207</f>
        <v>0</v>
      </c>
      <c r="AC201" s="113">
        <f>AB201/$H201</f>
        <v>0</v>
      </c>
      <c r="AD201" s="111"/>
      <c r="AE201" s="110">
        <f>AE202+AE204+AE207</f>
        <v>0</v>
      </c>
      <c r="AF201" s="113">
        <f>AE201/$H201</f>
        <v>0</v>
      </c>
      <c r="AG201" s="111"/>
      <c r="AH201" s="110">
        <f>AH202+AH204+AH207</f>
        <v>0</v>
      </c>
      <c r="AI201" s="113">
        <f>AH201/$H201</f>
        <v>0</v>
      </c>
      <c r="AJ201" s="111"/>
      <c r="AK201" s="110">
        <f>AK202+AK204+AK207</f>
        <v>0</v>
      </c>
      <c r="AL201" s="113">
        <f>AK201/$H201</f>
        <v>0</v>
      </c>
      <c r="AM201" s="111"/>
      <c r="AN201" s="110">
        <f>AN202+AN204+AN207</f>
        <v>0</v>
      </c>
      <c r="AO201" s="113">
        <f>AN201/$H201</f>
        <v>0</v>
      </c>
      <c r="AP201" s="114">
        <f t="shared" si="155"/>
        <v>0</v>
      </c>
      <c r="AQ201" s="110">
        <f>AQ202+AQ204+AQ207</f>
        <v>0</v>
      </c>
      <c r="AR201" s="113">
        <f>AQ201/$H201</f>
        <v>0</v>
      </c>
      <c r="AS201" s="114">
        <f t="shared" si="154"/>
        <v>0</v>
      </c>
      <c r="AT201" s="110">
        <f>AT202+AT204+AT207</f>
        <v>89778.755999999994</v>
      </c>
      <c r="AU201" s="113">
        <f>AT201/$H201</f>
        <v>1</v>
      </c>
    </row>
    <row r="202" spans="1:56" s="136" customFormat="1" ht="30" customHeight="1">
      <c r="A202" s="94"/>
      <c r="B202" s="116" t="s">
        <v>976</v>
      </c>
      <c r="C202" s="1934" t="s">
        <v>977</v>
      </c>
      <c r="D202" s="1935"/>
      <c r="E202" s="1935"/>
      <c r="F202" s="1935"/>
      <c r="G202" s="1936"/>
      <c r="H202" s="132">
        <f>H203</f>
        <v>9281.6360000000004</v>
      </c>
      <c r="I202" s="133"/>
      <c r="J202" s="132">
        <f>J203</f>
        <v>0</v>
      </c>
      <c r="K202" s="102">
        <f>J202/$H202</f>
        <v>0</v>
      </c>
      <c r="L202" s="133"/>
      <c r="M202" s="132">
        <f>M203</f>
        <v>0</v>
      </c>
      <c r="N202" s="102">
        <f>M202/$H202</f>
        <v>0</v>
      </c>
      <c r="O202" s="133"/>
      <c r="P202" s="132">
        <f>P203</f>
        <v>0</v>
      </c>
      <c r="Q202" s="102">
        <f>P202/$H202</f>
        <v>0</v>
      </c>
      <c r="R202" s="133"/>
      <c r="S202" s="132">
        <f>S203</f>
        <v>0</v>
      </c>
      <c r="T202" s="102">
        <f>S202/$H202</f>
        <v>0</v>
      </c>
      <c r="U202" s="133"/>
      <c r="V202" s="132">
        <f>V203</f>
        <v>0</v>
      </c>
      <c r="W202" s="102">
        <f>V202/$H202</f>
        <v>0</v>
      </c>
      <c r="X202" s="133"/>
      <c r="Y202" s="132">
        <f>Y203</f>
        <v>0</v>
      </c>
      <c r="Z202" s="102">
        <f>Y202/$H202</f>
        <v>0</v>
      </c>
      <c r="AA202" s="133"/>
      <c r="AB202" s="132">
        <f>AB203</f>
        <v>0</v>
      </c>
      <c r="AC202" s="102">
        <f>AB202/$H202</f>
        <v>0</v>
      </c>
      <c r="AD202" s="133"/>
      <c r="AE202" s="132">
        <f>AE203</f>
        <v>0</v>
      </c>
      <c r="AF202" s="102">
        <f>AE202/$H202</f>
        <v>0</v>
      </c>
      <c r="AG202" s="133"/>
      <c r="AH202" s="132">
        <f>AH203</f>
        <v>0</v>
      </c>
      <c r="AI202" s="102">
        <f>AH202/$H202</f>
        <v>0</v>
      </c>
      <c r="AJ202" s="133"/>
      <c r="AK202" s="132">
        <f>AK203</f>
        <v>0</v>
      </c>
      <c r="AL202" s="102">
        <f>AK202/$H202</f>
        <v>0</v>
      </c>
      <c r="AM202" s="133"/>
      <c r="AN202" s="132">
        <f>AN203</f>
        <v>0</v>
      </c>
      <c r="AO202" s="102">
        <f>AN202/$H202</f>
        <v>0</v>
      </c>
      <c r="AP202" s="135">
        <f t="shared" si="155"/>
        <v>0</v>
      </c>
      <c r="AQ202" s="132">
        <f>AQ203</f>
        <v>0</v>
      </c>
      <c r="AR202" s="102">
        <f>AQ202/$H202</f>
        <v>0</v>
      </c>
      <c r="AS202" s="135">
        <f t="shared" si="154"/>
        <v>0</v>
      </c>
      <c r="AT202" s="132">
        <f>AT203</f>
        <v>9281.6360000000004</v>
      </c>
      <c r="AU202" s="102">
        <f>AT202/$H202</f>
        <v>1</v>
      </c>
    </row>
    <row r="203" spans="1:56" ht="60">
      <c r="A203" s="16"/>
      <c r="B203" s="97" t="s">
        <v>978</v>
      </c>
      <c r="C203" s="167" t="s">
        <v>979</v>
      </c>
      <c r="D203" s="86" t="s">
        <v>980</v>
      </c>
      <c r="E203" s="97" t="s">
        <v>12</v>
      </c>
      <c r="F203" s="141">
        <v>60.2</v>
      </c>
      <c r="G203" s="97">
        <v>154.18</v>
      </c>
      <c r="H203" s="85">
        <f>G203*$F203</f>
        <v>9281.6360000000004</v>
      </c>
      <c r="I203" s="50">
        <f t="shared" ref="I203:I208" si="169">L203+O203</f>
        <v>0</v>
      </c>
      <c r="J203" s="85">
        <f>I203*$F203</f>
        <v>0</v>
      </c>
      <c r="K203" s="82" t="str">
        <f t="shared" si="156"/>
        <v/>
      </c>
      <c r="L203" s="50"/>
      <c r="M203" s="85">
        <f>L203*$F203</f>
        <v>0</v>
      </c>
      <c r="N203" s="82" t="str">
        <f t="shared" si="157"/>
        <v/>
      </c>
      <c r="O203" s="50"/>
      <c r="P203" s="85">
        <f>O203*$F203</f>
        <v>0</v>
      </c>
      <c r="Q203" s="82" t="str">
        <f t="shared" si="158"/>
        <v/>
      </c>
      <c r="R203" s="50"/>
      <c r="S203" s="85">
        <f>R203*$F203</f>
        <v>0</v>
      </c>
      <c r="T203" s="82" t="str">
        <f t="shared" si="159"/>
        <v/>
      </c>
      <c r="U203" s="50"/>
      <c r="V203" s="85">
        <f>U203*$F203</f>
        <v>0</v>
      </c>
      <c r="W203" s="82" t="str">
        <f t="shared" si="160"/>
        <v/>
      </c>
      <c r="X203" s="50"/>
      <c r="Y203" s="85">
        <f>X203*$F203</f>
        <v>0</v>
      </c>
      <c r="Z203" s="82" t="str">
        <f t="shared" si="161"/>
        <v/>
      </c>
      <c r="AA203" s="50"/>
      <c r="AB203" s="85">
        <f>AA203*$F203</f>
        <v>0</v>
      </c>
      <c r="AC203" s="82" t="str">
        <f t="shared" si="162"/>
        <v/>
      </c>
      <c r="AD203" s="50"/>
      <c r="AE203" s="85">
        <f>AD203*$F203</f>
        <v>0</v>
      </c>
      <c r="AF203" s="82" t="str">
        <f t="shared" si="163"/>
        <v/>
      </c>
      <c r="AG203" s="50"/>
      <c r="AH203" s="85">
        <f>AG203*$F203</f>
        <v>0</v>
      </c>
      <c r="AI203" s="82" t="str">
        <f t="shared" si="164"/>
        <v/>
      </c>
      <c r="AJ203" s="50"/>
      <c r="AK203" s="85">
        <f>AJ203*$F203</f>
        <v>0</v>
      </c>
      <c r="AL203" s="82" t="str">
        <f t="shared" si="165"/>
        <v/>
      </c>
      <c r="AM203" s="50"/>
      <c r="AN203" s="85">
        <f>AM203*$F203</f>
        <v>0</v>
      </c>
      <c r="AO203" s="82" t="str">
        <f t="shared" si="166"/>
        <v/>
      </c>
      <c r="AP203" s="48">
        <f t="shared" si="155"/>
        <v>0</v>
      </c>
      <c r="AQ203" s="85">
        <f>AP203*$F203</f>
        <v>0</v>
      </c>
      <c r="AR203" s="82" t="str">
        <f t="shared" si="167"/>
        <v/>
      </c>
      <c r="AS203" s="48">
        <f t="shared" si="154"/>
        <v>154.18</v>
      </c>
      <c r="AT203" s="85">
        <f>AS203*$F203</f>
        <v>9281.6360000000004</v>
      </c>
      <c r="AU203" s="82">
        <f t="shared" si="168"/>
        <v>1</v>
      </c>
    </row>
    <row r="204" spans="1:56" s="140" customFormat="1" ht="30.75" customHeight="1">
      <c r="A204" s="94"/>
      <c r="B204" s="116" t="s">
        <v>981</v>
      </c>
      <c r="C204" s="1945" t="s">
        <v>982</v>
      </c>
      <c r="D204" s="1946"/>
      <c r="E204" s="1946"/>
      <c r="F204" s="1946"/>
      <c r="G204" s="1947"/>
      <c r="H204" s="132">
        <f>H205+H206</f>
        <v>63729.810399999995</v>
      </c>
      <c r="I204" s="133"/>
      <c r="J204" s="132">
        <f>J205+J206</f>
        <v>0</v>
      </c>
      <c r="K204" s="102">
        <f>J204/$H204</f>
        <v>0</v>
      </c>
      <c r="L204" s="133"/>
      <c r="M204" s="132">
        <f>M205+M206</f>
        <v>0</v>
      </c>
      <c r="N204" s="102">
        <f>M204/$H204</f>
        <v>0</v>
      </c>
      <c r="O204" s="133"/>
      <c r="P204" s="132">
        <f>P205+P206</f>
        <v>0</v>
      </c>
      <c r="Q204" s="102">
        <f>P204/$H204</f>
        <v>0</v>
      </c>
      <c r="R204" s="133"/>
      <c r="S204" s="132">
        <f>S205+S206</f>
        <v>0</v>
      </c>
      <c r="T204" s="102">
        <f>S204/$H204</f>
        <v>0</v>
      </c>
      <c r="U204" s="133"/>
      <c r="V204" s="132">
        <f>V205+V206</f>
        <v>0</v>
      </c>
      <c r="W204" s="102">
        <f>V204/$H204</f>
        <v>0</v>
      </c>
      <c r="X204" s="133"/>
      <c r="Y204" s="132">
        <f>Y205+Y206</f>
        <v>0</v>
      </c>
      <c r="Z204" s="102">
        <f>Y204/$H204</f>
        <v>0</v>
      </c>
      <c r="AA204" s="133"/>
      <c r="AB204" s="132">
        <f>AB205+AB206</f>
        <v>0</v>
      </c>
      <c r="AC204" s="102">
        <f>AB204/$H204</f>
        <v>0</v>
      </c>
      <c r="AD204" s="133"/>
      <c r="AE204" s="132">
        <f>AE205+AE206</f>
        <v>0</v>
      </c>
      <c r="AF204" s="102">
        <f>AE204/$H204</f>
        <v>0</v>
      </c>
      <c r="AG204" s="133"/>
      <c r="AH204" s="132">
        <f>AH205+AH206</f>
        <v>0</v>
      </c>
      <c r="AI204" s="102">
        <f>AH204/$H204</f>
        <v>0</v>
      </c>
      <c r="AJ204" s="133"/>
      <c r="AK204" s="132">
        <f>AK205+AK206</f>
        <v>0</v>
      </c>
      <c r="AL204" s="102">
        <f>AK204/$H204</f>
        <v>0</v>
      </c>
      <c r="AM204" s="133"/>
      <c r="AN204" s="132">
        <f>AN205+AN206</f>
        <v>0</v>
      </c>
      <c r="AO204" s="102">
        <f>AN204/$H204</f>
        <v>0</v>
      </c>
      <c r="AP204" s="139">
        <f t="shared" si="155"/>
        <v>0</v>
      </c>
      <c r="AQ204" s="132">
        <f>AQ205+AQ206</f>
        <v>0</v>
      </c>
      <c r="AR204" s="102">
        <f>AQ204/$H204</f>
        <v>0</v>
      </c>
      <c r="AS204" s="139">
        <f t="shared" si="154"/>
        <v>0</v>
      </c>
      <c r="AT204" s="132">
        <f>AT205+AT206</f>
        <v>63729.810399999995</v>
      </c>
      <c r="AU204" s="102">
        <f>AT204/$H204</f>
        <v>1</v>
      </c>
    </row>
    <row r="205" spans="1:56" ht="90">
      <c r="A205" s="16"/>
      <c r="B205" s="97" t="s">
        <v>983</v>
      </c>
      <c r="C205" s="167" t="s">
        <v>382</v>
      </c>
      <c r="D205" s="86" t="s">
        <v>383</v>
      </c>
      <c r="E205" s="97" t="s">
        <v>12</v>
      </c>
      <c r="F205" s="141">
        <v>252.32</v>
      </c>
      <c r="G205" s="97">
        <v>242.54</v>
      </c>
      <c r="H205" s="85">
        <f>G205*$F205</f>
        <v>61197.692799999997</v>
      </c>
      <c r="I205" s="50">
        <f t="shared" si="169"/>
        <v>0</v>
      </c>
      <c r="J205" s="85">
        <f>I205*$F205</f>
        <v>0</v>
      </c>
      <c r="K205" s="82" t="str">
        <f t="shared" si="156"/>
        <v/>
      </c>
      <c r="L205" s="50"/>
      <c r="M205" s="85">
        <f>L205*$F205</f>
        <v>0</v>
      </c>
      <c r="N205" s="82" t="str">
        <f t="shared" si="157"/>
        <v/>
      </c>
      <c r="O205" s="50"/>
      <c r="P205" s="85">
        <f>O205*$F205</f>
        <v>0</v>
      </c>
      <c r="Q205" s="82" t="str">
        <f t="shared" si="158"/>
        <v/>
      </c>
      <c r="R205" s="50"/>
      <c r="S205" s="85">
        <f>R205*$F205</f>
        <v>0</v>
      </c>
      <c r="T205" s="82" t="str">
        <f t="shared" si="159"/>
        <v/>
      </c>
      <c r="U205" s="50"/>
      <c r="V205" s="85">
        <f>U205*$F205</f>
        <v>0</v>
      </c>
      <c r="W205" s="82" t="str">
        <f t="shared" si="160"/>
        <v/>
      </c>
      <c r="X205" s="50"/>
      <c r="Y205" s="85">
        <f>X205*$F205</f>
        <v>0</v>
      </c>
      <c r="Z205" s="82" t="str">
        <f t="shared" si="161"/>
        <v/>
      </c>
      <c r="AA205" s="50"/>
      <c r="AB205" s="85">
        <f>AA205*$F205</f>
        <v>0</v>
      </c>
      <c r="AC205" s="82" t="str">
        <f t="shared" si="162"/>
        <v/>
      </c>
      <c r="AD205" s="50"/>
      <c r="AE205" s="85">
        <f>AD205*$F205</f>
        <v>0</v>
      </c>
      <c r="AF205" s="82" t="str">
        <f t="shared" si="163"/>
        <v/>
      </c>
      <c r="AG205" s="50"/>
      <c r="AH205" s="85">
        <f>AG205*$F205</f>
        <v>0</v>
      </c>
      <c r="AI205" s="82" t="str">
        <f t="shared" si="164"/>
        <v/>
      </c>
      <c r="AJ205" s="50"/>
      <c r="AK205" s="85">
        <f>AJ205*$F205</f>
        <v>0</v>
      </c>
      <c r="AL205" s="82" t="str">
        <f t="shared" si="165"/>
        <v/>
      </c>
      <c r="AM205" s="50"/>
      <c r="AN205" s="85">
        <f>AM205*$F205</f>
        <v>0</v>
      </c>
      <c r="AO205" s="82" t="str">
        <f t="shared" si="166"/>
        <v/>
      </c>
      <c r="AP205" s="48">
        <f t="shared" si="155"/>
        <v>0</v>
      </c>
      <c r="AQ205" s="85">
        <f>AP205*$F205</f>
        <v>0</v>
      </c>
      <c r="AR205" s="82" t="str">
        <f t="shared" si="167"/>
        <v/>
      </c>
      <c r="AS205" s="48">
        <f t="shared" si="154"/>
        <v>242.54</v>
      </c>
      <c r="AT205" s="85">
        <f>AS205*$F205</f>
        <v>61197.692799999997</v>
      </c>
      <c r="AU205" s="82">
        <f t="shared" si="168"/>
        <v>1</v>
      </c>
    </row>
    <row r="206" spans="1:56" ht="30">
      <c r="A206" s="16"/>
      <c r="B206" s="97" t="s">
        <v>984</v>
      </c>
      <c r="C206" s="167" t="s">
        <v>985</v>
      </c>
      <c r="D206" s="86" t="s">
        <v>986</v>
      </c>
      <c r="E206" s="97" t="s">
        <v>12</v>
      </c>
      <c r="F206" s="141">
        <v>10.44</v>
      </c>
      <c r="G206" s="97">
        <v>242.54</v>
      </c>
      <c r="H206" s="85">
        <f>G206*$F206</f>
        <v>2532.1175999999996</v>
      </c>
      <c r="I206" s="50">
        <f t="shared" si="169"/>
        <v>0</v>
      </c>
      <c r="J206" s="85">
        <f>I206*$F206</f>
        <v>0</v>
      </c>
      <c r="K206" s="82" t="str">
        <f t="shared" si="156"/>
        <v/>
      </c>
      <c r="L206" s="50"/>
      <c r="M206" s="85">
        <f>L206*$F206</f>
        <v>0</v>
      </c>
      <c r="N206" s="82" t="str">
        <f t="shared" si="157"/>
        <v/>
      </c>
      <c r="O206" s="50"/>
      <c r="P206" s="85">
        <f>O206*$F206</f>
        <v>0</v>
      </c>
      <c r="Q206" s="82" t="str">
        <f t="shared" si="158"/>
        <v/>
      </c>
      <c r="R206" s="50"/>
      <c r="S206" s="85">
        <f>R206*$F206</f>
        <v>0</v>
      </c>
      <c r="T206" s="82" t="str">
        <f t="shared" si="159"/>
        <v/>
      </c>
      <c r="U206" s="50"/>
      <c r="V206" s="85">
        <f>U206*$F206</f>
        <v>0</v>
      </c>
      <c r="W206" s="82" t="str">
        <f t="shared" si="160"/>
        <v/>
      </c>
      <c r="X206" s="50"/>
      <c r="Y206" s="85">
        <f>X206*$F206</f>
        <v>0</v>
      </c>
      <c r="Z206" s="82" t="str">
        <f t="shared" si="161"/>
        <v/>
      </c>
      <c r="AA206" s="50"/>
      <c r="AB206" s="85">
        <f>AA206*$F206</f>
        <v>0</v>
      </c>
      <c r="AC206" s="82" t="str">
        <f t="shared" si="162"/>
        <v/>
      </c>
      <c r="AD206" s="50"/>
      <c r="AE206" s="85">
        <f>AD206*$F206</f>
        <v>0</v>
      </c>
      <c r="AF206" s="82" t="str">
        <f t="shared" si="163"/>
        <v/>
      </c>
      <c r="AG206" s="50"/>
      <c r="AH206" s="85">
        <f>AG206*$F206</f>
        <v>0</v>
      </c>
      <c r="AI206" s="82" t="str">
        <f t="shared" si="164"/>
        <v/>
      </c>
      <c r="AJ206" s="50"/>
      <c r="AK206" s="85">
        <f>AJ206*$F206</f>
        <v>0</v>
      </c>
      <c r="AL206" s="82" t="str">
        <f t="shared" si="165"/>
        <v/>
      </c>
      <c r="AM206" s="50"/>
      <c r="AN206" s="85">
        <f>AM206*$F206</f>
        <v>0</v>
      </c>
      <c r="AO206" s="82" t="str">
        <f t="shared" si="166"/>
        <v/>
      </c>
      <c r="AP206" s="48">
        <f t="shared" si="155"/>
        <v>0</v>
      </c>
      <c r="AQ206" s="85">
        <f>AP206*$F206</f>
        <v>0</v>
      </c>
      <c r="AR206" s="82" t="str">
        <f t="shared" si="167"/>
        <v/>
      </c>
      <c r="AS206" s="48">
        <f t="shared" si="154"/>
        <v>242.54</v>
      </c>
      <c r="AT206" s="85">
        <f>AS206*$F206</f>
        <v>2532.1175999999996</v>
      </c>
      <c r="AU206" s="82">
        <f t="shared" si="168"/>
        <v>1</v>
      </c>
      <c r="AW206" s="51"/>
      <c r="AX206" s="51"/>
      <c r="AY206" s="51"/>
      <c r="AZ206" s="1927"/>
      <c r="BA206" s="1927"/>
      <c r="BB206" s="1927"/>
      <c r="BC206" s="1927"/>
      <c r="BD206" s="1927"/>
    </row>
    <row r="207" spans="1:56" s="136" customFormat="1" ht="30" customHeight="1">
      <c r="A207" s="94"/>
      <c r="B207" s="116" t="s">
        <v>987</v>
      </c>
      <c r="C207" s="1934" t="s">
        <v>988</v>
      </c>
      <c r="D207" s="1935"/>
      <c r="E207" s="1935"/>
      <c r="F207" s="1935"/>
      <c r="G207" s="1936"/>
      <c r="H207" s="132">
        <f>H208</f>
        <v>16767.309600000001</v>
      </c>
      <c r="I207" s="133"/>
      <c r="J207" s="132">
        <f>J208</f>
        <v>0</v>
      </c>
      <c r="K207" s="102">
        <f>J207/$H207</f>
        <v>0</v>
      </c>
      <c r="L207" s="133"/>
      <c r="M207" s="132">
        <f>M208</f>
        <v>0</v>
      </c>
      <c r="N207" s="102">
        <f>M207/$H207</f>
        <v>0</v>
      </c>
      <c r="O207" s="133"/>
      <c r="P207" s="132">
        <f>P208</f>
        <v>0</v>
      </c>
      <c r="Q207" s="102">
        <f>P207/$H207</f>
        <v>0</v>
      </c>
      <c r="R207" s="133"/>
      <c r="S207" s="132">
        <f>S208</f>
        <v>0</v>
      </c>
      <c r="T207" s="102">
        <f>S207/$H207</f>
        <v>0</v>
      </c>
      <c r="U207" s="133"/>
      <c r="V207" s="132">
        <f>V208</f>
        <v>0</v>
      </c>
      <c r="W207" s="102">
        <f>V207/$H207</f>
        <v>0</v>
      </c>
      <c r="X207" s="133"/>
      <c r="Y207" s="132">
        <f>Y208</f>
        <v>0</v>
      </c>
      <c r="Z207" s="102">
        <f>Y207/$H207</f>
        <v>0</v>
      </c>
      <c r="AA207" s="133"/>
      <c r="AB207" s="132">
        <f>AB208</f>
        <v>0</v>
      </c>
      <c r="AC207" s="102">
        <f>AB207/$H207</f>
        <v>0</v>
      </c>
      <c r="AD207" s="133"/>
      <c r="AE207" s="132">
        <f>AE208</f>
        <v>0</v>
      </c>
      <c r="AF207" s="102">
        <f>AE207/$H207</f>
        <v>0</v>
      </c>
      <c r="AG207" s="133"/>
      <c r="AH207" s="132">
        <f>AH208</f>
        <v>0</v>
      </c>
      <c r="AI207" s="102">
        <f>AH207/$H207</f>
        <v>0</v>
      </c>
      <c r="AJ207" s="133"/>
      <c r="AK207" s="132">
        <f>AK208</f>
        <v>0</v>
      </c>
      <c r="AL207" s="102">
        <f>AK207/$H207</f>
        <v>0</v>
      </c>
      <c r="AM207" s="133"/>
      <c r="AN207" s="132">
        <f>AN208</f>
        <v>0</v>
      </c>
      <c r="AO207" s="102">
        <f>AN207/$H207</f>
        <v>0</v>
      </c>
      <c r="AP207" s="135">
        <f t="shared" si="155"/>
        <v>0</v>
      </c>
      <c r="AQ207" s="132">
        <f>AQ208</f>
        <v>0</v>
      </c>
      <c r="AR207" s="102">
        <f>AQ207/$H207</f>
        <v>0</v>
      </c>
      <c r="AS207" s="135">
        <f t="shared" si="154"/>
        <v>0</v>
      </c>
      <c r="AT207" s="132">
        <f>AT208</f>
        <v>16767.309600000001</v>
      </c>
      <c r="AU207" s="102">
        <f>AT207/$H207</f>
        <v>1</v>
      </c>
      <c r="AW207" s="158"/>
      <c r="AX207" s="158"/>
      <c r="AY207" s="158"/>
      <c r="AZ207" s="1951"/>
      <c r="BA207" s="1951"/>
      <c r="BB207" s="1951"/>
      <c r="BC207" s="1951"/>
      <c r="BD207" s="1951"/>
    </row>
    <row r="208" spans="1:56" ht="45">
      <c r="A208" s="16"/>
      <c r="B208" s="97" t="s">
        <v>989</v>
      </c>
      <c r="C208" s="167" t="s">
        <v>990</v>
      </c>
      <c r="D208" s="86" t="s">
        <v>991</v>
      </c>
      <c r="E208" s="97" t="s">
        <v>12</v>
      </c>
      <c r="F208" s="141">
        <v>81.72</v>
      </c>
      <c r="G208" s="97">
        <v>205.18</v>
      </c>
      <c r="H208" s="85">
        <f>G208*$F208</f>
        <v>16767.309600000001</v>
      </c>
      <c r="I208" s="50">
        <f t="shared" si="169"/>
        <v>0</v>
      </c>
      <c r="J208" s="85">
        <f>I208*$F208</f>
        <v>0</v>
      </c>
      <c r="K208" s="82" t="str">
        <f t="shared" si="156"/>
        <v/>
      </c>
      <c r="L208" s="50"/>
      <c r="M208" s="85">
        <f>L208*$F208</f>
        <v>0</v>
      </c>
      <c r="N208" s="82" t="str">
        <f t="shared" si="157"/>
        <v/>
      </c>
      <c r="O208" s="50"/>
      <c r="P208" s="85">
        <f>O208*$F208</f>
        <v>0</v>
      </c>
      <c r="Q208" s="82" t="str">
        <f t="shared" si="158"/>
        <v/>
      </c>
      <c r="R208" s="50"/>
      <c r="S208" s="85">
        <f>R208*$F208</f>
        <v>0</v>
      </c>
      <c r="T208" s="82" t="str">
        <f t="shared" si="159"/>
        <v/>
      </c>
      <c r="U208" s="50"/>
      <c r="V208" s="85">
        <f>U208*$F208</f>
        <v>0</v>
      </c>
      <c r="W208" s="82" t="str">
        <f t="shared" si="160"/>
        <v/>
      </c>
      <c r="X208" s="50"/>
      <c r="Y208" s="85">
        <f>X208*$F208</f>
        <v>0</v>
      </c>
      <c r="Z208" s="82" t="str">
        <f t="shared" si="161"/>
        <v/>
      </c>
      <c r="AA208" s="50"/>
      <c r="AB208" s="85">
        <f>AA208*$F208</f>
        <v>0</v>
      </c>
      <c r="AC208" s="82" t="str">
        <f t="shared" si="162"/>
        <v/>
      </c>
      <c r="AD208" s="50"/>
      <c r="AE208" s="85">
        <f>AD208*$F208</f>
        <v>0</v>
      </c>
      <c r="AF208" s="82" t="str">
        <f t="shared" si="163"/>
        <v/>
      </c>
      <c r="AG208" s="50"/>
      <c r="AH208" s="85">
        <f>AG208*$F208</f>
        <v>0</v>
      </c>
      <c r="AI208" s="82" t="str">
        <f t="shared" si="164"/>
        <v/>
      </c>
      <c r="AJ208" s="50"/>
      <c r="AK208" s="85">
        <f>AJ208*$F208</f>
        <v>0</v>
      </c>
      <c r="AL208" s="82" t="str">
        <f t="shared" si="165"/>
        <v/>
      </c>
      <c r="AM208" s="50"/>
      <c r="AN208" s="85">
        <f>AM208*$F208</f>
        <v>0</v>
      </c>
      <c r="AO208" s="82" t="str">
        <f t="shared" si="166"/>
        <v/>
      </c>
      <c r="AP208" s="48">
        <f t="shared" si="155"/>
        <v>0</v>
      </c>
      <c r="AQ208" s="85">
        <f>AP208*$F208</f>
        <v>0</v>
      </c>
      <c r="AR208" s="82" t="str">
        <f t="shared" si="167"/>
        <v/>
      </c>
      <c r="AS208" s="48">
        <f t="shared" si="154"/>
        <v>205.18</v>
      </c>
      <c r="AT208" s="85">
        <f>AS208*$F208</f>
        <v>16767.309600000001</v>
      </c>
      <c r="AU208" s="82">
        <f t="shared" si="168"/>
        <v>1</v>
      </c>
      <c r="AW208" s="51"/>
      <c r="AX208" s="51"/>
      <c r="AY208" s="51"/>
      <c r="AZ208" s="1927"/>
      <c r="BA208" s="1927"/>
      <c r="BB208" s="1927"/>
      <c r="BC208" s="1927"/>
      <c r="BD208" s="1927"/>
    </row>
    <row r="209" spans="1:56" s="115" customFormat="1" ht="15.75">
      <c r="A209" s="109"/>
      <c r="B209" s="118" t="s">
        <v>992</v>
      </c>
      <c r="C209" s="1937" t="s">
        <v>993</v>
      </c>
      <c r="D209" s="1938"/>
      <c r="E209" s="1938"/>
      <c r="F209" s="1938"/>
      <c r="G209" s="1939"/>
      <c r="H209" s="110">
        <f>H210+H213</f>
        <v>125138.19069999999</v>
      </c>
      <c r="I209" s="111"/>
      <c r="J209" s="110">
        <f>J210+J213</f>
        <v>0</v>
      </c>
      <c r="K209" s="113">
        <f>J209/$H209</f>
        <v>0</v>
      </c>
      <c r="L209" s="111"/>
      <c r="M209" s="110">
        <f>M210+M213</f>
        <v>0</v>
      </c>
      <c r="N209" s="113">
        <f>M209/$H209</f>
        <v>0</v>
      </c>
      <c r="O209" s="111"/>
      <c r="P209" s="110">
        <f>P210+P213</f>
        <v>0</v>
      </c>
      <c r="Q209" s="113">
        <f>P209/$H209</f>
        <v>0</v>
      </c>
      <c r="R209" s="111"/>
      <c r="S209" s="110">
        <f>S210+S213</f>
        <v>0</v>
      </c>
      <c r="T209" s="113">
        <f>S209/$H209</f>
        <v>0</v>
      </c>
      <c r="U209" s="111"/>
      <c r="V209" s="110">
        <f>V210+V213</f>
        <v>0</v>
      </c>
      <c r="W209" s="113">
        <f>V209/$H209</f>
        <v>0</v>
      </c>
      <c r="X209" s="111"/>
      <c r="Y209" s="110">
        <f>Y210+Y213</f>
        <v>0</v>
      </c>
      <c r="Z209" s="113">
        <f>Y209/$H209</f>
        <v>0</v>
      </c>
      <c r="AA209" s="111"/>
      <c r="AB209" s="110">
        <f>AB210+AB213</f>
        <v>0</v>
      </c>
      <c r="AC209" s="113">
        <f>AB209/$H209</f>
        <v>0</v>
      </c>
      <c r="AD209" s="111"/>
      <c r="AE209" s="110">
        <f>AE210+AE213</f>
        <v>0</v>
      </c>
      <c r="AF209" s="113">
        <f>AE209/$H209</f>
        <v>0</v>
      </c>
      <c r="AG209" s="111"/>
      <c r="AH209" s="110">
        <f>AH210+AH213</f>
        <v>0</v>
      </c>
      <c r="AI209" s="113">
        <f>AH209/$H209</f>
        <v>0</v>
      </c>
      <c r="AJ209" s="111"/>
      <c r="AK209" s="110">
        <f>AK210+AK213</f>
        <v>0</v>
      </c>
      <c r="AL209" s="113">
        <f>AK209/$H209</f>
        <v>0</v>
      </c>
      <c r="AM209" s="111"/>
      <c r="AN209" s="110">
        <f>AN210+AN213</f>
        <v>0</v>
      </c>
      <c r="AO209" s="113">
        <f>AN209/$H209</f>
        <v>0</v>
      </c>
      <c r="AP209" s="114">
        <f t="shared" si="155"/>
        <v>0</v>
      </c>
      <c r="AQ209" s="110">
        <f>AQ210+AQ213</f>
        <v>0</v>
      </c>
      <c r="AR209" s="113">
        <f>AQ209/$H209</f>
        <v>0</v>
      </c>
      <c r="AS209" s="114">
        <f t="shared" si="154"/>
        <v>0</v>
      </c>
      <c r="AT209" s="110">
        <f>AT210+AT213</f>
        <v>125138.19069999999</v>
      </c>
      <c r="AU209" s="113">
        <f>AT209/$H209</f>
        <v>1</v>
      </c>
      <c r="AW209" s="156"/>
      <c r="AX209" s="156"/>
      <c r="AY209" s="156"/>
      <c r="AZ209" s="1950"/>
      <c r="BA209" s="1950"/>
      <c r="BB209" s="1950"/>
      <c r="BC209" s="1950"/>
      <c r="BD209" s="1950"/>
    </row>
    <row r="210" spans="1:56" s="161" customFormat="1">
      <c r="A210" s="94"/>
      <c r="B210" s="116" t="s">
        <v>994</v>
      </c>
      <c r="C210" s="1945" t="s">
        <v>995</v>
      </c>
      <c r="D210" s="1946"/>
      <c r="E210" s="1946"/>
      <c r="F210" s="1946"/>
      <c r="G210" s="1947"/>
      <c r="H210" s="106">
        <f>H211+H212</f>
        <v>11277.6664</v>
      </c>
      <c r="I210" s="101"/>
      <c r="J210" s="106">
        <f>J211+J212</f>
        <v>0</v>
      </c>
      <c r="K210" s="102">
        <f>J210/$H210</f>
        <v>0</v>
      </c>
      <c r="L210" s="101"/>
      <c r="M210" s="106">
        <f>M211+M212</f>
        <v>0</v>
      </c>
      <c r="N210" s="102">
        <f>M210/$H210</f>
        <v>0</v>
      </c>
      <c r="O210" s="101"/>
      <c r="P210" s="106">
        <f>P211+P212</f>
        <v>0</v>
      </c>
      <c r="Q210" s="102">
        <f>P210/$H210</f>
        <v>0</v>
      </c>
      <c r="R210" s="101"/>
      <c r="S210" s="106">
        <f>S211+S212</f>
        <v>0</v>
      </c>
      <c r="T210" s="102">
        <f>S210/$H210</f>
        <v>0</v>
      </c>
      <c r="U210" s="101"/>
      <c r="V210" s="106">
        <f>V211+V212</f>
        <v>0</v>
      </c>
      <c r="W210" s="102">
        <f>V210/$H210</f>
        <v>0</v>
      </c>
      <c r="X210" s="101"/>
      <c r="Y210" s="106">
        <f>Y211+Y212</f>
        <v>0</v>
      </c>
      <c r="Z210" s="102">
        <f>Y210/$H210</f>
        <v>0</v>
      </c>
      <c r="AA210" s="101"/>
      <c r="AB210" s="106">
        <f>AB211+AB212</f>
        <v>0</v>
      </c>
      <c r="AC210" s="102">
        <f>AB210/$H210</f>
        <v>0</v>
      </c>
      <c r="AD210" s="101"/>
      <c r="AE210" s="106">
        <f>AE211+AE212</f>
        <v>0</v>
      </c>
      <c r="AF210" s="102">
        <f>AE210/$H210</f>
        <v>0</v>
      </c>
      <c r="AG210" s="101"/>
      <c r="AH210" s="106">
        <f>AH211+AH212</f>
        <v>0</v>
      </c>
      <c r="AI210" s="102">
        <f>AH210/$H210</f>
        <v>0</v>
      </c>
      <c r="AJ210" s="101"/>
      <c r="AK210" s="106">
        <f>AK211+AK212</f>
        <v>0</v>
      </c>
      <c r="AL210" s="102">
        <f>AK210/$H210</f>
        <v>0</v>
      </c>
      <c r="AM210" s="101"/>
      <c r="AN210" s="106">
        <f>AN211+AN212</f>
        <v>0</v>
      </c>
      <c r="AO210" s="102">
        <f>AN210/$H210</f>
        <v>0</v>
      </c>
      <c r="AP210" s="160">
        <f t="shared" si="155"/>
        <v>0</v>
      </c>
      <c r="AQ210" s="106">
        <f>AQ211+AQ212</f>
        <v>0</v>
      </c>
      <c r="AR210" s="102">
        <f>AQ210/$H210</f>
        <v>0</v>
      </c>
      <c r="AS210" s="160">
        <f t="shared" si="154"/>
        <v>0</v>
      </c>
      <c r="AT210" s="106">
        <f>AT211+AT212</f>
        <v>11277.6664</v>
      </c>
      <c r="AU210" s="102">
        <f>AT210/$H210</f>
        <v>1</v>
      </c>
      <c r="AW210" s="162"/>
      <c r="AX210" s="163"/>
      <c r="AY210" s="163"/>
      <c r="AZ210" s="164"/>
      <c r="BA210" s="163"/>
      <c r="BB210" s="165"/>
      <c r="BC210" s="166"/>
      <c r="BD210" s="165"/>
    </row>
    <row r="211" spans="1:56" ht="45">
      <c r="A211" s="16"/>
      <c r="B211" s="97" t="s">
        <v>996</v>
      </c>
      <c r="C211" s="167" t="s">
        <v>388</v>
      </c>
      <c r="D211" s="86" t="s">
        <v>389</v>
      </c>
      <c r="E211" s="97" t="s">
        <v>12</v>
      </c>
      <c r="F211" s="141">
        <v>13.78</v>
      </c>
      <c r="G211" s="97">
        <v>140.83000000000001</v>
      </c>
      <c r="H211" s="85">
        <f>G211*$F211</f>
        <v>1940.6374000000001</v>
      </c>
      <c r="I211" s="50">
        <f t="shared" ref="I211:I274" si="170">L211+O211</f>
        <v>0</v>
      </c>
      <c r="J211" s="85">
        <f>I211*$F211</f>
        <v>0</v>
      </c>
      <c r="K211" s="82" t="str">
        <f t="shared" si="156"/>
        <v/>
      </c>
      <c r="L211" s="50"/>
      <c r="M211" s="85">
        <f>L211*$F211</f>
        <v>0</v>
      </c>
      <c r="N211" s="82" t="str">
        <f t="shared" si="157"/>
        <v/>
      </c>
      <c r="O211" s="50"/>
      <c r="P211" s="85">
        <f>O211*$F211</f>
        <v>0</v>
      </c>
      <c r="Q211" s="82" t="str">
        <f t="shared" si="158"/>
        <v/>
      </c>
      <c r="R211" s="50"/>
      <c r="S211" s="85">
        <f>R211*$F211</f>
        <v>0</v>
      </c>
      <c r="T211" s="82" t="str">
        <f t="shared" si="159"/>
        <v/>
      </c>
      <c r="U211" s="50"/>
      <c r="V211" s="85">
        <f>U211*$F211</f>
        <v>0</v>
      </c>
      <c r="W211" s="82" t="str">
        <f t="shared" si="160"/>
        <v/>
      </c>
      <c r="X211" s="50"/>
      <c r="Y211" s="85">
        <f>X211*$F211</f>
        <v>0</v>
      </c>
      <c r="Z211" s="82" t="str">
        <f t="shared" si="161"/>
        <v/>
      </c>
      <c r="AA211" s="50"/>
      <c r="AB211" s="85">
        <f>AA211*$F211</f>
        <v>0</v>
      </c>
      <c r="AC211" s="82" t="str">
        <f t="shared" si="162"/>
        <v/>
      </c>
      <c r="AD211" s="50"/>
      <c r="AE211" s="85">
        <f>AD211*$F211</f>
        <v>0</v>
      </c>
      <c r="AF211" s="82" t="str">
        <f t="shared" si="163"/>
        <v/>
      </c>
      <c r="AG211" s="50"/>
      <c r="AH211" s="85">
        <f>AG211*$F211</f>
        <v>0</v>
      </c>
      <c r="AI211" s="82" t="str">
        <f t="shared" si="164"/>
        <v/>
      </c>
      <c r="AJ211" s="50"/>
      <c r="AK211" s="85">
        <f>AJ211*$F211</f>
        <v>0</v>
      </c>
      <c r="AL211" s="82" t="str">
        <f t="shared" si="165"/>
        <v/>
      </c>
      <c r="AM211" s="50"/>
      <c r="AN211" s="85">
        <f>AM211*$F211</f>
        <v>0</v>
      </c>
      <c r="AO211" s="82" t="str">
        <f t="shared" si="166"/>
        <v/>
      </c>
      <c r="AP211" s="48">
        <f t="shared" si="155"/>
        <v>0</v>
      </c>
      <c r="AQ211" s="85">
        <f>AP211*$F211</f>
        <v>0</v>
      </c>
      <c r="AR211" s="82" t="str">
        <f t="shared" si="167"/>
        <v/>
      </c>
      <c r="AS211" s="48">
        <f t="shared" si="154"/>
        <v>140.83000000000001</v>
      </c>
      <c r="AT211" s="85">
        <f>AS211*$F211</f>
        <v>1940.6374000000001</v>
      </c>
      <c r="AU211" s="82">
        <f t="shared" si="168"/>
        <v>1</v>
      </c>
    </row>
    <row r="212" spans="1:56" ht="45">
      <c r="A212" s="16"/>
      <c r="B212" s="97" t="s">
        <v>997</v>
      </c>
      <c r="C212" s="167" t="s">
        <v>391</v>
      </c>
      <c r="D212" s="86" t="s">
        <v>392</v>
      </c>
      <c r="E212" s="97" t="s">
        <v>12</v>
      </c>
      <c r="F212" s="141">
        <v>66.3</v>
      </c>
      <c r="G212" s="97">
        <v>140.83000000000001</v>
      </c>
      <c r="H212" s="85">
        <f>G212*$F212</f>
        <v>9337.0290000000005</v>
      </c>
      <c r="I212" s="50">
        <f t="shared" si="170"/>
        <v>0</v>
      </c>
      <c r="J212" s="85">
        <f>I212*$F212</f>
        <v>0</v>
      </c>
      <c r="K212" s="82" t="str">
        <f t="shared" si="156"/>
        <v/>
      </c>
      <c r="L212" s="50"/>
      <c r="M212" s="85">
        <f>L212*$F212</f>
        <v>0</v>
      </c>
      <c r="N212" s="82" t="str">
        <f t="shared" si="157"/>
        <v/>
      </c>
      <c r="O212" s="50"/>
      <c r="P212" s="85">
        <f>O212*$F212</f>
        <v>0</v>
      </c>
      <c r="Q212" s="82" t="str">
        <f t="shared" si="158"/>
        <v/>
      </c>
      <c r="R212" s="50"/>
      <c r="S212" s="85">
        <f>R212*$F212</f>
        <v>0</v>
      </c>
      <c r="T212" s="82" t="str">
        <f t="shared" si="159"/>
        <v/>
      </c>
      <c r="U212" s="50"/>
      <c r="V212" s="85">
        <f>U212*$F212</f>
        <v>0</v>
      </c>
      <c r="W212" s="82" t="str">
        <f t="shared" si="160"/>
        <v/>
      </c>
      <c r="X212" s="50"/>
      <c r="Y212" s="85">
        <f>X212*$F212</f>
        <v>0</v>
      </c>
      <c r="Z212" s="82" t="str">
        <f t="shared" si="161"/>
        <v/>
      </c>
      <c r="AA212" s="50"/>
      <c r="AB212" s="85">
        <f>AA212*$F212</f>
        <v>0</v>
      </c>
      <c r="AC212" s="82" t="str">
        <f t="shared" si="162"/>
        <v/>
      </c>
      <c r="AD212" s="50"/>
      <c r="AE212" s="85">
        <f>AD212*$F212</f>
        <v>0</v>
      </c>
      <c r="AF212" s="82" t="str">
        <f t="shared" si="163"/>
        <v/>
      </c>
      <c r="AG212" s="50"/>
      <c r="AH212" s="85">
        <f>AG212*$F212</f>
        <v>0</v>
      </c>
      <c r="AI212" s="82" t="str">
        <f t="shared" si="164"/>
        <v/>
      </c>
      <c r="AJ212" s="50"/>
      <c r="AK212" s="85">
        <f>AJ212*$F212</f>
        <v>0</v>
      </c>
      <c r="AL212" s="82" t="str">
        <f t="shared" si="165"/>
        <v/>
      </c>
      <c r="AM212" s="50"/>
      <c r="AN212" s="85">
        <f>AM212*$F212</f>
        <v>0</v>
      </c>
      <c r="AO212" s="82" t="str">
        <f t="shared" si="166"/>
        <v/>
      </c>
      <c r="AP212" s="48">
        <f t="shared" si="155"/>
        <v>0</v>
      </c>
      <c r="AQ212" s="85">
        <f>AP212*$F212</f>
        <v>0</v>
      </c>
      <c r="AR212" s="82" t="str">
        <f t="shared" si="167"/>
        <v/>
      </c>
      <c r="AS212" s="48">
        <f t="shared" si="154"/>
        <v>140.83000000000001</v>
      </c>
      <c r="AT212" s="85">
        <f>AS212*$F212</f>
        <v>9337.0290000000005</v>
      </c>
      <c r="AU212" s="82">
        <f t="shared" si="168"/>
        <v>1</v>
      </c>
    </row>
    <row r="213" spans="1:56" s="161" customFormat="1">
      <c r="A213" s="94"/>
      <c r="B213" s="116" t="s">
        <v>998</v>
      </c>
      <c r="C213" s="1945" t="s">
        <v>999</v>
      </c>
      <c r="D213" s="1946"/>
      <c r="E213" s="1946"/>
      <c r="F213" s="1946"/>
      <c r="G213" s="1947"/>
      <c r="H213" s="106">
        <f>H214+H215+H216</f>
        <v>113860.52429999999</v>
      </c>
      <c r="I213" s="101"/>
      <c r="J213" s="106">
        <f>J214+J215+J216</f>
        <v>0</v>
      </c>
      <c r="K213" s="102">
        <f>J213/$H213</f>
        <v>0</v>
      </c>
      <c r="L213" s="101"/>
      <c r="M213" s="106">
        <f>M214+M215+M216</f>
        <v>0</v>
      </c>
      <c r="N213" s="102">
        <f>M213/$H213</f>
        <v>0</v>
      </c>
      <c r="O213" s="101"/>
      <c r="P213" s="106">
        <f>P214+P215+P216</f>
        <v>0</v>
      </c>
      <c r="Q213" s="102">
        <f>P213/$H213</f>
        <v>0</v>
      </c>
      <c r="R213" s="101"/>
      <c r="S213" s="106">
        <f>S214+S215+S216</f>
        <v>0</v>
      </c>
      <c r="T213" s="102">
        <f>S213/$H213</f>
        <v>0</v>
      </c>
      <c r="U213" s="101"/>
      <c r="V213" s="106">
        <f>V214+V215+V216</f>
        <v>0</v>
      </c>
      <c r="W213" s="102">
        <f>V213/$H213</f>
        <v>0</v>
      </c>
      <c r="X213" s="101"/>
      <c r="Y213" s="106">
        <f>Y214+Y215+Y216</f>
        <v>0</v>
      </c>
      <c r="Z213" s="102">
        <f>Y213/$H213</f>
        <v>0</v>
      </c>
      <c r="AA213" s="101"/>
      <c r="AB213" s="106">
        <f>AB214+AB215+AB216</f>
        <v>0</v>
      </c>
      <c r="AC213" s="102">
        <f>AB213/$H213</f>
        <v>0</v>
      </c>
      <c r="AD213" s="101"/>
      <c r="AE213" s="106">
        <f>AE214+AE215+AE216</f>
        <v>0</v>
      </c>
      <c r="AF213" s="102">
        <f>AE213/$H213</f>
        <v>0</v>
      </c>
      <c r="AG213" s="101"/>
      <c r="AH213" s="106">
        <f>AH214+AH215+AH216</f>
        <v>0</v>
      </c>
      <c r="AI213" s="102">
        <f>AH213/$H213</f>
        <v>0</v>
      </c>
      <c r="AJ213" s="101"/>
      <c r="AK213" s="106">
        <f>AK214+AK215+AK216</f>
        <v>0</v>
      </c>
      <c r="AL213" s="102">
        <f>AK213/$H213</f>
        <v>0</v>
      </c>
      <c r="AM213" s="101"/>
      <c r="AN213" s="106">
        <f>AN214+AN215+AN216</f>
        <v>0</v>
      </c>
      <c r="AO213" s="102">
        <f>AN213/$H213</f>
        <v>0</v>
      </c>
      <c r="AP213" s="160">
        <f t="shared" si="155"/>
        <v>0</v>
      </c>
      <c r="AQ213" s="106">
        <f>AQ214+AQ215+AQ216</f>
        <v>0</v>
      </c>
      <c r="AR213" s="102">
        <f>AQ213/$H213</f>
        <v>0</v>
      </c>
      <c r="AS213" s="160">
        <f t="shared" si="154"/>
        <v>0</v>
      </c>
      <c r="AT213" s="106">
        <f>AT214+AT215+AT216</f>
        <v>113860.52429999999</v>
      </c>
      <c r="AU213" s="102">
        <f>AT213/$H213</f>
        <v>1</v>
      </c>
    </row>
    <row r="214" spans="1:56" ht="45">
      <c r="A214" s="16"/>
      <c r="B214" s="97" t="s">
        <v>1000</v>
      </c>
      <c r="C214" s="167" t="s">
        <v>1001</v>
      </c>
      <c r="D214" s="86" t="s">
        <v>1002</v>
      </c>
      <c r="E214" s="97" t="s">
        <v>12</v>
      </c>
      <c r="F214" s="141">
        <v>92.6</v>
      </c>
      <c r="G214" s="97">
        <v>59.71</v>
      </c>
      <c r="H214" s="85">
        <f>G214*$F214</f>
        <v>5529.1459999999997</v>
      </c>
      <c r="I214" s="50">
        <f t="shared" si="170"/>
        <v>0</v>
      </c>
      <c r="J214" s="85">
        <f>I214*$F214</f>
        <v>0</v>
      </c>
      <c r="K214" s="82" t="str">
        <f t="shared" si="156"/>
        <v/>
      </c>
      <c r="L214" s="50"/>
      <c r="M214" s="85">
        <f>L214*$F214</f>
        <v>0</v>
      </c>
      <c r="N214" s="82" t="str">
        <f t="shared" si="157"/>
        <v/>
      </c>
      <c r="O214" s="50"/>
      <c r="P214" s="85">
        <f>O214*$F214</f>
        <v>0</v>
      </c>
      <c r="Q214" s="82" t="str">
        <f t="shared" si="158"/>
        <v/>
      </c>
      <c r="R214" s="50"/>
      <c r="S214" s="85">
        <f>R214*$F214</f>
        <v>0</v>
      </c>
      <c r="T214" s="82" t="str">
        <f t="shared" si="159"/>
        <v/>
      </c>
      <c r="U214" s="50"/>
      <c r="V214" s="85">
        <f>U214*$F214</f>
        <v>0</v>
      </c>
      <c r="W214" s="82" t="str">
        <f t="shared" si="160"/>
        <v/>
      </c>
      <c r="X214" s="50"/>
      <c r="Y214" s="85">
        <f>X214*$F214</f>
        <v>0</v>
      </c>
      <c r="Z214" s="82" t="str">
        <f t="shared" si="161"/>
        <v/>
      </c>
      <c r="AA214" s="50"/>
      <c r="AB214" s="85">
        <f>AA214*$F214</f>
        <v>0</v>
      </c>
      <c r="AC214" s="82" t="str">
        <f t="shared" si="162"/>
        <v/>
      </c>
      <c r="AD214" s="50"/>
      <c r="AE214" s="85">
        <f>AD214*$F214</f>
        <v>0</v>
      </c>
      <c r="AF214" s="82" t="str">
        <f t="shared" si="163"/>
        <v/>
      </c>
      <c r="AG214" s="50"/>
      <c r="AH214" s="85">
        <f>AG214*$F214</f>
        <v>0</v>
      </c>
      <c r="AI214" s="82" t="str">
        <f t="shared" si="164"/>
        <v/>
      </c>
      <c r="AJ214" s="50"/>
      <c r="AK214" s="85">
        <f>AJ214*$F214</f>
        <v>0</v>
      </c>
      <c r="AL214" s="82" t="str">
        <f t="shared" si="165"/>
        <v/>
      </c>
      <c r="AM214" s="50"/>
      <c r="AN214" s="85">
        <f>AM214*$F214</f>
        <v>0</v>
      </c>
      <c r="AO214" s="82" t="str">
        <f t="shared" si="166"/>
        <v/>
      </c>
      <c r="AP214" s="48">
        <f t="shared" si="155"/>
        <v>0</v>
      </c>
      <c r="AQ214" s="85">
        <f>AP214*$F214</f>
        <v>0</v>
      </c>
      <c r="AR214" s="82" t="str">
        <f t="shared" si="167"/>
        <v/>
      </c>
      <c r="AS214" s="48">
        <f t="shared" si="154"/>
        <v>59.71</v>
      </c>
      <c r="AT214" s="85">
        <f>AS214*$F214</f>
        <v>5529.1459999999997</v>
      </c>
      <c r="AU214" s="82">
        <f t="shared" si="168"/>
        <v>1</v>
      </c>
    </row>
    <row r="215" spans="1:56" ht="105">
      <c r="A215" s="16"/>
      <c r="B215" s="97" t="s">
        <v>1003</v>
      </c>
      <c r="C215" s="167" t="s">
        <v>1004</v>
      </c>
      <c r="D215" s="86" t="s">
        <v>1005</v>
      </c>
      <c r="E215" s="97" t="s">
        <v>12</v>
      </c>
      <c r="F215" s="141">
        <v>174.17</v>
      </c>
      <c r="G215" s="97">
        <v>516.74</v>
      </c>
      <c r="H215" s="85">
        <f>G215*$F215</f>
        <v>90000.60579999999</v>
      </c>
      <c r="I215" s="50">
        <f t="shared" si="170"/>
        <v>0</v>
      </c>
      <c r="J215" s="85">
        <f>I215*$F215</f>
        <v>0</v>
      </c>
      <c r="K215" s="82" t="str">
        <f t="shared" si="156"/>
        <v/>
      </c>
      <c r="L215" s="50"/>
      <c r="M215" s="85">
        <f>L215*$F215</f>
        <v>0</v>
      </c>
      <c r="N215" s="82" t="str">
        <f t="shared" si="157"/>
        <v/>
      </c>
      <c r="O215" s="50"/>
      <c r="P215" s="85">
        <f>O215*$F215</f>
        <v>0</v>
      </c>
      <c r="Q215" s="82" t="str">
        <f t="shared" si="158"/>
        <v/>
      </c>
      <c r="R215" s="50"/>
      <c r="S215" s="85">
        <f>R215*$F215</f>
        <v>0</v>
      </c>
      <c r="T215" s="82" t="str">
        <f t="shared" si="159"/>
        <v/>
      </c>
      <c r="U215" s="50"/>
      <c r="V215" s="85">
        <f>U215*$F215</f>
        <v>0</v>
      </c>
      <c r="W215" s="82" t="str">
        <f t="shared" si="160"/>
        <v/>
      </c>
      <c r="X215" s="50"/>
      <c r="Y215" s="85">
        <f>X215*$F215</f>
        <v>0</v>
      </c>
      <c r="Z215" s="82" t="str">
        <f t="shared" si="161"/>
        <v/>
      </c>
      <c r="AA215" s="50"/>
      <c r="AB215" s="85">
        <f>AA215*$F215</f>
        <v>0</v>
      </c>
      <c r="AC215" s="82" t="str">
        <f t="shared" si="162"/>
        <v/>
      </c>
      <c r="AD215" s="50"/>
      <c r="AE215" s="85">
        <f>AD215*$F215</f>
        <v>0</v>
      </c>
      <c r="AF215" s="82" t="str">
        <f t="shared" si="163"/>
        <v/>
      </c>
      <c r="AG215" s="50"/>
      <c r="AH215" s="85">
        <f>AG215*$F215</f>
        <v>0</v>
      </c>
      <c r="AI215" s="82" t="str">
        <f t="shared" si="164"/>
        <v/>
      </c>
      <c r="AJ215" s="50"/>
      <c r="AK215" s="85">
        <f>AJ215*$F215</f>
        <v>0</v>
      </c>
      <c r="AL215" s="82" t="str">
        <f t="shared" si="165"/>
        <v/>
      </c>
      <c r="AM215" s="50"/>
      <c r="AN215" s="85">
        <f>AM215*$F215</f>
        <v>0</v>
      </c>
      <c r="AO215" s="82" t="str">
        <f t="shared" si="166"/>
        <v/>
      </c>
      <c r="AP215" s="48">
        <f t="shared" si="155"/>
        <v>0</v>
      </c>
      <c r="AQ215" s="85">
        <f>AP215*$F215</f>
        <v>0</v>
      </c>
      <c r="AR215" s="82" t="str">
        <f t="shared" si="167"/>
        <v/>
      </c>
      <c r="AS215" s="48">
        <f t="shared" si="154"/>
        <v>516.74</v>
      </c>
      <c r="AT215" s="85">
        <f>AS215*$F215</f>
        <v>90000.60579999999</v>
      </c>
      <c r="AU215" s="82">
        <f t="shared" si="168"/>
        <v>1</v>
      </c>
    </row>
    <row r="216" spans="1:56" ht="45">
      <c r="A216" s="16"/>
      <c r="B216" s="97" t="s">
        <v>1006</v>
      </c>
      <c r="C216" s="167" t="s">
        <v>1007</v>
      </c>
      <c r="D216" s="86" t="s">
        <v>1008</v>
      </c>
      <c r="E216" s="97" t="s">
        <v>44</v>
      </c>
      <c r="F216" s="141">
        <v>25.65</v>
      </c>
      <c r="G216" s="97">
        <v>714.65</v>
      </c>
      <c r="H216" s="85">
        <f>G216*$F216</f>
        <v>18330.772499999999</v>
      </c>
      <c r="I216" s="50">
        <f t="shared" si="170"/>
        <v>0</v>
      </c>
      <c r="J216" s="85">
        <f>I216*$F216</f>
        <v>0</v>
      </c>
      <c r="K216" s="82" t="str">
        <f t="shared" si="156"/>
        <v/>
      </c>
      <c r="L216" s="50"/>
      <c r="M216" s="85">
        <f>L216*$F216</f>
        <v>0</v>
      </c>
      <c r="N216" s="82" t="str">
        <f t="shared" si="157"/>
        <v/>
      </c>
      <c r="O216" s="50"/>
      <c r="P216" s="85">
        <f>O216*$F216</f>
        <v>0</v>
      </c>
      <c r="Q216" s="82" t="str">
        <f t="shared" si="158"/>
        <v/>
      </c>
      <c r="R216" s="50"/>
      <c r="S216" s="85">
        <f>R216*$F216</f>
        <v>0</v>
      </c>
      <c r="T216" s="82" t="str">
        <f t="shared" si="159"/>
        <v/>
      </c>
      <c r="U216" s="50"/>
      <c r="V216" s="85">
        <f>U216*$F216</f>
        <v>0</v>
      </c>
      <c r="W216" s="82" t="str">
        <f t="shared" si="160"/>
        <v/>
      </c>
      <c r="X216" s="50"/>
      <c r="Y216" s="85">
        <f>X216*$F216</f>
        <v>0</v>
      </c>
      <c r="Z216" s="82" t="str">
        <f t="shared" si="161"/>
        <v/>
      </c>
      <c r="AA216" s="50"/>
      <c r="AB216" s="85">
        <f>AA216*$F216</f>
        <v>0</v>
      </c>
      <c r="AC216" s="82" t="str">
        <f t="shared" si="162"/>
        <v/>
      </c>
      <c r="AD216" s="50"/>
      <c r="AE216" s="85">
        <f>AD216*$F216</f>
        <v>0</v>
      </c>
      <c r="AF216" s="82" t="str">
        <f t="shared" si="163"/>
        <v/>
      </c>
      <c r="AG216" s="50"/>
      <c r="AH216" s="85">
        <f>AG216*$F216</f>
        <v>0</v>
      </c>
      <c r="AI216" s="82" t="str">
        <f t="shared" si="164"/>
        <v/>
      </c>
      <c r="AJ216" s="50"/>
      <c r="AK216" s="85">
        <f>AJ216*$F216</f>
        <v>0</v>
      </c>
      <c r="AL216" s="82" t="str">
        <f t="shared" si="165"/>
        <v/>
      </c>
      <c r="AM216" s="50"/>
      <c r="AN216" s="85">
        <f>AM216*$F216</f>
        <v>0</v>
      </c>
      <c r="AO216" s="82" t="str">
        <f t="shared" si="166"/>
        <v/>
      </c>
      <c r="AP216" s="48">
        <f t="shared" si="155"/>
        <v>0</v>
      </c>
      <c r="AQ216" s="85">
        <f>AP216*$F216</f>
        <v>0</v>
      </c>
      <c r="AR216" s="82" t="str">
        <f t="shared" si="167"/>
        <v/>
      </c>
      <c r="AS216" s="48">
        <f t="shared" si="154"/>
        <v>714.65</v>
      </c>
      <c r="AT216" s="85">
        <f>AS216*$F216</f>
        <v>18330.772499999999</v>
      </c>
      <c r="AU216" s="82">
        <f t="shared" si="168"/>
        <v>1</v>
      </c>
    </row>
    <row r="217" spans="1:56" s="115" customFormat="1" ht="15.75">
      <c r="A217" s="109"/>
      <c r="B217" s="118" t="s">
        <v>1009</v>
      </c>
      <c r="C217" s="1937" t="s">
        <v>1010</v>
      </c>
      <c r="D217" s="1938"/>
      <c r="E217" s="1938"/>
      <c r="F217" s="1938"/>
      <c r="G217" s="1939"/>
      <c r="H217" s="110">
        <f>H218+H222</f>
        <v>167652.2219</v>
      </c>
      <c r="I217" s="50">
        <f t="shared" si="170"/>
        <v>0</v>
      </c>
      <c r="J217" s="110">
        <f>J218+J222</f>
        <v>0</v>
      </c>
      <c r="K217" s="113">
        <f>J217/$H217</f>
        <v>0</v>
      </c>
      <c r="L217" s="111"/>
      <c r="M217" s="110">
        <f>M218+M222</f>
        <v>0</v>
      </c>
      <c r="N217" s="113">
        <f>M217/$H217</f>
        <v>0</v>
      </c>
      <c r="O217" s="111"/>
      <c r="P217" s="110">
        <f>P218+P222</f>
        <v>0</v>
      </c>
      <c r="Q217" s="113">
        <f>P217/$H217</f>
        <v>0</v>
      </c>
      <c r="R217" s="111"/>
      <c r="S217" s="110">
        <f>S218+S222</f>
        <v>0</v>
      </c>
      <c r="T217" s="113">
        <f>S217/$H217</f>
        <v>0</v>
      </c>
      <c r="U217" s="111"/>
      <c r="V217" s="110">
        <f>V218+V222</f>
        <v>0</v>
      </c>
      <c r="W217" s="113">
        <f>V217/$H217</f>
        <v>0</v>
      </c>
      <c r="X217" s="111"/>
      <c r="Y217" s="110">
        <f>Y218+Y222</f>
        <v>0</v>
      </c>
      <c r="Z217" s="113">
        <f>Y217/$H217</f>
        <v>0</v>
      </c>
      <c r="AA217" s="111"/>
      <c r="AB217" s="110">
        <f>AB218+AB222</f>
        <v>0</v>
      </c>
      <c r="AC217" s="113">
        <f>AB217/$H217</f>
        <v>0</v>
      </c>
      <c r="AD217" s="111"/>
      <c r="AE217" s="110">
        <f>AE218+AE222</f>
        <v>0</v>
      </c>
      <c r="AF217" s="113">
        <f>AE217/$H217</f>
        <v>0</v>
      </c>
      <c r="AG217" s="111"/>
      <c r="AH217" s="110">
        <f>AH218+AH222</f>
        <v>0</v>
      </c>
      <c r="AI217" s="113">
        <f>AH217/$H217</f>
        <v>0</v>
      </c>
      <c r="AJ217" s="111"/>
      <c r="AK217" s="110">
        <f>AK218+AK222</f>
        <v>0</v>
      </c>
      <c r="AL217" s="113">
        <f>AK217/$H217</f>
        <v>0</v>
      </c>
      <c r="AM217" s="111"/>
      <c r="AN217" s="110">
        <f>AN218+AN222</f>
        <v>0</v>
      </c>
      <c r="AO217" s="113">
        <f>AN217/$H217</f>
        <v>0</v>
      </c>
      <c r="AP217" s="114">
        <f t="shared" si="155"/>
        <v>0</v>
      </c>
      <c r="AQ217" s="110">
        <f>AQ218+AQ222</f>
        <v>0</v>
      </c>
      <c r="AR217" s="113">
        <f>AQ217/$H217</f>
        <v>0</v>
      </c>
      <c r="AS217" s="114">
        <f t="shared" si="154"/>
        <v>0</v>
      </c>
      <c r="AT217" s="110">
        <f>AT218+AT222</f>
        <v>167652.2219</v>
      </c>
      <c r="AU217" s="113">
        <f>AT217/$H217</f>
        <v>1</v>
      </c>
    </row>
    <row r="218" spans="1:56" s="161" customFormat="1">
      <c r="A218" s="94"/>
      <c r="B218" s="116" t="s">
        <v>1011</v>
      </c>
      <c r="C218" s="1945" t="s">
        <v>995</v>
      </c>
      <c r="D218" s="1946"/>
      <c r="E218" s="1946"/>
      <c r="F218" s="1946"/>
      <c r="G218" s="1947"/>
      <c r="H218" s="106">
        <f>H219+H220+H221</f>
        <v>112356.58900000001</v>
      </c>
      <c r="I218" s="50">
        <f t="shared" si="170"/>
        <v>0</v>
      </c>
      <c r="J218" s="106">
        <f>J219+J220+J221</f>
        <v>0</v>
      </c>
      <c r="K218" s="102">
        <f>J218/$H218</f>
        <v>0</v>
      </c>
      <c r="L218" s="101"/>
      <c r="M218" s="106">
        <f>M219+M220+M221</f>
        <v>0</v>
      </c>
      <c r="N218" s="102">
        <f>M218/$H218</f>
        <v>0</v>
      </c>
      <c r="O218" s="101"/>
      <c r="P218" s="106">
        <f>P219+P220+P221</f>
        <v>0</v>
      </c>
      <c r="Q218" s="102">
        <f>P218/$H218</f>
        <v>0</v>
      </c>
      <c r="R218" s="101"/>
      <c r="S218" s="106">
        <f>S219+S220+S221</f>
        <v>0</v>
      </c>
      <c r="T218" s="102">
        <f>S218/$H218</f>
        <v>0</v>
      </c>
      <c r="U218" s="101"/>
      <c r="V218" s="106">
        <f>V219+V220+V221</f>
        <v>0</v>
      </c>
      <c r="W218" s="102">
        <f>V218/$H218</f>
        <v>0</v>
      </c>
      <c r="X218" s="101"/>
      <c r="Y218" s="106">
        <f>Y219+Y220+Y221</f>
        <v>0</v>
      </c>
      <c r="Z218" s="102">
        <f>Y218/$H218</f>
        <v>0</v>
      </c>
      <c r="AA218" s="101"/>
      <c r="AB218" s="106">
        <f>AB219+AB220+AB221</f>
        <v>0</v>
      </c>
      <c r="AC218" s="102">
        <f>AB218/$H218</f>
        <v>0</v>
      </c>
      <c r="AD218" s="101"/>
      <c r="AE218" s="106">
        <f>AE219+AE220+AE221</f>
        <v>0</v>
      </c>
      <c r="AF218" s="102">
        <f>AE218/$H218</f>
        <v>0</v>
      </c>
      <c r="AG218" s="101"/>
      <c r="AH218" s="106">
        <f>AH219+AH220+AH221</f>
        <v>0</v>
      </c>
      <c r="AI218" s="102">
        <f>AH218/$H218</f>
        <v>0</v>
      </c>
      <c r="AJ218" s="101"/>
      <c r="AK218" s="106">
        <f>AK219+AK220+AK221</f>
        <v>0</v>
      </c>
      <c r="AL218" s="102">
        <f>AK218/$H218</f>
        <v>0</v>
      </c>
      <c r="AM218" s="101"/>
      <c r="AN218" s="106">
        <f>AN219+AN220+AN221</f>
        <v>0</v>
      </c>
      <c r="AO218" s="102">
        <f>AN218/$H218</f>
        <v>0</v>
      </c>
      <c r="AP218" s="160">
        <f t="shared" si="155"/>
        <v>0</v>
      </c>
      <c r="AQ218" s="106">
        <f>AQ219+AQ220+AQ221</f>
        <v>0</v>
      </c>
      <c r="AR218" s="102">
        <f>AQ218/$H218</f>
        <v>0</v>
      </c>
      <c r="AS218" s="160">
        <f t="shared" si="154"/>
        <v>0</v>
      </c>
      <c r="AT218" s="106">
        <f>AT219+AT220+AT221</f>
        <v>112356.58900000001</v>
      </c>
      <c r="AU218" s="102">
        <f>AT218/$H218</f>
        <v>1</v>
      </c>
    </row>
    <row r="219" spans="1:56" ht="60">
      <c r="A219" s="16"/>
      <c r="B219" s="97" t="s">
        <v>1012</v>
      </c>
      <c r="C219" s="167" t="s">
        <v>1013</v>
      </c>
      <c r="D219" s="86" t="s">
        <v>1014</v>
      </c>
      <c r="E219" s="97" t="s">
        <v>12</v>
      </c>
      <c r="F219" s="141">
        <v>34.49</v>
      </c>
      <c r="G219" s="97">
        <v>492.5</v>
      </c>
      <c r="H219" s="85">
        <f>G219*$F219</f>
        <v>16986.325000000001</v>
      </c>
      <c r="I219" s="50">
        <f t="shared" si="170"/>
        <v>0</v>
      </c>
      <c r="J219" s="85">
        <f>I219*$F219</f>
        <v>0</v>
      </c>
      <c r="K219" s="82" t="str">
        <f t="shared" si="156"/>
        <v/>
      </c>
      <c r="L219" s="50"/>
      <c r="M219" s="85">
        <f>L219*$F219</f>
        <v>0</v>
      </c>
      <c r="N219" s="82" t="str">
        <f t="shared" si="157"/>
        <v/>
      </c>
      <c r="O219" s="50"/>
      <c r="P219" s="85">
        <f>O219*$F219</f>
        <v>0</v>
      </c>
      <c r="Q219" s="82" t="str">
        <f t="shared" si="158"/>
        <v/>
      </c>
      <c r="R219" s="50"/>
      <c r="S219" s="85">
        <f>R219*$F219</f>
        <v>0</v>
      </c>
      <c r="T219" s="82" t="str">
        <f t="shared" si="159"/>
        <v/>
      </c>
      <c r="U219" s="50"/>
      <c r="V219" s="85">
        <f>U219*$F219</f>
        <v>0</v>
      </c>
      <c r="W219" s="82" t="str">
        <f t="shared" si="160"/>
        <v/>
      </c>
      <c r="X219" s="50"/>
      <c r="Y219" s="85">
        <f>X219*$F219</f>
        <v>0</v>
      </c>
      <c r="Z219" s="82" t="str">
        <f t="shared" si="161"/>
        <v/>
      </c>
      <c r="AA219" s="50"/>
      <c r="AB219" s="85">
        <f>AA219*$F219</f>
        <v>0</v>
      </c>
      <c r="AC219" s="82" t="str">
        <f t="shared" si="162"/>
        <v/>
      </c>
      <c r="AD219" s="50"/>
      <c r="AE219" s="85">
        <f>AD219*$F219</f>
        <v>0</v>
      </c>
      <c r="AF219" s="82" t="str">
        <f t="shared" si="163"/>
        <v/>
      </c>
      <c r="AG219" s="50"/>
      <c r="AH219" s="85">
        <f>AG219*$F219</f>
        <v>0</v>
      </c>
      <c r="AI219" s="82" t="str">
        <f t="shared" si="164"/>
        <v/>
      </c>
      <c r="AJ219" s="50"/>
      <c r="AK219" s="85">
        <f>AJ219*$F219</f>
        <v>0</v>
      </c>
      <c r="AL219" s="82" t="str">
        <f t="shared" si="165"/>
        <v/>
      </c>
      <c r="AM219" s="50"/>
      <c r="AN219" s="85">
        <f>AM219*$F219</f>
        <v>0</v>
      </c>
      <c r="AO219" s="82" t="str">
        <f t="shared" si="166"/>
        <v/>
      </c>
      <c r="AP219" s="48">
        <f t="shared" si="155"/>
        <v>0</v>
      </c>
      <c r="AQ219" s="85">
        <f>AP219*$F219</f>
        <v>0</v>
      </c>
      <c r="AR219" s="82" t="str">
        <f t="shared" si="167"/>
        <v/>
      </c>
      <c r="AS219" s="48">
        <f t="shared" si="154"/>
        <v>492.5</v>
      </c>
      <c r="AT219" s="85">
        <f>AS219*$F219</f>
        <v>16986.325000000001</v>
      </c>
      <c r="AU219" s="82">
        <f t="shared" si="168"/>
        <v>1</v>
      </c>
    </row>
    <row r="220" spans="1:56" ht="45">
      <c r="A220" s="16"/>
      <c r="B220" s="97" t="s">
        <v>1015</v>
      </c>
      <c r="C220" s="167" t="s">
        <v>394</v>
      </c>
      <c r="D220" s="86" t="s">
        <v>395</v>
      </c>
      <c r="E220" s="97" t="s">
        <v>12</v>
      </c>
      <c r="F220" s="141">
        <v>7.09</v>
      </c>
      <c r="G220" s="143">
        <v>1886.71</v>
      </c>
      <c r="H220" s="85">
        <f>G220*$F220</f>
        <v>13376.7739</v>
      </c>
      <c r="I220" s="50">
        <f t="shared" si="170"/>
        <v>0</v>
      </c>
      <c r="J220" s="85">
        <f>I220*$F220</f>
        <v>0</v>
      </c>
      <c r="K220" s="82" t="str">
        <f t="shared" si="156"/>
        <v/>
      </c>
      <c r="L220" s="50"/>
      <c r="M220" s="85">
        <f>L220*$F220</f>
        <v>0</v>
      </c>
      <c r="N220" s="82" t="str">
        <f t="shared" si="157"/>
        <v/>
      </c>
      <c r="O220" s="50"/>
      <c r="P220" s="85">
        <f>O220*$F220</f>
        <v>0</v>
      </c>
      <c r="Q220" s="82" t="str">
        <f t="shared" si="158"/>
        <v/>
      </c>
      <c r="R220" s="50"/>
      <c r="S220" s="85">
        <f>R220*$F220</f>
        <v>0</v>
      </c>
      <c r="T220" s="82" t="str">
        <f t="shared" si="159"/>
        <v/>
      </c>
      <c r="U220" s="50"/>
      <c r="V220" s="85">
        <f>U220*$F220</f>
        <v>0</v>
      </c>
      <c r="W220" s="82" t="str">
        <f t="shared" si="160"/>
        <v/>
      </c>
      <c r="X220" s="50"/>
      <c r="Y220" s="85">
        <f>X220*$F220</f>
        <v>0</v>
      </c>
      <c r="Z220" s="82" t="str">
        <f t="shared" si="161"/>
        <v/>
      </c>
      <c r="AA220" s="50"/>
      <c r="AB220" s="85">
        <f>AA220*$F220</f>
        <v>0</v>
      </c>
      <c r="AC220" s="82" t="str">
        <f t="shared" si="162"/>
        <v/>
      </c>
      <c r="AD220" s="50"/>
      <c r="AE220" s="85">
        <f>AD220*$F220</f>
        <v>0</v>
      </c>
      <c r="AF220" s="82" t="str">
        <f t="shared" si="163"/>
        <v/>
      </c>
      <c r="AG220" s="50"/>
      <c r="AH220" s="85">
        <f>AG220*$F220</f>
        <v>0</v>
      </c>
      <c r="AI220" s="82" t="str">
        <f t="shared" si="164"/>
        <v/>
      </c>
      <c r="AJ220" s="50"/>
      <c r="AK220" s="85">
        <f>AJ220*$F220</f>
        <v>0</v>
      </c>
      <c r="AL220" s="82" t="str">
        <f t="shared" si="165"/>
        <v/>
      </c>
      <c r="AM220" s="50"/>
      <c r="AN220" s="85">
        <f>AM220*$F220</f>
        <v>0</v>
      </c>
      <c r="AO220" s="82" t="str">
        <f t="shared" si="166"/>
        <v/>
      </c>
      <c r="AP220" s="48">
        <f t="shared" si="155"/>
        <v>0</v>
      </c>
      <c r="AQ220" s="85">
        <f>AP220*$F220</f>
        <v>0</v>
      </c>
      <c r="AR220" s="82" t="str">
        <f t="shared" si="167"/>
        <v/>
      </c>
      <c r="AS220" s="48">
        <f t="shared" si="154"/>
        <v>1886.71</v>
      </c>
      <c r="AT220" s="85">
        <f>AS220*$F220</f>
        <v>13376.7739</v>
      </c>
      <c r="AU220" s="82">
        <f t="shared" si="168"/>
        <v>1</v>
      </c>
    </row>
    <row r="221" spans="1:56" ht="60">
      <c r="A221" s="16"/>
      <c r="B221" s="97" t="s">
        <v>1016</v>
      </c>
      <c r="C221" s="167" t="s">
        <v>400</v>
      </c>
      <c r="D221" s="86" t="s">
        <v>401</v>
      </c>
      <c r="E221" s="97" t="s">
        <v>12</v>
      </c>
      <c r="F221" s="141">
        <v>58.81</v>
      </c>
      <c r="G221" s="143">
        <v>1394.21</v>
      </c>
      <c r="H221" s="85">
        <f>G221*$F221</f>
        <v>81993.49010000001</v>
      </c>
      <c r="I221" s="50">
        <f t="shared" si="170"/>
        <v>0</v>
      </c>
      <c r="J221" s="85">
        <f>I221*$F221</f>
        <v>0</v>
      </c>
      <c r="K221" s="82" t="str">
        <f t="shared" si="156"/>
        <v/>
      </c>
      <c r="L221" s="50"/>
      <c r="M221" s="85">
        <f>L221*$F221</f>
        <v>0</v>
      </c>
      <c r="N221" s="82" t="str">
        <f t="shared" si="157"/>
        <v/>
      </c>
      <c r="O221" s="50"/>
      <c r="P221" s="85">
        <f>O221*$F221</f>
        <v>0</v>
      </c>
      <c r="Q221" s="82" t="str">
        <f t="shared" si="158"/>
        <v/>
      </c>
      <c r="R221" s="50"/>
      <c r="S221" s="85">
        <f>R221*$F221</f>
        <v>0</v>
      </c>
      <c r="T221" s="82" t="str">
        <f t="shared" si="159"/>
        <v/>
      </c>
      <c r="U221" s="50"/>
      <c r="V221" s="85">
        <f>U221*$F221</f>
        <v>0</v>
      </c>
      <c r="W221" s="82" t="str">
        <f t="shared" si="160"/>
        <v/>
      </c>
      <c r="X221" s="50"/>
      <c r="Y221" s="85">
        <f>X221*$F221</f>
        <v>0</v>
      </c>
      <c r="Z221" s="82" t="str">
        <f t="shared" si="161"/>
        <v/>
      </c>
      <c r="AA221" s="50"/>
      <c r="AB221" s="85">
        <f>AA221*$F221</f>
        <v>0</v>
      </c>
      <c r="AC221" s="82" t="str">
        <f t="shared" si="162"/>
        <v/>
      </c>
      <c r="AD221" s="50"/>
      <c r="AE221" s="85">
        <f>AD221*$F221</f>
        <v>0</v>
      </c>
      <c r="AF221" s="82" t="str">
        <f t="shared" si="163"/>
        <v/>
      </c>
      <c r="AG221" s="50"/>
      <c r="AH221" s="85">
        <f>AG221*$F221</f>
        <v>0</v>
      </c>
      <c r="AI221" s="82" t="str">
        <f t="shared" si="164"/>
        <v/>
      </c>
      <c r="AJ221" s="50"/>
      <c r="AK221" s="85">
        <f>AJ221*$F221</f>
        <v>0</v>
      </c>
      <c r="AL221" s="82" t="str">
        <f t="shared" si="165"/>
        <v/>
      </c>
      <c r="AM221" s="50"/>
      <c r="AN221" s="85">
        <f>AM221*$F221</f>
        <v>0</v>
      </c>
      <c r="AO221" s="82" t="str">
        <f t="shared" si="166"/>
        <v/>
      </c>
      <c r="AP221" s="48">
        <f t="shared" si="155"/>
        <v>0</v>
      </c>
      <c r="AQ221" s="85">
        <f>AP221*$F221</f>
        <v>0</v>
      </c>
      <c r="AR221" s="82" t="str">
        <f t="shared" si="167"/>
        <v/>
      </c>
      <c r="AS221" s="48">
        <f t="shared" si="154"/>
        <v>1394.21</v>
      </c>
      <c r="AT221" s="85">
        <f>AS221*$F221</f>
        <v>81993.49010000001</v>
      </c>
      <c r="AU221" s="82">
        <f t="shared" si="168"/>
        <v>1</v>
      </c>
    </row>
    <row r="222" spans="1:56" s="161" customFormat="1">
      <c r="A222" s="94"/>
      <c r="B222" s="116" t="s">
        <v>1017</v>
      </c>
      <c r="C222" s="1945" t="s">
        <v>1018</v>
      </c>
      <c r="D222" s="1946"/>
      <c r="E222" s="1946"/>
      <c r="F222" s="1946"/>
      <c r="G222" s="1947"/>
      <c r="H222" s="106">
        <f>H223+H224</f>
        <v>55295.632900000004</v>
      </c>
      <c r="I222" s="50">
        <f t="shared" si="170"/>
        <v>0</v>
      </c>
      <c r="J222" s="106">
        <f>J223+J224</f>
        <v>0</v>
      </c>
      <c r="K222" s="102">
        <f>J222/$H222</f>
        <v>0</v>
      </c>
      <c r="L222" s="101"/>
      <c r="M222" s="106">
        <f>M223+M224</f>
        <v>0</v>
      </c>
      <c r="N222" s="102">
        <f>M222/$H222</f>
        <v>0</v>
      </c>
      <c r="O222" s="101"/>
      <c r="P222" s="106">
        <f>P223+P224</f>
        <v>0</v>
      </c>
      <c r="Q222" s="102">
        <f>P222/$H222</f>
        <v>0</v>
      </c>
      <c r="R222" s="101"/>
      <c r="S222" s="106">
        <f>S223+S224</f>
        <v>0</v>
      </c>
      <c r="T222" s="102">
        <f>S222/$H222</f>
        <v>0</v>
      </c>
      <c r="U222" s="101"/>
      <c r="V222" s="106">
        <f>V223+V224</f>
        <v>0</v>
      </c>
      <c r="W222" s="102">
        <f>V222/$H222</f>
        <v>0</v>
      </c>
      <c r="X222" s="101"/>
      <c r="Y222" s="106">
        <f>Y223+Y224</f>
        <v>0</v>
      </c>
      <c r="Z222" s="102">
        <f>Y222/$H222</f>
        <v>0</v>
      </c>
      <c r="AA222" s="101"/>
      <c r="AB222" s="106">
        <f>AB223+AB224</f>
        <v>0</v>
      </c>
      <c r="AC222" s="102">
        <f>AB222/$H222</f>
        <v>0</v>
      </c>
      <c r="AD222" s="101"/>
      <c r="AE222" s="106">
        <f>AE223+AE224</f>
        <v>0</v>
      </c>
      <c r="AF222" s="102">
        <f>AE222/$H222</f>
        <v>0</v>
      </c>
      <c r="AG222" s="101"/>
      <c r="AH222" s="106">
        <f>AH223+AH224</f>
        <v>0</v>
      </c>
      <c r="AI222" s="102">
        <f>AH222/$H222</f>
        <v>0</v>
      </c>
      <c r="AJ222" s="101"/>
      <c r="AK222" s="106">
        <f>AK223+AK224</f>
        <v>0</v>
      </c>
      <c r="AL222" s="102">
        <f>AK222/$H222</f>
        <v>0</v>
      </c>
      <c r="AM222" s="101"/>
      <c r="AN222" s="106">
        <f>AN223+AN224</f>
        <v>0</v>
      </c>
      <c r="AO222" s="102">
        <f>AN222/$H222</f>
        <v>0</v>
      </c>
      <c r="AP222" s="160">
        <f t="shared" si="155"/>
        <v>0</v>
      </c>
      <c r="AQ222" s="106">
        <f>AQ223+AQ224</f>
        <v>0</v>
      </c>
      <c r="AR222" s="102">
        <f>AQ222/$H222</f>
        <v>0</v>
      </c>
      <c r="AS222" s="160">
        <f t="shared" si="154"/>
        <v>0</v>
      </c>
      <c r="AT222" s="106">
        <f>AT223+AT224</f>
        <v>55295.632900000004</v>
      </c>
      <c r="AU222" s="102">
        <f>AT222/$H222</f>
        <v>1</v>
      </c>
    </row>
    <row r="223" spans="1:56" ht="75">
      <c r="A223" s="16"/>
      <c r="B223" s="97" t="s">
        <v>1019</v>
      </c>
      <c r="C223" s="167" t="s">
        <v>1020</v>
      </c>
      <c r="D223" s="86" t="s">
        <v>1021</v>
      </c>
      <c r="E223" s="97" t="s">
        <v>12</v>
      </c>
      <c r="F223" s="141">
        <v>251.69</v>
      </c>
      <c r="G223" s="97">
        <v>26.27</v>
      </c>
      <c r="H223" s="85">
        <f>G223*$F223</f>
        <v>6611.8962999999994</v>
      </c>
      <c r="I223" s="50">
        <f t="shared" si="170"/>
        <v>0</v>
      </c>
      <c r="J223" s="85">
        <f>I223*$F223</f>
        <v>0</v>
      </c>
      <c r="K223" s="82" t="str">
        <f t="shared" si="156"/>
        <v/>
      </c>
      <c r="L223" s="50"/>
      <c r="M223" s="85">
        <f>L223*$F223</f>
        <v>0</v>
      </c>
      <c r="N223" s="82" t="str">
        <f t="shared" si="157"/>
        <v/>
      </c>
      <c r="O223" s="50"/>
      <c r="P223" s="85">
        <f>O223*$F223</f>
        <v>0</v>
      </c>
      <c r="Q223" s="82" t="str">
        <f t="shared" si="158"/>
        <v/>
      </c>
      <c r="R223" s="50"/>
      <c r="S223" s="85">
        <f>R223*$F223</f>
        <v>0</v>
      </c>
      <c r="T223" s="82" t="str">
        <f t="shared" si="159"/>
        <v/>
      </c>
      <c r="U223" s="50"/>
      <c r="V223" s="85">
        <f>U223*$F223</f>
        <v>0</v>
      </c>
      <c r="W223" s="82" t="str">
        <f t="shared" si="160"/>
        <v/>
      </c>
      <c r="X223" s="50"/>
      <c r="Y223" s="85">
        <f>X223*$F223</f>
        <v>0</v>
      </c>
      <c r="Z223" s="82" t="str">
        <f t="shared" si="161"/>
        <v/>
      </c>
      <c r="AA223" s="50"/>
      <c r="AB223" s="85">
        <f>AA223*$F223</f>
        <v>0</v>
      </c>
      <c r="AC223" s="82" t="str">
        <f t="shared" si="162"/>
        <v/>
      </c>
      <c r="AD223" s="50"/>
      <c r="AE223" s="85">
        <f>AD223*$F223</f>
        <v>0</v>
      </c>
      <c r="AF223" s="82" t="str">
        <f t="shared" si="163"/>
        <v/>
      </c>
      <c r="AG223" s="50"/>
      <c r="AH223" s="85">
        <f>AG223*$F223</f>
        <v>0</v>
      </c>
      <c r="AI223" s="82" t="str">
        <f t="shared" si="164"/>
        <v/>
      </c>
      <c r="AJ223" s="50"/>
      <c r="AK223" s="85">
        <f>AJ223*$F223</f>
        <v>0</v>
      </c>
      <c r="AL223" s="82" t="str">
        <f t="shared" si="165"/>
        <v/>
      </c>
      <c r="AM223" s="50"/>
      <c r="AN223" s="85">
        <f>AM223*$F223</f>
        <v>0</v>
      </c>
      <c r="AO223" s="82" t="str">
        <f t="shared" si="166"/>
        <v/>
      </c>
      <c r="AP223" s="48">
        <f t="shared" si="155"/>
        <v>0</v>
      </c>
      <c r="AQ223" s="85">
        <f>AP223*$F223</f>
        <v>0</v>
      </c>
      <c r="AR223" s="82" t="str">
        <f t="shared" si="167"/>
        <v/>
      </c>
      <c r="AS223" s="48">
        <f t="shared" si="154"/>
        <v>26.27</v>
      </c>
      <c r="AT223" s="85">
        <f>AS223*$F223</f>
        <v>6611.8962999999994</v>
      </c>
      <c r="AU223" s="82">
        <f t="shared" si="168"/>
        <v>1</v>
      </c>
    </row>
    <row r="224" spans="1:56" ht="75">
      <c r="A224" s="16"/>
      <c r="B224" s="97" t="s">
        <v>1022</v>
      </c>
      <c r="C224" s="167" t="s">
        <v>1023</v>
      </c>
      <c r="D224" s="86" t="s">
        <v>1024</v>
      </c>
      <c r="E224" s="97" t="s">
        <v>12</v>
      </c>
      <c r="F224" s="141">
        <v>104.42</v>
      </c>
      <c r="G224" s="97">
        <v>466.23</v>
      </c>
      <c r="H224" s="85">
        <f>G224*$F224</f>
        <v>48683.736600000004</v>
      </c>
      <c r="I224" s="50">
        <f t="shared" si="170"/>
        <v>0</v>
      </c>
      <c r="J224" s="85">
        <f>I224*$F224</f>
        <v>0</v>
      </c>
      <c r="K224" s="82" t="str">
        <f t="shared" si="156"/>
        <v/>
      </c>
      <c r="L224" s="50"/>
      <c r="M224" s="85">
        <f>L224*$F224</f>
        <v>0</v>
      </c>
      <c r="N224" s="82" t="str">
        <f t="shared" si="157"/>
        <v/>
      </c>
      <c r="O224" s="50"/>
      <c r="P224" s="85">
        <f>O224*$F224</f>
        <v>0</v>
      </c>
      <c r="Q224" s="82" t="str">
        <f t="shared" si="158"/>
        <v/>
      </c>
      <c r="R224" s="50"/>
      <c r="S224" s="85">
        <f>R224*$F224</f>
        <v>0</v>
      </c>
      <c r="T224" s="82" t="str">
        <f t="shared" si="159"/>
        <v/>
      </c>
      <c r="U224" s="50"/>
      <c r="V224" s="85">
        <f>U224*$F224</f>
        <v>0</v>
      </c>
      <c r="W224" s="82" t="str">
        <f t="shared" si="160"/>
        <v/>
      </c>
      <c r="X224" s="50"/>
      <c r="Y224" s="85">
        <f>X224*$F224</f>
        <v>0</v>
      </c>
      <c r="Z224" s="82" t="str">
        <f t="shared" si="161"/>
        <v/>
      </c>
      <c r="AA224" s="50"/>
      <c r="AB224" s="85">
        <f>AA224*$F224</f>
        <v>0</v>
      </c>
      <c r="AC224" s="82" t="str">
        <f t="shared" si="162"/>
        <v/>
      </c>
      <c r="AD224" s="50"/>
      <c r="AE224" s="85">
        <f>AD224*$F224</f>
        <v>0</v>
      </c>
      <c r="AF224" s="82" t="str">
        <f t="shared" si="163"/>
        <v/>
      </c>
      <c r="AG224" s="50"/>
      <c r="AH224" s="85">
        <f>AG224*$F224</f>
        <v>0</v>
      </c>
      <c r="AI224" s="82" t="str">
        <f t="shared" si="164"/>
        <v/>
      </c>
      <c r="AJ224" s="50"/>
      <c r="AK224" s="85">
        <f>AJ224*$F224</f>
        <v>0</v>
      </c>
      <c r="AL224" s="82" t="str">
        <f t="shared" si="165"/>
        <v/>
      </c>
      <c r="AM224" s="50"/>
      <c r="AN224" s="85">
        <f>AM224*$F224</f>
        <v>0</v>
      </c>
      <c r="AO224" s="82" t="str">
        <f t="shared" si="166"/>
        <v/>
      </c>
      <c r="AP224" s="48">
        <f t="shared" si="155"/>
        <v>0</v>
      </c>
      <c r="AQ224" s="85">
        <f>AP224*$F224</f>
        <v>0</v>
      </c>
      <c r="AR224" s="82" t="str">
        <f t="shared" si="167"/>
        <v/>
      </c>
      <c r="AS224" s="48">
        <f t="shared" si="154"/>
        <v>466.23</v>
      </c>
      <c r="AT224" s="85">
        <f>AS224*$F224</f>
        <v>48683.736600000004</v>
      </c>
      <c r="AU224" s="82">
        <f t="shared" si="168"/>
        <v>1</v>
      </c>
    </row>
    <row r="225" spans="1:47" s="115" customFormat="1" ht="15.75">
      <c r="A225" s="109"/>
      <c r="B225" s="118" t="s">
        <v>1025</v>
      </c>
      <c r="C225" s="1937" t="s">
        <v>1026</v>
      </c>
      <c r="D225" s="1938"/>
      <c r="E225" s="1938"/>
      <c r="F225" s="1938"/>
      <c r="G225" s="1939"/>
      <c r="H225" s="110">
        <f>H226+H228+H233+H241+H246+H249+H253</f>
        <v>349962.94510000001</v>
      </c>
      <c r="I225" s="50">
        <f t="shared" si="170"/>
        <v>0</v>
      </c>
      <c r="J225" s="110">
        <f>J226+J228+J233+J241+J246+J249+J253</f>
        <v>0</v>
      </c>
      <c r="K225" s="113">
        <f>J225/$H225</f>
        <v>0</v>
      </c>
      <c r="L225" s="111"/>
      <c r="M225" s="110">
        <f>M226+M228+M233+M241+M246+M249+M253</f>
        <v>0</v>
      </c>
      <c r="N225" s="113">
        <f>M225/$H225</f>
        <v>0</v>
      </c>
      <c r="O225" s="111"/>
      <c r="P225" s="110">
        <f>P226+P228+P233+P241+P246+P249+P253</f>
        <v>0</v>
      </c>
      <c r="Q225" s="113">
        <f>P225/$H225</f>
        <v>0</v>
      </c>
      <c r="R225" s="111"/>
      <c r="S225" s="110">
        <f>S226+S228+S233+S241+S246+S249+S253</f>
        <v>0</v>
      </c>
      <c r="T225" s="113">
        <f>S225/$H225</f>
        <v>0</v>
      </c>
      <c r="U225" s="111"/>
      <c r="V225" s="110">
        <f>V226+V228+V233+V241+V246+V249+V253</f>
        <v>0</v>
      </c>
      <c r="W225" s="113">
        <f>V225/$H225</f>
        <v>0</v>
      </c>
      <c r="X225" s="111"/>
      <c r="Y225" s="110">
        <f>Y226+Y228+Y233+Y241+Y246+Y249+Y253</f>
        <v>0</v>
      </c>
      <c r="Z225" s="113">
        <f>Y225/$H225</f>
        <v>0</v>
      </c>
      <c r="AA225" s="111"/>
      <c r="AB225" s="110">
        <f>AB226+AB228+AB233+AB241+AB246+AB249+AB253</f>
        <v>0</v>
      </c>
      <c r="AC225" s="113">
        <f>AB225/$H225</f>
        <v>0</v>
      </c>
      <c r="AD225" s="111"/>
      <c r="AE225" s="110">
        <f>AE226+AE228+AE233+AE241+AE246+AE249+AE253</f>
        <v>0</v>
      </c>
      <c r="AF225" s="113">
        <f>AE225/$H225</f>
        <v>0</v>
      </c>
      <c r="AG225" s="111"/>
      <c r="AH225" s="110">
        <f>AH226+AH228+AH233+AH241+AH246+AH249+AH253</f>
        <v>0</v>
      </c>
      <c r="AI225" s="113">
        <f>AH225/$H225</f>
        <v>0</v>
      </c>
      <c r="AJ225" s="111"/>
      <c r="AK225" s="110">
        <f>AK226+AK228+AK233+AK241+AK246+AK249+AK253</f>
        <v>0</v>
      </c>
      <c r="AL225" s="113">
        <f>AK225/$H225</f>
        <v>0</v>
      </c>
      <c r="AM225" s="111"/>
      <c r="AN225" s="110">
        <f>AN226+AN228+AN233+AN241+AN246+AN249+AN253</f>
        <v>0</v>
      </c>
      <c r="AO225" s="113">
        <f>AN225/$H225</f>
        <v>0</v>
      </c>
      <c r="AP225" s="114">
        <f t="shared" si="155"/>
        <v>0</v>
      </c>
      <c r="AQ225" s="110">
        <f>AQ226+AQ228+AQ233+AQ241+AQ246+AQ249+AQ253</f>
        <v>0</v>
      </c>
      <c r="AR225" s="113">
        <f>AQ225/$H225</f>
        <v>0</v>
      </c>
      <c r="AS225" s="114">
        <f t="shared" si="154"/>
        <v>0</v>
      </c>
      <c r="AT225" s="110">
        <f>AT226+AT228+AT233+AT241+AT246+AT249+AT253</f>
        <v>349962.94510000001</v>
      </c>
      <c r="AU225" s="113">
        <f>AT225/$H225</f>
        <v>1</v>
      </c>
    </row>
    <row r="226" spans="1:47" s="161" customFormat="1">
      <c r="A226" s="94"/>
      <c r="B226" s="116" t="s">
        <v>1027</v>
      </c>
      <c r="C226" s="1945" t="s">
        <v>1028</v>
      </c>
      <c r="D226" s="1946"/>
      <c r="E226" s="1946"/>
      <c r="F226" s="1946"/>
      <c r="G226" s="1947"/>
      <c r="H226" s="106">
        <f>H227</f>
        <v>15546.0291</v>
      </c>
      <c r="I226" s="50">
        <f t="shared" si="170"/>
        <v>0</v>
      </c>
      <c r="J226" s="106">
        <f>J227</f>
        <v>0</v>
      </c>
      <c r="K226" s="102">
        <f>J226/$H226</f>
        <v>0</v>
      </c>
      <c r="L226" s="101"/>
      <c r="M226" s="106">
        <f>M227</f>
        <v>0</v>
      </c>
      <c r="N226" s="102">
        <f>M226/$H226</f>
        <v>0</v>
      </c>
      <c r="O226" s="101"/>
      <c r="P226" s="106">
        <f>P227</f>
        <v>0</v>
      </c>
      <c r="Q226" s="102">
        <f>P226/$H226</f>
        <v>0</v>
      </c>
      <c r="R226" s="101"/>
      <c r="S226" s="106">
        <f>S227</f>
        <v>0</v>
      </c>
      <c r="T226" s="102">
        <f>S226/$H226</f>
        <v>0</v>
      </c>
      <c r="U226" s="101"/>
      <c r="V226" s="106">
        <f>V227</f>
        <v>0</v>
      </c>
      <c r="W226" s="102">
        <f>V226/$H226</f>
        <v>0</v>
      </c>
      <c r="X226" s="101"/>
      <c r="Y226" s="106">
        <f>Y227</f>
        <v>0</v>
      </c>
      <c r="Z226" s="102">
        <f>Y226/$H226</f>
        <v>0</v>
      </c>
      <c r="AA226" s="101"/>
      <c r="AB226" s="106">
        <f>AB227</f>
        <v>0</v>
      </c>
      <c r="AC226" s="102">
        <f>AB226/$H226</f>
        <v>0</v>
      </c>
      <c r="AD226" s="101"/>
      <c r="AE226" s="106">
        <f>AE227</f>
        <v>0</v>
      </c>
      <c r="AF226" s="102">
        <f>AE226/$H226</f>
        <v>0</v>
      </c>
      <c r="AG226" s="101"/>
      <c r="AH226" s="106">
        <f>AH227</f>
        <v>0</v>
      </c>
      <c r="AI226" s="102">
        <f>AH226/$H226</f>
        <v>0</v>
      </c>
      <c r="AJ226" s="101"/>
      <c r="AK226" s="106">
        <f>AK227</f>
        <v>0</v>
      </c>
      <c r="AL226" s="102">
        <f>AK226/$H226</f>
        <v>0</v>
      </c>
      <c r="AM226" s="101"/>
      <c r="AN226" s="106">
        <f>AN227</f>
        <v>0</v>
      </c>
      <c r="AO226" s="102">
        <f>AN226/$H226</f>
        <v>0</v>
      </c>
      <c r="AP226" s="160">
        <f t="shared" si="155"/>
        <v>0</v>
      </c>
      <c r="AQ226" s="106">
        <f>AQ227</f>
        <v>0</v>
      </c>
      <c r="AR226" s="102">
        <f>AQ226/$H226</f>
        <v>0</v>
      </c>
      <c r="AS226" s="160">
        <f t="shared" si="154"/>
        <v>0</v>
      </c>
      <c r="AT226" s="106">
        <f>AT227</f>
        <v>15546.0291</v>
      </c>
      <c r="AU226" s="102">
        <f>AT226/$H226</f>
        <v>1</v>
      </c>
    </row>
    <row r="227" spans="1:47" ht="45">
      <c r="A227" s="16"/>
      <c r="B227" s="97" t="s">
        <v>1029</v>
      </c>
      <c r="C227" s="167" t="s">
        <v>403</v>
      </c>
      <c r="D227" s="86" t="s">
        <v>404</v>
      </c>
      <c r="E227" s="97" t="s">
        <v>12</v>
      </c>
      <c r="F227" s="141">
        <v>24.99</v>
      </c>
      <c r="G227" s="97">
        <v>622.09</v>
      </c>
      <c r="H227" s="85">
        <f>G227*$F227</f>
        <v>15546.0291</v>
      </c>
      <c r="I227" s="50">
        <f t="shared" si="170"/>
        <v>0</v>
      </c>
      <c r="J227" s="85">
        <f>I227*$F227</f>
        <v>0</v>
      </c>
      <c r="K227" s="82" t="str">
        <f t="shared" si="156"/>
        <v/>
      </c>
      <c r="L227" s="50"/>
      <c r="M227" s="85">
        <f>L227*$F227</f>
        <v>0</v>
      </c>
      <c r="N227" s="82" t="str">
        <f t="shared" si="157"/>
        <v/>
      </c>
      <c r="O227" s="50"/>
      <c r="P227" s="85">
        <f>O227*$F227</f>
        <v>0</v>
      </c>
      <c r="Q227" s="82" t="str">
        <f t="shared" si="158"/>
        <v/>
      </c>
      <c r="R227" s="50"/>
      <c r="S227" s="85">
        <f>R227*$F227</f>
        <v>0</v>
      </c>
      <c r="T227" s="82" t="str">
        <f t="shared" si="159"/>
        <v/>
      </c>
      <c r="U227" s="50"/>
      <c r="V227" s="85">
        <f>U227*$F227</f>
        <v>0</v>
      </c>
      <c r="W227" s="82" t="str">
        <f t="shared" si="160"/>
        <v/>
      </c>
      <c r="X227" s="50"/>
      <c r="Y227" s="85">
        <f>X227*$F227</f>
        <v>0</v>
      </c>
      <c r="Z227" s="82" t="str">
        <f t="shared" si="161"/>
        <v/>
      </c>
      <c r="AA227" s="50"/>
      <c r="AB227" s="85">
        <f>AA227*$F227</f>
        <v>0</v>
      </c>
      <c r="AC227" s="82" t="str">
        <f t="shared" si="162"/>
        <v/>
      </c>
      <c r="AD227" s="50"/>
      <c r="AE227" s="85">
        <f>AD227*$F227</f>
        <v>0</v>
      </c>
      <c r="AF227" s="82" t="str">
        <f t="shared" si="163"/>
        <v/>
      </c>
      <c r="AG227" s="50"/>
      <c r="AH227" s="85">
        <f>AG227*$F227</f>
        <v>0</v>
      </c>
      <c r="AI227" s="82" t="str">
        <f t="shared" si="164"/>
        <v/>
      </c>
      <c r="AJ227" s="50"/>
      <c r="AK227" s="85">
        <f>AJ227*$F227</f>
        <v>0</v>
      </c>
      <c r="AL227" s="82" t="str">
        <f t="shared" si="165"/>
        <v/>
      </c>
      <c r="AM227" s="50"/>
      <c r="AN227" s="85">
        <f>AM227*$F227</f>
        <v>0</v>
      </c>
      <c r="AO227" s="82" t="str">
        <f t="shared" si="166"/>
        <v/>
      </c>
      <c r="AP227" s="48">
        <f t="shared" si="155"/>
        <v>0</v>
      </c>
      <c r="AQ227" s="85">
        <f>AP227*$F227</f>
        <v>0</v>
      </c>
      <c r="AR227" s="82" t="str">
        <f t="shared" si="167"/>
        <v/>
      </c>
      <c r="AS227" s="48">
        <f t="shared" si="154"/>
        <v>622.09</v>
      </c>
      <c r="AT227" s="85">
        <f>AS227*$F227</f>
        <v>15546.0291</v>
      </c>
      <c r="AU227" s="82">
        <f t="shared" si="168"/>
        <v>1</v>
      </c>
    </row>
    <row r="228" spans="1:47" s="161" customFormat="1">
      <c r="A228" s="94"/>
      <c r="B228" s="116" t="s">
        <v>1030</v>
      </c>
      <c r="C228" s="1945" t="s">
        <v>1018</v>
      </c>
      <c r="D228" s="1946"/>
      <c r="E228" s="1946"/>
      <c r="F228" s="1946"/>
      <c r="G228" s="1947"/>
      <c r="H228" s="106">
        <f>SUM(H229:H232)</f>
        <v>152470.1752</v>
      </c>
      <c r="I228" s="50">
        <f t="shared" si="170"/>
        <v>0</v>
      </c>
      <c r="J228" s="106">
        <f>SUM(J229:J232)</f>
        <v>0</v>
      </c>
      <c r="K228" s="102">
        <f>J228/$H228</f>
        <v>0</v>
      </c>
      <c r="L228" s="101"/>
      <c r="M228" s="106">
        <f>SUM(M229:M232)</f>
        <v>0</v>
      </c>
      <c r="N228" s="102">
        <f>M228/$H228</f>
        <v>0</v>
      </c>
      <c r="O228" s="101"/>
      <c r="P228" s="106">
        <f>SUM(P229:P232)</f>
        <v>0</v>
      </c>
      <c r="Q228" s="102">
        <f>P228/$H228</f>
        <v>0</v>
      </c>
      <c r="R228" s="101"/>
      <c r="S228" s="106">
        <f>SUM(S229:S232)</f>
        <v>0</v>
      </c>
      <c r="T228" s="102">
        <f>S228/$H228</f>
        <v>0</v>
      </c>
      <c r="U228" s="101"/>
      <c r="V228" s="106">
        <f>SUM(V229:V232)</f>
        <v>0</v>
      </c>
      <c r="W228" s="102">
        <f>V228/$H228</f>
        <v>0</v>
      </c>
      <c r="X228" s="101"/>
      <c r="Y228" s="106">
        <f>SUM(Y229:Y232)</f>
        <v>0</v>
      </c>
      <c r="Z228" s="102">
        <f>Y228/$H228</f>
        <v>0</v>
      </c>
      <c r="AA228" s="101"/>
      <c r="AB228" s="106">
        <f>SUM(AB229:AB232)</f>
        <v>0</v>
      </c>
      <c r="AC228" s="102">
        <f>AB228/$H228</f>
        <v>0</v>
      </c>
      <c r="AD228" s="101"/>
      <c r="AE228" s="106">
        <f>SUM(AE229:AE232)</f>
        <v>0</v>
      </c>
      <c r="AF228" s="102">
        <f>AE228/$H228</f>
        <v>0</v>
      </c>
      <c r="AG228" s="101"/>
      <c r="AH228" s="106">
        <f>SUM(AH229:AH232)</f>
        <v>0</v>
      </c>
      <c r="AI228" s="102">
        <f>AH228/$H228</f>
        <v>0</v>
      </c>
      <c r="AJ228" s="101"/>
      <c r="AK228" s="106">
        <f>SUM(AK229:AK232)</f>
        <v>0</v>
      </c>
      <c r="AL228" s="102">
        <f>AK228/$H228</f>
        <v>0</v>
      </c>
      <c r="AM228" s="101"/>
      <c r="AN228" s="106">
        <f>SUM(AN229:AN232)</f>
        <v>0</v>
      </c>
      <c r="AO228" s="102">
        <f>AN228/$H228</f>
        <v>0</v>
      </c>
      <c r="AP228" s="160">
        <f t="shared" si="155"/>
        <v>0</v>
      </c>
      <c r="AQ228" s="106">
        <f>SUM(AQ229:AQ232)</f>
        <v>0</v>
      </c>
      <c r="AR228" s="102">
        <f>AQ228/$H228</f>
        <v>0</v>
      </c>
      <c r="AS228" s="160">
        <f t="shared" si="154"/>
        <v>0</v>
      </c>
      <c r="AT228" s="106">
        <f>SUM(AT229:AT232)</f>
        <v>152470.1752</v>
      </c>
      <c r="AU228" s="102">
        <f>AT228/$H228</f>
        <v>1</v>
      </c>
    </row>
    <row r="229" spans="1:47" ht="90">
      <c r="A229" s="16"/>
      <c r="B229" s="97" t="s">
        <v>1031</v>
      </c>
      <c r="C229" s="167" t="s">
        <v>1032</v>
      </c>
      <c r="D229" s="86" t="s">
        <v>1033</v>
      </c>
      <c r="E229" s="97" t="s">
        <v>12</v>
      </c>
      <c r="F229" s="141">
        <v>258.31</v>
      </c>
      <c r="G229" s="97">
        <v>66.81</v>
      </c>
      <c r="H229" s="85">
        <f t="shared" ref="H229:H257" si="171">G229*$F229</f>
        <v>17257.6911</v>
      </c>
      <c r="I229" s="50">
        <f t="shared" si="170"/>
        <v>0</v>
      </c>
      <c r="J229" s="85">
        <f>I229*$F229</f>
        <v>0</v>
      </c>
      <c r="K229" s="82" t="str">
        <f t="shared" si="156"/>
        <v/>
      </c>
      <c r="L229" s="50"/>
      <c r="M229" s="85">
        <f>L229*$F229</f>
        <v>0</v>
      </c>
      <c r="N229" s="82" t="str">
        <f t="shared" si="157"/>
        <v/>
      </c>
      <c r="O229" s="50"/>
      <c r="P229" s="85">
        <f>O229*$F229</f>
        <v>0</v>
      </c>
      <c r="Q229" s="82" t="str">
        <f t="shared" si="158"/>
        <v/>
      </c>
      <c r="R229" s="50"/>
      <c r="S229" s="85">
        <f>R229*$F229</f>
        <v>0</v>
      </c>
      <c r="T229" s="82" t="str">
        <f t="shared" si="159"/>
        <v/>
      </c>
      <c r="U229" s="50"/>
      <c r="V229" s="85">
        <f>U229*$F229</f>
        <v>0</v>
      </c>
      <c r="W229" s="82" t="str">
        <f t="shared" si="160"/>
        <v/>
      </c>
      <c r="X229" s="50"/>
      <c r="Y229" s="85">
        <f>X229*$F229</f>
        <v>0</v>
      </c>
      <c r="Z229" s="82" t="str">
        <f t="shared" si="161"/>
        <v/>
      </c>
      <c r="AA229" s="50"/>
      <c r="AB229" s="85">
        <f>AA229*$F229</f>
        <v>0</v>
      </c>
      <c r="AC229" s="82" t="str">
        <f t="shared" si="162"/>
        <v/>
      </c>
      <c r="AD229" s="50"/>
      <c r="AE229" s="85">
        <f>AD229*$F229</f>
        <v>0</v>
      </c>
      <c r="AF229" s="82" t="str">
        <f t="shared" si="163"/>
        <v/>
      </c>
      <c r="AG229" s="50"/>
      <c r="AH229" s="85">
        <f>AG229*$F229</f>
        <v>0</v>
      </c>
      <c r="AI229" s="82" t="str">
        <f t="shared" si="164"/>
        <v/>
      </c>
      <c r="AJ229" s="50"/>
      <c r="AK229" s="85">
        <f>AJ229*$F229</f>
        <v>0</v>
      </c>
      <c r="AL229" s="82" t="str">
        <f t="shared" si="165"/>
        <v/>
      </c>
      <c r="AM229" s="50"/>
      <c r="AN229" s="85">
        <f>AM229*$F229</f>
        <v>0</v>
      </c>
      <c r="AO229" s="82" t="str">
        <f t="shared" si="166"/>
        <v/>
      </c>
      <c r="AP229" s="48">
        <f t="shared" si="155"/>
        <v>0</v>
      </c>
      <c r="AQ229" s="85">
        <f>AP229*$F229</f>
        <v>0</v>
      </c>
      <c r="AR229" s="82" t="str">
        <f t="shared" si="167"/>
        <v/>
      </c>
      <c r="AS229" s="48">
        <f t="shared" si="154"/>
        <v>66.81</v>
      </c>
      <c r="AT229" s="85">
        <f>AS229*$F229</f>
        <v>17257.6911</v>
      </c>
      <c r="AU229" s="82">
        <f t="shared" si="168"/>
        <v>1</v>
      </c>
    </row>
    <row r="230" spans="1:47" ht="90">
      <c r="A230" s="16"/>
      <c r="B230" s="97" t="s">
        <v>1034</v>
      </c>
      <c r="C230" s="167" t="s">
        <v>1035</v>
      </c>
      <c r="D230" s="86" t="s">
        <v>1036</v>
      </c>
      <c r="E230" s="97" t="s">
        <v>12</v>
      </c>
      <c r="F230" s="141">
        <v>233.32</v>
      </c>
      <c r="G230" s="97">
        <v>508.28</v>
      </c>
      <c r="H230" s="85">
        <f t="shared" si="171"/>
        <v>118591.88959999999</v>
      </c>
      <c r="I230" s="50">
        <f t="shared" si="170"/>
        <v>0</v>
      </c>
      <c r="J230" s="85">
        <f>I230*$F230</f>
        <v>0</v>
      </c>
      <c r="K230" s="82" t="str">
        <f t="shared" si="156"/>
        <v/>
      </c>
      <c r="L230" s="50"/>
      <c r="M230" s="85">
        <f>L230*$F230</f>
        <v>0</v>
      </c>
      <c r="N230" s="82" t="str">
        <f t="shared" si="157"/>
        <v/>
      </c>
      <c r="O230" s="50"/>
      <c r="P230" s="85">
        <f>O230*$F230</f>
        <v>0</v>
      </c>
      <c r="Q230" s="82" t="str">
        <f t="shared" si="158"/>
        <v/>
      </c>
      <c r="R230" s="50"/>
      <c r="S230" s="85">
        <f>R230*$F230</f>
        <v>0</v>
      </c>
      <c r="T230" s="82" t="str">
        <f t="shared" si="159"/>
        <v/>
      </c>
      <c r="U230" s="50"/>
      <c r="V230" s="85">
        <f>U230*$F230</f>
        <v>0</v>
      </c>
      <c r="W230" s="82" t="str">
        <f t="shared" si="160"/>
        <v/>
      </c>
      <c r="X230" s="50"/>
      <c r="Y230" s="85">
        <f>X230*$F230</f>
        <v>0</v>
      </c>
      <c r="Z230" s="82" t="str">
        <f t="shared" si="161"/>
        <v/>
      </c>
      <c r="AA230" s="50"/>
      <c r="AB230" s="85">
        <f>AA230*$F230</f>
        <v>0</v>
      </c>
      <c r="AC230" s="82" t="str">
        <f t="shared" si="162"/>
        <v/>
      </c>
      <c r="AD230" s="50"/>
      <c r="AE230" s="85">
        <f>AD230*$F230</f>
        <v>0</v>
      </c>
      <c r="AF230" s="82" t="str">
        <f t="shared" si="163"/>
        <v/>
      </c>
      <c r="AG230" s="50"/>
      <c r="AH230" s="85">
        <f>AG230*$F230</f>
        <v>0</v>
      </c>
      <c r="AI230" s="82" t="str">
        <f t="shared" si="164"/>
        <v/>
      </c>
      <c r="AJ230" s="50"/>
      <c r="AK230" s="85">
        <f>AJ230*$F230</f>
        <v>0</v>
      </c>
      <c r="AL230" s="82" t="str">
        <f t="shared" si="165"/>
        <v/>
      </c>
      <c r="AM230" s="50"/>
      <c r="AN230" s="85">
        <f>AM230*$F230</f>
        <v>0</v>
      </c>
      <c r="AO230" s="82" t="str">
        <f t="shared" si="166"/>
        <v/>
      </c>
      <c r="AP230" s="48">
        <f t="shared" si="155"/>
        <v>0</v>
      </c>
      <c r="AQ230" s="85">
        <f>AP230*$F230</f>
        <v>0</v>
      </c>
      <c r="AR230" s="82" t="str">
        <f t="shared" si="167"/>
        <v/>
      </c>
      <c r="AS230" s="48">
        <f t="shared" si="154"/>
        <v>508.28</v>
      </c>
      <c r="AT230" s="85">
        <f>AS230*$F230</f>
        <v>118591.88959999999</v>
      </c>
      <c r="AU230" s="82">
        <f t="shared" si="168"/>
        <v>1</v>
      </c>
    </row>
    <row r="231" spans="1:47" ht="105">
      <c r="A231" s="16"/>
      <c r="B231" s="97" t="s">
        <v>1037</v>
      </c>
      <c r="C231" s="167" t="s">
        <v>1038</v>
      </c>
      <c r="D231" s="86" t="s">
        <v>1039</v>
      </c>
      <c r="E231" s="97" t="s">
        <v>12</v>
      </c>
      <c r="F231" s="141">
        <v>456.94</v>
      </c>
      <c r="G231" s="97">
        <v>3.75</v>
      </c>
      <c r="H231" s="85">
        <f t="shared" si="171"/>
        <v>1713.5250000000001</v>
      </c>
      <c r="I231" s="50">
        <f t="shared" si="170"/>
        <v>0</v>
      </c>
      <c r="J231" s="85">
        <f>I231*$F231</f>
        <v>0</v>
      </c>
      <c r="K231" s="82" t="str">
        <f t="shared" si="156"/>
        <v/>
      </c>
      <c r="L231" s="50"/>
      <c r="M231" s="85">
        <f>L231*$F231</f>
        <v>0</v>
      </c>
      <c r="N231" s="82" t="str">
        <f t="shared" si="157"/>
        <v/>
      </c>
      <c r="O231" s="50"/>
      <c r="P231" s="85">
        <f>O231*$F231</f>
        <v>0</v>
      </c>
      <c r="Q231" s="82" t="str">
        <f t="shared" si="158"/>
        <v/>
      </c>
      <c r="R231" s="50"/>
      <c r="S231" s="85">
        <f>R231*$F231</f>
        <v>0</v>
      </c>
      <c r="T231" s="82" t="str">
        <f t="shared" si="159"/>
        <v/>
      </c>
      <c r="U231" s="50"/>
      <c r="V231" s="85">
        <f>U231*$F231</f>
        <v>0</v>
      </c>
      <c r="W231" s="82" t="str">
        <f t="shared" si="160"/>
        <v/>
      </c>
      <c r="X231" s="50"/>
      <c r="Y231" s="85">
        <f>X231*$F231</f>
        <v>0</v>
      </c>
      <c r="Z231" s="82" t="str">
        <f t="shared" si="161"/>
        <v/>
      </c>
      <c r="AA231" s="50"/>
      <c r="AB231" s="85">
        <f>AA231*$F231</f>
        <v>0</v>
      </c>
      <c r="AC231" s="82" t="str">
        <f t="shared" si="162"/>
        <v/>
      </c>
      <c r="AD231" s="50"/>
      <c r="AE231" s="85">
        <f>AD231*$F231</f>
        <v>0</v>
      </c>
      <c r="AF231" s="82" t="str">
        <f t="shared" si="163"/>
        <v/>
      </c>
      <c r="AG231" s="50"/>
      <c r="AH231" s="85">
        <f>AG231*$F231</f>
        <v>0</v>
      </c>
      <c r="AI231" s="82" t="str">
        <f t="shared" si="164"/>
        <v/>
      </c>
      <c r="AJ231" s="50"/>
      <c r="AK231" s="85">
        <f>AJ231*$F231</f>
        <v>0</v>
      </c>
      <c r="AL231" s="82" t="str">
        <f t="shared" si="165"/>
        <v/>
      </c>
      <c r="AM231" s="50"/>
      <c r="AN231" s="85">
        <f>AM231*$F231</f>
        <v>0</v>
      </c>
      <c r="AO231" s="82" t="str">
        <f t="shared" si="166"/>
        <v/>
      </c>
      <c r="AP231" s="48">
        <f t="shared" si="155"/>
        <v>0</v>
      </c>
      <c r="AQ231" s="85">
        <f>AP231*$F231</f>
        <v>0</v>
      </c>
      <c r="AR231" s="82" t="str">
        <f t="shared" si="167"/>
        <v/>
      </c>
      <c r="AS231" s="48">
        <f t="shared" si="154"/>
        <v>3.75</v>
      </c>
      <c r="AT231" s="85">
        <f>AS231*$F231</f>
        <v>1713.5250000000001</v>
      </c>
      <c r="AU231" s="82">
        <f t="shared" si="168"/>
        <v>1</v>
      </c>
    </row>
    <row r="232" spans="1:47" ht="105">
      <c r="A232" s="16"/>
      <c r="B232" s="97" t="s">
        <v>1040</v>
      </c>
      <c r="C232" s="167" t="s">
        <v>1041</v>
      </c>
      <c r="D232" s="86" t="s">
        <v>1042</v>
      </c>
      <c r="E232" s="97" t="s">
        <v>12</v>
      </c>
      <c r="F232" s="141">
        <v>229.87</v>
      </c>
      <c r="G232" s="97">
        <v>64.849999999999994</v>
      </c>
      <c r="H232" s="85">
        <f t="shared" si="171"/>
        <v>14907.0695</v>
      </c>
      <c r="I232" s="50">
        <f t="shared" si="170"/>
        <v>0</v>
      </c>
      <c r="J232" s="85">
        <f>I232*$F232</f>
        <v>0</v>
      </c>
      <c r="K232" s="82" t="str">
        <f t="shared" si="156"/>
        <v/>
      </c>
      <c r="L232" s="50"/>
      <c r="M232" s="85">
        <f>L232*$F232</f>
        <v>0</v>
      </c>
      <c r="N232" s="82" t="str">
        <f t="shared" si="157"/>
        <v/>
      </c>
      <c r="O232" s="50"/>
      <c r="P232" s="85">
        <f>O232*$F232</f>
        <v>0</v>
      </c>
      <c r="Q232" s="82" t="str">
        <f t="shared" si="158"/>
        <v/>
      </c>
      <c r="R232" s="50"/>
      <c r="S232" s="85">
        <f>R232*$F232</f>
        <v>0</v>
      </c>
      <c r="T232" s="82" t="str">
        <f t="shared" si="159"/>
        <v/>
      </c>
      <c r="U232" s="50"/>
      <c r="V232" s="85">
        <f>U232*$F232</f>
        <v>0</v>
      </c>
      <c r="W232" s="82" t="str">
        <f t="shared" si="160"/>
        <v/>
      </c>
      <c r="X232" s="50"/>
      <c r="Y232" s="85">
        <f>X232*$F232</f>
        <v>0</v>
      </c>
      <c r="Z232" s="82" t="str">
        <f t="shared" si="161"/>
        <v/>
      </c>
      <c r="AA232" s="50"/>
      <c r="AB232" s="85">
        <f>AA232*$F232</f>
        <v>0</v>
      </c>
      <c r="AC232" s="82" t="str">
        <f t="shared" si="162"/>
        <v/>
      </c>
      <c r="AD232" s="50"/>
      <c r="AE232" s="85">
        <f>AD232*$F232</f>
        <v>0</v>
      </c>
      <c r="AF232" s="82" t="str">
        <f t="shared" si="163"/>
        <v/>
      </c>
      <c r="AG232" s="50"/>
      <c r="AH232" s="85">
        <f>AG232*$F232</f>
        <v>0</v>
      </c>
      <c r="AI232" s="82" t="str">
        <f t="shared" si="164"/>
        <v/>
      </c>
      <c r="AJ232" s="50"/>
      <c r="AK232" s="85">
        <f>AJ232*$F232</f>
        <v>0</v>
      </c>
      <c r="AL232" s="82" t="str">
        <f t="shared" si="165"/>
        <v/>
      </c>
      <c r="AM232" s="50"/>
      <c r="AN232" s="85">
        <f>AM232*$F232</f>
        <v>0</v>
      </c>
      <c r="AO232" s="82" t="str">
        <f t="shared" si="166"/>
        <v/>
      </c>
      <c r="AP232" s="48">
        <f t="shared" si="155"/>
        <v>0</v>
      </c>
      <c r="AQ232" s="85">
        <f>AP232*$F232</f>
        <v>0</v>
      </c>
      <c r="AR232" s="82" t="str">
        <f t="shared" si="167"/>
        <v/>
      </c>
      <c r="AS232" s="48">
        <f t="shared" si="154"/>
        <v>64.849999999999994</v>
      </c>
      <c r="AT232" s="85">
        <f>AS232*$F232</f>
        <v>14907.0695</v>
      </c>
      <c r="AU232" s="82">
        <f t="shared" si="168"/>
        <v>1</v>
      </c>
    </row>
    <row r="233" spans="1:47" s="161" customFormat="1" ht="30" customHeight="1">
      <c r="A233" s="94"/>
      <c r="B233" s="116" t="s">
        <v>1043</v>
      </c>
      <c r="C233" s="1945" t="s">
        <v>1044</v>
      </c>
      <c r="D233" s="1946"/>
      <c r="E233" s="1946"/>
      <c r="F233" s="1946"/>
      <c r="G233" s="1947"/>
      <c r="H233" s="106">
        <f>SUM(H234:H240)</f>
        <v>89962.433799999984</v>
      </c>
      <c r="I233" s="50">
        <f t="shared" si="170"/>
        <v>0</v>
      </c>
      <c r="J233" s="106">
        <f>SUM(J234:J240)</f>
        <v>0</v>
      </c>
      <c r="K233" s="102">
        <f>J233/$H233</f>
        <v>0</v>
      </c>
      <c r="L233" s="101"/>
      <c r="M233" s="106">
        <f>SUM(M234:M240)</f>
        <v>0</v>
      </c>
      <c r="N233" s="102">
        <f>M233/$H233</f>
        <v>0</v>
      </c>
      <c r="O233" s="101"/>
      <c r="P233" s="106">
        <f>SUM(P234:P240)</f>
        <v>0</v>
      </c>
      <c r="Q233" s="102">
        <f>P233/$H233</f>
        <v>0</v>
      </c>
      <c r="R233" s="101"/>
      <c r="S233" s="106">
        <f>SUM(S234:S240)</f>
        <v>0</v>
      </c>
      <c r="T233" s="102">
        <f>S233/$H233</f>
        <v>0</v>
      </c>
      <c r="U233" s="101"/>
      <c r="V233" s="106">
        <f>SUM(V234:V240)</f>
        <v>0</v>
      </c>
      <c r="W233" s="102">
        <f>V233/$H233</f>
        <v>0</v>
      </c>
      <c r="X233" s="101"/>
      <c r="Y233" s="106">
        <f>SUM(Y234:Y240)</f>
        <v>0</v>
      </c>
      <c r="Z233" s="102">
        <f>Y233/$H233</f>
        <v>0</v>
      </c>
      <c r="AA233" s="101"/>
      <c r="AB233" s="106">
        <f>SUM(AB234:AB240)</f>
        <v>0</v>
      </c>
      <c r="AC233" s="102">
        <f>AB233/$H233</f>
        <v>0</v>
      </c>
      <c r="AD233" s="101"/>
      <c r="AE233" s="106">
        <f>SUM(AE234:AE240)</f>
        <v>0</v>
      </c>
      <c r="AF233" s="102">
        <f>AE233/$H233</f>
        <v>0</v>
      </c>
      <c r="AG233" s="101"/>
      <c r="AH233" s="106">
        <f>SUM(AH234:AH240)</f>
        <v>0</v>
      </c>
      <c r="AI233" s="102">
        <f>AH233/$H233</f>
        <v>0</v>
      </c>
      <c r="AJ233" s="101"/>
      <c r="AK233" s="106">
        <f>SUM(AK234:AK240)</f>
        <v>0</v>
      </c>
      <c r="AL233" s="102">
        <f>AK233/$H233</f>
        <v>0</v>
      </c>
      <c r="AM233" s="101"/>
      <c r="AN233" s="106">
        <f>SUM(AN234:AN240)</f>
        <v>0</v>
      </c>
      <c r="AO233" s="102">
        <f>AN233/$H233</f>
        <v>0</v>
      </c>
      <c r="AP233" s="160">
        <f t="shared" si="155"/>
        <v>0</v>
      </c>
      <c r="AQ233" s="106">
        <f>SUM(AQ234:AQ240)</f>
        <v>0</v>
      </c>
      <c r="AR233" s="102">
        <f>AQ233/$H233</f>
        <v>0</v>
      </c>
      <c r="AS233" s="160">
        <f t="shared" si="154"/>
        <v>0</v>
      </c>
      <c r="AT233" s="106">
        <f>SUM(AT234:AT240)</f>
        <v>89962.433799999984</v>
      </c>
      <c r="AU233" s="102">
        <f>AT233/$H233</f>
        <v>1</v>
      </c>
    </row>
    <row r="234" spans="1:47" ht="75">
      <c r="A234" s="16"/>
      <c r="B234" s="97" t="s">
        <v>1045</v>
      </c>
      <c r="C234" s="167" t="s">
        <v>1046</v>
      </c>
      <c r="D234" s="86" t="s">
        <v>1047</v>
      </c>
      <c r="E234" s="97" t="s">
        <v>44</v>
      </c>
      <c r="F234" s="172">
        <v>95.3</v>
      </c>
      <c r="G234" s="97">
        <v>793.25</v>
      </c>
      <c r="H234" s="85">
        <f t="shared" si="171"/>
        <v>75596.724999999991</v>
      </c>
      <c r="I234" s="50">
        <f t="shared" si="170"/>
        <v>0</v>
      </c>
      <c r="J234" s="85">
        <f t="shared" ref="J234:J240" si="172">I234*$F234</f>
        <v>0</v>
      </c>
      <c r="K234" s="82" t="str">
        <f t="shared" si="156"/>
        <v/>
      </c>
      <c r="L234" s="50"/>
      <c r="M234" s="85">
        <f t="shared" ref="M234:M240" si="173">L234*$F234</f>
        <v>0</v>
      </c>
      <c r="N234" s="82" t="str">
        <f t="shared" si="157"/>
        <v/>
      </c>
      <c r="O234" s="50"/>
      <c r="P234" s="85">
        <f t="shared" ref="P234:P240" si="174">O234*$F234</f>
        <v>0</v>
      </c>
      <c r="Q234" s="82" t="str">
        <f t="shared" si="158"/>
        <v/>
      </c>
      <c r="R234" s="50"/>
      <c r="S234" s="85">
        <f t="shared" ref="S234:S240" si="175">R234*$F234</f>
        <v>0</v>
      </c>
      <c r="T234" s="82" t="str">
        <f t="shared" si="159"/>
        <v/>
      </c>
      <c r="U234" s="50"/>
      <c r="V234" s="85">
        <f t="shared" ref="V234:V240" si="176">U234*$F234</f>
        <v>0</v>
      </c>
      <c r="W234" s="82" t="str">
        <f t="shared" si="160"/>
        <v/>
      </c>
      <c r="X234" s="50"/>
      <c r="Y234" s="85">
        <f t="shared" ref="Y234:Y240" si="177">X234*$F234</f>
        <v>0</v>
      </c>
      <c r="Z234" s="82" t="str">
        <f t="shared" si="161"/>
        <v/>
      </c>
      <c r="AA234" s="50"/>
      <c r="AB234" s="85">
        <f t="shared" ref="AB234:AB240" si="178">AA234*$F234</f>
        <v>0</v>
      </c>
      <c r="AC234" s="82" t="str">
        <f t="shared" si="162"/>
        <v/>
      </c>
      <c r="AD234" s="50"/>
      <c r="AE234" s="85">
        <f t="shared" ref="AE234:AE240" si="179">AD234*$F234</f>
        <v>0</v>
      </c>
      <c r="AF234" s="82" t="str">
        <f t="shared" si="163"/>
        <v/>
      </c>
      <c r="AG234" s="50"/>
      <c r="AH234" s="85">
        <f t="shared" ref="AH234:AH240" si="180">AG234*$F234</f>
        <v>0</v>
      </c>
      <c r="AI234" s="82" t="str">
        <f t="shared" si="164"/>
        <v/>
      </c>
      <c r="AJ234" s="50"/>
      <c r="AK234" s="85">
        <f t="shared" ref="AK234:AK240" si="181">AJ234*$F234</f>
        <v>0</v>
      </c>
      <c r="AL234" s="82" t="str">
        <f t="shared" si="165"/>
        <v/>
      </c>
      <c r="AM234" s="50"/>
      <c r="AN234" s="85">
        <f t="shared" ref="AN234:AN240" si="182">AM234*$F234</f>
        <v>0</v>
      </c>
      <c r="AO234" s="82" t="str">
        <f t="shared" si="166"/>
        <v/>
      </c>
      <c r="AP234" s="48">
        <f t="shared" si="155"/>
        <v>0</v>
      </c>
      <c r="AQ234" s="85">
        <f t="shared" ref="AQ234:AQ240" si="183">AP234*$F234</f>
        <v>0</v>
      </c>
      <c r="AR234" s="82" t="str">
        <f t="shared" si="167"/>
        <v/>
      </c>
      <c r="AS234" s="48">
        <f t="shared" si="154"/>
        <v>793.25</v>
      </c>
      <c r="AT234" s="85">
        <f t="shared" ref="AT234:AT240" si="184">AS234*$F234</f>
        <v>75596.724999999991</v>
      </c>
      <c r="AU234" s="82">
        <f t="shared" si="168"/>
        <v>1</v>
      </c>
    </row>
    <row r="235" spans="1:47" ht="45">
      <c r="A235" s="16"/>
      <c r="B235" s="97" t="s">
        <v>1048</v>
      </c>
      <c r="C235" s="167" t="s">
        <v>1049</v>
      </c>
      <c r="D235" s="86" t="s">
        <v>1050</v>
      </c>
      <c r="E235" s="97" t="s">
        <v>44</v>
      </c>
      <c r="F235" s="172">
        <v>443.77</v>
      </c>
      <c r="G235" s="97">
        <v>1.38</v>
      </c>
      <c r="H235" s="85">
        <f t="shared" si="171"/>
        <v>612.40259999999989</v>
      </c>
      <c r="I235" s="50">
        <f t="shared" si="170"/>
        <v>0</v>
      </c>
      <c r="J235" s="85">
        <f t="shared" si="172"/>
        <v>0</v>
      </c>
      <c r="K235" s="82" t="str">
        <f t="shared" si="156"/>
        <v/>
      </c>
      <c r="L235" s="50"/>
      <c r="M235" s="85">
        <f t="shared" si="173"/>
        <v>0</v>
      </c>
      <c r="N235" s="82" t="str">
        <f t="shared" si="157"/>
        <v/>
      </c>
      <c r="O235" s="50"/>
      <c r="P235" s="85">
        <f t="shared" si="174"/>
        <v>0</v>
      </c>
      <c r="Q235" s="82" t="str">
        <f t="shared" si="158"/>
        <v/>
      </c>
      <c r="R235" s="50"/>
      <c r="S235" s="85">
        <f t="shared" si="175"/>
        <v>0</v>
      </c>
      <c r="T235" s="82" t="str">
        <f t="shared" si="159"/>
        <v/>
      </c>
      <c r="U235" s="50"/>
      <c r="V235" s="85">
        <f t="shared" si="176"/>
        <v>0</v>
      </c>
      <c r="W235" s="82" t="str">
        <f t="shared" si="160"/>
        <v/>
      </c>
      <c r="X235" s="50"/>
      <c r="Y235" s="85">
        <f t="shared" si="177"/>
        <v>0</v>
      </c>
      <c r="Z235" s="82" t="str">
        <f t="shared" si="161"/>
        <v/>
      </c>
      <c r="AA235" s="50"/>
      <c r="AB235" s="85">
        <f t="shared" si="178"/>
        <v>0</v>
      </c>
      <c r="AC235" s="82" t="str">
        <f t="shared" si="162"/>
        <v/>
      </c>
      <c r="AD235" s="50"/>
      <c r="AE235" s="85">
        <f t="shared" si="179"/>
        <v>0</v>
      </c>
      <c r="AF235" s="82" t="str">
        <f t="shared" si="163"/>
        <v/>
      </c>
      <c r="AG235" s="50"/>
      <c r="AH235" s="85">
        <f t="shared" si="180"/>
        <v>0</v>
      </c>
      <c r="AI235" s="82" t="str">
        <f t="shared" si="164"/>
        <v/>
      </c>
      <c r="AJ235" s="50"/>
      <c r="AK235" s="85">
        <f t="shared" si="181"/>
        <v>0</v>
      </c>
      <c r="AL235" s="82" t="str">
        <f t="shared" si="165"/>
        <v/>
      </c>
      <c r="AM235" s="50"/>
      <c r="AN235" s="85">
        <f t="shared" si="182"/>
        <v>0</v>
      </c>
      <c r="AO235" s="82" t="str">
        <f t="shared" si="166"/>
        <v/>
      </c>
      <c r="AP235" s="48">
        <f t="shared" si="155"/>
        <v>0</v>
      </c>
      <c r="AQ235" s="85">
        <f t="shared" si="183"/>
        <v>0</v>
      </c>
      <c r="AR235" s="82" t="str">
        <f t="shared" si="167"/>
        <v/>
      </c>
      <c r="AS235" s="48">
        <f t="shared" si="154"/>
        <v>1.38</v>
      </c>
      <c r="AT235" s="85">
        <f t="shared" si="184"/>
        <v>612.40259999999989</v>
      </c>
      <c r="AU235" s="82">
        <f t="shared" si="168"/>
        <v>1</v>
      </c>
    </row>
    <row r="236" spans="1:47" ht="30">
      <c r="A236" s="16"/>
      <c r="B236" s="97" t="s">
        <v>1051</v>
      </c>
      <c r="C236" s="167" t="s">
        <v>1052</v>
      </c>
      <c r="D236" s="86" t="s">
        <v>1053</v>
      </c>
      <c r="E236" s="97" t="s">
        <v>44</v>
      </c>
      <c r="F236" s="172">
        <v>100.17</v>
      </c>
      <c r="G236" s="97">
        <v>5.2</v>
      </c>
      <c r="H236" s="85">
        <f t="shared" si="171"/>
        <v>520.88400000000001</v>
      </c>
      <c r="I236" s="50">
        <f t="shared" si="170"/>
        <v>0</v>
      </c>
      <c r="J236" s="85">
        <f t="shared" si="172"/>
        <v>0</v>
      </c>
      <c r="K236" s="82" t="str">
        <f t="shared" si="156"/>
        <v/>
      </c>
      <c r="L236" s="50"/>
      <c r="M236" s="85">
        <f t="shared" si="173"/>
        <v>0</v>
      </c>
      <c r="N236" s="82" t="str">
        <f t="shared" si="157"/>
        <v/>
      </c>
      <c r="O236" s="50"/>
      <c r="P236" s="85">
        <f t="shared" si="174"/>
        <v>0</v>
      </c>
      <c r="Q236" s="82" t="str">
        <f t="shared" si="158"/>
        <v/>
      </c>
      <c r="R236" s="50"/>
      <c r="S236" s="85">
        <f t="shared" si="175"/>
        <v>0</v>
      </c>
      <c r="T236" s="82" t="str">
        <f t="shared" si="159"/>
        <v/>
      </c>
      <c r="U236" s="50"/>
      <c r="V236" s="85">
        <f t="shared" si="176"/>
        <v>0</v>
      </c>
      <c r="W236" s="82" t="str">
        <f t="shared" si="160"/>
        <v/>
      </c>
      <c r="X236" s="50"/>
      <c r="Y236" s="85">
        <f t="shared" si="177"/>
        <v>0</v>
      </c>
      <c r="Z236" s="82" t="str">
        <f t="shared" si="161"/>
        <v/>
      </c>
      <c r="AA236" s="50"/>
      <c r="AB236" s="85">
        <f t="shared" si="178"/>
        <v>0</v>
      </c>
      <c r="AC236" s="82" t="str">
        <f t="shared" si="162"/>
        <v/>
      </c>
      <c r="AD236" s="50"/>
      <c r="AE236" s="85">
        <f t="shared" si="179"/>
        <v>0</v>
      </c>
      <c r="AF236" s="82" t="str">
        <f t="shared" si="163"/>
        <v/>
      </c>
      <c r="AG236" s="50"/>
      <c r="AH236" s="85">
        <f t="shared" si="180"/>
        <v>0</v>
      </c>
      <c r="AI236" s="82" t="str">
        <f t="shared" si="164"/>
        <v/>
      </c>
      <c r="AJ236" s="50"/>
      <c r="AK236" s="85">
        <f t="shared" si="181"/>
        <v>0</v>
      </c>
      <c r="AL236" s="82" t="str">
        <f t="shared" si="165"/>
        <v/>
      </c>
      <c r="AM236" s="50"/>
      <c r="AN236" s="85">
        <f t="shared" si="182"/>
        <v>0</v>
      </c>
      <c r="AO236" s="82" t="str">
        <f t="shared" si="166"/>
        <v/>
      </c>
      <c r="AP236" s="48">
        <f t="shared" si="155"/>
        <v>0</v>
      </c>
      <c r="AQ236" s="85">
        <f t="shared" si="183"/>
        <v>0</v>
      </c>
      <c r="AR236" s="82" t="str">
        <f t="shared" si="167"/>
        <v/>
      </c>
      <c r="AS236" s="48">
        <f t="shared" si="154"/>
        <v>5.2</v>
      </c>
      <c r="AT236" s="85">
        <f t="shared" si="184"/>
        <v>520.88400000000001</v>
      </c>
      <c r="AU236" s="82">
        <f t="shared" si="168"/>
        <v>1</v>
      </c>
    </row>
    <row r="237" spans="1:47" ht="45">
      <c r="A237" s="16"/>
      <c r="B237" s="97" t="s">
        <v>1054</v>
      </c>
      <c r="C237" s="167" t="s">
        <v>1055</v>
      </c>
      <c r="D237" s="86" t="s">
        <v>1056</v>
      </c>
      <c r="E237" s="97" t="s">
        <v>44</v>
      </c>
      <c r="F237" s="172">
        <v>100.17</v>
      </c>
      <c r="G237" s="97">
        <v>6.9</v>
      </c>
      <c r="H237" s="85">
        <f t="shared" si="171"/>
        <v>691.173</v>
      </c>
      <c r="I237" s="50">
        <f t="shared" si="170"/>
        <v>0</v>
      </c>
      <c r="J237" s="85">
        <f t="shared" si="172"/>
        <v>0</v>
      </c>
      <c r="K237" s="82" t="str">
        <f t="shared" si="156"/>
        <v/>
      </c>
      <c r="L237" s="50"/>
      <c r="M237" s="85">
        <f t="shared" si="173"/>
        <v>0</v>
      </c>
      <c r="N237" s="82" t="str">
        <f t="shared" si="157"/>
        <v/>
      </c>
      <c r="O237" s="50"/>
      <c r="P237" s="85">
        <f t="shared" si="174"/>
        <v>0</v>
      </c>
      <c r="Q237" s="82" t="str">
        <f t="shared" si="158"/>
        <v/>
      </c>
      <c r="R237" s="50"/>
      <c r="S237" s="85">
        <f t="shared" si="175"/>
        <v>0</v>
      </c>
      <c r="T237" s="82" t="str">
        <f t="shared" si="159"/>
        <v/>
      </c>
      <c r="U237" s="50"/>
      <c r="V237" s="85">
        <f t="shared" si="176"/>
        <v>0</v>
      </c>
      <c r="W237" s="82" t="str">
        <f t="shared" si="160"/>
        <v/>
      </c>
      <c r="X237" s="50"/>
      <c r="Y237" s="85">
        <f t="shared" si="177"/>
        <v>0</v>
      </c>
      <c r="Z237" s="82" t="str">
        <f t="shared" si="161"/>
        <v/>
      </c>
      <c r="AA237" s="50"/>
      <c r="AB237" s="85">
        <f t="shared" si="178"/>
        <v>0</v>
      </c>
      <c r="AC237" s="82" t="str">
        <f t="shared" si="162"/>
        <v/>
      </c>
      <c r="AD237" s="50"/>
      <c r="AE237" s="85">
        <f t="shared" si="179"/>
        <v>0</v>
      </c>
      <c r="AF237" s="82" t="str">
        <f t="shared" si="163"/>
        <v/>
      </c>
      <c r="AG237" s="50"/>
      <c r="AH237" s="85">
        <f t="shared" si="180"/>
        <v>0</v>
      </c>
      <c r="AI237" s="82" t="str">
        <f t="shared" si="164"/>
        <v/>
      </c>
      <c r="AJ237" s="50"/>
      <c r="AK237" s="85">
        <f t="shared" si="181"/>
        <v>0</v>
      </c>
      <c r="AL237" s="82" t="str">
        <f t="shared" si="165"/>
        <v/>
      </c>
      <c r="AM237" s="50"/>
      <c r="AN237" s="85">
        <f t="shared" si="182"/>
        <v>0</v>
      </c>
      <c r="AO237" s="82" t="str">
        <f t="shared" si="166"/>
        <v/>
      </c>
      <c r="AP237" s="48">
        <f t="shared" si="155"/>
        <v>0</v>
      </c>
      <c r="AQ237" s="85">
        <f t="shared" si="183"/>
        <v>0</v>
      </c>
      <c r="AR237" s="82" t="str">
        <f t="shared" si="167"/>
        <v/>
      </c>
      <c r="AS237" s="48">
        <f t="shared" si="154"/>
        <v>6.9</v>
      </c>
      <c r="AT237" s="85">
        <f t="shared" si="184"/>
        <v>691.173</v>
      </c>
      <c r="AU237" s="82">
        <f t="shared" si="168"/>
        <v>1</v>
      </c>
    </row>
    <row r="238" spans="1:47" ht="45">
      <c r="A238" s="16"/>
      <c r="B238" s="97" t="s">
        <v>1057</v>
      </c>
      <c r="C238" s="167" t="s">
        <v>1058</v>
      </c>
      <c r="D238" s="86" t="s">
        <v>1059</v>
      </c>
      <c r="E238" s="97" t="s">
        <v>44</v>
      </c>
      <c r="F238" s="172">
        <v>116.41</v>
      </c>
      <c r="G238" s="97">
        <v>1.8</v>
      </c>
      <c r="H238" s="85">
        <f t="shared" si="171"/>
        <v>209.53800000000001</v>
      </c>
      <c r="I238" s="50">
        <f t="shared" si="170"/>
        <v>0</v>
      </c>
      <c r="J238" s="85">
        <f t="shared" si="172"/>
        <v>0</v>
      </c>
      <c r="K238" s="82" t="str">
        <f t="shared" si="156"/>
        <v/>
      </c>
      <c r="L238" s="50"/>
      <c r="M238" s="85">
        <f t="shared" si="173"/>
        <v>0</v>
      </c>
      <c r="N238" s="82" t="str">
        <f t="shared" si="157"/>
        <v/>
      </c>
      <c r="O238" s="50"/>
      <c r="P238" s="85">
        <f t="shared" si="174"/>
        <v>0</v>
      </c>
      <c r="Q238" s="82" t="str">
        <f t="shared" si="158"/>
        <v/>
      </c>
      <c r="R238" s="50"/>
      <c r="S238" s="85">
        <f t="shared" si="175"/>
        <v>0</v>
      </c>
      <c r="T238" s="82" t="str">
        <f t="shared" si="159"/>
        <v/>
      </c>
      <c r="U238" s="50"/>
      <c r="V238" s="85">
        <f t="shared" si="176"/>
        <v>0</v>
      </c>
      <c r="W238" s="82" t="str">
        <f t="shared" si="160"/>
        <v/>
      </c>
      <c r="X238" s="50"/>
      <c r="Y238" s="85">
        <f t="shared" si="177"/>
        <v>0</v>
      </c>
      <c r="Z238" s="82" t="str">
        <f t="shared" si="161"/>
        <v/>
      </c>
      <c r="AA238" s="50"/>
      <c r="AB238" s="85">
        <f t="shared" si="178"/>
        <v>0</v>
      </c>
      <c r="AC238" s="82" t="str">
        <f t="shared" si="162"/>
        <v/>
      </c>
      <c r="AD238" s="50"/>
      <c r="AE238" s="85">
        <f t="shared" si="179"/>
        <v>0</v>
      </c>
      <c r="AF238" s="82" t="str">
        <f t="shared" si="163"/>
        <v/>
      </c>
      <c r="AG238" s="50"/>
      <c r="AH238" s="85">
        <f t="shared" si="180"/>
        <v>0</v>
      </c>
      <c r="AI238" s="82" t="str">
        <f t="shared" si="164"/>
        <v/>
      </c>
      <c r="AJ238" s="50"/>
      <c r="AK238" s="85">
        <f t="shared" si="181"/>
        <v>0</v>
      </c>
      <c r="AL238" s="82" t="str">
        <f t="shared" si="165"/>
        <v/>
      </c>
      <c r="AM238" s="50"/>
      <c r="AN238" s="85">
        <f t="shared" si="182"/>
        <v>0</v>
      </c>
      <c r="AO238" s="82" t="str">
        <f t="shared" si="166"/>
        <v/>
      </c>
      <c r="AP238" s="48">
        <f t="shared" si="155"/>
        <v>0</v>
      </c>
      <c r="AQ238" s="85">
        <f t="shared" si="183"/>
        <v>0</v>
      </c>
      <c r="AR238" s="82" t="str">
        <f t="shared" si="167"/>
        <v/>
      </c>
      <c r="AS238" s="48">
        <f t="shared" si="154"/>
        <v>1.8</v>
      </c>
      <c r="AT238" s="85">
        <f t="shared" si="184"/>
        <v>209.53800000000001</v>
      </c>
      <c r="AU238" s="82">
        <f t="shared" si="168"/>
        <v>1</v>
      </c>
    </row>
    <row r="239" spans="1:47" ht="30">
      <c r="A239" s="16"/>
      <c r="B239" s="97" t="s">
        <v>1060</v>
      </c>
      <c r="C239" s="167" t="s">
        <v>1061</v>
      </c>
      <c r="D239" s="86" t="s">
        <v>1062</v>
      </c>
      <c r="E239" s="97" t="s">
        <v>44</v>
      </c>
      <c r="F239" s="172">
        <v>89.34</v>
      </c>
      <c r="G239" s="97">
        <v>0.8</v>
      </c>
      <c r="H239" s="85">
        <f t="shared" si="171"/>
        <v>71.472000000000008</v>
      </c>
      <c r="I239" s="50">
        <f t="shared" si="170"/>
        <v>0</v>
      </c>
      <c r="J239" s="85">
        <f t="shared" si="172"/>
        <v>0</v>
      </c>
      <c r="K239" s="82" t="str">
        <f t="shared" si="156"/>
        <v/>
      </c>
      <c r="L239" s="50"/>
      <c r="M239" s="85">
        <f t="shared" si="173"/>
        <v>0</v>
      </c>
      <c r="N239" s="82" t="str">
        <f t="shared" si="157"/>
        <v/>
      </c>
      <c r="O239" s="50"/>
      <c r="P239" s="85">
        <f t="shared" si="174"/>
        <v>0</v>
      </c>
      <c r="Q239" s="82" t="str">
        <f t="shared" si="158"/>
        <v/>
      </c>
      <c r="R239" s="50"/>
      <c r="S239" s="85">
        <f t="shared" si="175"/>
        <v>0</v>
      </c>
      <c r="T239" s="82" t="str">
        <f t="shared" si="159"/>
        <v/>
      </c>
      <c r="U239" s="50"/>
      <c r="V239" s="85">
        <f t="shared" si="176"/>
        <v>0</v>
      </c>
      <c r="W239" s="82" t="str">
        <f t="shared" si="160"/>
        <v/>
      </c>
      <c r="X239" s="50"/>
      <c r="Y239" s="85">
        <f t="shared" si="177"/>
        <v>0</v>
      </c>
      <c r="Z239" s="82" t="str">
        <f t="shared" si="161"/>
        <v/>
      </c>
      <c r="AA239" s="50"/>
      <c r="AB239" s="85">
        <f t="shared" si="178"/>
        <v>0</v>
      </c>
      <c r="AC239" s="82" t="str">
        <f t="shared" si="162"/>
        <v/>
      </c>
      <c r="AD239" s="50"/>
      <c r="AE239" s="85">
        <f t="shared" si="179"/>
        <v>0</v>
      </c>
      <c r="AF239" s="82" t="str">
        <f t="shared" si="163"/>
        <v/>
      </c>
      <c r="AG239" s="50"/>
      <c r="AH239" s="85">
        <f t="shared" si="180"/>
        <v>0</v>
      </c>
      <c r="AI239" s="82" t="str">
        <f t="shared" si="164"/>
        <v/>
      </c>
      <c r="AJ239" s="50"/>
      <c r="AK239" s="85">
        <f t="shared" si="181"/>
        <v>0</v>
      </c>
      <c r="AL239" s="82" t="str">
        <f t="shared" si="165"/>
        <v/>
      </c>
      <c r="AM239" s="50"/>
      <c r="AN239" s="85">
        <f t="shared" si="182"/>
        <v>0</v>
      </c>
      <c r="AO239" s="82" t="str">
        <f t="shared" si="166"/>
        <v/>
      </c>
      <c r="AP239" s="48">
        <f t="shared" si="155"/>
        <v>0</v>
      </c>
      <c r="AQ239" s="85">
        <f t="shared" si="183"/>
        <v>0</v>
      </c>
      <c r="AR239" s="82" t="str">
        <f t="shared" si="167"/>
        <v/>
      </c>
      <c r="AS239" s="48">
        <f t="shared" si="154"/>
        <v>0.8</v>
      </c>
      <c r="AT239" s="85">
        <f t="shared" si="184"/>
        <v>71.472000000000008</v>
      </c>
      <c r="AU239" s="82">
        <f t="shared" si="168"/>
        <v>1</v>
      </c>
    </row>
    <row r="240" spans="1:47" ht="30">
      <c r="A240" s="16"/>
      <c r="B240" s="97" t="s">
        <v>1063</v>
      </c>
      <c r="C240" s="167" t="s">
        <v>1064</v>
      </c>
      <c r="D240" s="86" t="s">
        <v>1065</v>
      </c>
      <c r="E240" s="97" t="s">
        <v>44</v>
      </c>
      <c r="F240" s="172">
        <v>120.34</v>
      </c>
      <c r="G240" s="97">
        <v>101.88</v>
      </c>
      <c r="H240" s="85">
        <f t="shared" si="171"/>
        <v>12260.2392</v>
      </c>
      <c r="I240" s="50">
        <f t="shared" si="170"/>
        <v>0</v>
      </c>
      <c r="J240" s="85">
        <f t="shared" si="172"/>
        <v>0</v>
      </c>
      <c r="K240" s="82" t="str">
        <f t="shared" si="156"/>
        <v/>
      </c>
      <c r="L240" s="50"/>
      <c r="M240" s="85">
        <f t="shared" si="173"/>
        <v>0</v>
      </c>
      <c r="N240" s="82" t="str">
        <f t="shared" si="157"/>
        <v/>
      </c>
      <c r="O240" s="50"/>
      <c r="P240" s="85">
        <f t="shared" si="174"/>
        <v>0</v>
      </c>
      <c r="Q240" s="82" t="str">
        <f t="shared" si="158"/>
        <v/>
      </c>
      <c r="R240" s="50"/>
      <c r="S240" s="85">
        <f t="shared" si="175"/>
        <v>0</v>
      </c>
      <c r="T240" s="82" t="str">
        <f t="shared" si="159"/>
        <v/>
      </c>
      <c r="U240" s="50"/>
      <c r="V240" s="85">
        <f t="shared" si="176"/>
        <v>0</v>
      </c>
      <c r="W240" s="82" t="str">
        <f t="shared" si="160"/>
        <v/>
      </c>
      <c r="X240" s="50"/>
      <c r="Y240" s="85">
        <f t="shared" si="177"/>
        <v>0</v>
      </c>
      <c r="Z240" s="82" t="str">
        <f t="shared" si="161"/>
        <v/>
      </c>
      <c r="AA240" s="50"/>
      <c r="AB240" s="85">
        <f t="shared" si="178"/>
        <v>0</v>
      </c>
      <c r="AC240" s="82" t="str">
        <f t="shared" si="162"/>
        <v/>
      </c>
      <c r="AD240" s="50"/>
      <c r="AE240" s="85">
        <f t="shared" si="179"/>
        <v>0</v>
      </c>
      <c r="AF240" s="82" t="str">
        <f t="shared" si="163"/>
        <v/>
      </c>
      <c r="AG240" s="50"/>
      <c r="AH240" s="85">
        <f t="shared" si="180"/>
        <v>0</v>
      </c>
      <c r="AI240" s="82" t="str">
        <f t="shared" si="164"/>
        <v/>
      </c>
      <c r="AJ240" s="50"/>
      <c r="AK240" s="85">
        <f t="shared" si="181"/>
        <v>0</v>
      </c>
      <c r="AL240" s="82" t="str">
        <f t="shared" si="165"/>
        <v/>
      </c>
      <c r="AM240" s="50"/>
      <c r="AN240" s="85">
        <f t="shared" si="182"/>
        <v>0</v>
      </c>
      <c r="AO240" s="82" t="str">
        <f t="shared" si="166"/>
        <v/>
      </c>
      <c r="AP240" s="48">
        <f t="shared" si="155"/>
        <v>0</v>
      </c>
      <c r="AQ240" s="85">
        <f t="shared" si="183"/>
        <v>0</v>
      </c>
      <c r="AR240" s="82" t="str">
        <f t="shared" si="167"/>
        <v/>
      </c>
      <c r="AS240" s="48">
        <f t="shared" si="154"/>
        <v>101.88</v>
      </c>
      <c r="AT240" s="85">
        <f t="shared" si="184"/>
        <v>12260.2392</v>
      </c>
      <c r="AU240" s="82">
        <f t="shared" si="168"/>
        <v>1</v>
      </c>
    </row>
    <row r="241" spans="1:47" s="161" customFormat="1">
      <c r="A241" s="94"/>
      <c r="B241" s="116" t="s">
        <v>1066</v>
      </c>
      <c r="C241" s="1945" t="s">
        <v>1067</v>
      </c>
      <c r="D241" s="1946"/>
      <c r="E241" s="1946"/>
      <c r="F241" s="1946"/>
      <c r="G241" s="1947"/>
      <c r="H241" s="106">
        <f>SUM(H242:H245)</f>
        <v>3478.3049000000001</v>
      </c>
      <c r="I241" s="50">
        <f t="shared" si="170"/>
        <v>0</v>
      </c>
      <c r="J241" s="106">
        <f>SUM(J242:J245)</f>
        <v>0</v>
      </c>
      <c r="K241" s="102">
        <f>J241/$H241</f>
        <v>0</v>
      </c>
      <c r="L241" s="101"/>
      <c r="M241" s="106">
        <f>SUM(M242:M245)</f>
        <v>0</v>
      </c>
      <c r="N241" s="102">
        <f>M241/$H241</f>
        <v>0</v>
      </c>
      <c r="O241" s="101"/>
      <c r="P241" s="106">
        <f>SUM(P242:P245)</f>
        <v>0</v>
      </c>
      <c r="Q241" s="102">
        <f>P241/$H241</f>
        <v>0</v>
      </c>
      <c r="R241" s="101"/>
      <c r="S241" s="106">
        <f>SUM(S242:S245)</f>
        <v>0</v>
      </c>
      <c r="T241" s="102">
        <f>S241/$H241</f>
        <v>0</v>
      </c>
      <c r="U241" s="101"/>
      <c r="V241" s="106">
        <f>SUM(V242:V245)</f>
        <v>0</v>
      </c>
      <c r="W241" s="102">
        <f>V241/$H241</f>
        <v>0</v>
      </c>
      <c r="X241" s="101"/>
      <c r="Y241" s="106">
        <f>SUM(Y242:Y245)</f>
        <v>0</v>
      </c>
      <c r="Z241" s="102">
        <f>Y241/$H241</f>
        <v>0</v>
      </c>
      <c r="AA241" s="101"/>
      <c r="AB241" s="106">
        <f>SUM(AB242:AB245)</f>
        <v>0</v>
      </c>
      <c r="AC241" s="102">
        <f>AB241/$H241</f>
        <v>0</v>
      </c>
      <c r="AD241" s="101"/>
      <c r="AE241" s="106">
        <f>SUM(AE242:AE245)</f>
        <v>0</v>
      </c>
      <c r="AF241" s="102">
        <f>AE241/$H241</f>
        <v>0</v>
      </c>
      <c r="AG241" s="101"/>
      <c r="AH241" s="106">
        <f>SUM(AH242:AH245)</f>
        <v>0</v>
      </c>
      <c r="AI241" s="102">
        <f>AH241/$H241</f>
        <v>0</v>
      </c>
      <c r="AJ241" s="101"/>
      <c r="AK241" s="106">
        <f>SUM(AK242:AK245)</f>
        <v>0</v>
      </c>
      <c r="AL241" s="102">
        <f>AK241/$H241</f>
        <v>0</v>
      </c>
      <c r="AM241" s="101"/>
      <c r="AN241" s="106">
        <f>SUM(AN242:AN245)</f>
        <v>0</v>
      </c>
      <c r="AO241" s="102">
        <f>AN241/$H241</f>
        <v>0</v>
      </c>
      <c r="AP241" s="160">
        <f t="shared" si="155"/>
        <v>0</v>
      </c>
      <c r="AQ241" s="106">
        <f>SUM(AQ242:AQ245)</f>
        <v>0</v>
      </c>
      <c r="AR241" s="102">
        <f>AQ241/$H241</f>
        <v>0</v>
      </c>
      <c r="AS241" s="160">
        <f t="shared" si="154"/>
        <v>0</v>
      </c>
      <c r="AT241" s="106">
        <f>SUM(AT242:AT245)</f>
        <v>3478.3049000000001</v>
      </c>
      <c r="AU241" s="102">
        <f>AT241/$H241</f>
        <v>1</v>
      </c>
    </row>
    <row r="242" spans="1:47" ht="45">
      <c r="A242" s="16"/>
      <c r="B242" s="97" t="s">
        <v>1068</v>
      </c>
      <c r="C242" s="167" t="s">
        <v>403</v>
      </c>
      <c r="D242" s="86" t="s">
        <v>404</v>
      </c>
      <c r="E242" s="97" t="s">
        <v>12</v>
      </c>
      <c r="F242" s="172">
        <v>24.99</v>
      </c>
      <c r="G242" s="97">
        <v>28.05</v>
      </c>
      <c r="H242" s="85">
        <f t="shared" si="171"/>
        <v>700.96949999999993</v>
      </c>
      <c r="I242" s="50">
        <f t="shared" si="170"/>
        <v>0</v>
      </c>
      <c r="J242" s="85">
        <f>I242*$F242</f>
        <v>0</v>
      </c>
      <c r="K242" s="82" t="str">
        <f t="shared" si="156"/>
        <v/>
      </c>
      <c r="L242" s="50"/>
      <c r="M242" s="85">
        <f>L242*$F242</f>
        <v>0</v>
      </c>
      <c r="N242" s="82" t="str">
        <f t="shared" si="157"/>
        <v/>
      </c>
      <c r="O242" s="50"/>
      <c r="P242" s="85">
        <f>O242*$F242</f>
        <v>0</v>
      </c>
      <c r="Q242" s="82" t="str">
        <f t="shared" si="158"/>
        <v/>
      </c>
      <c r="R242" s="50"/>
      <c r="S242" s="85">
        <f>R242*$F242</f>
        <v>0</v>
      </c>
      <c r="T242" s="82" t="str">
        <f t="shared" si="159"/>
        <v/>
      </c>
      <c r="U242" s="50"/>
      <c r="V242" s="85">
        <f>U242*$F242</f>
        <v>0</v>
      </c>
      <c r="W242" s="82" t="str">
        <f t="shared" si="160"/>
        <v/>
      </c>
      <c r="X242" s="50"/>
      <c r="Y242" s="85">
        <f>X242*$F242</f>
        <v>0</v>
      </c>
      <c r="Z242" s="82" t="str">
        <f t="shared" si="161"/>
        <v/>
      </c>
      <c r="AA242" s="50"/>
      <c r="AB242" s="85">
        <f>AA242*$F242</f>
        <v>0</v>
      </c>
      <c r="AC242" s="82" t="str">
        <f t="shared" si="162"/>
        <v/>
      </c>
      <c r="AD242" s="50"/>
      <c r="AE242" s="85">
        <f>AD242*$F242</f>
        <v>0</v>
      </c>
      <c r="AF242" s="82" t="str">
        <f t="shared" si="163"/>
        <v/>
      </c>
      <c r="AG242" s="50"/>
      <c r="AH242" s="85">
        <f>AG242*$F242</f>
        <v>0</v>
      </c>
      <c r="AI242" s="82" t="str">
        <f t="shared" si="164"/>
        <v/>
      </c>
      <c r="AJ242" s="50"/>
      <c r="AK242" s="85">
        <f>AJ242*$F242</f>
        <v>0</v>
      </c>
      <c r="AL242" s="82" t="str">
        <f t="shared" si="165"/>
        <v/>
      </c>
      <c r="AM242" s="50"/>
      <c r="AN242" s="85">
        <f>AM242*$F242</f>
        <v>0</v>
      </c>
      <c r="AO242" s="82" t="str">
        <f t="shared" si="166"/>
        <v/>
      </c>
      <c r="AP242" s="48">
        <f t="shared" si="155"/>
        <v>0</v>
      </c>
      <c r="AQ242" s="85">
        <f>AP242*$F242</f>
        <v>0</v>
      </c>
      <c r="AR242" s="82" t="str">
        <f t="shared" si="167"/>
        <v/>
      </c>
      <c r="AS242" s="48">
        <f t="shared" si="154"/>
        <v>28.05</v>
      </c>
      <c r="AT242" s="85">
        <f>AS242*$F242</f>
        <v>700.96949999999993</v>
      </c>
      <c r="AU242" s="82">
        <f t="shared" si="168"/>
        <v>1</v>
      </c>
    </row>
    <row r="243" spans="1:47" ht="45">
      <c r="A243" s="16"/>
      <c r="B243" s="97" t="s">
        <v>1069</v>
      </c>
      <c r="C243" s="167" t="s">
        <v>1070</v>
      </c>
      <c r="D243" s="86" t="s">
        <v>1071</v>
      </c>
      <c r="E243" s="97" t="s">
        <v>12</v>
      </c>
      <c r="F243" s="172">
        <v>3.48</v>
      </c>
      <c r="G243" s="97">
        <v>28.05</v>
      </c>
      <c r="H243" s="85">
        <f t="shared" si="171"/>
        <v>97.614000000000004</v>
      </c>
      <c r="I243" s="50">
        <f t="shared" si="170"/>
        <v>0</v>
      </c>
      <c r="J243" s="85">
        <f>I243*$F243</f>
        <v>0</v>
      </c>
      <c r="K243" s="82" t="str">
        <f t="shared" si="156"/>
        <v/>
      </c>
      <c r="L243" s="50"/>
      <c r="M243" s="85">
        <f>L243*$F243</f>
        <v>0</v>
      </c>
      <c r="N243" s="82" t="str">
        <f t="shared" si="157"/>
        <v/>
      </c>
      <c r="O243" s="50"/>
      <c r="P243" s="85">
        <f>O243*$F243</f>
        <v>0</v>
      </c>
      <c r="Q243" s="82" t="str">
        <f t="shared" si="158"/>
        <v/>
      </c>
      <c r="R243" s="50"/>
      <c r="S243" s="85">
        <f>R243*$F243</f>
        <v>0</v>
      </c>
      <c r="T243" s="82" t="str">
        <f t="shared" si="159"/>
        <v/>
      </c>
      <c r="U243" s="50"/>
      <c r="V243" s="85">
        <f>U243*$F243</f>
        <v>0</v>
      </c>
      <c r="W243" s="82" t="str">
        <f t="shared" si="160"/>
        <v/>
      </c>
      <c r="X243" s="50"/>
      <c r="Y243" s="85">
        <f>X243*$F243</f>
        <v>0</v>
      </c>
      <c r="Z243" s="82" t="str">
        <f t="shared" si="161"/>
        <v/>
      </c>
      <c r="AA243" s="50"/>
      <c r="AB243" s="85">
        <f>AA243*$F243</f>
        <v>0</v>
      </c>
      <c r="AC243" s="82" t="str">
        <f t="shared" si="162"/>
        <v/>
      </c>
      <c r="AD243" s="50"/>
      <c r="AE243" s="85">
        <f>AD243*$F243</f>
        <v>0</v>
      </c>
      <c r="AF243" s="82" t="str">
        <f t="shared" si="163"/>
        <v/>
      </c>
      <c r="AG243" s="50"/>
      <c r="AH243" s="85">
        <f>AG243*$F243</f>
        <v>0</v>
      </c>
      <c r="AI243" s="82" t="str">
        <f t="shared" si="164"/>
        <v/>
      </c>
      <c r="AJ243" s="50"/>
      <c r="AK243" s="85">
        <f>AJ243*$F243</f>
        <v>0</v>
      </c>
      <c r="AL243" s="82" t="str">
        <f t="shared" si="165"/>
        <v/>
      </c>
      <c r="AM243" s="50"/>
      <c r="AN243" s="85">
        <f>AM243*$F243</f>
        <v>0</v>
      </c>
      <c r="AO243" s="82" t="str">
        <f t="shared" si="166"/>
        <v/>
      </c>
      <c r="AP243" s="48">
        <f t="shared" si="155"/>
        <v>0</v>
      </c>
      <c r="AQ243" s="85">
        <f>AP243*$F243</f>
        <v>0</v>
      </c>
      <c r="AR243" s="82" t="str">
        <f t="shared" si="167"/>
        <v/>
      </c>
      <c r="AS243" s="48">
        <f t="shared" si="154"/>
        <v>28.05</v>
      </c>
      <c r="AT243" s="85">
        <f>AS243*$F243</f>
        <v>97.614000000000004</v>
      </c>
      <c r="AU243" s="82">
        <f t="shared" si="168"/>
        <v>1</v>
      </c>
    </row>
    <row r="244" spans="1:47" ht="90">
      <c r="A244" s="16"/>
      <c r="B244" s="97" t="s">
        <v>1072</v>
      </c>
      <c r="C244" s="167" t="s">
        <v>1073</v>
      </c>
      <c r="D244" s="86" t="s">
        <v>1074</v>
      </c>
      <c r="E244" s="97" t="s">
        <v>12</v>
      </c>
      <c r="F244" s="172">
        <v>83.5</v>
      </c>
      <c r="G244" s="97">
        <v>28.05</v>
      </c>
      <c r="H244" s="85">
        <f t="shared" si="171"/>
        <v>2342.1750000000002</v>
      </c>
      <c r="I244" s="50">
        <f t="shared" si="170"/>
        <v>0</v>
      </c>
      <c r="J244" s="85">
        <f>I244*$F244</f>
        <v>0</v>
      </c>
      <c r="K244" s="82" t="str">
        <f t="shared" si="156"/>
        <v/>
      </c>
      <c r="L244" s="50"/>
      <c r="M244" s="85">
        <f>L244*$F244</f>
        <v>0</v>
      </c>
      <c r="N244" s="82" t="str">
        <f t="shared" si="157"/>
        <v/>
      </c>
      <c r="O244" s="50"/>
      <c r="P244" s="85">
        <f>O244*$F244</f>
        <v>0</v>
      </c>
      <c r="Q244" s="82" t="str">
        <f t="shared" si="158"/>
        <v/>
      </c>
      <c r="R244" s="50"/>
      <c r="S244" s="85">
        <f>R244*$F244</f>
        <v>0</v>
      </c>
      <c r="T244" s="82" t="str">
        <f t="shared" si="159"/>
        <v/>
      </c>
      <c r="U244" s="50"/>
      <c r="V244" s="85">
        <f>U244*$F244</f>
        <v>0</v>
      </c>
      <c r="W244" s="82" t="str">
        <f t="shared" si="160"/>
        <v/>
      </c>
      <c r="X244" s="50"/>
      <c r="Y244" s="85">
        <f>X244*$F244</f>
        <v>0</v>
      </c>
      <c r="Z244" s="82" t="str">
        <f t="shared" si="161"/>
        <v/>
      </c>
      <c r="AA244" s="50"/>
      <c r="AB244" s="85">
        <f>AA244*$F244</f>
        <v>0</v>
      </c>
      <c r="AC244" s="82" t="str">
        <f t="shared" si="162"/>
        <v/>
      </c>
      <c r="AD244" s="50"/>
      <c r="AE244" s="85">
        <f>AD244*$F244</f>
        <v>0</v>
      </c>
      <c r="AF244" s="82" t="str">
        <f t="shared" si="163"/>
        <v/>
      </c>
      <c r="AG244" s="50"/>
      <c r="AH244" s="85">
        <f>AG244*$F244</f>
        <v>0</v>
      </c>
      <c r="AI244" s="82" t="str">
        <f t="shared" si="164"/>
        <v/>
      </c>
      <c r="AJ244" s="50"/>
      <c r="AK244" s="85">
        <f>AJ244*$F244</f>
        <v>0</v>
      </c>
      <c r="AL244" s="82" t="str">
        <f t="shared" si="165"/>
        <v/>
      </c>
      <c r="AM244" s="50"/>
      <c r="AN244" s="85">
        <f>AM244*$F244</f>
        <v>0</v>
      </c>
      <c r="AO244" s="82" t="str">
        <f t="shared" si="166"/>
        <v/>
      </c>
      <c r="AP244" s="48">
        <f t="shared" si="155"/>
        <v>0</v>
      </c>
      <c r="AQ244" s="85">
        <f>AP244*$F244</f>
        <v>0</v>
      </c>
      <c r="AR244" s="82" t="str">
        <f t="shared" si="167"/>
        <v/>
      </c>
      <c r="AS244" s="48">
        <f t="shared" si="154"/>
        <v>28.05</v>
      </c>
      <c r="AT244" s="85">
        <f>AS244*$F244</f>
        <v>2342.1750000000002</v>
      </c>
      <c r="AU244" s="82">
        <f t="shared" si="168"/>
        <v>1</v>
      </c>
    </row>
    <row r="245" spans="1:47" ht="30">
      <c r="A245" s="16"/>
      <c r="B245" s="97" t="s">
        <v>1075</v>
      </c>
      <c r="C245" s="167" t="s">
        <v>1076</v>
      </c>
      <c r="D245" s="86" t="s">
        <v>1077</v>
      </c>
      <c r="E245" s="97" t="s">
        <v>12</v>
      </c>
      <c r="F245" s="172">
        <v>318.44</v>
      </c>
      <c r="G245" s="97">
        <v>1.06</v>
      </c>
      <c r="H245" s="85">
        <f t="shared" si="171"/>
        <v>337.54640000000001</v>
      </c>
      <c r="I245" s="50">
        <f t="shared" si="170"/>
        <v>0</v>
      </c>
      <c r="J245" s="85">
        <f>I245*$F245</f>
        <v>0</v>
      </c>
      <c r="K245" s="82" t="str">
        <f t="shared" si="156"/>
        <v/>
      </c>
      <c r="L245" s="50"/>
      <c r="M245" s="85">
        <f>L245*$F245</f>
        <v>0</v>
      </c>
      <c r="N245" s="82" t="str">
        <f t="shared" si="157"/>
        <v/>
      </c>
      <c r="O245" s="50"/>
      <c r="P245" s="85">
        <f>O245*$F245</f>
        <v>0</v>
      </c>
      <c r="Q245" s="82" t="str">
        <f t="shared" si="158"/>
        <v/>
      </c>
      <c r="R245" s="50"/>
      <c r="S245" s="85">
        <f>R245*$F245</f>
        <v>0</v>
      </c>
      <c r="T245" s="82" t="str">
        <f t="shared" si="159"/>
        <v/>
      </c>
      <c r="U245" s="50"/>
      <c r="V245" s="85">
        <f>U245*$F245</f>
        <v>0</v>
      </c>
      <c r="W245" s="82" t="str">
        <f t="shared" si="160"/>
        <v/>
      </c>
      <c r="X245" s="50"/>
      <c r="Y245" s="85">
        <f>X245*$F245</f>
        <v>0</v>
      </c>
      <c r="Z245" s="82" t="str">
        <f t="shared" si="161"/>
        <v/>
      </c>
      <c r="AA245" s="50"/>
      <c r="AB245" s="85">
        <f>AA245*$F245</f>
        <v>0</v>
      </c>
      <c r="AC245" s="82" t="str">
        <f t="shared" si="162"/>
        <v/>
      </c>
      <c r="AD245" s="50"/>
      <c r="AE245" s="85">
        <f>AD245*$F245</f>
        <v>0</v>
      </c>
      <c r="AF245" s="82" t="str">
        <f t="shared" si="163"/>
        <v/>
      </c>
      <c r="AG245" s="50"/>
      <c r="AH245" s="85">
        <f>AG245*$F245</f>
        <v>0</v>
      </c>
      <c r="AI245" s="82" t="str">
        <f t="shared" si="164"/>
        <v/>
      </c>
      <c r="AJ245" s="50"/>
      <c r="AK245" s="85">
        <f>AJ245*$F245</f>
        <v>0</v>
      </c>
      <c r="AL245" s="82" t="str">
        <f t="shared" si="165"/>
        <v/>
      </c>
      <c r="AM245" s="50"/>
      <c r="AN245" s="85">
        <f>AM245*$F245</f>
        <v>0</v>
      </c>
      <c r="AO245" s="82" t="str">
        <f t="shared" si="166"/>
        <v/>
      </c>
      <c r="AP245" s="48">
        <f t="shared" si="155"/>
        <v>0</v>
      </c>
      <c r="AQ245" s="85">
        <f>AP245*$F245</f>
        <v>0</v>
      </c>
      <c r="AR245" s="82" t="str">
        <f t="shared" si="167"/>
        <v/>
      </c>
      <c r="AS245" s="48">
        <f t="shared" si="154"/>
        <v>1.06</v>
      </c>
      <c r="AT245" s="85">
        <f>AS245*$F245</f>
        <v>337.54640000000001</v>
      </c>
      <c r="AU245" s="82">
        <f t="shared" si="168"/>
        <v>1</v>
      </c>
    </row>
    <row r="246" spans="1:47" s="161" customFormat="1">
      <c r="A246" s="94"/>
      <c r="B246" s="116" t="s">
        <v>1078</v>
      </c>
      <c r="C246" s="1945" t="s">
        <v>1079</v>
      </c>
      <c r="D246" s="1946"/>
      <c r="E246" s="1946"/>
      <c r="F246" s="1946"/>
      <c r="G246" s="1947"/>
      <c r="H246" s="106">
        <f>H247+H248</f>
        <v>8477.7999999999993</v>
      </c>
      <c r="I246" s="50">
        <f t="shared" si="170"/>
        <v>0</v>
      </c>
      <c r="J246" s="106">
        <f>J247+J248</f>
        <v>0</v>
      </c>
      <c r="K246" s="102">
        <f>J246/$H246</f>
        <v>0</v>
      </c>
      <c r="L246" s="101"/>
      <c r="M246" s="106">
        <f>M247+M248</f>
        <v>0</v>
      </c>
      <c r="N246" s="102">
        <f>M246/$H246</f>
        <v>0</v>
      </c>
      <c r="O246" s="101"/>
      <c r="P246" s="106">
        <f>P247+P248</f>
        <v>0</v>
      </c>
      <c r="Q246" s="102">
        <f>P246/$H246</f>
        <v>0</v>
      </c>
      <c r="R246" s="101"/>
      <c r="S246" s="106">
        <f>S247+S248</f>
        <v>0</v>
      </c>
      <c r="T246" s="102">
        <f>S246/$H246</f>
        <v>0</v>
      </c>
      <c r="U246" s="101"/>
      <c r="V246" s="106">
        <f>V247+V248</f>
        <v>0</v>
      </c>
      <c r="W246" s="102">
        <f>V246/$H246</f>
        <v>0</v>
      </c>
      <c r="X246" s="101"/>
      <c r="Y246" s="106">
        <f>Y247+Y248</f>
        <v>0</v>
      </c>
      <c r="Z246" s="102">
        <f>Y246/$H246</f>
        <v>0</v>
      </c>
      <c r="AA246" s="101"/>
      <c r="AB246" s="106">
        <f>AB247+AB248</f>
        <v>0</v>
      </c>
      <c r="AC246" s="102">
        <f>AB246/$H246</f>
        <v>0</v>
      </c>
      <c r="AD246" s="101"/>
      <c r="AE246" s="106">
        <f>AE247+AE248</f>
        <v>0</v>
      </c>
      <c r="AF246" s="102">
        <f>AE246/$H246</f>
        <v>0</v>
      </c>
      <c r="AG246" s="101"/>
      <c r="AH246" s="106">
        <f>AH247+AH248</f>
        <v>0</v>
      </c>
      <c r="AI246" s="102">
        <f>AH246/$H246</f>
        <v>0</v>
      </c>
      <c r="AJ246" s="101"/>
      <c r="AK246" s="106">
        <f>AK247+AK248</f>
        <v>0</v>
      </c>
      <c r="AL246" s="102">
        <f>AK246/$H246</f>
        <v>0</v>
      </c>
      <c r="AM246" s="101"/>
      <c r="AN246" s="106">
        <f>AN247+AN248</f>
        <v>0</v>
      </c>
      <c r="AO246" s="102">
        <f>AN246/$H246</f>
        <v>0</v>
      </c>
      <c r="AP246" s="160">
        <f t="shared" si="155"/>
        <v>0</v>
      </c>
      <c r="AQ246" s="106">
        <f>AQ247+AQ248</f>
        <v>0</v>
      </c>
      <c r="AR246" s="102">
        <f>AQ246/$H246</f>
        <v>0</v>
      </c>
      <c r="AS246" s="160">
        <f t="shared" si="154"/>
        <v>0</v>
      </c>
      <c r="AT246" s="106">
        <f>AT247+AT248</f>
        <v>8477.7999999999993</v>
      </c>
      <c r="AU246" s="102">
        <f>AT246/$H246</f>
        <v>1</v>
      </c>
    </row>
    <row r="247" spans="1:47" ht="90">
      <c r="A247" s="16"/>
      <c r="B247" s="97" t="s">
        <v>1080</v>
      </c>
      <c r="C247" s="167" t="s">
        <v>1081</v>
      </c>
      <c r="D247" s="86" t="s">
        <v>1082</v>
      </c>
      <c r="E247" s="97" t="s">
        <v>12</v>
      </c>
      <c r="F247" s="141">
        <v>151.30000000000001</v>
      </c>
      <c r="G247" s="97">
        <v>48.5</v>
      </c>
      <c r="H247" s="85">
        <f t="shared" si="171"/>
        <v>7338.05</v>
      </c>
      <c r="I247" s="50">
        <f t="shared" si="170"/>
        <v>0</v>
      </c>
      <c r="J247" s="85">
        <f>I247*$F247</f>
        <v>0</v>
      </c>
      <c r="K247" s="82" t="str">
        <f t="shared" si="156"/>
        <v/>
      </c>
      <c r="L247" s="50"/>
      <c r="M247" s="85">
        <f>L247*$F247</f>
        <v>0</v>
      </c>
      <c r="N247" s="82" t="str">
        <f t="shared" si="157"/>
        <v/>
      </c>
      <c r="O247" s="50"/>
      <c r="P247" s="85">
        <f>O247*$F247</f>
        <v>0</v>
      </c>
      <c r="Q247" s="82" t="str">
        <f t="shared" si="158"/>
        <v/>
      </c>
      <c r="R247" s="50"/>
      <c r="S247" s="85">
        <f>R247*$F247</f>
        <v>0</v>
      </c>
      <c r="T247" s="82" t="str">
        <f t="shared" si="159"/>
        <v/>
      </c>
      <c r="U247" s="50"/>
      <c r="V247" s="85">
        <f>U247*$F247</f>
        <v>0</v>
      </c>
      <c r="W247" s="82" t="str">
        <f t="shared" si="160"/>
        <v/>
      </c>
      <c r="X247" s="50"/>
      <c r="Y247" s="85">
        <f>X247*$F247</f>
        <v>0</v>
      </c>
      <c r="Z247" s="82" t="str">
        <f t="shared" si="161"/>
        <v/>
      </c>
      <c r="AA247" s="50"/>
      <c r="AB247" s="85">
        <f>AA247*$F247</f>
        <v>0</v>
      </c>
      <c r="AC247" s="82" t="str">
        <f t="shared" si="162"/>
        <v/>
      </c>
      <c r="AD247" s="50"/>
      <c r="AE247" s="85">
        <f>AD247*$F247</f>
        <v>0</v>
      </c>
      <c r="AF247" s="82" t="str">
        <f t="shared" si="163"/>
        <v/>
      </c>
      <c r="AG247" s="50"/>
      <c r="AH247" s="85">
        <f>AG247*$F247</f>
        <v>0</v>
      </c>
      <c r="AI247" s="82" t="str">
        <f t="shared" si="164"/>
        <v/>
      </c>
      <c r="AJ247" s="50"/>
      <c r="AK247" s="85">
        <f>AJ247*$F247</f>
        <v>0</v>
      </c>
      <c r="AL247" s="82" t="str">
        <f t="shared" si="165"/>
        <v/>
      </c>
      <c r="AM247" s="50"/>
      <c r="AN247" s="85">
        <f>AM247*$F247</f>
        <v>0</v>
      </c>
      <c r="AO247" s="82" t="str">
        <f t="shared" si="166"/>
        <v/>
      </c>
      <c r="AP247" s="48">
        <f t="shared" si="155"/>
        <v>0</v>
      </c>
      <c r="AQ247" s="85">
        <f>AP247*$F247</f>
        <v>0</v>
      </c>
      <c r="AR247" s="82" t="str">
        <f t="shared" si="167"/>
        <v/>
      </c>
      <c r="AS247" s="48">
        <f t="shared" si="154"/>
        <v>48.5</v>
      </c>
      <c r="AT247" s="85">
        <f>AS247*$F247</f>
        <v>7338.05</v>
      </c>
      <c r="AU247" s="82">
        <f t="shared" si="168"/>
        <v>1</v>
      </c>
    </row>
    <row r="248" spans="1:47" ht="30">
      <c r="A248" s="16"/>
      <c r="B248" s="97" t="s">
        <v>1083</v>
      </c>
      <c r="C248" s="167" t="s">
        <v>1084</v>
      </c>
      <c r="D248" s="86" t="s">
        <v>1085</v>
      </c>
      <c r="E248" s="97" t="s">
        <v>12</v>
      </c>
      <c r="F248" s="141">
        <v>23.5</v>
      </c>
      <c r="G248" s="97">
        <v>48.5</v>
      </c>
      <c r="H248" s="85">
        <f t="shared" si="171"/>
        <v>1139.75</v>
      </c>
      <c r="I248" s="50">
        <f t="shared" si="170"/>
        <v>0</v>
      </c>
      <c r="J248" s="85">
        <f>I248*$F248</f>
        <v>0</v>
      </c>
      <c r="K248" s="82" t="str">
        <f t="shared" si="156"/>
        <v/>
      </c>
      <c r="L248" s="50"/>
      <c r="M248" s="85">
        <f>L248*$F248</f>
        <v>0</v>
      </c>
      <c r="N248" s="82" t="str">
        <f t="shared" si="157"/>
        <v/>
      </c>
      <c r="O248" s="50"/>
      <c r="P248" s="85">
        <f>O248*$F248</f>
        <v>0</v>
      </c>
      <c r="Q248" s="82" t="str">
        <f t="shared" si="158"/>
        <v/>
      </c>
      <c r="R248" s="50"/>
      <c r="S248" s="85">
        <f>R248*$F248</f>
        <v>0</v>
      </c>
      <c r="T248" s="82" t="str">
        <f t="shared" si="159"/>
        <v/>
      </c>
      <c r="U248" s="50"/>
      <c r="V248" s="85">
        <f>U248*$F248</f>
        <v>0</v>
      </c>
      <c r="W248" s="82" t="str">
        <f t="shared" si="160"/>
        <v/>
      </c>
      <c r="X248" s="50"/>
      <c r="Y248" s="85">
        <f>X248*$F248</f>
        <v>0</v>
      </c>
      <c r="Z248" s="82" t="str">
        <f t="shared" si="161"/>
        <v/>
      </c>
      <c r="AA248" s="50"/>
      <c r="AB248" s="85">
        <f>AA248*$F248</f>
        <v>0</v>
      </c>
      <c r="AC248" s="82" t="str">
        <f t="shared" si="162"/>
        <v/>
      </c>
      <c r="AD248" s="50"/>
      <c r="AE248" s="85">
        <f>AD248*$F248</f>
        <v>0</v>
      </c>
      <c r="AF248" s="82" t="str">
        <f t="shared" si="163"/>
        <v/>
      </c>
      <c r="AG248" s="50"/>
      <c r="AH248" s="85">
        <f>AG248*$F248</f>
        <v>0</v>
      </c>
      <c r="AI248" s="82" t="str">
        <f t="shared" si="164"/>
        <v/>
      </c>
      <c r="AJ248" s="50"/>
      <c r="AK248" s="85">
        <f>AJ248*$F248</f>
        <v>0</v>
      </c>
      <c r="AL248" s="82" t="str">
        <f t="shared" si="165"/>
        <v/>
      </c>
      <c r="AM248" s="50"/>
      <c r="AN248" s="85">
        <f>AM248*$F248</f>
        <v>0</v>
      </c>
      <c r="AO248" s="82" t="str">
        <f t="shared" si="166"/>
        <v/>
      </c>
      <c r="AP248" s="48">
        <f t="shared" si="155"/>
        <v>0</v>
      </c>
      <c r="AQ248" s="85">
        <f>AP248*$F248</f>
        <v>0</v>
      </c>
      <c r="AR248" s="82" t="str">
        <f t="shared" si="167"/>
        <v/>
      </c>
      <c r="AS248" s="48">
        <f t="shared" si="154"/>
        <v>48.5</v>
      </c>
      <c r="AT248" s="85">
        <f>AS248*$F248</f>
        <v>1139.75</v>
      </c>
      <c r="AU248" s="82">
        <f t="shared" si="168"/>
        <v>1</v>
      </c>
    </row>
    <row r="249" spans="1:47" s="161" customFormat="1">
      <c r="A249" s="94"/>
      <c r="B249" s="116" t="s">
        <v>1086</v>
      </c>
      <c r="C249" s="1945" t="s">
        <v>1087</v>
      </c>
      <c r="D249" s="1946"/>
      <c r="E249" s="1946"/>
      <c r="F249" s="1946"/>
      <c r="G249" s="1947"/>
      <c r="H249" s="106">
        <f>SUM(H250:H252)</f>
        <v>59760.900099999999</v>
      </c>
      <c r="I249" s="50">
        <f t="shared" si="170"/>
        <v>0</v>
      </c>
      <c r="J249" s="106">
        <f>SUM(J250:J252)</f>
        <v>0</v>
      </c>
      <c r="K249" s="102">
        <f>J249/$H249</f>
        <v>0</v>
      </c>
      <c r="L249" s="101"/>
      <c r="M249" s="106">
        <f>SUM(M250:M252)</f>
        <v>0</v>
      </c>
      <c r="N249" s="102">
        <f>M249/$H249</f>
        <v>0</v>
      </c>
      <c r="O249" s="101"/>
      <c r="P249" s="106">
        <f>SUM(P250:P252)</f>
        <v>0</v>
      </c>
      <c r="Q249" s="102">
        <f>P249/$H249</f>
        <v>0</v>
      </c>
      <c r="R249" s="101"/>
      <c r="S249" s="106">
        <f>SUM(S250:S252)</f>
        <v>0</v>
      </c>
      <c r="T249" s="102">
        <f>S249/$H249</f>
        <v>0</v>
      </c>
      <c r="U249" s="101"/>
      <c r="V249" s="106">
        <f>SUM(V250:V252)</f>
        <v>0</v>
      </c>
      <c r="W249" s="102">
        <f>V249/$H249</f>
        <v>0</v>
      </c>
      <c r="X249" s="101"/>
      <c r="Y249" s="106">
        <f>SUM(Y250:Y252)</f>
        <v>0</v>
      </c>
      <c r="Z249" s="102">
        <f>Y249/$H249</f>
        <v>0</v>
      </c>
      <c r="AA249" s="101"/>
      <c r="AB249" s="106">
        <f>SUM(AB250:AB252)</f>
        <v>0</v>
      </c>
      <c r="AC249" s="102">
        <f>AB249/$H249</f>
        <v>0</v>
      </c>
      <c r="AD249" s="101"/>
      <c r="AE249" s="106">
        <f>SUM(AE250:AE252)</f>
        <v>0</v>
      </c>
      <c r="AF249" s="102">
        <f>AE249/$H249</f>
        <v>0</v>
      </c>
      <c r="AG249" s="101"/>
      <c r="AH249" s="106">
        <f>SUM(AH250:AH252)</f>
        <v>0</v>
      </c>
      <c r="AI249" s="102">
        <f>AH249/$H249</f>
        <v>0</v>
      </c>
      <c r="AJ249" s="101"/>
      <c r="AK249" s="106">
        <f>SUM(AK250:AK252)</f>
        <v>0</v>
      </c>
      <c r="AL249" s="102">
        <f>AK249/$H249</f>
        <v>0</v>
      </c>
      <c r="AM249" s="101"/>
      <c r="AN249" s="106">
        <f>SUM(AN250:AN252)</f>
        <v>0</v>
      </c>
      <c r="AO249" s="102">
        <f>AN249/$H249</f>
        <v>0</v>
      </c>
      <c r="AP249" s="160">
        <f t="shared" si="155"/>
        <v>0</v>
      </c>
      <c r="AQ249" s="106">
        <f>SUM(AQ250:AQ252)</f>
        <v>0</v>
      </c>
      <c r="AR249" s="102">
        <f>AQ249/$H249</f>
        <v>0</v>
      </c>
      <c r="AS249" s="160">
        <f t="shared" si="154"/>
        <v>0</v>
      </c>
      <c r="AT249" s="106">
        <f>SUM(AT250:AT252)</f>
        <v>59760.900099999999</v>
      </c>
      <c r="AU249" s="102">
        <f>AT249/$H249</f>
        <v>1</v>
      </c>
    </row>
    <row r="250" spans="1:47" ht="105">
      <c r="A250" s="16"/>
      <c r="B250" s="97" t="s">
        <v>1088</v>
      </c>
      <c r="C250" s="167" t="s">
        <v>1041</v>
      </c>
      <c r="D250" s="86" t="s">
        <v>1042</v>
      </c>
      <c r="E250" s="97" t="s">
        <v>12</v>
      </c>
      <c r="F250" s="172">
        <v>229.87</v>
      </c>
      <c r="G250" s="97">
        <v>28.05</v>
      </c>
      <c r="H250" s="85">
        <f t="shared" si="171"/>
        <v>6447.8535000000002</v>
      </c>
      <c r="I250" s="50">
        <f t="shared" si="170"/>
        <v>0</v>
      </c>
      <c r="J250" s="85">
        <f>I250*$F250</f>
        <v>0</v>
      </c>
      <c r="K250" s="82" t="str">
        <f t="shared" si="156"/>
        <v/>
      </c>
      <c r="L250" s="50"/>
      <c r="M250" s="85">
        <f>L250*$F250</f>
        <v>0</v>
      </c>
      <c r="N250" s="82" t="str">
        <f t="shared" si="157"/>
        <v/>
      </c>
      <c r="O250" s="50"/>
      <c r="P250" s="85">
        <f>O250*$F250</f>
        <v>0</v>
      </c>
      <c r="Q250" s="82" t="str">
        <f t="shared" si="158"/>
        <v/>
      </c>
      <c r="R250" s="50"/>
      <c r="S250" s="85">
        <f>R250*$F250</f>
        <v>0</v>
      </c>
      <c r="T250" s="82" t="str">
        <f t="shared" si="159"/>
        <v/>
      </c>
      <c r="U250" s="50"/>
      <c r="V250" s="85">
        <f>U250*$F250</f>
        <v>0</v>
      </c>
      <c r="W250" s="82" t="str">
        <f t="shared" si="160"/>
        <v/>
      </c>
      <c r="X250" s="50"/>
      <c r="Y250" s="85">
        <f>X250*$F250</f>
        <v>0</v>
      </c>
      <c r="Z250" s="82" t="str">
        <f t="shared" si="161"/>
        <v/>
      </c>
      <c r="AA250" s="50"/>
      <c r="AB250" s="85">
        <f>AA250*$F250</f>
        <v>0</v>
      </c>
      <c r="AC250" s="82" t="str">
        <f t="shared" si="162"/>
        <v/>
      </c>
      <c r="AD250" s="50"/>
      <c r="AE250" s="85">
        <f>AD250*$F250</f>
        <v>0</v>
      </c>
      <c r="AF250" s="82" t="str">
        <f t="shared" si="163"/>
        <v/>
      </c>
      <c r="AG250" s="50"/>
      <c r="AH250" s="85">
        <f>AG250*$F250</f>
        <v>0</v>
      </c>
      <c r="AI250" s="82" t="str">
        <f t="shared" si="164"/>
        <v/>
      </c>
      <c r="AJ250" s="50"/>
      <c r="AK250" s="85">
        <f>AJ250*$F250</f>
        <v>0</v>
      </c>
      <c r="AL250" s="82" t="str">
        <f t="shared" si="165"/>
        <v/>
      </c>
      <c r="AM250" s="50"/>
      <c r="AN250" s="85">
        <f>AM250*$F250</f>
        <v>0</v>
      </c>
      <c r="AO250" s="82" t="str">
        <f t="shared" si="166"/>
        <v/>
      </c>
      <c r="AP250" s="48">
        <f t="shared" si="155"/>
        <v>0</v>
      </c>
      <c r="AQ250" s="85">
        <f>AP250*$F250</f>
        <v>0</v>
      </c>
      <c r="AR250" s="82" t="str">
        <f t="shared" si="167"/>
        <v/>
      </c>
      <c r="AS250" s="48">
        <f t="shared" si="154"/>
        <v>28.05</v>
      </c>
      <c r="AT250" s="85">
        <f>AS250*$F250</f>
        <v>6447.8535000000002</v>
      </c>
      <c r="AU250" s="82">
        <f t="shared" si="168"/>
        <v>1</v>
      </c>
    </row>
    <row r="251" spans="1:47" ht="105">
      <c r="A251" s="16"/>
      <c r="B251" s="97" t="s">
        <v>1089</v>
      </c>
      <c r="C251" s="167" t="s">
        <v>1090</v>
      </c>
      <c r="D251" s="86" t="s">
        <v>1091</v>
      </c>
      <c r="E251" s="97" t="s">
        <v>12</v>
      </c>
      <c r="F251" s="172">
        <v>241.07</v>
      </c>
      <c r="G251" s="97">
        <v>155.18</v>
      </c>
      <c r="H251" s="85">
        <f t="shared" si="171"/>
        <v>37409.242599999998</v>
      </c>
      <c r="I251" s="50">
        <f t="shared" si="170"/>
        <v>0</v>
      </c>
      <c r="J251" s="85">
        <f>I251*$F251</f>
        <v>0</v>
      </c>
      <c r="K251" s="82" t="str">
        <f t="shared" si="156"/>
        <v/>
      </c>
      <c r="L251" s="50"/>
      <c r="M251" s="85">
        <f>L251*$F251</f>
        <v>0</v>
      </c>
      <c r="N251" s="82" t="str">
        <f t="shared" si="157"/>
        <v/>
      </c>
      <c r="O251" s="50"/>
      <c r="P251" s="85">
        <f>O251*$F251</f>
        <v>0</v>
      </c>
      <c r="Q251" s="82" t="str">
        <f t="shared" si="158"/>
        <v/>
      </c>
      <c r="R251" s="50"/>
      <c r="S251" s="85">
        <f>R251*$F251</f>
        <v>0</v>
      </c>
      <c r="T251" s="82" t="str">
        <f t="shared" si="159"/>
        <v/>
      </c>
      <c r="U251" s="50"/>
      <c r="V251" s="85">
        <f>U251*$F251</f>
        <v>0</v>
      </c>
      <c r="W251" s="82" t="str">
        <f t="shared" si="160"/>
        <v/>
      </c>
      <c r="X251" s="50"/>
      <c r="Y251" s="85">
        <f>X251*$F251</f>
        <v>0</v>
      </c>
      <c r="Z251" s="82" t="str">
        <f t="shared" si="161"/>
        <v/>
      </c>
      <c r="AA251" s="50"/>
      <c r="AB251" s="85">
        <f>AA251*$F251</f>
        <v>0</v>
      </c>
      <c r="AC251" s="82" t="str">
        <f t="shared" si="162"/>
        <v/>
      </c>
      <c r="AD251" s="50"/>
      <c r="AE251" s="85">
        <f>AD251*$F251</f>
        <v>0</v>
      </c>
      <c r="AF251" s="82" t="str">
        <f t="shared" si="163"/>
        <v/>
      </c>
      <c r="AG251" s="50"/>
      <c r="AH251" s="85">
        <f>AG251*$F251</f>
        <v>0</v>
      </c>
      <c r="AI251" s="82" t="str">
        <f t="shared" si="164"/>
        <v/>
      </c>
      <c r="AJ251" s="50"/>
      <c r="AK251" s="85">
        <f>AJ251*$F251</f>
        <v>0</v>
      </c>
      <c r="AL251" s="82" t="str">
        <f t="shared" si="165"/>
        <v/>
      </c>
      <c r="AM251" s="50"/>
      <c r="AN251" s="85">
        <f>AM251*$F251</f>
        <v>0</v>
      </c>
      <c r="AO251" s="82" t="str">
        <f t="shared" si="166"/>
        <v/>
      </c>
      <c r="AP251" s="48">
        <f t="shared" si="155"/>
        <v>0</v>
      </c>
      <c r="AQ251" s="85">
        <f>AP251*$F251</f>
        <v>0</v>
      </c>
      <c r="AR251" s="82" t="str">
        <f t="shared" si="167"/>
        <v/>
      </c>
      <c r="AS251" s="48">
        <f t="shared" si="154"/>
        <v>155.18</v>
      </c>
      <c r="AT251" s="85">
        <f>AS251*$F251</f>
        <v>37409.242599999998</v>
      </c>
      <c r="AU251" s="82">
        <f t="shared" si="168"/>
        <v>1</v>
      </c>
    </row>
    <row r="252" spans="1:47" ht="60">
      <c r="A252" s="16"/>
      <c r="B252" s="97" t="s">
        <v>1092</v>
      </c>
      <c r="C252" s="167" t="s">
        <v>454</v>
      </c>
      <c r="D252" s="86" t="s">
        <v>455</v>
      </c>
      <c r="E252" s="97" t="s">
        <v>44</v>
      </c>
      <c r="F252" s="172">
        <v>61.95</v>
      </c>
      <c r="G252" s="97">
        <v>256.72000000000003</v>
      </c>
      <c r="H252" s="85">
        <f t="shared" si="171"/>
        <v>15903.804000000002</v>
      </c>
      <c r="I252" s="50">
        <f t="shared" si="170"/>
        <v>0</v>
      </c>
      <c r="J252" s="85">
        <f>I252*$F252</f>
        <v>0</v>
      </c>
      <c r="K252" s="82" t="str">
        <f t="shared" si="156"/>
        <v/>
      </c>
      <c r="L252" s="50"/>
      <c r="M252" s="85">
        <f>L252*$F252</f>
        <v>0</v>
      </c>
      <c r="N252" s="82" t="str">
        <f t="shared" si="157"/>
        <v/>
      </c>
      <c r="O252" s="50"/>
      <c r="P252" s="85">
        <f>O252*$F252</f>
        <v>0</v>
      </c>
      <c r="Q252" s="82" t="str">
        <f t="shared" si="158"/>
        <v/>
      </c>
      <c r="R252" s="50"/>
      <c r="S252" s="85">
        <f>R252*$F252</f>
        <v>0</v>
      </c>
      <c r="T252" s="82" t="str">
        <f t="shared" si="159"/>
        <v/>
      </c>
      <c r="U252" s="50"/>
      <c r="V252" s="85">
        <f>U252*$F252</f>
        <v>0</v>
      </c>
      <c r="W252" s="82" t="str">
        <f t="shared" si="160"/>
        <v/>
      </c>
      <c r="X252" s="50"/>
      <c r="Y252" s="85">
        <f>X252*$F252</f>
        <v>0</v>
      </c>
      <c r="Z252" s="82" t="str">
        <f t="shared" si="161"/>
        <v/>
      </c>
      <c r="AA252" s="50"/>
      <c r="AB252" s="85">
        <f>AA252*$F252</f>
        <v>0</v>
      </c>
      <c r="AC252" s="82" t="str">
        <f t="shared" si="162"/>
        <v/>
      </c>
      <c r="AD252" s="50"/>
      <c r="AE252" s="85">
        <f>AD252*$F252</f>
        <v>0</v>
      </c>
      <c r="AF252" s="82" t="str">
        <f t="shared" si="163"/>
        <v/>
      </c>
      <c r="AG252" s="50"/>
      <c r="AH252" s="85">
        <f>AG252*$F252</f>
        <v>0</v>
      </c>
      <c r="AI252" s="82" t="str">
        <f t="shared" si="164"/>
        <v/>
      </c>
      <c r="AJ252" s="50"/>
      <c r="AK252" s="85">
        <f>AJ252*$F252</f>
        <v>0</v>
      </c>
      <c r="AL252" s="82" t="str">
        <f t="shared" si="165"/>
        <v/>
      </c>
      <c r="AM252" s="50"/>
      <c r="AN252" s="85">
        <f>AM252*$F252</f>
        <v>0</v>
      </c>
      <c r="AO252" s="82" t="str">
        <f t="shared" si="166"/>
        <v/>
      </c>
      <c r="AP252" s="48">
        <f t="shared" si="155"/>
        <v>0</v>
      </c>
      <c r="AQ252" s="85">
        <f>AP252*$F252</f>
        <v>0</v>
      </c>
      <c r="AR252" s="82" t="str">
        <f t="shared" si="167"/>
        <v/>
      </c>
      <c r="AS252" s="48">
        <f t="shared" si="154"/>
        <v>256.72000000000003</v>
      </c>
      <c r="AT252" s="85">
        <f>AS252*$F252</f>
        <v>15903.804000000002</v>
      </c>
      <c r="AU252" s="82">
        <f t="shared" si="168"/>
        <v>1</v>
      </c>
    </row>
    <row r="253" spans="1:47" s="161" customFormat="1">
      <c r="A253" s="94"/>
      <c r="B253" s="116" t="s">
        <v>1093</v>
      </c>
      <c r="C253" s="1945" t="s">
        <v>1094</v>
      </c>
      <c r="D253" s="1946"/>
      <c r="E253" s="1946"/>
      <c r="F253" s="1946"/>
      <c r="G253" s="1947"/>
      <c r="H253" s="159">
        <f>SUM(H254:H257)</f>
        <v>20267.302000000003</v>
      </c>
      <c r="I253" s="50">
        <f t="shared" si="170"/>
        <v>0</v>
      </c>
      <c r="J253" s="159">
        <f>SUM(J254:J257)</f>
        <v>0</v>
      </c>
      <c r="K253" s="102">
        <f>J253/$H253</f>
        <v>0</v>
      </c>
      <c r="L253" s="101"/>
      <c r="M253" s="159">
        <f>SUM(M254:M257)</f>
        <v>0</v>
      </c>
      <c r="N253" s="102">
        <f>M253/$H253</f>
        <v>0</v>
      </c>
      <c r="O253" s="101"/>
      <c r="P253" s="159">
        <f>SUM(P254:P257)</f>
        <v>0</v>
      </c>
      <c r="Q253" s="102">
        <f>P253/$H253</f>
        <v>0</v>
      </c>
      <c r="R253" s="101"/>
      <c r="S253" s="159">
        <f>SUM(S254:S257)</f>
        <v>0</v>
      </c>
      <c r="T253" s="102">
        <f>S253/$H253</f>
        <v>0</v>
      </c>
      <c r="U253" s="101"/>
      <c r="V253" s="159">
        <f>SUM(V254:V257)</f>
        <v>0</v>
      </c>
      <c r="W253" s="102">
        <f>V253/$H253</f>
        <v>0</v>
      </c>
      <c r="X253" s="101"/>
      <c r="Y253" s="159">
        <f>SUM(Y254:Y257)</f>
        <v>0</v>
      </c>
      <c r="Z253" s="102">
        <f>Y253/$H253</f>
        <v>0</v>
      </c>
      <c r="AA253" s="101"/>
      <c r="AB253" s="159">
        <f>SUM(AB254:AB257)</f>
        <v>0</v>
      </c>
      <c r="AC253" s="102">
        <f>AB253/$H253</f>
        <v>0</v>
      </c>
      <c r="AD253" s="101"/>
      <c r="AE253" s="159">
        <f>SUM(AE254:AE257)</f>
        <v>0</v>
      </c>
      <c r="AF253" s="102">
        <f>AE253/$H253</f>
        <v>0</v>
      </c>
      <c r="AG253" s="101"/>
      <c r="AH253" s="159">
        <f>SUM(AH254:AH257)</f>
        <v>0</v>
      </c>
      <c r="AI253" s="102">
        <f>AH253/$H253</f>
        <v>0</v>
      </c>
      <c r="AJ253" s="101"/>
      <c r="AK253" s="159">
        <f>SUM(AK254:AK257)</f>
        <v>0</v>
      </c>
      <c r="AL253" s="102">
        <f>AK253/$H253</f>
        <v>0</v>
      </c>
      <c r="AM253" s="101"/>
      <c r="AN253" s="159">
        <f>SUM(AN254:AN257)</f>
        <v>0</v>
      </c>
      <c r="AO253" s="102">
        <f>AN253/$H253</f>
        <v>0</v>
      </c>
      <c r="AP253" s="160">
        <f t="shared" si="155"/>
        <v>0</v>
      </c>
      <c r="AQ253" s="159">
        <f>SUM(AQ254:AQ257)</f>
        <v>0</v>
      </c>
      <c r="AR253" s="102">
        <f>AQ253/$H253</f>
        <v>0</v>
      </c>
      <c r="AS253" s="160">
        <f t="shared" si="154"/>
        <v>0</v>
      </c>
      <c r="AT253" s="159">
        <f>SUM(AT254:AT257)</f>
        <v>20267.302000000003</v>
      </c>
      <c r="AU253" s="102">
        <f>AT253/$H253</f>
        <v>1</v>
      </c>
    </row>
    <row r="254" spans="1:47" ht="60">
      <c r="A254" s="16"/>
      <c r="B254" s="97" t="s">
        <v>1095</v>
      </c>
      <c r="C254" s="167" t="s">
        <v>1096</v>
      </c>
      <c r="D254" s="86" t="s">
        <v>1097</v>
      </c>
      <c r="E254" s="97" t="s">
        <v>44</v>
      </c>
      <c r="F254" s="172">
        <v>36.81</v>
      </c>
      <c r="G254" s="97">
        <v>3.3</v>
      </c>
      <c r="H254" s="85">
        <f t="shared" si="171"/>
        <v>121.473</v>
      </c>
      <c r="I254" s="50">
        <f t="shared" si="170"/>
        <v>0</v>
      </c>
      <c r="J254" s="85">
        <f>I254*$F254</f>
        <v>0</v>
      </c>
      <c r="K254" s="82" t="str">
        <f t="shared" si="156"/>
        <v/>
      </c>
      <c r="L254" s="50"/>
      <c r="M254" s="85">
        <f>L254*$F254</f>
        <v>0</v>
      </c>
      <c r="N254" s="82" t="str">
        <f t="shared" si="157"/>
        <v/>
      </c>
      <c r="O254" s="50"/>
      <c r="P254" s="85">
        <f>O254*$F254</f>
        <v>0</v>
      </c>
      <c r="Q254" s="82" t="str">
        <f t="shared" si="158"/>
        <v/>
      </c>
      <c r="R254" s="50"/>
      <c r="S254" s="85">
        <f>R254*$F254</f>
        <v>0</v>
      </c>
      <c r="T254" s="82" t="str">
        <f t="shared" si="159"/>
        <v/>
      </c>
      <c r="U254" s="50"/>
      <c r="V254" s="85">
        <f>U254*$F254</f>
        <v>0</v>
      </c>
      <c r="W254" s="82" t="str">
        <f t="shared" si="160"/>
        <v/>
      </c>
      <c r="X254" s="50"/>
      <c r="Y254" s="85">
        <f>X254*$F254</f>
        <v>0</v>
      </c>
      <c r="Z254" s="82" t="str">
        <f t="shared" si="161"/>
        <v/>
      </c>
      <c r="AA254" s="50"/>
      <c r="AB254" s="85">
        <f>AA254*$F254</f>
        <v>0</v>
      </c>
      <c r="AC254" s="82" t="str">
        <f t="shared" si="162"/>
        <v/>
      </c>
      <c r="AD254" s="50"/>
      <c r="AE254" s="85">
        <f>AD254*$F254</f>
        <v>0</v>
      </c>
      <c r="AF254" s="82" t="str">
        <f t="shared" si="163"/>
        <v/>
      </c>
      <c r="AG254" s="50"/>
      <c r="AH254" s="85">
        <f>AG254*$F254</f>
        <v>0</v>
      </c>
      <c r="AI254" s="82" t="str">
        <f t="shared" si="164"/>
        <v/>
      </c>
      <c r="AJ254" s="50"/>
      <c r="AK254" s="85">
        <f>AJ254*$F254</f>
        <v>0</v>
      </c>
      <c r="AL254" s="82" t="str">
        <f t="shared" si="165"/>
        <v/>
      </c>
      <c r="AM254" s="50"/>
      <c r="AN254" s="85">
        <f>AM254*$F254</f>
        <v>0</v>
      </c>
      <c r="AO254" s="82" t="str">
        <f t="shared" si="166"/>
        <v/>
      </c>
      <c r="AP254" s="48">
        <f t="shared" si="155"/>
        <v>0</v>
      </c>
      <c r="AQ254" s="85">
        <f>AP254*$F254</f>
        <v>0</v>
      </c>
      <c r="AR254" s="82" t="str">
        <f t="shared" si="167"/>
        <v/>
      </c>
      <c r="AS254" s="48">
        <f t="shared" si="154"/>
        <v>3.3</v>
      </c>
      <c r="AT254" s="85">
        <f>AS254*$F254</f>
        <v>121.473</v>
      </c>
      <c r="AU254" s="82">
        <f t="shared" si="168"/>
        <v>1</v>
      </c>
    </row>
    <row r="255" spans="1:47" ht="30">
      <c r="A255" s="16"/>
      <c r="B255" s="97" t="s">
        <v>1098</v>
      </c>
      <c r="C255" s="167" t="s">
        <v>1099</v>
      </c>
      <c r="D255" s="86" t="s">
        <v>1100</v>
      </c>
      <c r="E255" s="97" t="s">
        <v>12</v>
      </c>
      <c r="F255" s="172">
        <v>11.75</v>
      </c>
      <c r="G255" s="97">
        <v>59.82</v>
      </c>
      <c r="H255" s="85">
        <f t="shared" si="171"/>
        <v>702.88499999999999</v>
      </c>
      <c r="I255" s="50">
        <f t="shared" si="170"/>
        <v>0</v>
      </c>
      <c r="J255" s="85">
        <f>I255*$F255</f>
        <v>0</v>
      </c>
      <c r="K255" s="82" t="str">
        <f t="shared" si="156"/>
        <v/>
      </c>
      <c r="L255" s="50"/>
      <c r="M255" s="85">
        <f>L255*$F255</f>
        <v>0</v>
      </c>
      <c r="N255" s="82" t="str">
        <f t="shared" si="157"/>
        <v/>
      </c>
      <c r="O255" s="50"/>
      <c r="P255" s="85">
        <f>O255*$F255</f>
        <v>0</v>
      </c>
      <c r="Q255" s="82" t="str">
        <f t="shared" si="158"/>
        <v/>
      </c>
      <c r="R255" s="50"/>
      <c r="S255" s="85">
        <f>R255*$F255</f>
        <v>0</v>
      </c>
      <c r="T255" s="82" t="str">
        <f t="shared" si="159"/>
        <v/>
      </c>
      <c r="U255" s="50"/>
      <c r="V255" s="85">
        <f>U255*$F255</f>
        <v>0</v>
      </c>
      <c r="W255" s="82" t="str">
        <f t="shared" si="160"/>
        <v/>
      </c>
      <c r="X255" s="50"/>
      <c r="Y255" s="85">
        <f>X255*$F255</f>
        <v>0</v>
      </c>
      <c r="Z255" s="82" t="str">
        <f t="shared" si="161"/>
        <v/>
      </c>
      <c r="AA255" s="50"/>
      <c r="AB255" s="85">
        <f>AA255*$F255</f>
        <v>0</v>
      </c>
      <c r="AC255" s="82" t="str">
        <f t="shared" si="162"/>
        <v/>
      </c>
      <c r="AD255" s="50"/>
      <c r="AE255" s="85">
        <f>AD255*$F255</f>
        <v>0</v>
      </c>
      <c r="AF255" s="82" t="str">
        <f t="shared" si="163"/>
        <v/>
      </c>
      <c r="AG255" s="50"/>
      <c r="AH255" s="85">
        <f>AG255*$F255</f>
        <v>0</v>
      </c>
      <c r="AI255" s="82" t="str">
        <f t="shared" si="164"/>
        <v/>
      </c>
      <c r="AJ255" s="50"/>
      <c r="AK255" s="85">
        <f>AJ255*$F255</f>
        <v>0</v>
      </c>
      <c r="AL255" s="82" t="str">
        <f t="shared" si="165"/>
        <v/>
      </c>
      <c r="AM255" s="50"/>
      <c r="AN255" s="85">
        <f>AM255*$F255</f>
        <v>0</v>
      </c>
      <c r="AO255" s="82" t="str">
        <f t="shared" si="166"/>
        <v/>
      </c>
      <c r="AP255" s="48">
        <f t="shared" si="155"/>
        <v>0</v>
      </c>
      <c r="AQ255" s="85">
        <f>AP255*$F255</f>
        <v>0</v>
      </c>
      <c r="AR255" s="82" t="str">
        <f t="shared" si="167"/>
        <v/>
      </c>
      <c r="AS255" s="48">
        <f t="shared" si="154"/>
        <v>59.82</v>
      </c>
      <c r="AT255" s="85">
        <f>AS255*$F255</f>
        <v>702.88499999999999</v>
      </c>
      <c r="AU255" s="82">
        <f t="shared" si="168"/>
        <v>1</v>
      </c>
    </row>
    <row r="256" spans="1:47" ht="90">
      <c r="A256" s="16"/>
      <c r="B256" s="97" t="s">
        <v>1101</v>
      </c>
      <c r="C256" s="167" t="s">
        <v>1102</v>
      </c>
      <c r="D256" s="86" t="s">
        <v>1103</v>
      </c>
      <c r="E256" s="97" t="s">
        <v>44</v>
      </c>
      <c r="F256" s="172">
        <v>27.48</v>
      </c>
      <c r="G256" s="97">
        <v>308.25</v>
      </c>
      <c r="H256" s="85">
        <f t="shared" si="171"/>
        <v>8470.7100000000009</v>
      </c>
      <c r="I256" s="50">
        <f t="shared" si="170"/>
        <v>0</v>
      </c>
      <c r="J256" s="85">
        <f>I256*$F256</f>
        <v>0</v>
      </c>
      <c r="K256" s="82" t="str">
        <f t="shared" si="156"/>
        <v/>
      </c>
      <c r="L256" s="50"/>
      <c r="M256" s="85">
        <f>L256*$F256</f>
        <v>0</v>
      </c>
      <c r="N256" s="82" t="str">
        <f t="shared" si="157"/>
        <v/>
      </c>
      <c r="O256" s="50"/>
      <c r="P256" s="85">
        <f>O256*$F256</f>
        <v>0</v>
      </c>
      <c r="Q256" s="82" t="str">
        <f t="shared" si="158"/>
        <v/>
      </c>
      <c r="R256" s="50"/>
      <c r="S256" s="85">
        <f>R256*$F256</f>
        <v>0</v>
      </c>
      <c r="T256" s="82" t="str">
        <f t="shared" si="159"/>
        <v/>
      </c>
      <c r="U256" s="50"/>
      <c r="V256" s="85">
        <f>U256*$F256</f>
        <v>0</v>
      </c>
      <c r="W256" s="82" t="str">
        <f t="shared" si="160"/>
        <v/>
      </c>
      <c r="X256" s="50"/>
      <c r="Y256" s="85">
        <f>X256*$F256</f>
        <v>0</v>
      </c>
      <c r="Z256" s="82" t="str">
        <f t="shared" si="161"/>
        <v/>
      </c>
      <c r="AA256" s="50"/>
      <c r="AB256" s="85">
        <f>AA256*$F256</f>
        <v>0</v>
      </c>
      <c r="AC256" s="82" t="str">
        <f t="shared" si="162"/>
        <v/>
      </c>
      <c r="AD256" s="50"/>
      <c r="AE256" s="85">
        <f>AD256*$F256</f>
        <v>0</v>
      </c>
      <c r="AF256" s="82" t="str">
        <f t="shared" si="163"/>
        <v/>
      </c>
      <c r="AG256" s="50"/>
      <c r="AH256" s="85">
        <f>AG256*$F256</f>
        <v>0</v>
      </c>
      <c r="AI256" s="82" t="str">
        <f t="shared" si="164"/>
        <v/>
      </c>
      <c r="AJ256" s="50"/>
      <c r="AK256" s="85">
        <f>AJ256*$F256</f>
        <v>0</v>
      </c>
      <c r="AL256" s="82" t="str">
        <f t="shared" si="165"/>
        <v/>
      </c>
      <c r="AM256" s="50"/>
      <c r="AN256" s="85">
        <f>AM256*$F256</f>
        <v>0</v>
      </c>
      <c r="AO256" s="82" t="str">
        <f t="shared" si="166"/>
        <v/>
      </c>
      <c r="AP256" s="48">
        <f t="shared" si="155"/>
        <v>0</v>
      </c>
      <c r="AQ256" s="85">
        <f>AP256*$F256</f>
        <v>0</v>
      </c>
      <c r="AR256" s="82" t="str">
        <f t="shared" si="167"/>
        <v/>
      </c>
      <c r="AS256" s="48">
        <f t="shared" si="154"/>
        <v>308.25</v>
      </c>
      <c r="AT256" s="85">
        <f>AS256*$F256</f>
        <v>8470.7100000000009</v>
      </c>
      <c r="AU256" s="82">
        <f t="shared" si="168"/>
        <v>1</v>
      </c>
    </row>
    <row r="257" spans="1:56" ht="45">
      <c r="A257" s="16"/>
      <c r="B257" s="97" t="s">
        <v>1104</v>
      </c>
      <c r="C257" s="167" t="s">
        <v>1102</v>
      </c>
      <c r="D257" s="86" t="s">
        <v>1105</v>
      </c>
      <c r="E257" s="97" t="s">
        <v>44</v>
      </c>
      <c r="F257" s="172">
        <v>50.54</v>
      </c>
      <c r="G257" s="97">
        <v>217.1</v>
      </c>
      <c r="H257" s="85">
        <f t="shared" si="171"/>
        <v>10972.234</v>
      </c>
      <c r="I257" s="50">
        <f t="shared" si="170"/>
        <v>0</v>
      </c>
      <c r="J257" s="85">
        <f>I257*$F257</f>
        <v>0</v>
      </c>
      <c r="K257" s="82" t="str">
        <f>IF(I257=0,"",I257/$G257)</f>
        <v/>
      </c>
      <c r="L257" s="50"/>
      <c r="M257" s="85">
        <f>L257*$F257</f>
        <v>0</v>
      </c>
      <c r="N257" s="82" t="str">
        <f>IF(L257=0,"",L257/$G257)</f>
        <v/>
      </c>
      <c r="O257" s="50"/>
      <c r="P257" s="85">
        <f>O257*$F257</f>
        <v>0</v>
      </c>
      <c r="Q257" s="82" t="str">
        <f>IF(O257=0,"",O257/$G257)</f>
        <v/>
      </c>
      <c r="R257" s="50"/>
      <c r="S257" s="85">
        <f>R257*$F257</f>
        <v>0</v>
      </c>
      <c r="T257" s="82" t="str">
        <f>IF(R257=0,"",R257/$G257)</f>
        <v/>
      </c>
      <c r="U257" s="50"/>
      <c r="V257" s="85">
        <f>U257*$F257</f>
        <v>0</v>
      </c>
      <c r="W257" s="82" t="str">
        <f>IF(U257=0,"",U257/$G257)</f>
        <v/>
      </c>
      <c r="X257" s="50"/>
      <c r="Y257" s="85">
        <f>X257*$F257</f>
        <v>0</v>
      </c>
      <c r="Z257" s="82" t="str">
        <f>IF(X257=0,"",X257/$G257)</f>
        <v/>
      </c>
      <c r="AA257" s="50"/>
      <c r="AB257" s="85">
        <f>AA257*$F257</f>
        <v>0</v>
      </c>
      <c r="AC257" s="82" t="str">
        <f>IF(AA257=0,"",AA257/$G257)</f>
        <v/>
      </c>
      <c r="AD257" s="50"/>
      <c r="AE257" s="85">
        <f>AD257*$F257</f>
        <v>0</v>
      </c>
      <c r="AF257" s="82" t="str">
        <f>IF(AD257=0,"",AD257/$G257)</f>
        <v/>
      </c>
      <c r="AG257" s="50"/>
      <c r="AH257" s="85">
        <f>AG257*$F257</f>
        <v>0</v>
      </c>
      <c r="AI257" s="82" t="str">
        <f>IF(AG257=0,"",AG257/$G257)</f>
        <v/>
      </c>
      <c r="AJ257" s="50"/>
      <c r="AK257" s="85">
        <f>AJ257*$F257</f>
        <v>0</v>
      </c>
      <c r="AL257" s="82" t="str">
        <f>IF(AJ257=0,"",AJ257/$G257)</f>
        <v/>
      </c>
      <c r="AM257" s="50"/>
      <c r="AN257" s="85">
        <f>AM257*$F257</f>
        <v>0</v>
      </c>
      <c r="AO257" s="82" t="str">
        <f>IF(AM257=0,"",AM257/$G257)</f>
        <v/>
      </c>
      <c r="AP257" s="48"/>
      <c r="AQ257" s="85">
        <f>AP257*$F257</f>
        <v>0</v>
      </c>
      <c r="AR257" s="82" t="str">
        <f>IF(AP257=0,"",AP257/$G257)</f>
        <v/>
      </c>
      <c r="AS257" s="48">
        <f>G257-AP257</f>
        <v>217.1</v>
      </c>
      <c r="AT257" s="85">
        <f>AS257*$F257</f>
        <v>10972.234</v>
      </c>
      <c r="AU257" s="82">
        <f>IF(AS257=0,"",AS257/$G257)</f>
        <v>1</v>
      </c>
    </row>
    <row r="258" spans="1:56" s="115" customFormat="1" ht="15.75">
      <c r="A258" s="109"/>
      <c r="B258" s="118" t="s">
        <v>1106</v>
      </c>
      <c r="C258" s="1937" t="s">
        <v>1107</v>
      </c>
      <c r="D258" s="1938"/>
      <c r="E258" s="1938"/>
      <c r="F258" s="1938"/>
      <c r="G258" s="1939"/>
      <c r="H258" s="112">
        <f>H259+H261+H265+H274+H279+H284+H296+H304+H311+H314+H319</f>
        <v>122458.49250000001</v>
      </c>
      <c r="I258" s="50">
        <f t="shared" si="170"/>
        <v>0</v>
      </c>
      <c r="J258" s="112">
        <f>J259+J261+J265+J274+J279+J284+J296+J304+J311+J314+J319</f>
        <v>0</v>
      </c>
      <c r="K258" s="113">
        <f>J258/$H258</f>
        <v>0</v>
      </c>
      <c r="L258" s="111"/>
      <c r="M258" s="112">
        <f>M259+M261+M265+M274+M279+M284+M296+M304+M311+M314+M319</f>
        <v>0</v>
      </c>
      <c r="N258" s="113">
        <f>M258/$H258</f>
        <v>0</v>
      </c>
      <c r="O258" s="111"/>
      <c r="P258" s="112">
        <f>P259+P261+P265+P274+P279+P284+P296+P304+P311+P314+P319</f>
        <v>0</v>
      </c>
      <c r="Q258" s="113">
        <f>P258/$H258</f>
        <v>0</v>
      </c>
      <c r="R258" s="111"/>
      <c r="S258" s="112">
        <f>S259+S261+S265+S274+S279+S284+S296+S304+S311+S314+S319</f>
        <v>0</v>
      </c>
      <c r="T258" s="113">
        <f>S258/$H258</f>
        <v>0</v>
      </c>
      <c r="U258" s="111"/>
      <c r="V258" s="112">
        <f>V259+V261+V265+V274+V279+V284+V296+V304+V311+V314+V319</f>
        <v>0</v>
      </c>
      <c r="W258" s="113">
        <f>V258/$H258</f>
        <v>0</v>
      </c>
      <c r="X258" s="111"/>
      <c r="Y258" s="112">
        <f>Y259+Y261+Y265+Y274+Y279+Y284+Y296+Y304+Y311+Y314+Y319</f>
        <v>0</v>
      </c>
      <c r="Z258" s="113">
        <f>Y258/$H258</f>
        <v>0</v>
      </c>
      <c r="AA258" s="111"/>
      <c r="AB258" s="112">
        <f>AB259+AB261+AB265+AB274+AB279+AB284+AB296+AB304+AB311+AB314+AB319</f>
        <v>0</v>
      </c>
      <c r="AC258" s="113">
        <f>AB258/$H258</f>
        <v>0</v>
      </c>
      <c r="AD258" s="111"/>
      <c r="AE258" s="112">
        <f>AE259+AE261+AE265+AE274+AE279+AE284+AE296+AE304+AE311+AE314+AE319</f>
        <v>0</v>
      </c>
      <c r="AF258" s="113">
        <f>AE258/$H258</f>
        <v>0</v>
      </c>
      <c r="AG258" s="111"/>
      <c r="AH258" s="112">
        <f>AH259+AH261+AH265+AH274+AH279+AH284+AH296+AH304+AH311+AH314+AH319</f>
        <v>0</v>
      </c>
      <c r="AI258" s="113">
        <f>AH258/$H258</f>
        <v>0</v>
      </c>
      <c r="AJ258" s="111"/>
      <c r="AK258" s="112">
        <f>AK259+AK261+AK265+AK274+AK279+AK284+AK296+AK304+AK311+AK314+AK319</f>
        <v>0</v>
      </c>
      <c r="AL258" s="113">
        <f>AK258/$H258</f>
        <v>0</v>
      </c>
      <c r="AM258" s="111"/>
      <c r="AN258" s="112">
        <f>AN259+AN261+AN265+AN274+AN279+AN284+AN296+AN304+AN311+AN314+AN319</f>
        <v>0</v>
      </c>
      <c r="AO258" s="113">
        <f>AN258/$H258</f>
        <v>0</v>
      </c>
      <c r="AP258" s="114">
        <f t="shared" ref="AP258:AP321" si="185">AM258+AJ258+AG258+AD258+AA258+X258+U258+R258+O258+L258</f>
        <v>0</v>
      </c>
      <c r="AQ258" s="112">
        <f>AQ259+AQ261+AQ265+AQ274+AQ279+AQ284+AQ296+AQ304+AQ311+AQ314+AQ319</f>
        <v>0</v>
      </c>
      <c r="AR258" s="113">
        <f>AQ258/$H258</f>
        <v>0</v>
      </c>
      <c r="AS258" s="114">
        <f t="shared" ref="AS258:AS321" si="186">G258-AP258</f>
        <v>0</v>
      </c>
      <c r="AT258" s="112">
        <f>AT259+AT261+AT265+AT274+AT279+AT284+AT296+AT304+AT311+AT314+AT319</f>
        <v>122458.49250000001</v>
      </c>
      <c r="AU258" s="113">
        <f>AT258/$H258</f>
        <v>1</v>
      </c>
    </row>
    <row r="259" spans="1:56" s="161" customFormat="1">
      <c r="A259" s="94"/>
      <c r="B259" s="116" t="s">
        <v>1108</v>
      </c>
      <c r="C259" s="1945" t="s">
        <v>1109</v>
      </c>
      <c r="D259" s="1946"/>
      <c r="E259" s="1946"/>
      <c r="F259" s="1946"/>
      <c r="G259" s="1947"/>
      <c r="H259" s="159">
        <f>H260</f>
        <v>546.61</v>
      </c>
      <c r="I259" s="50">
        <f t="shared" si="170"/>
        <v>0</v>
      </c>
      <c r="J259" s="159">
        <f>J260</f>
        <v>0</v>
      </c>
      <c r="K259" s="102">
        <f>J259/$H259</f>
        <v>0</v>
      </c>
      <c r="L259" s="101"/>
      <c r="M259" s="159">
        <f>M260</f>
        <v>0</v>
      </c>
      <c r="N259" s="102">
        <f>M259/$H259</f>
        <v>0</v>
      </c>
      <c r="O259" s="101"/>
      <c r="P259" s="159">
        <f>P260</f>
        <v>0</v>
      </c>
      <c r="Q259" s="102">
        <f>P259/$H259</f>
        <v>0</v>
      </c>
      <c r="R259" s="101"/>
      <c r="S259" s="159">
        <f>S260</f>
        <v>0</v>
      </c>
      <c r="T259" s="102">
        <f>S259/$H259</f>
        <v>0</v>
      </c>
      <c r="U259" s="101"/>
      <c r="V259" s="159">
        <f>V260</f>
        <v>0</v>
      </c>
      <c r="W259" s="102">
        <f>V259/$H259</f>
        <v>0</v>
      </c>
      <c r="X259" s="101"/>
      <c r="Y259" s="159">
        <f>Y260</f>
        <v>0</v>
      </c>
      <c r="Z259" s="102">
        <f>Y259/$H259</f>
        <v>0</v>
      </c>
      <c r="AA259" s="101"/>
      <c r="AB259" s="159">
        <f>AB260</f>
        <v>0</v>
      </c>
      <c r="AC259" s="102">
        <f>AB259/$H259</f>
        <v>0</v>
      </c>
      <c r="AD259" s="101"/>
      <c r="AE259" s="159">
        <f>AE260</f>
        <v>0</v>
      </c>
      <c r="AF259" s="102">
        <f>AE259/$H259</f>
        <v>0</v>
      </c>
      <c r="AG259" s="101"/>
      <c r="AH259" s="159">
        <f>AH260</f>
        <v>0</v>
      </c>
      <c r="AI259" s="102">
        <f>AH259/$H259</f>
        <v>0</v>
      </c>
      <c r="AJ259" s="101"/>
      <c r="AK259" s="159">
        <f>AK260</f>
        <v>0</v>
      </c>
      <c r="AL259" s="102">
        <f>AK259/$H259</f>
        <v>0</v>
      </c>
      <c r="AM259" s="101"/>
      <c r="AN259" s="159">
        <f>AN260</f>
        <v>0</v>
      </c>
      <c r="AO259" s="102">
        <f>AN259/$H259</f>
        <v>0</v>
      </c>
      <c r="AP259" s="160">
        <f t="shared" si="185"/>
        <v>0</v>
      </c>
      <c r="AQ259" s="159">
        <f>AQ260</f>
        <v>0</v>
      </c>
      <c r="AR259" s="102">
        <f>AQ259/$H259</f>
        <v>0</v>
      </c>
      <c r="AS259" s="160">
        <f t="shared" si="186"/>
        <v>0</v>
      </c>
      <c r="AT259" s="159">
        <f>AT260</f>
        <v>546.61</v>
      </c>
      <c r="AU259" s="102">
        <f>AT259/$H259</f>
        <v>1</v>
      </c>
    </row>
    <row r="260" spans="1:56" ht="90">
      <c r="A260" s="16"/>
      <c r="B260" s="97" t="s">
        <v>1110</v>
      </c>
      <c r="C260" s="167" t="s">
        <v>1111</v>
      </c>
      <c r="D260" s="86" t="s">
        <v>1112</v>
      </c>
      <c r="E260" s="97" t="s">
        <v>28</v>
      </c>
      <c r="F260" s="141">
        <v>546.61</v>
      </c>
      <c r="G260" s="97">
        <v>1</v>
      </c>
      <c r="H260" s="85">
        <f>G260*$F260</f>
        <v>546.61</v>
      </c>
      <c r="I260" s="50">
        <f t="shared" si="170"/>
        <v>0</v>
      </c>
      <c r="J260" s="85">
        <f>I260*$F260</f>
        <v>0</v>
      </c>
      <c r="K260" s="82" t="str">
        <f t="shared" ref="K260:K321" si="187">IF(I260=0,"",I260/$G260)</f>
        <v/>
      </c>
      <c r="L260" s="50"/>
      <c r="M260" s="85">
        <f>L260*$F260</f>
        <v>0</v>
      </c>
      <c r="N260" s="82" t="str">
        <f t="shared" ref="N260:N321" si="188">IF(L260=0,"",L260/$G260)</f>
        <v/>
      </c>
      <c r="O260" s="50"/>
      <c r="P260" s="85">
        <f>O260*$F260</f>
        <v>0</v>
      </c>
      <c r="Q260" s="82" t="str">
        <f t="shared" ref="Q260:Q321" si="189">IF(O260=0,"",O260/$G260)</f>
        <v/>
      </c>
      <c r="R260" s="50"/>
      <c r="S260" s="85">
        <f>R260*$F260</f>
        <v>0</v>
      </c>
      <c r="T260" s="82" t="str">
        <f t="shared" ref="T260:T321" si="190">IF(R260=0,"",R260/$G260)</f>
        <v/>
      </c>
      <c r="U260" s="50"/>
      <c r="V260" s="85">
        <f>U260*$F260</f>
        <v>0</v>
      </c>
      <c r="W260" s="82" t="str">
        <f t="shared" ref="W260:W321" si="191">IF(U260=0,"",U260/$G260)</f>
        <v/>
      </c>
      <c r="X260" s="50"/>
      <c r="Y260" s="85">
        <f>X260*$F260</f>
        <v>0</v>
      </c>
      <c r="Z260" s="82" t="str">
        <f t="shared" ref="Z260:Z321" si="192">IF(X260=0,"",X260/$G260)</f>
        <v/>
      </c>
      <c r="AA260" s="50"/>
      <c r="AB260" s="85">
        <f>AA260*$F260</f>
        <v>0</v>
      </c>
      <c r="AC260" s="82" t="str">
        <f t="shared" ref="AC260:AC321" si="193">IF(AA260=0,"",AA260/$G260)</f>
        <v/>
      </c>
      <c r="AD260" s="50"/>
      <c r="AE260" s="85">
        <f>AD260*$F260</f>
        <v>0</v>
      </c>
      <c r="AF260" s="82" t="str">
        <f t="shared" ref="AF260:AF321" si="194">IF(AD260=0,"",AD260/$G260)</f>
        <v/>
      </c>
      <c r="AG260" s="50"/>
      <c r="AH260" s="85">
        <f>AG260*$F260</f>
        <v>0</v>
      </c>
      <c r="AI260" s="82" t="str">
        <f t="shared" ref="AI260:AI321" si="195">IF(AG260=0,"",AG260/$G260)</f>
        <v/>
      </c>
      <c r="AJ260" s="50"/>
      <c r="AK260" s="85">
        <f>AJ260*$F260</f>
        <v>0</v>
      </c>
      <c r="AL260" s="82" t="str">
        <f t="shared" ref="AL260:AL321" si="196">IF(AJ260=0,"",AJ260/$G260)</f>
        <v/>
      </c>
      <c r="AM260" s="50"/>
      <c r="AN260" s="85">
        <f>AM260*$F260</f>
        <v>0</v>
      </c>
      <c r="AO260" s="82" t="str">
        <f t="shared" ref="AO260:AO321" si="197">IF(AM260=0,"",AM260/$G260)</f>
        <v/>
      </c>
      <c r="AP260" s="48">
        <f t="shared" si="185"/>
        <v>0</v>
      </c>
      <c r="AQ260" s="85">
        <f>AP260*$F260</f>
        <v>0</v>
      </c>
      <c r="AR260" s="82" t="str">
        <f t="shared" ref="AR260:AR321" si="198">IF(AP260=0,"",AP260/$G260)</f>
        <v/>
      </c>
      <c r="AS260" s="48">
        <f t="shared" si="186"/>
        <v>1</v>
      </c>
      <c r="AT260" s="85">
        <f>AS260*$F260</f>
        <v>546.61</v>
      </c>
      <c r="AU260" s="82">
        <f t="shared" ref="AU260:AU321" si="199">IF(AS260=0,"",AS260/$G260)</f>
        <v>1</v>
      </c>
    </row>
    <row r="261" spans="1:56" s="161" customFormat="1">
      <c r="A261" s="94"/>
      <c r="B261" s="116" t="s">
        <v>1113</v>
      </c>
      <c r="C261" s="1945" t="s">
        <v>1114</v>
      </c>
      <c r="D261" s="1946"/>
      <c r="E261" s="1946"/>
      <c r="F261" s="1946"/>
      <c r="G261" s="1947"/>
      <c r="H261" s="159">
        <f>H262+H263+H264</f>
        <v>8184.4480000000003</v>
      </c>
      <c r="I261" s="50">
        <f t="shared" si="170"/>
        <v>0</v>
      </c>
      <c r="J261" s="159">
        <f>J262+J263+J264</f>
        <v>0</v>
      </c>
      <c r="K261" s="102">
        <f>J261/$H261</f>
        <v>0</v>
      </c>
      <c r="L261" s="101"/>
      <c r="M261" s="159">
        <f>M262+M263+M264</f>
        <v>0</v>
      </c>
      <c r="N261" s="102">
        <f>M261/$H261</f>
        <v>0</v>
      </c>
      <c r="O261" s="101"/>
      <c r="P261" s="159">
        <f>P262+P263+P264</f>
        <v>0</v>
      </c>
      <c r="Q261" s="102">
        <f>P261/$H261</f>
        <v>0</v>
      </c>
      <c r="R261" s="101"/>
      <c r="S261" s="159">
        <f>S262+S263+S264</f>
        <v>0</v>
      </c>
      <c r="T261" s="102">
        <f>S261/$H261</f>
        <v>0</v>
      </c>
      <c r="U261" s="101"/>
      <c r="V261" s="159">
        <f>V262+V263+V264</f>
        <v>0</v>
      </c>
      <c r="W261" s="102">
        <f>V261/$H261</f>
        <v>0</v>
      </c>
      <c r="X261" s="101"/>
      <c r="Y261" s="159">
        <f>Y262+Y263+Y264</f>
        <v>0</v>
      </c>
      <c r="Z261" s="102">
        <f>Y261/$H261</f>
        <v>0</v>
      </c>
      <c r="AA261" s="101"/>
      <c r="AB261" s="159">
        <f>AB262+AB263+AB264</f>
        <v>0</v>
      </c>
      <c r="AC261" s="102">
        <f>AB261/$H261</f>
        <v>0</v>
      </c>
      <c r="AD261" s="101"/>
      <c r="AE261" s="159">
        <f>AE262+AE263+AE264</f>
        <v>0</v>
      </c>
      <c r="AF261" s="102">
        <f>AE261/$H261</f>
        <v>0</v>
      </c>
      <c r="AG261" s="101"/>
      <c r="AH261" s="159">
        <f>AH262+AH263+AH264</f>
        <v>0</v>
      </c>
      <c r="AI261" s="102">
        <f>AH261/$H261</f>
        <v>0</v>
      </c>
      <c r="AJ261" s="101"/>
      <c r="AK261" s="159">
        <f>AK262+AK263+AK264</f>
        <v>0</v>
      </c>
      <c r="AL261" s="102">
        <f>AK261/$H261</f>
        <v>0</v>
      </c>
      <c r="AM261" s="101"/>
      <c r="AN261" s="159">
        <f>AN262+AN263+AN264</f>
        <v>0</v>
      </c>
      <c r="AO261" s="102">
        <f>AN261/$H261</f>
        <v>0</v>
      </c>
      <c r="AP261" s="160">
        <f t="shared" si="185"/>
        <v>0</v>
      </c>
      <c r="AQ261" s="159">
        <f>AQ262+AQ263+AQ264</f>
        <v>0</v>
      </c>
      <c r="AR261" s="102">
        <f>AQ261/$H261</f>
        <v>0</v>
      </c>
      <c r="AS261" s="160">
        <f t="shared" si="186"/>
        <v>0</v>
      </c>
      <c r="AT261" s="159">
        <f>AT262+AT263+AT264</f>
        <v>8184.4480000000003</v>
      </c>
      <c r="AU261" s="102">
        <f>AT261/$H261</f>
        <v>1</v>
      </c>
    </row>
    <row r="262" spans="1:56" ht="45">
      <c r="A262" s="16"/>
      <c r="B262" s="97" t="s">
        <v>1115</v>
      </c>
      <c r="C262" s="167" t="s">
        <v>1116</v>
      </c>
      <c r="D262" s="86" t="s">
        <v>1117</v>
      </c>
      <c r="E262" s="97" t="s">
        <v>44</v>
      </c>
      <c r="F262" s="141">
        <v>70.040000000000006</v>
      </c>
      <c r="G262" s="97">
        <v>72.099999999999994</v>
      </c>
      <c r="H262" s="85">
        <f>G262*$F262</f>
        <v>5049.884</v>
      </c>
      <c r="I262" s="50">
        <f t="shared" si="170"/>
        <v>0</v>
      </c>
      <c r="J262" s="85">
        <f>I262*$F262</f>
        <v>0</v>
      </c>
      <c r="K262" s="82" t="str">
        <f t="shared" si="187"/>
        <v/>
      </c>
      <c r="L262" s="50"/>
      <c r="M262" s="85">
        <f>L262*$F262</f>
        <v>0</v>
      </c>
      <c r="N262" s="82" t="str">
        <f t="shared" si="188"/>
        <v/>
      </c>
      <c r="O262" s="50"/>
      <c r="P262" s="85">
        <f>O262*$F262</f>
        <v>0</v>
      </c>
      <c r="Q262" s="82" t="str">
        <f t="shared" si="189"/>
        <v/>
      </c>
      <c r="R262" s="50"/>
      <c r="S262" s="85">
        <f>R262*$F262</f>
        <v>0</v>
      </c>
      <c r="T262" s="82" t="str">
        <f t="shared" si="190"/>
        <v/>
      </c>
      <c r="U262" s="50"/>
      <c r="V262" s="85">
        <f>U262*$F262</f>
        <v>0</v>
      </c>
      <c r="W262" s="82" t="str">
        <f t="shared" si="191"/>
        <v/>
      </c>
      <c r="X262" s="50"/>
      <c r="Y262" s="85">
        <f>X262*$F262</f>
        <v>0</v>
      </c>
      <c r="Z262" s="82" t="str">
        <f t="shared" si="192"/>
        <v/>
      </c>
      <c r="AA262" s="50"/>
      <c r="AB262" s="85">
        <f>AA262*$F262</f>
        <v>0</v>
      </c>
      <c r="AC262" s="82" t="str">
        <f t="shared" si="193"/>
        <v/>
      </c>
      <c r="AD262" s="50"/>
      <c r="AE262" s="85">
        <f>AD262*$F262</f>
        <v>0</v>
      </c>
      <c r="AF262" s="82" t="str">
        <f t="shared" si="194"/>
        <v/>
      </c>
      <c r="AG262" s="50"/>
      <c r="AH262" s="85">
        <f>AG262*$F262</f>
        <v>0</v>
      </c>
      <c r="AI262" s="82" t="str">
        <f t="shared" si="195"/>
        <v/>
      </c>
      <c r="AJ262" s="50"/>
      <c r="AK262" s="85">
        <f>AJ262*$F262</f>
        <v>0</v>
      </c>
      <c r="AL262" s="82" t="str">
        <f t="shared" si="196"/>
        <v/>
      </c>
      <c r="AM262" s="50"/>
      <c r="AN262" s="85">
        <f>AM262*$F262</f>
        <v>0</v>
      </c>
      <c r="AO262" s="82" t="str">
        <f t="shared" si="197"/>
        <v/>
      </c>
      <c r="AP262" s="48">
        <f t="shared" si="185"/>
        <v>0</v>
      </c>
      <c r="AQ262" s="85">
        <f>AP262*$F262</f>
        <v>0</v>
      </c>
      <c r="AR262" s="82" t="str">
        <f t="shared" si="198"/>
        <v/>
      </c>
      <c r="AS262" s="48">
        <f t="shared" si="186"/>
        <v>72.099999999999994</v>
      </c>
      <c r="AT262" s="85">
        <f>AS262*$F262</f>
        <v>5049.884</v>
      </c>
      <c r="AU262" s="82">
        <f t="shared" si="199"/>
        <v>1</v>
      </c>
    </row>
    <row r="263" spans="1:56" ht="45">
      <c r="A263" s="16"/>
      <c r="B263" s="97" t="s">
        <v>1118</v>
      </c>
      <c r="C263" s="167" t="s">
        <v>1119</v>
      </c>
      <c r="D263" s="86" t="s">
        <v>1120</v>
      </c>
      <c r="E263" s="97" t="s">
        <v>44</v>
      </c>
      <c r="F263" s="141">
        <v>114.78</v>
      </c>
      <c r="G263" s="97">
        <v>15.8</v>
      </c>
      <c r="H263" s="85">
        <f>G263*$F263</f>
        <v>1813.5240000000001</v>
      </c>
      <c r="I263" s="50">
        <f t="shared" si="170"/>
        <v>0</v>
      </c>
      <c r="J263" s="85">
        <f>I263*$F263</f>
        <v>0</v>
      </c>
      <c r="K263" s="82" t="str">
        <f t="shared" si="187"/>
        <v/>
      </c>
      <c r="L263" s="50"/>
      <c r="M263" s="85">
        <f>L263*$F263</f>
        <v>0</v>
      </c>
      <c r="N263" s="82" t="str">
        <f t="shared" si="188"/>
        <v/>
      </c>
      <c r="O263" s="50"/>
      <c r="P263" s="85">
        <f>O263*$F263</f>
        <v>0</v>
      </c>
      <c r="Q263" s="82" t="str">
        <f t="shared" si="189"/>
        <v/>
      </c>
      <c r="R263" s="50"/>
      <c r="S263" s="85">
        <f>R263*$F263</f>
        <v>0</v>
      </c>
      <c r="T263" s="82" t="str">
        <f t="shared" si="190"/>
        <v/>
      </c>
      <c r="U263" s="50"/>
      <c r="V263" s="85">
        <f>U263*$F263</f>
        <v>0</v>
      </c>
      <c r="W263" s="82" t="str">
        <f t="shared" si="191"/>
        <v/>
      </c>
      <c r="X263" s="50"/>
      <c r="Y263" s="85">
        <f>X263*$F263</f>
        <v>0</v>
      </c>
      <c r="Z263" s="82" t="str">
        <f t="shared" si="192"/>
        <v/>
      </c>
      <c r="AA263" s="50"/>
      <c r="AB263" s="85">
        <f>AA263*$F263</f>
        <v>0</v>
      </c>
      <c r="AC263" s="82" t="str">
        <f t="shared" si="193"/>
        <v/>
      </c>
      <c r="AD263" s="50"/>
      <c r="AE263" s="85">
        <f>AD263*$F263</f>
        <v>0</v>
      </c>
      <c r="AF263" s="82" t="str">
        <f t="shared" si="194"/>
        <v/>
      </c>
      <c r="AG263" s="50"/>
      <c r="AH263" s="85">
        <f>AG263*$F263</f>
        <v>0</v>
      </c>
      <c r="AI263" s="82" t="str">
        <f t="shared" si="195"/>
        <v/>
      </c>
      <c r="AJ263" s="50"/>
      <c r="AK263" s="85">
        <f>AJ263*$F263</f>
        <v>0</v>
      </c>
      <c r="AL263" s="82" t="str">
        <f t="shared" si="196"/>
        <v/>
      </c>
      <c r="AM263" s="50"/>
      <c r="AN263" s="85">
        <f>AM263*$F263</f>
        <v>0</v>
      </c>
      <c r="AO263" s="82" t="str">
        <f t="shared" si="197"/>
        <v/>
      </c>
      <c r="AP263" s="48">
        <f t="shared" si="185"/>
        <v>0</v>
      </c>
      <c r="AQ263" s="85">
        <f>AP263*$F263</f>
        <v>0</v>
      </c>
      <c r="AR263" s="82" t="str">
        <f t="shared" si="198"/>
        <v/>
      </c>
      <c r="AS263" s="48">
        <f t="shared" si="186"/>
        <v>15.8</v>
      </c>
      <c r="AT263" s="85">
        <f>AS263*$F263</f>
        <v>1813.5240000000001</v>
      </c>
      <c r="AU263" s="82">
        <f t="shared" si="199"/>
        <v>1</v>
      </c>
    </row>
    <row r="264" spans="1:56" ht="45">
      <c r="A264" s="16"/>
      <c r="B264" s="97" t="s">
        <v>1121</v>
      </c>
      <c r="C264" s="167" t="s">
        <v>1122</v>
      </c>
      <c r="D264" s="86" t="s">
        <v>1123</v>
      </c>
      <c r="E264" s="97" t="s">
        <v>44</v>
      </c>
      <c r="F264" s="141">
        <v>188.72</v>
      </c>
      <c r="G264" s="97">
        <v>7</v>
      </c>
      <c r="H264" s="85">
        <f>G264*$F264</f>
        <v>1321.04</v>
      </c>
      <c r="I264" s="50">
        <f t="shared" si="170"/>
        <v>0</v>
      </c>
      <c r="J264" s="85">
        <f>I264*$F264</f>
        <v>0</v>
      </c>
      <c r="K264" s="82" t="str">
        <f t="shared" si="187"/>
        <v/>
      </c>
      <c r="L264" s="50"/>
      <c r="M264" s="85">
        <f>L264*$F264</f>
        <v>0</v>
      </c>
      <c r="N264" s="82" t="str">
        <f t="shared" si="188"/>
        <v/>
      </c>
      <c r="O264" s="50"/>
      <c r="P264" s="85">
        <f>O264*$F264</f>
        <v>0</v>
      </c>
      <c r="Q264" s="82" t="str">
        <f t="shared" si="189"/>
        <v/>
      </c>
      <c r="R264" s="50"/>
      <c r="S264" s="85">
        <f>R264*$F264</f>
        <v>0</v>
      </c>
      <c r="T264" s="82" t="str">
        <f t="shared" si="190"/>
        <v/>
      </c>
      <c r="U264" s="50"/>
      <c r="V264" s="85">
        <f>U264*$F264</f>
        <v>0</v>
      </c>
      <c r="W264" s="82" t="str">
        <f t="shared" si="191"/>
        <v/>
      </c>
      <c r="X264" s="50"/>
      <c r="Y264" s="85">
        <f>X264*$F264</f>
        <v>0</v>
      </c>
      <c r="Z264" s="82" t="str">
        <f t="shared" si="192"/>
        <v/>
      </c>
      <c r="AA264" s="50"/>
      <c r="AB264" s="85">
        <f>AA264*$F264</f>
        <v>0</v>
      </c>
      <c r="AC264" s="82" t="str">
        <f t="shared" si="193"/>
        <v/>
      </c>
      <c r="AD264" s="50"/>
      <c r="AE264" s="85">
        <f>AD264*$F264</f>
        <v>0</v>
      </c>
      <c r="AF264" s="82" t="str">
        <f t="shared" si="194"/>
        <v/>
      </c>
      <c r="AG264" s="50"/>
      <c r="AH264" s="85">
        <f>AG264*$F264</f>
        <v>0</v>
      </c>
      <c r="AI264" s="82" t="str">
        <f t="shared" si="195"/>
        <v/>
      </c>
      <c r="AJ264" s="50"/>
      <c r="AK264" s="85">
        <f>AJ264*$F264</f>
        <v>0</v>
      </c>
      <c r="AL264" s="82" t="str">
        <f t="shared" si="196"/>
        <v/>
      </c>
      <c r="AM264" s="50"/>
      <c r="AN264" s="85">
        <f>AM264*$F264</f>
        <v>0</v>
      </c>
      <c r="AO264" s="82" t="str">
        <f t="shared" si="197"/>
        <v/>
      </c>
      <c r="AP264" s="48">
        <f t="shared" si="185"/>
        <v>0</v>
      </c>
      <c r="AQ264" s="85">
        <f>AP264*$F264</f>
        <v>0</v>
      </c>
      <c r="AR264" s="82" t="str">
        <f t="shared" si="198"/>
        <v/>
      </c>
      <c r="AS264" s="48">
        <f t="shared" si="186"/>
        <v>7</v>
      </c>
      <c r="AT264" s="85">
        <f>AS264*$F264</f>
        <v>1321.04</v>
      </c>
      <c r="AU264" s="82">
        <f t="shared" si="199"/>
        <v>1</v>
      </c>
    </row>
    <row r="265" spans="1:56" s="161" customFormat="1" ht="30" customHeight="1">
      <c r="A265" s="94"/>
      <c r="B265" s="116" t="s">
        <v>1124</v>
      </c>
      <c r="C265" s="1945" t="s">
        <v>1125</v>
      </c>
      <c r="D265" s="1946"/>
      <c r="E265" s="1946"/>
      <c r="F265" s="1946"/>
      <c r="G265" s="1947"/>
      <c r="H265" s="159">
        <f>SUM(H266:H273)</f>
        <v>12381.768000000002</v>
      </c>
      <c r="I265" s="50">
        <f t="shared" si="170"/>
        <v>0</v>
      </c>
      <c r="J265" s="159">
        <f>SUM(J266:J273)</f>
        <v>0</v>
      </c>
      <c r="K265" s="102">
        <f>J265/$H265</f>
        <v>0</v>
      </c>
      <c r="L265" s="101"/>
      <c r="M265" s="159">
        <f>SUM(M266:M273)</f>
        <v>0</v>
      </c>
      <c r="N265" s="102">
        <f>M265/$H265</f>
        <v>0</v>
      </c>
      <c r="O265" s="101"/>
      <c r="P265" s="159">
        <f>SUM(P266:P273)</f>
        <v>0</v>
      </c>
      <c r="Q265" s="102">
        <f>P265/$H265</f>
        <v>0</v>
      </c>
      <c r="R265" s="101"/>
      <c r="S265" s="159">
        <f>SUM(S266:S273)</f>
        <v>0</v>
      </c>
      <c r="T265" s="102">
        <f>S265/$H265</f>
        <v>0</v>
      </c>
      <c r="U265" s="101"/>
      <c r="V265" s="159">
        <f>SUM(V266:V273)</f>
        <v>0</v>
      </c>
      <c r="W265" s="102">
        <f>V265/$H265</f>
        <v>0</v>
      </c>
      <c r="X265" s="101"/>
      <c r="Y265" s="159">
        <f>SUM(Y266:Y273)</f>
        <v>0</v>
      </c>
      <c r="Z265" s="102">
        <f>Y265/$H265</f>
        <v>0</v>
      </c>
      <c r="AA265" s="101"/>
      <c r="AB265" s="159">
        <f>SUM(AB266:AB273)</f>
        <v>0</v>
      </c>
      <c r="AC265" s="102">
        <f>AB265/$H265</f>
        <v>0</v>
      </c>
      <c r="AD265" s="101"/>
      <c r="AE265" s="159">
        <f>SUM(AE266:AE273)</f>
        <v>0</v>
      </c>
      <c r="AF265" s="102">
        <f>AE265/$H265</f>
        <v>0</v>
      </c>
      <c r="AG265" s="101"/>
      <c r="AH265" s="159">
        <f>SUM(AH266:AH273)</f>
        <v>0</v>
      </c>
      <c r="AI265" s="102">
        <f>AH265/$H265</f>
        <v>0</v>
      </c>
      <c r="AJ265" s="101"/>
      <c r="AK265" s="159">
        <f>SUM(AK266:AK273)</f>
        <v>0</v>
      </c>
      <c r="AL265" s="102">
        <f>AK265/$H265</f>
        <v>0</v>
      </c>
      <c r="AM265" s="101"/>
      <c r="AN265" s="159">
        <f>SUM(AN266:AN273)</f>
        <v>0</v>
      </c>
      <c r="AO265" s="102">
        <f>AN265/$H265</f>
        <v>0</v>
      </c>
      <c r="AP265" s="160">
        <f t="shared" si="185"/>
        <v>0</v>
      </c>
      <c r="AQ265" s="159">
        <f>SUM(AQ266:AQ273)</f>
        <v>0</v>
      </c>
      <c r="AR265" s="102">
        <f>AQ265/$H265</f>
        <v>0</v>
      </c>
      <c r="AS265" s="160">
        <f t="shared" si="186"/>
        <v>0</v>
      </c>
      <c r="AT265" s="159">
        <f>SUM(AT266:AT273)</f>
        <v>12381.768000000002</v>
      </c>
      <c r="AU265" s="102">
        <f>AT265/$H265</f>
        <v>1</v>
      </c>
    </row>
    <row r="266" spans="1:56" ht="105">
      <c r="A266" s="16"/>
      <c r="B266" s="97" t="s">
        <v>1126</v>
      </c>
      <c r="C266" s="167" t="s">
        <v>1127</v>
      </c>
      <c r="D266" s="86" t="s">
        <v>1128</v>
      </c>
      <c r="E266" s="97" t="s">
        <v>28</v>
      </c>
      <c r="F266" s="172">
        <v>785.58</v>
      </c>
      <c r="G266" s="97">
        <v>4</v>
      </c>
      <c r="H266" s="85">
        <f t="shared" ref="H266:H325" si="200">G266*$F266</f>
        <v>3142.32</v>
      </c>
      <c r="I266" s="50">
        <f t="shared" si="170"/>
        <v>0</v>
      </c>
      <c r="J266" s="85">
        <f t="shared" ref="J266:J273" si="201">I266*$F266</f>
        <v>0</v>
      </c>
      <c r="K266" s="82" t="str">
        <f t="shared" si="187"/>
        <v/>
      </c>
      <c r="L266" s="50"/>
      <c r="M266" s="85">
        <f t="shared" ref="M266:M273" si="202">L266*$F266</f>
        <v>0</v>
      </c>
      <c r="N266" s="82" t="str">
        <f t="shared" si="188"/>
        <v/>
      </c>
      <c r="O266" s="50"/>
      <c r="P266" s="85">
        <f t="shared" ref="P266:P273" si="203">O266*$F266</f>
        <v>0</v>
      </c>
      <c r="Q266" s="82" t="str">
        <f t="shared" si="189"/>
        <v/>
      </c>
      <c r="R266" s="50"/>
      <c r="S266" s="85">
        <f t="shared" ref="S266:S273" si="204">R266*$F266</f>
        <v>0</v>
      </c>
      <c r="T266" s="82" t="str">
        <f t="shared" si="190"/>
        <v/>
      </c>
      <c r="U266" s="50"/>
      <c r="V266" s="85">
        <f t="shared" ref="V266:V273" si="205">U266*$F266</f>
        <v>0</v>
      </c>
      <c r="W266" s="82" t="str">
        <f t="shared" si="191"/>
        <v/>
      </c>
      <c r="X266" s="50"/>
      <c r="Y266" s="85">
        <f t="shared" ref="Y266:Y273" si="206">X266*$F266</f>
        <v>0</v>
      </c>
      <c r="Z266" s="82" t="str">
        <f t="shared" si="192"/>
        <v/>
      </c>
      <c r="AA266" s="50"/>
      <c r="AB266" s="85">
        <f t="shared" ref="AB266:AB273" si="207">AA266*$F266</f>
        <v>0</v>
      </c>
      <c r="AC266" s="82" t="str">
        <f t="shared" si="193"/>
        <v/>
      </c>
      <c r="AD266" s="50"/>
      <c r="AE266" s="85">
        <f t="shared" ref="AE266:AE273" si="208">AD266*$F266</f>
        <v>0</v>
      </c>
      <c r="AF266" s="82" t="str">
        <f t="shared" si="194"/>
        <v/>
      </c>
      <c r="AG266" s="50"/>
      <c r="AH266" s="85">
        <f t="shared" ref="AH266:AH273" si="209">AG266*$F266</f>
        <v>0</v>
      </c>
      <c r="AI266" s="82" t="str">
        <f t="shared" si="195"/>
        <v/>
      </c>
      <c r="AJ266" s="50"/>
      <c r="AK266" s="85">
        <f t="shared" ref="AK266:AK273" si="210">AJ266*$F266</f>
        <v>0</v>
      </c>
      <c r="AL266" s="82" t="str">
        <f t="shared" si="196"/>
        <v/>
      </c>
      <c r="AM266" s="50"/>
      <c r="AN266" s="85">
        <f t="shared" ref="AN266:AN273" si="211">AM266*$F266</f>
        <v>0</v>
      </c>
      <c r="AO266" s="82" t="str">
        <f t="shared" si="197"/>
        <v/>
      </c>
      <c r="AP266" s="48">
        <f t="shared" si="185"/>
        <v>0</v>
      </c>
      <c r="AQ266" s="85">
        <f t="shared" ref="AQ266:AQ273" si="212">AP266*$F266</f>
        <v>0</v>
      </c>
      <c r="AR266" s="82" t="str">
        <f t="shared" si="198"/>
        <v/>
      </c>
      <c r="AS266" s="48">
        <f t="shared" si="186"/>
        <v>4</v>
      </c>
      <c r="AT266" s="85">
        <f t="shared" ref="AT266:AT273" si="213">AS266*$F266</f>
        <v>3142.32</v>
      </c>
      <c r="AU266" s="82">
        <f t="shared" si="199"/>
        <v>1</v>
      </c>
    </row>
    <row r="267" spans="1:56" ht="105">
      <c r="A267" s="16"/>
      <c r="B267" s="97" t="s">
        <v>1129</v>
      </c>
      <c r="C267" s="167" t="s">
        <v>1130</v>
      </c>
      <c r="D267" s="86" t="s">
        <v>1131</v>
      </c>
      <c r="E267" s="97" t="s">
        <v>28</v>
      </c>
      <c r="F267" s="172">
        <v>874.28</v>
      </c>
      <c r="G267" s="97">
        <v>2</v>
      </c>
      <c r="H267" s="85">
        <f t="shared" si="200"/>
        <v>1748.56</v>
      </c>
      <c r="I267" s="50">
        <f t="shared" si="170"/>
        <v>0</v>
      </c>
      <c r="J267" s="85">
        <f t="shared" si="201"/>
        <v>0</v>
      </c>
      <c r="K267" s="82" t="str">
        <f t="shared" si="187"/>
        <v/>
      </c>
      <c r="L267" s="50"/>
      <c r="M267" s="85">
        <f t="shared" si="202"/>
        <v>0</v>
      </c>
      <c r="N267" s="82" t="str">
        <f t="shared" si="188"/>
        <v/>
      </c>
      <c r="O267" s="50"/>
      <c r="P267" s="85">
        <f t="shared" si="203"/>
        <v>0</v>
      </c>
      <c r="Q267" s="82" t="str">
        <f t="shared" si="189"/>
        <v/>
      </c>
      <c r="R267" s="50"/>
      <c r="S267" s="85">
        <f t="shared" si="204"/>
        <v>0</v>
      </c>
      <c r="T267" s="82" t="str">
        <f t="shared" si="190"/>
        <v/>
      </c>
      <c r="U267" s="50"/>
      <c r="V267" s="85">
        <f t="shared" si="205"/>
        <v>0</v>
      </c>
      <c r="W267" s="82" t="str">
        <f t="shared" si="191"/>
        <v/>
      </c>
      <c r="X267" s="50"/>
      <c r="Y267" s="85">
        <f t="shared" si="206"/>
        <v>0</v>
      </c>
      <c r="Z267" s="82" t="str">
        <f t="shared" si="192"/>
        <v/>
      </c>
      <c r="AA267" s="50"/>
      <c r="AB267" s="85">
        <f t="shared" si="207"/>
        <v>0</v>
      </c>
      <c r="AC267" s="82" t="str">
        <f t="shared" si="193"/>
        <v/>
      </c>
      <c r="AD267" s="50"/>
      <c r="AE267" s="85">
        <f t="shared" si="208"/>
        <v>0</v>
      </c>
      <c r="AF267" s="82" t="str">
        <f t="shared" si="194"/>
        <v/>
      </c>
      <c r="AG267" s="50"/>
      <c r="AH267" s="85">
        <f t="shared" si="209"/>
        <v>0</v>
      </c>
      <c r="AI267" s="82" t="str">
        <f t="shared" si="195"/>
        <v/>
      </c>
      <c r="AJ267" s="50"/>
      <c r="AK267" s="85">
        <f t="shared" si="210"/>
        <v>0</v>
      </c>
      <c r="AL267" s="82" t="str">
        <f t="shared" si="196"/>
        <v/>
      </c>
      <c r="AM267" s="50"/>
      <c r="AN267" s="85">
        <f t="shared" si="211"/>
        <v>0</v>
      </c>
      <c r="AO267" s="82" t="str">
        <f t="shared" si="197"/>
        <v/>
      </c>
      <c r="AP267" s="48">
        <f t="shared" si="185"/>
        <v>0</v>
      </c>
      <c r="AQ267" s="85">
        <f t="shared" si="212"/>
        <v>0</v>
      </c>
      <c r="AR267" s="82" t="str">
        <f t="shared" si="198"/>
        <v/>
      </c>
      <c r="AS267" s="48">
        <f t="shared" si="186"/>
        <v>2</v>
      </c>
      <c r="AT267" s="85">
        <f t="shared" si="213"/>
        <v>1748.56</v>
      </c>
      <c r="AU267" s="82">
        <f t="shared" si="199"/>
        <v>1</v>
      </c>
    </row>
    <row r="268" spans="1:56" ht="105">
      <c r="A268" s="16"/>
      <c r="B268" s="97" t="s">
        <v>1132</v>
      </c>
      <c r="C268" s="167" t="s">
        <v>1133</v>
      </c>
      <c r="D268" s="86" t="s">
        <v>1134</v>
      </c>
      <c r="E268" s="97" t="s">
        <v>28</v>
      </c>
      <c r="F268" s="172">
        <v>828.98</v>
      </c>
      <c r="G268" s="97">
        <v>1</v>
      </c>
      <c r="H268" s="85">
        <f t="shared" si="200"/>
        <v>828.98</v>
      </c>
      <c r="I268" s="50">
        <f t="shared" si="170"/>
        <v>0</v>
      </c>
      <c r="J268" s="85">
        <f t="shared" si="201"/>
        <v>0</v>
      </c>
      <c r="K268" s="82" t="str">
        <f t="shared" si="187"/>
        <v/>
      </c>
      <c r="L268" s="50"/>
      <c r="M268" s="85">
        <f t="shared" si="202"/>
        <v>0</v>
      </c>
      <c r="N268" s="82" t="str">
        <f t="shared" si="188"/>
        <v/>
      </c>
      <c r="O268" s="50"/>
      <c r="P268" s="85">
        <f t="shared" si="203"/>
        <v>0</v>
      </c>
      <c r="Q268" s="82" t="str">
        <f t="shared" si="189"/>
        <v/>
      </c>
      <c r="R268" s="50"/>
      <c r="S268" s="85">
        <f t="shared" si="204"/>
        <v>0</v>
      </c>
      <c r="T268" s="82" t="str">
        <f t="shared" si="190"/>
        <v/>
      </c>
      <c r="U268" s="50"/>
      <c r="V268" s="85">
        <f t="shared" si="205"/>
        <v>0</v>
      </c>
      <c r="W268" s="82" t="str">
        <f t="shared" si="191"/>
        <v/>
      </c>
      <c r="X268" s="50"/>
      <c r="Y268" s="85">
        <f t="shared" si="206"/>
        <v>0</v>
      </c>
      <c r="Z268" s="82" t="str">
        <f t="shared" si="192"/>
        <v/>
      </c>
      <c r="AA268" s="50"/>
      <c r="AB268" s="85">
        <f t="shared" si="207"/>
        <v>0</v>
      </c>
      <c r="AC268" s="82" t="str">
        <f t="shared" si="193"/>
        <v/>
      </c>
      <c r="AD268" s="50"/>
      <c r="AE268" s="85">
        <f t="shared" si="208"/>
        <v>0</v>
      </c>
      <c r="AF268" s="82" t="str">
        <f t="shared" si="194"/>
        <v/>
      </c>
      <c r="AG268" s="50"/>
      <c r="AH268" s="85">
        <f t="shared" si="209"/>
        <v>0</v>
      </c>
      <c r="AI268" s="82" t="str">
        <f t="shared" si="195"/>
        <v/>
      </c>
      <c r="AJ268" s="50"/>
      <c r="AK268" s="85">
        <f t="shared" si="210"/>
        <v>0</v>
      </c>
      <c r="AL268" s="82" t="str">
        <f t="shared" si="196"/>
        <v/>
      </c>
      <c r="AM268" s="50"/>
      <c r="AN268" s="85">
        <f t="shared" si="211"/>
        <v>0</v>
      </c>
      <c r="AO268" s="82" t="str">
        <f t="shared" si="197"/>
        <v/>
      </c>
      <c r="AP268" s="48">
        <f t="shared" si="185"/>
        <v>0</v>
      </c>
      <c r="AQ268" s="85">
        <f t="shared" si="212"/>
        <v>0</v>
      </c>
      <c r="AR268" s="82" t="str">
        <f t="shared" si="198"/>
        <v/>
      </c>
      <c r="AS268" s="48">
        <f t="shared" si="186"/>
        <v>1</v>
      </c>
      <c r="AT268" s="85">
        <f t="shared" si="213"/>
        <v>828.98</v>
      </c>
      <c r="AU268" s="82">
        <f t="shared" si="199"/>
        <v>1</v>
      </c>
      <c r="AW268" s="51"/>
      <c r="AX268" s="51"/>
      <c r="AY268" s="51"/>
      <c r="AZ268" s="1927"/>
      <c r="BA268" s="1927"/>
      <c r="BB268" s="1927"/>
      <c r="BC268" s="1927"/>
      <c r="BD268" s="1927"/>
    </row>
    <row r="269" spans="1:56" ht="105">
      <c r="A269" s="16"/>
      <c r="B269" s="97" t="s">
        <v>1135</v>
      </c>
      <c r="C269" s="167" t="s">
        <v>1136</v>
      </c>
      <c r="D269" s="86" t="s">
        <v>1137</v>
      </c>
      <c r="E269" s="97" t="s">
        <v>28</v>
      </c>
      <c r="F269" s="172">
        <v>874.28</v>
      </c>
      <c r="G269" s="97">
        <v>1</v>
      </c>
      <c r="H269" s="85">
        <f t="shared" si="200"/>
        <v>874.28</v>
      </c>
      <c r="I269" s="50">
        <f t="shared" si="170"/>
        <v>0</v>
      </c>
      <c r="J269" s="85">
        <f t="shared" si="201"/>
        <v>0</v>
      </c>
      <c r="K269" s="82" t="str">
        <f t="shared" si="187"/>
        <v/>
      </c>
      <c r="L269" s="50"/>
      <c r="M269" s="85">
        <f t="shared" si="202"/>
        <v>0</v>
      </c>
      <c r="N269" s="82" t="str">
        <f t="shared" si="188"/>
        <v/>
      </c>
      <c r="O269" s="50"/>
      <c r="P269" s="85">
        <f t="shared" si="203"/>
        <v>0</v>
      </c>
      <c r="Q269" s="82" t="str">
        <f t="shared" si="189"/>
        <v/>
      </c>
      <c r="R269" s="50"/>
      <c r="S269" s="85">
        <f t="shared" si="204"/>
        <v>0</v>
      </c>
      <c r="T269" s="82" t="str">
        <f t="shared" si="190"/>
        <v/>
      </c>
      <c r="U269" s="50"/>
      <c r="V269" s="85">
        <f t="shared" si="205"/>
        <v>0</v>
      </c>
      <c r="W269" s="82" t="str">
        <f t="shared" si="191"/>
        <v/>
      </c>
      <c r="X269" s="50"/>
      <c r="Y269" s="85">
        <f t="shared" si="206"/>
        <v>0</v>
      </c>
      <c r="Z269" s="82" t="str">
        <f t="shared" si="192"/>
        <v/>
      </c>
      <c r="AA269" s="50"/>
      <c r="AB269" s="85">
        <f t="shared" si="207"/>
        <v>0</v>
      </c>
      <c r="AC269" s="82" t="str">
        <f t="shared" si="193"/>
        <v/>
      </c>
      <c r="AD269" s="50"/>
      <c r="AE269" s="85">
        <f t="shared" si="208"/>
        <v>0</v>
      </c>
      <c r="AF269" s="82" t="str">
        <f t="shared" si="194"/>
        <v/>
      </c>
      <c r="AG269" s="50"/>
      <c r="AH269" s="85">
        <f t="shared" si="209"/>
        <v>0</v>
      </c>
      <c r="AI269" s="82" t="str">
        <f t="shared" si="195"/>
        <v/>
      </c>
      <c r="AJ269" s="50"/>
      <c r="AK269" s="85">
        <f t="shared" si="210"/>
        <v>0</v>
      </c>
      <c r="AL269" s="82" t="str">
        <f t="shared" si="196"/>
        <v/>
      </c>
      <c r="AM269" s="50"/>
      <c r="AN269" s="85">
        <f t="shared" si="211"/>
        <v>0</v>
      </c>
      <c r="AO269" s="82" t="str">
        <f t="shared" si="197"/>
        <v/>
      </c>
      <c r="AP269" s="48">
        <f t="shared" si="185"/>
        <v>0</v>
      </c>
      <c r="AQ269" s="85">
        <f t="shared" si="212"/>
        <v>0</v>
      </c>
      <c r="AR269" s="82" t="str">
        <f t="shared" si="198"/>
        <v/>
      </c>
      <c r="AS269" s="48">
        <f t="shared" si="186"/>
        <v>1</v>
      </c>
      <c r="AT269" s="85">
        <f t="shared" si="213"/>
        <v>874.28</v>
      </c>
      <c r="AU269" s="82">
        <f t="shared" si="199"/>
        <v>1</v>
      </c>
      <c r="AW269" s="51"/>
      <c r="AX269" s="51"/>
      <c r="AY269" s="51"/>
      <c r="AZ269" s="1927"/>
      <c r="BA269" s="1927"/>
      <c r="BB269" s="1927"/>
      <c r="BC269" s="1927"/>
      <c r="BD269" s="1927"/>
    </row>
    <row r="270" spans="1:56" ht="45">
      <c r="A270" s="16"/>
      <c r="B270" s="97" t="s">
        <v>1138</v>
      </c>
      <c r="C270" s="167" t="s">
        <v>1139</v>
      </c>
      <c r="D270" s="86" t="s">
        <v>1140</v>
      </c>
      <c r="E270" s="97" t="s">
        <v>28</v>
      </c>
      <c r="F270" s="172">
        <v>556.79999999999995</v>
      </c>
      <c r="G270" s="97">
        <v>1</v>
      </c>
      <c r="H270" s="85">
        <f t="shared" si="200"/>
        <v>556.79999999999995</v>
      </c>
      <c r="I270" s="50">
        <f t="shared" si="170"/>
        <v>0</v>
      </c>
      <c r="J270" s="85">
        <f t="shared" si="201"/>
        <v>0</v>
      </c>
      <c r="K270" s="82" t="str">
        <f t="shared" si="187"/>
        <v/>
      </c>
      <c r="L270" s="50"/>
      <c r="M270" s="85">
        <f t="shared" si="202"/>
        <v>0</v>
      </c>
      <c r="N270" s="82" t="str">
        <f t="shared" si="188"/>
        <v/>
      </c>
      <c r="O270" s="50"/>
      <c r="P270" s="85">
        <f t="shared" si="203"/>
        <v>0</v>
      </c>
      <c r="Q270" s="82" t="str">
        <f t="shared" si="189"/>
        <v/>
      </c>
      <c r="R270" s="50"/>
      <c r="S270" s="85">
        <f t="shared" si="204"/>
        <v>0</v>
      </c>
      <c r="T270" s="82" t="str">
        <f t="shared" si="190"/>
        <v/>
      </c>
      <c r="U270" s="50"/>
      <c r="V270" s="85">
        <f t="shared" si="205"/>
        <v>0</v>
      </c>
      <c r="W270" s="82" t="str">
        <f t="shared" si="191"/>
        <v/>
      </c>
      <c r="X270" s="50"/>
      <c r="Y270" s="85">
        <f t="shared" si="206"/>
        <v>0</v>
      </c>
      <c r="Z270" s="82" t="str">
        <f t="shared" si="192"/>
        <v/>
      </c>
      <c r="AA270" s="50"/>
      <c r="AB270" s="85">
        <f t="shared" si="207"/>
        <v>0</v>
      </c>
      <c r="AC270" s="82" t="str">
        <f t="shared" si="193"/>
        <v/>
      </c>
      <c r="AD270" s="50"/>
      <c r="AE270" s="85">
        <f t="shared" si="208"/>
        <v>0</v>
      </c>
      <c r="AF270" s="82" t="str">
        <f t="shared" si="194"/>
        <v/>
      </c>
      <c r="AG270" s="50"/>
      <c r="AH270" s="85">
        <f t="shared" si="209"/>
        <v>0</v>
      </c>
      <c r="AI270" s="82" t="str">
        <f t="shared" si="195"/>
        <v/>
      </c>
      <c r="AJ270" s="50"/>
      <c r="AK270" s="85">
        <f t="shared" si="210"/>
        <v>0</v>
      </c>
      <c r="AL270" s="82" t="str">
        <f t="shared" si="196"/>
        <v/>
      </c>
      <c r="AM270" s="50"/>
      <c r="AN270" s="85">
        <f t="shared" si="211"/>
        <v>0</v>
      </c>
      <c r="AO270" s="82" t="str">
        <f t="shared" si="197"/>
        <v/>
      </c>
      <c r="AP270" s="48">
        <f t="shared" si="185"/>
        <v>0</v>
      </c>
      <c r="AQ270" s="85">
        <f t="shared" si="212"/>
        <v>0</v>
      </c>
      <c r="AR270" s="82" t="str">
        <f t="shared" si="198"/>
        <v/>
      </c>
      <c r="AS270" s="48">
        <f t="shared" si="186"/>
        <v>1</v>
      </c>
      <c r="AT270" s="85">
        <f t="shared" si="213"/>
        <v>556.79999999999995</v>
      </c>
      <c r="AU270" s="82">
        <f t="shared" si="199"/>
        <v>1</v>
      </c>
      <c r="AW270" s="51"/>
      <c r="AX270" s="51"/>
      <c r="AY270" s="51"/>
      <c r="AZ270" s="1927"/>
      <c r="BA270" s="1927"/>
      <c r="BB270" s="1927"/>
      <c r="BC270" s="1927"/>
      <c r="BD270" s="1927"/>
    </row>
    <row r="271" spans="1:56" ht="105">
      <c r="A271" s="16"/>
      <c r="B271" s="97" t="s">
        <v>1141</v>
      </c>
      <c r="C271" s="167" t="s">
        <v>1142</v>
      </c>
      <c r="D271" s="86" t="s">
        <v>1143</v>
      </c>
      <c r="E271" s="97" t="s">
        <v>28</v>
      </c>
      <c r="F271" s="172">
        <v>404.8</v>
      </c>
      <c r="G271" s="97">
        <v>2</v>
      </c>
      <c r="H271" s="85">
        <f t="shared" si="200"/>
        <v>809.6</v>
      </c>
      <c r="I271" s="50">
        <f t="shared" si="170"/>
        <v>0</v>
      </c>
      <c r="J271" s="85">
        <f t="shared" si="201"/>
        <v>0</v>
      </c>
      <c r="K271" s="82" t="str">
        <f t="shared" si="187"/>
        <v/>
      </c>
      <c r="L271" s="50"/>
      <c r="M271" s="85">
        <f t="shared" si="202"/>
        <v>0</v>
      </c>
      <c r="N271" s="82" t="str">
        <f t="shared" si="188"/>
        <v/>
      </c>
      <c r="O271" s="50"/>
      <c r="P271" s="85">
        <f t="shared" si="203"/>
        <v>0</v>
      </c>
      <c r="Q271" s="82" t="str">
        <f t="shared" si="189"/>
        <v/>
      </c>
      <c r="R271" s="50"/>
      <c r="S271" s="85">
        <f t="shared" si="204"/>
        <v>0</v>
      </c>
      <c r="T271" s="82" t="str">
        <f t="shared" si="190"/>
        <v/>
      </c>
      <c r="U271" s="50"/>
      <c r="V271" s="85">
        <f t="shared" si="205"/>
        <v>0</v>
      </c>
      <c r="W271" s="82" t="str">
        <f t="shared" si="191"/>
        <v/>
      </c>
      <c r="X271" s="50"/>
      <c r="Y271" s="85">
        <f t="shared" si="206"/>
        <v>0</v>
      </c>
      <c r="Z271" s="82" t="str">
        <f t="shared" si="192"/>
        <v/>
      </c>
      <c r="AA271" s="50"/>
      <c r="AB271" s="85">
        <f t="shared" si="207"/>
        <v>0</v>
      </c>
      <c r="AC271" s="82" t="str">
        <f t="shared" si="193"/>
        <v/>
      </c>
      <c r="AD271" s="50"/>
      <c r="AE271" s="85">
        <f t="shared" si="208"/>
        <v>0</v>
      </c>
      <c r="AF271" s="82" t="str">
        <f t="shared" si="194"/>
        <v/>
      </c>
      <c r="AG271" s="50"/>
      <c r="AH271" s="85">
        <f t="shared" si="209"/>
        <v>0</v>
      </c>
      <c r="AI271" s="82" t="str">
        <f t="shared" si="195"/>
        <v/>
      </c>
      <c r="AJ271" s="50"/>
      <c r="AK271" s="85">
        <f t="shared" si="210"/>
        <v>0</v>
      </c>
      <c r="AL271" s="82" t="str">
        <f t="shared" si="196"/>
        <v/>
      </c>
      <c r="AM271" s="50"/>
      <c r="AN271" s="85">
        <f t="shared" si="211"/>
        <v>0</v>
      </c>
      <c r="AO271" s="82" t="str">
        <f t="shared" si="197"/>
        <v/>
      </c>
      <c r="AP271" s="48">
        <f t="shared" si="185"/>
        <v>0</v>
      </c>
      <c r="AQ271" s="85">
        <f t="shared" si="212"/>
        <v>0</v>
      </c>
      <c r="AR271" s="82" t="str">
        <f t="shared" si="198"/>
        <v/>
      </c>
      <c r="AS271" s="48">
        <f t="shared" si="186"/>
        <v>2</v>
      </c>
      <c r="AT271" s="85">
        <f t="shared" si="213"/>
        <v>809.6</v>
      </c>
      <c r="AU271" s="82">
        <f t="shared" si="199"/>
        <v>1</v>
      </c>
      <c r="AW271" s="51"/>
      <c r="AX271" s="51"/>
      <c r="AY271" s="51"/>
      <c r="AZ271" s="1927"/>
      <c r="BA271" s="1927"/>
      <c r="BB271" s="1927"/>
      <c r="BC271" s="1927"/>
      <c r="BD271" s="1927"/>
    </row>
    <row r="272" spans="1:56" ht="105">
      <c r="A272" s="16"/>
      <c r="B272" s="97" t="s">
        <v>1144</v>
      </c>
      <c r="C272" s="167" t="s">
        <v>1145</v>
      </c>
      <c r="D272" s="86" t="s">
        <v>1146</v>
      </c>
      <c r="E272" s="97" t="s">
        <v>28</v>
      </c>
      <c r="F272" s="172">
        <v>777.26</v>
      </c>
      <c r="G272" s="97">
        <v>4</v>
      </c>
      <c r="H272" s="85">
        <f t="shared" si="200"/>
        <v>3109.04</v>
      </c>
      <c r="I272" s="50">
        <f t="shared" si="170"/>
        <v>0</v>
      </c>
      <c r="J272" s="85">
        <f t="shared" si="201"/>
        <v>0</v>
      </c>
      <c r="K272" s="82" t="str">
        <f t="shared" si="187"/>
        <v/>
      </c>
      <c r="L272" s="50"/>
      <c r="M272" s="85">
        <f t="shared" si="202"/>
        <v>0</v>
      </c>
      <c r="N272" s="82" t="str">
        <f t="shared" si="188"/>
        <v/>
      </c>
      <c r="O272" s="50"/>
      <c r="P272" s="85">
        <f t="shared" si="203"/>
        <v>0</v>
      </c>
      <c r="Q272" s="82" t="str">
        <f t="shared" si="189"/>
        <v/>
      </c>
      <c r="R272" s="50"/>
      <c r="S272" s="85">
        <f t="shared" si="204"/>
        <v>0</v>
      </c>
      <c r="T272" s="82" t="str">
        <f t="shared" si="190"/>
        <v/>
      </c>
      <c r="U272" s="50"/>
      <c r="V272" s="85">
        <f t="shared" si="205"/>
        <v>0</v>
      </c>
      <c r="W272" s="82" t="str">
        <f t="shared" si="191"/>
        <v/>
      </c>
      <c r="X272" s="50"/>
      <c r="Y272" s="85">
        <f t="shared" si="206"/>
        <v>0</v>
      </c>
      <c r="Z272" s="82" t="str">
        <f t="shared" si="192"/>
        <v/>
      </c>
      <c r="AA272" s="50"/>
      <c r="AB272" s="85">
        <f t="shared" si="207"/>
        <v>0</v>
      </c>
      <c r="AC272" s="82" t="str">
        <f t="shared" si="193"/>
        <v/>
      </c>
      <c r="AD272" s="50"/>
      <c r="AE272" s="85">
        <f t="shared" si="208"/>
        <v>0</v>
      </c>
      <c r="AF272" s="82" t="str">
        <f t="shared" si="194"/>
        <v/>
      </c>
      <c r="AG272" s="50"/>
      <c r="AH272" s="85">
        <f t="shared" si="209"/>
        <v>0</v>
      </c>
      <c r="AI272" s="82" t="str">
        <f t="shared" si="195"/>
        <v/>
      </c>
      <c r="AJ272" s="50"/>
      <c r="AK272" s="85">
        <f t="shared" si="210"/>
        <v>0</v>
      </c>
      <c r="AL272" s="82" t="str">
        <f t="shared" si="196"/>
        <v/>
      </c>
      <c r="AM272" s="50"/>
      <c r="AN272" s="85">
        <f t="shared" si="211"/>
        <v>0</v>
      </c>
      <c r="AO272" s="82" t="str">
        <f t="shared" si="197"/>
        <v/>
      </c>
      <c r="AP272" s="48">
        <f t="shared" si="185"/>
        <v>0</v>
      </c>
      <c r="AQ272" s="85">
        <f t="shared" si="212"/>
        <v>0</v>
      </c>
      <c r="AR272" s="82" t="str">
        <f t="shared" si="198"/>
        <v/>
      </c>
      <c r="AS272" s="48">
        <f t="shared" si="186"/>
        <v>4</v>
      </c>
      <c r="AT272" s="85">
        <f t="shared" si="213"/>
        <v>3109.04</v>
      </c>
      <c r="AU272" s="82">
        <f t="shared" si="199"/>
        <v>1</v>
      </c>
      <c r="AW272" s="51"/>
      <c r="AX272" s="51"/>
      <c r="AY272" s="51"/>
      <c r="AZ272" s="1940"/>
      <c r="BA272" s="1940"/>
      <c r="BB272" s="1940"/>
      <c r="BC272" s="1940"/>
      <c r="BD272" s="1940"/>
    </row>
    <row r="273" spans="1:56" ht="30">
      <c r="A273" s="16"/>
      <c r="B273" s="97" t="s">
        <v>1147</v>
      </c>
      <c r="C273" s="167" t="s">
        <v>1148</v>
      </c>
      <c r="D273" s="86" t="s">
        <v>1149</v>
      </c>
      <c r="E273" s="97" t="s">
        <v>44</v>
      </c>
      <c r="F273" s="172">
        <v>305.16000000000003</v>
      </c>
      <c r="G273" s="97">
        <v>4.3</v>
      </c>
      <c r="H273" s="85">
        <f t="shared" si="200"/>
        <v>1312.1880000000001</v>
      </c>
      <c r="I273" s="50">
        <f t="shared" si="170"/>
        <v>0</v>
      </c>
      <c r="J273" s="85">
        <f t="shared" si="201"/>
        <v>0</v>
      </c>
      <c r="K273" s="82" t="str">
        <f t="shared" si="187"/>
        <v/>
      </c>
      <c r="L273" s="50"/>
      <c r="M273" s="85">
        <f t="shared" si="202"/>
        <v>0</v>
      </c>
      <c r="N273" s="82" t="str">
        <f t="shared" si="188"/>
        <v/>
      </c>
      <c r="O273" s="50"/>
      <c r="P273" s="85">
        <f t="shared" si="203"/>
        <v>0</v>
      </c>
      <c r="Q273" s="82" t="str">
        <f t="shared" si="189"/>
        <v/>
      </c>
      <c r="R273" s="50"/>
      <c r="S273" s="85">
        <f t="shared" si="204"/>
        <v>0</v>
      </c>
      <c r="T273" s="82" t="str">
        <f t="shared" si="190"/>
        <v/>
      </c>
      <c r="U273" s="50"/>
      <c r="V273" s="85">
        <f t="shared" si="205"/>
        <v>0</v>
      </c>
      <c r="W273" s="82" t="str">
        <f t="shared" si="191"/>
        <v/>
      </c>
      <c r="X273" s="50"/>
      <c r="Y273" s="85">
        <f t="shared" si="206"/>
        <v>0</v>
      </c>
      <c r="Z273" s="82" t="str">
        <f t="shared" si="192"/>
        <v/>
      </c>
      <c r="AA273" s="50"/>
      <c r="AB273" s="85">
        <f t="shared" si="207"/>
        <v>0</v>
      </c>
      <c r="AC273" s="82" t="str">
        <f t="shared" si="193"/>
        <v/>
      </c>
      <c r="AD273" s="50"/>
      <c r="AE273" s="85">
        <f t="shared" si="208"/>
        <v>0</v>
      </c>
      <c r="AF273" s="82" t="str">
        <f t="shared" si="194"/>
        <v/>
      </c>
      <c r="AG273" s="50"/>
      <c r="AH273" s="85">
        <f t="shared" si="209"/>
        <v>0</v>
      </c>
      <c r="AI273" s="82" t="str">
        <f t="shared" si="195"/>
        <v/>
      </c>
      <c r="AJ273" s="50"/>
      <c r="AK273" s="85">
        <f t="shared" si="210"/>
        <v>0</v>
      </c>
      <c r="AL273" s="82" t="str">
        <f t="shared" si="196"/>
        <v/>
      </c>
      <c r="AM273" s="50"/>
      <c r="AN273" s="85">
        <f t="shared" si="211"/>
        <v>0</v>
      </c>
      <c r="AO273" s="82" t="str">
        <f t="shared" si="197"/>
        <v/>
      </c>
      <c r="AP273" s="48">
        <f t="shared" si="185"/>
        <v>0</v>
      </c>
      <c r="AQ273" s="85">
        <f t="shared" si="212"/>
        <v>0</v>
      </c>
      <c r="AR273" s="82" t="str">
        <f t="shared" si="198"/>
        <v/>
      </c>
      <c r="AS273" s="48">
        <f t="shared" si="186"/>
        <v>4.3</v>
      </c>
      <c r="AT273" s="85">
        <f t="shared" si="213"/>
        <v>1312.1880000000001</v>
      </c>
      <c r="AU273" s="82">
        <f t="shared" si="199"/>
        <v>1</v>
      </c>
      <c r="AW273" s="2"/>
      <c r="AX273" s="3"/>
      <c r="AY273" s="3"/>
      <c r="AZ273" s="4"/>
      <c r="BA273" s="3"/>
      <c r="BB273" s="1"/>
      <c r="BC273" s="5"/>
      <c r="BD273" s="1"/>
    </row>
    <row r="274" spans="1:56" s="161" customFormat="1" ht="30" customHeight="1">
      <c r="A274" s="94"/>
      <c r="B274" s="116" t="s">
        <v>1150</v>
      </c>
      <c r="C274" s="1945" t="s">
        <v>1151</v>
      </c>
      <c r="D274" s="1946"/>
      <c r="E274" s="1946"/>
      <c r="F274" s="1946"/>
      <c r="G274" s="1947"/>
      <c r="H274" s="159">
        <f>H275+H276+H277+H278</f>
        <v>16257.328799999999</v>
      </c>
      <c r="I274" s="50">
        <f t="shared" si="170"/>
        <v>0</v>
      </c>
      <c r="J274" s="159">
        <f>J275+J276+J277+J278</f>
        <v>0</v>
      </c>
      <c r="K274" s="102">
        <f>J274/$H274</f>
        <v>0</v>
      </c>
      <c r="L274" s="101"/>
      <c r="M274" s="159">
        <f>M275+M276+M277+M278</f>
        <v>0</v>
      </c>
      <c r="N274" s="102">
        <f>M274/$H274</f>
        <v>0</v>
      </c>
      <c r="O274" s="101"/>
      <c r="P274" s="159">
        <f>P275+P276+P277+P278</f>
        <v>0</v>
      </c>
      <c r="Q274" s="102">
        <f>P274/$H274</f>
        <v>0</v>
      </c>
      <c r="R274" s="101"/>
      <c r="S274" s="159">
        <f>S275+S276+S277+S278</f>
        <v>0</v>
      </c>
      <c r="T274" s="102">
        <f>S274/$H274</f>
        <v>0</v>
      </c>
      <c r="U274" s="101"/>
      <c r="V274" s="159">
        <f>V275+V276+V277+V278</f>
        <v>0</v>
      </c>
      <c r="W274" s="102">
        <f>V274/$H274</f>
        <v>0</v>
      </c>
      <c r="X274" s="101"/>
      <c r="Y274" s="159">
        <f>Y275+Y276+Y277+Y278</f>
        <v>0</v>
      </c>
      <c r="Z274" s="102">
        <f>Y274/$H274</f>
        <v>0</v>
      </c>
      <c r="AA274" s="101"/>
      <c r="AB274" s="159">
        <f>AB275+AB276+AB277+AB278</f>
        <v>0</v>
      </c>
      <c r="AC274" s="102">
        <f>AB274/$H274</f>
        <v>0</v>
      </c>
      <c r="AD274" s="101"/>
      <c r="AE274" s="159">
        <f>AE275+AE276+AE277+AE278</f>
        <v>0</v>
      </c>
      <c r="AF274" s="102">
        <f>AE274/$H274</f>
        <v>0</v>
      </c>
      <c r="AG274" s="101"/>
      <c r="AH274" s="159">
        <f>AH275+AH276+AH277+AH278</f>
        <v>0</v>
      </c>
      <c r="AI274" s="102">
        <f>AH274/$H274</f>
        <v>0</v>
      </c>
      <c r="AJ274" s="101"/>
      <c r="AK274" s="159">
        <f>AK275+AK276+AK277+AK278</f>
        <v>0</v>
      </c>
      <c r="AL274" s="102">
        <f>AK274/$H274</f>
        <v>0</v>
      </c>
      <c r="AM274" s="101"/>
      <c r="AN274" s="159">
        <f>AN275+AN276+AN277+AN278</f>
        <v>0</v>
      </c>
      <c r="AO274" s="102">
        <f>AN274/$H274</f>
        <v>0</v>
      </c>
      <c r="AP274" s="160">
        <f t="shared" si="185"/>
        <v>0</v>
      </c>
      <c r="AQ274" s="159">
        <f>AQ275+AQ276+AQ277+AQ278</f>
        <v>0</v>
      </c>
      <c r="AR274" s="102">
        <f>AQ274/$H274</f>
        <v>0</v>
      </c>
      <c r="AS274" s="160">
        <f t="shared" si="186"/>
        <v>0</v>
      </c>
      <c r="AT274" s="159">
        <f>AT275+AT276+AT277+AT278</f>
        <v>16257.328799999999</v>
      </c>
      <c r="AU274" s="102">
        <f>AT274/$H274</f>
        <v>1</v>
      </c>
    </row>
    <row r="275" spans="1:56" ht="30">
      <c r="A275" s="16"/>
      <c r="B275" s="97" t="s">
        <v>1152</v>
      </c>
      <c r="C275" s="167" t="s">
        <v>194</v>
      </c>
      <c r="D275" s="86" t="s">
        <v>195</v>
      </c>
      <c r="E275" s="97" t="s">
        <v>44</v>
      </c>
      <c r="F275" s="172">
        <v>28.7</v>
      </c>
      <c r="G275" s="97">
        <v>242.17</v>
      </c>
      <c r="H275" s="85">
        <f t="shared" si="200"/>
        <v>6950.2789999999995</v>
      </c>
      <c r="I275" s="50">
        <f t="shared" ref="I275:I338" si="214">L275+O275</f>
        <v>0</v>
      </c>
      <c r="J275" s="85">
        <f>I275*$F275</f>
        <v>0</v>
      </c>
      <c r="K275" s="82" t="str">
        <f t="shared" si="187"/>
        <v/>
      </c>
      <c r="L275" s="50"/>
      <c r="M275" s="85">
        <f>L275*$F275</f>
        <v>0</v>
      </c>
      <c r="N275" s="82" t="str">
        <f t="shared" si="188"/>
        <v/>
      </c>
      <c r="O275" s="50"/>
      <c r="P275" s="85">
        <f>O275*$F275</f>
        <v>0</v>
      </c>
      <c r="Q275" s="82" t="str">
        <f t="shared" si="189"/>
        <v/>
      </c>
      <c r="R275" s="50"/>
      <c r="S275" s="85">
        <f>R275*$F275</f>
        <v>0</v>
      </c>
      <c r="T275" s="82" t="str">
        <f t="shared" si="190"/>
        <v/>
      </c>
      <c r="U275" s="50"/>
      <c r="V275" s="85">
        <f>U275*$F275</f>
        <v>0</v>
      </c>
      <c r="W275" s="82" t="str">
        <f t="shared" si="191"/>
        <v/>
      </c>
      <c r="X275" s="50"/>
      <c r="Y275" s="85">
        <f>X275*$F275</f>
        <v>0</v>
      </c>
      <c r="Z275" s="82" t="str">
        <f t="shared" si="192"/>
        <v/>
      </c>
      <c r="AA275" s="50"/>
      <c r="AB275" s="85">
        <f>AA275*$F275</f>
        <v>0</v>
      </c>
      <c r="AC275" s="82" t="str">
        <f t="shared" si="193"/>
        <v/>
      </c>
      <c r="AD275" s="50"/>
      <c r="AE275" s="85">
        <f>AD275*$F275</f>
        <v>0</v>
      </c>
      <c r="AF275" s="82" t="str">
        <f t="shared" si="194"/>
        <v/>
      </c>
      <c r="AG275" s="50"/>
      <c r="AH275" s="85">
        <f>AG275*$F275</f>
        <v>0</v>
      </c>
      <c r="AI275" s="82" t="str">
        <f t="shared" si="195"/>
        <v/>
      </c>
      <c r="AJ275" s="50"/>
      <c r="AK275" s="85">
        <f>AJ275*$F275</f>
        <v>0</v>
      </c>
      <c r="AL275" s="82" t="str">
        <f t="shared" si="196"/>
        <v/>
      </c>
      <c r="AM275" s="50"/>
      <c r="AN275" s="85">
        <f>AM275*$F275</f>
        <v>0</v>
      </c>
      <c r="AO275" s="82" t="str">
        <f t="shared" si="197"/>
        <v/>
      </c>
      <c r="AP275" s="48">
        <f t="shared" si="185"/>
        <v>0</v>
      </c>
      <c r="AQ275" s="85">
        <f>AP275*$F275</f>
        <v>0</v>
      </c>
      <c r="AR275" s="82" t="str">
        <f t="shared" si="198"/>
        <v/>
      </c>
      <c r="AS275" s="48">
        <f t="shared" si="186"/>
        <v>242.17</v>
      </c>
      <c r="AT275" s="85">
        <f>AS275*$F275</f>
        <v>6950.2789999999995</v>
      </c>
      <c r="AU275" s="82">
        <f t="shared" si="199"/>
        <v>1</v>
      </c>
    </row>
    <row r="276" spans="1:56" ht="30">
      <c r="A276" s="16"/>
      <c r="B276" s="97" t="s">
        <v>1153</v>
      </c>
      <c r="C276" s="167" t="s">
        <v>197</v>
      </c>
      <c r="D276" s="86" t="s">
        <v>198</v>
      </c>
      <c r="E276" s="97" t="s">
        <v>44</v>
      </c>
      <c r="F276" s="172">
        <v>40.93</v>
      </c>
      <c r="G276" s="97">
        <v>26.65</v>
      </c>
      <c r="H276" s="85">
        <f t="shared" si="200"/>
        <v>1090.7845</v>
      </c>
      <c r="I276" s="50">
        <f t="shared" si="214"/>
        <v>0</v>
      </c>
      <c r="J276" s="85">
        <f>I276*$F276</f>
        <v>0</v>
      </c>
      <c r="K276" s="82" t="str">
        <f t="shared" si="187"/>
        <v/>
      </c>
      <c r="L276" s="50"/>
      <c r="M276" s="85">
        <f>L276*$F276</f>
        <v>0</v>
      </c>
      <c r="N276" s="82" t="str">
        <f t="shared" si="188"/>
        <v/>
      </c>
      <c r="O276" s="50"/>
      <c r="P276" s="85">
        <f>O276*$F276</f>
        <v>0</v>
      </c>
      <c r="Q276" s="82" t="str">
        <f t="shared" si="189"/>
        <v/>
      </c>
      <c r="R276" s="50"/>
      <c r="S276" s="85">
        <f>R276*$F276</f>
        <v>0</v>
      </c>
      <c r="T276" s="82" t="str">
        <f t="shared" si="190"/>
        <v/>
      </c>
      <c r="U276" s="50"/>
      <c r="V276" s="85">
        <f>U276*$F276</f>
        <v>0</v>
      </c>
      <c r="W276" s="82" t="str">
        <f t="shared" si="191"/>
        <v/>
      </c>
      <c r="X276" s="50"/>
      <c r="Y276" s="85">
        <f>X276*$F276</f>
        <v>0</v>
      </c>
      <c r="Z276" s="82" t="str">
        <f t="shared" si="192"/>
        <v/>
      </c>
      <c r="AA276" s="50"/>
      <c r="AB276" s="85">
        <f>AA276*$F276</f>
        <v>0</v>
      </c>
      <c r="AC276" s="82" t="str">
        <f t="shared" si="193"/>
        <v/>
      </c>
      <c r="AD276" s="50"/>
      <c r="AE276" s="85">
        <f>AD276*$F276</f>
        <v>0</v>
      </c>
      <c r="AF276" s="82" t="str">
        <f t="shared" si="194"/>
        <v/>
      </c>
      <c r="AG276" s="50"/>
      <c r="AH276" s="85">
        <f>AG276*$F276</f>
        <v>0</v>
      </c>
      <c r="AI276" s="82" t="str">
        <f t="shared" si="195"/>
        <v/>
      </c>
      <c r="AJ276" s="50"/>
      <c r="AK276" s="85">
        <f>AJ276*$F276</f>
        <v>0</v>
      </c>
      <c r="AL276" s="82" t="str">
        <f t="shared" si="196"/>
        <v/>
      </c>
      <c r="AM276" s="50"/>
      <c r="AN276" s="85">
        <f>AM276*$F276</f>
        <v>0</v>
      </c>
      <c r="AO276" s="82" t="str">
        <f t="shared" si="197"/>
        <v/>
      </c>
      <c r="AP276" s="48">
        <f t="shared" si="185"/>
        <v>0</v>
      </c>
      <c r="AQ276" s="85">
        <f>AP276*$F276</f>
        <v>0</v>
      </c>
      <c r="AR276" s="82" t="str">
        <f t="shared" si="198"/>
        <v/>
      </c>
      <c r="AS276" s="48">
        <f t="shared" si="186"/>
        <v>26.65</v>
      </c>
      <c r="AT276" s="85">
        <f>AS276*$F276</f>
        <v>1090.7845</v>
      </c>
      <c r="AU276" s="82">
        <f t="shared" si="199"/>
        <v>1</v>
      </c>
    </row>
    <row r="277" spans="1:56" ht="45">
      <c r="A277" s="16"/>
      <c r="B277" s="97" t="s">
        <v>1154</v>
      </c>
      <c r="C277" s="167" t="s">
        <v>1155</v>
      </c>
      <c r="D277" s="86" t="s">
        <v>1156</v>
      </c>
      <c r="E277" s="97" t="s">
        <v>44</v>
      </c>
      <c r="F277" s="172">
        <v>64.77</v>
      </c>
      <c r="G277" s="97">
        <v>55.69</v>
      </c>
      <c r="H277" s="85">
        <f t="shared" si="200"/>
        <v>3607.0412999999994</v>
      </c>
      <c r="I277" s="50">
        <f t="shared" si="214"/>
        <v>0</v>
      </c>
      <c r="J277" s="85">
        <f>I277*$F277</f>
        <v>0</v>
      </c>
      <c r="K277" s="82" t="str">
        <f t="shared" si="187"/>
        <v/>
      </c>
      <c r="L277" s="50"/>
      <c r="M277" s="85">
        <f>L277*$F277</f>
        <v>0</v>
      </c>
      <c r="N277" s="82" t="str">
        <f t="shared" si="188"/>
        <v/>
      </c>
      <c r="O277" s="50"/>
      <c r="P277" s="85">
        <f>O277*$F277</f>
        <v>0</v>
      </c>
      <c r="Q277" s="82" t="str">
        <f t="shared" si="189"/>
        <v/>
      </c>
      <c r="R277" s="50"/>
      <c r="S277" s="85">
        <f>R277*$F277</f>
        <v>0</v>
      </c>
      <c r="T277" s="82" t="str">
        <f t="shared" si="190"/>
        <v/>
      </c>
      <c r="U277" s="50"/>
      <c r="V277" s="85">
        <f>U277*$F277</f>
        <v>0</v>
      </c>
      <c r="W277" s="82" t="str">
        <f t="shared" si="191"/>
        <v/>
      </c>
      <c r="X277" s="50"/>
      <c r="Y277" s="85">
        <f>X277*$F277</f>
        <v>0</v>
      </c>
      <c r="Z277" s="82" t="str">
        <f t="shared" si="192"/>
        <v/>
      </c>
      <c r="AA277" s="50"/>
      <c r="AB277" s="85">
        <f>AA277*$F277</f>
        <v>0</v>
      </c>
      <c r="AC277" s="82" t="str">
        <f t="shared" si="193"/>
        <v/>
      </c>
      <c r="AD277" s="50"/>
      <c r="AE277" s="85">
        <f>AD277*$F277</f>
        <v>0</v>
      </c>
      <c r="AF277" s="82" t="str">
        <f t="shared" si="194"/>
        <v/>
      </c>
      <c r="AG277" s="50"/>
      <c r="AH277" s="85">
        <f>AG277*$F277</f>
        <v>0</v>
      </c>
      <c r="AI277" s="82" t="str">
        <f t="shared" si="195"/>
        <v/>
      </c>
      <c r="AJ277" s="50"/>
      <c r="AK277" s="85">
        <f>AJ277*$F277</f>
        <v>0</v>
      </c>
      <c r="AL277" s="82" t="str">
        <f t="shared" si="196"/>
        <v/>
      </c>
      <c r="AM277" s="50"/>
      <c r="AN277" s="85">
        <f>AM277*$F277</f>
        <v>0</v>
      </c>
      <c r="AO277" s="82" t="str">
        <f t="shared" si="197"/>
        <v/>
      </c>
      <c r="AP277" s="48">
        <f t="shared" si="185"/>
        <v>0</v>
      </c>
      <c r="AQ277" s="85">
        <f>AP277*$F277</f>
        <v>0</v>
      </c>
      <c r="AR277" s="82" t="str">
        <f t="shared" si="198"/>
        <v/>
      </c>
      <c r="AS277" s="48">
        <f t="shared" si="186"/>
        <v>55.69</v>
      </c>
      <c r="AT277" s="85">
        <f>AS277*$F277</f>
        <v>3607.0412999999994</v>
      </c>
      <c r="AU277" s="82">
        <f t="shared" si="199"/>
        <v>1</v>
      </c>
    </row>
    <row r="278" spans="1:56" ht="30">
      <c r="A278" s="16"/>
      <c r="B278" s="97" t="s">
        <v>1157</v>
      </c>
      <c r="C278" s="167" t="s">
        <v>1158</v>
      </c>
      <c r="D278" s="86" t="s">
        <v>1159</v>
      </c>
      <c r="E278" s="97" t="s">
        <v>44</v>
      </c>
      <c r="F278" s="172">
        <v>94.84</v>
      </c>
      <c r="G278" s="97">
        <v>48.6</v>
      </c>
      <c r="H278" s="85">
        <f t="shared" si="200"/>
        <v>4609.2240000000002</v>
      </c>
      <c r="I278" s="50">
        <f t="shared" si="214"/>
        <v>0</v>
      </c>
      <c r="J278" s="85">
        <f>I278*$F278</f>
        <v>0</v>
      </c>
      <c r="K278" s="82" t="str">
        <f t="shared" si="187"/>
        <v/>
      </c>
      <c r="L278" s="50"/>
      <c r="M278" s="85">
        <f>L278*$F278</f>
        <v>0</v>
      </c>
      <c r="N278" s="82" t="str">
        <f t="shared" si="188"/>
        <v/>
      </c>
      <c r="O278" s="50"/>
      <c r="P278" s="85">
        <f>O278*$F278</f>
        <v>0</v>
      </c>
      <c r="Q278" s="82" t="str">
        <f t="shared" si="189"/>
        <v/>
      </c>
      <c r="R278" s="50"/>
      <c r="S278" s="85">
        <f>R278*$F278</f>
        <v>0</v>
      </c>
      <c r="T278" s="82" t="str">
        <f t="shared" si="190"/>
        <v/>
      </c>
      <c r="U278" s="50"/>
      <c r="V278" s="85">
        <f>U278*$F278</f>
        <v>0</v>
      </c>
      <c r="W278" s="82" t="str">
        <f t="shared" si="191"/>
        <v/>
      </c>
      <c r="X278" s="50"/>
      <c r="Y278" s="85">
        <f>X278*$F278</f>
        <v>0</v>
      </c>
      <c r="Z278" s="82" t="str">
        <f t="shared" si="192"/>
        <v/>
      </c>
      <c r="AA278" s="50"/>
      <c r="AB278" s="85">
        <f>AA278*$F278</f>
        <v>0</v>
      </c>
      <c r="AC278" s="82" t="str">
        <f t="shared" si="193"/>
        <v/>
      </c>
      <c r="AD278" s="50"/>
      <c r="AE278" s="85">
        <f>AD278*$F278</f>
        <v>0</v>
      </c>
      <c r="AF278" s="82" t="str">
        <f t="shared" si="194"/>
        <v/>
      </c>
      <c r="AG278" s="50"/>
      <c r="AH278" s="85">
        <f>AG278*$F278</f>
        <v>0</v>
      </c>
      <c r="AI278" s="82" t="str">
        <f t="shared" si="195"/>
        <v/>
      </c>
      <c r="AJ278" s="50"/>
      <c r="AK278" s="85">
        <f>AJ278*$F278</f>
        <v>0</v>
      </c>
      <c r="AL278" s="82" t="str">
        <f t="shared" si="196"/>
        <v/>
      </c>
      <c r="AM278" s="50"/>
      <c r="AN278" s="85">
        <f>AM278*$F278</f>
        <v>0</v>
      </c>
      <c r="AO278" s="82" t="str">
        <f t="shared" si="197"/>
        <v/>
      </c>
      <c r="AP278" s="48">
        <f t="shared" si="185"/>
        <v>0</v>
      </c>
      <c r="AQ278" s="85">
        <f>AP278*$F278</f>
        <v>0</v>
      </c>
      <c r="AR278" s="82" t="str">
        <f t="shared" si="198"/>
        <v/>
      </c>
      <c r="AS278" s="48">
        <f t="shared" si="186"/>
        <v>48.6</v>
      </c>
      <c r="AT278" s="85">
        <f>AS278*$F278</f>
        <v>4609.2240000000002</v>
      </c>
      <c r="AU278" s="82">
        <f t="shared" si="199"/>
        <v>1</v>
      </c>
    </row>
    <row r="279" spans="1:56" s="161" customFormat="1" ht="30" customHeight="1">
      <c r="A279" s="94"/>
      <c r="B279" s="116" t="s">
        <v>1160</v>
      </c>
      <c r="C279" s="1945" t="s">
        <v>1161</v>
      </c>
      <c r="D279" s="1946"/>
      <c r="E279" s="1946"/>
      <c r="F279" s="1946"/>
      <c r="G279" s="1947"/>
      <c r="H279" s="159">
        <f>H280+H281+H282+H283</f>
        <v>357.78999999999996</v>
      </c>
      <c r="I279" s="50">
        <f t="shared" si="214"/>
        <v>0</v>
      </c>
      <c r="J279" s="159">
        <f>J280+J281+J282+J283</f>
        <v>0</v>
      </c>
      <c r="K279" s="102">
        <f>J279/$H279</f>
        <v>0</v>
      </c>
      <c r="L279" s="101"/>
      <c r="M279" s="159">
        <f>M280+M281+M282+M283</f>
        <v>0</v>
      </c>
      <c r="N279" s="102">
        <f>M279/$H279</f>
        <v>0</v>
      </c>
      <c r="O279" s="101"/>
      <c r="P279" s="159">
        <f>P280+P281+P282+P283</f>
        <v>0</v>
      </c>
      <c r="Q279" s="102">
        <f>P279/$H279</f>
        <v>0</v>
      </c>
      <c r="R279" s="101"/>
      <c r="S279" s="159">
        <f>S280+S281+S282+S283</f>
        <v>0</v>
      </c>
      <c r="T279" s="102">
        <f>S279/$H279</f>
        <v>0</v>
      </c>
      <c r="U279" s="101"/>
      <c r="V279" s="159">
        <f>V280+V281+V282+V283</f>
        <v>0</v>
      </c>
      <c r="W279" s="102">
        <f>V279/$H279</f>
        <v>0</v>
      </c>
      <c r="X279" s="101"/>
      <c r="Y279" s="159">
        <f>Y280+Y281+Y282+Y283</f>
        <v>0</v>
      </c>
      <c r="Z279" s="102">
        <f>Y279/$H279</f>
        <v>0</v>
      </c>
      <c r="AA279" s="101"/>
      <c r="AB279" s="159">
        <f>AB280+AB281+AB282+AB283</f>
        <v>0</v>
      </c>
      <c r="AC279" s="102">
        <f>AB279/$H279</f>
        <v>0</v>
      </c>
      <c r="AD279" s="101"/>
      <c r="AE279" s="159">
        <f>AE280+AE281+AE282+AE283</f>
        <v>0</v>
      </c>
      <c r="AF279" s="102">
        <f>AE279/$H279</f>
        <v>0</v>
      </c>
      <c r="AG279" s="101"/>
      <c r="AH279" s="159">
        <f>AH280+AH281+AH282+AH283</f>
        <v>0</v>
      </c>
      <c r="AI279" s="102">
        <f>AH279/$H279</f>
        <v>0</v>
      </c>
      <c r="AJ279" s="101"/>
      <c r="AK279" s="159">
        <f>AK280+AK281+AK282+AK283</f>
        <v>0</v>
      </c>
      <c r="AL279" s="102">
        <f>AK279/$H279</f>
        <v>0</v>
      </c>
      <c r="AM279" s="101"/>
      <c r="AN279" s="159">
        <f>AN280+AN281+AN282+AN283</f>
        <v>0</v>
      </c>
      <c r="AO279" s="102">
        <f>AN279/$H279</f>
        <v>0</v>
      </c>
      <c r="AP279" s="160">
        <f t="shared" si="185"/>
        <v>0</v>
      </c>
      <c r="AQ279" s="159">
        <f>AQ280+AQ281+AQ282+AQ283</f>
        <v>0</v>
      </c>
      <c r="AR279" s="102">
        <f>AQ279/$H279</f>
        <v>0</v>
      </c>
      <c r="AS279" s="160">
        <f t="shared" si="186"/>
        <v>0</v>
      </c>
      <c r="AT279" s="159">
        <f>AT280+AT281+AT282+AT283</f>
        <v>357.78999999999996</v>
      </c>
      <c r="AU279" s="102">
        <f>AT279/$H279</f>
        <v>1</v>
      </c>
    </row>
    <row r="280" spans="1:56" ht="45">
      <c r="A280" s="16"/>
      <c r="B280" s="97" t="s">
        <v>1162</v>
      </c>
      <c r="C280" s="167" t="s">
        <v>1163</v>
      </c>
      <c r="D280" s="86" t="s">
        <v>1164</v>
      </c>
      <c r="E280" s="97" t="s">
        <v>28</v>
      </c>
      <c r="F280" s="172">
        <v>22.94</v>
      </c>
      <c r="G280" s="97">
        <v>1</v>
      </c>
      <c r="H280" s="85">
        <f t="shared" si="200"/>
        <v>22.94</v>
      </c>
      <c r="I280" s="50">
        <f t="shared" si="214"/>
        <v>0</v>
      </c>
      <c r="J280" s="85">
        <f>I280*$F280</f>
        <v>0</v>
      </c>
      <c r="K280" s="82" t="str">
        <f t="shared" si="187"/>
        <v/>
      </c>
      <c r="L280" s="50"/>
      <c r="M280" s="85">
        <f>L280*$F280</f>
        <v>0</v>
      </c>
      <c r="N280" s="82" t="str">
        <f t="shared" si="188"/>
        <v/>
      </c>
      <c r="O280" s="50"/>
      <c r="P280" s="85">
        <f>O280*$F280</f>
        <v>0</v>
      </c>
      <c r="Q280" s="82" t="str">
        <f t="shared" si="189"/>
        <v/>
      </c>
      <c r="R280" s="50"/>
      <c r="S280" s="85">
        <f>R280*$F280</f>
        <v>0</v>
      </c>
      <c r="T280" s="82" t="str">
        <f t="shared" si="190"/>
        <v/>
      </c>
      <c r="U280" s="50"/>
      <c r="V280" s="85">
        <f>U280*$F280</f>
        <v>0</v>
      </c>
      <c r="W280" s="82" t="str">
        <f t="shared" si="191"/>
        <v/>
      </c>
      <c r="X280" s="50"/>
      <c r="Y280" s="85">
        <f>X280*$F280</f>
        <v>0</v>
      </c>
      <c r="Z280" s="82" t="str">
        <f t="shared" si="192"/>
        <v/>
      </c>
      <c r="AA280" s="50"/>
      <c r="AB280" s="85">
        <f>AA280*$F280</f>
        <v>0</v>
      </c>
      <c r="AC280" s="82" t="str">
        <f t="shared" si="193"/>
        <v/>
      </c>
      <c r="AD280" s="50"/>
      <c r="AE280" s="85">
        <f>AD280*$F280</f>
        <v>0</v>
      </c>
      <c r="AF280" s="82" t="str">
        <f t="shared" si="194"/>
        <v/>
      </c>
      <c r="AG280" s="50"/>
      <c r="AH280" s="85">
        <f>AG280*$F280</f>
        <v>0</v>
      </c>
      <c r="AI280" s="82" t="str">
        <f t="shared" si="195"/>
        <v/>
      </c>
      <c r="AJ280" s="50"/>
      <c r="AK280" s="85">
        <f>AJ280*$F280</f>
        <v>0</v>
      </c>
      <c r="AL280" s="82" t="str">
        <f t="shared" si="196"/>
        <v/>
      </c>
      <c r="AM280" s="50"/>
      <c r="AN280" s="85">
        <f>AM280*$F280</f>
        <v>0</v>
      </c>
      <c r="AO280" s="82" t="str">
        <f t="shared" si="197"/>
        <v/>
      </c>
      <c r="AP280" s="48">
        <f t="shared" si="185"/>
        <v>0</v>
      </c>
      <c r="AQ280" s="85">
        <f>AP280*$F280</f>
        <v>0</v>
      </c>
      <c r="AR280" s="82" t="str">
        <f t="shared" si="198"/>
        <v/>
      </c>
      <c r="AS280" s="48">
        <f t="shared" si="186"/>
        <v>1</v>
      </c>
      <c r="AT280" s="85">
        <f>AS280*$F280</f>
        <v>22.94</v>
      </c>
      <c r="AU280" s="82">
        <f t="shared" si="199"/>
        <v>1</v>
      </c>
    </row>
    <row r="281" spans="1:56" ht="45">
      <c r="A281" s="16"/>
      <c r="B281" s="97" t="s">
        <v>1165</v>
      </c>
      <c r="C281" s="167" t="s">
        <v>1166</v>
      </c>
      <c r="D281" s="86" t="s">
        <v>1167</v>
      </c>
      <c r="E281" s="97" t="s">
        <v>28</v>
      </c>
      <c r="F281" s="172">
        <v>30.41</v>
      </c>
      <c r="G281" s="97">
        <v>3</v>
      </c>
      <c r="H281" s="85">
        <f t="shared" si="200"/>
        <v>91.23</v>
      </c>
      <c r="I281" s="50">
        <f t="shared" si="214"/>
        <v>0</v>
      </c>
      <c r="J281" s="85">
        <f>I281*$F281</f>
        <v>0</v>
      </c>
      <c r="K281" s="82" t="str">
        <f t="shared" si="187"/>
        <v/>
      </c>
      <c r="L281" s="50"/>
      <c r="M281" s="85">
        <f>L281*$F281</f>
        <v>0</v>
      </c>
      <c r="N281" s="82" t="str">
        <f t="shared" si="188"/>
        <v/>
      </c>
      <c r="O281" s="50"/>
      <c r="P281" s="85">
        <f>O281*$F281</f>
        <v>0</v>
      </c>
      <c r="Q281" s="82" t="str">
        <f t="shared" si="189"/>
        <v/>
      </c>
      <c r="R281" s="50"/>
      <c r="S281" s="85">
        <f>R281*$F281</f>
        <v>0</v>
      </c>
      <c r="T281" s="82" t="str">
        <f t="shared" si="190"/>
        <v/>
      </c>
      <c r="U281" s="50"/>
      <c r="V281" s="85">
        <f>U281*$F281</f>
        <v>0</v>
      </c>
      <c r="W281" s="82" t="str">
        <f t="shared" si="191"/>
        <v/>
      </c>
      <c r="X281" s="50"/>
      <c r="Y281" s="85">
        <f>X281*$F281</f>
        <v>0</v>
      </c>
      <c r="Z281" s="82" t="str">
        <f t="shared" si="192"/>
        <v/>
      </c>
      <c r="AA281" s="50"/>
      <c r="AB281" s="85">
        <f>AA281*$F281</f>
        <v>0</v>
      </c>
      <c r="AC281" s="82" t="str">
        <f t="shared" si="193"/>
        <v/>
      </c>
      <c r="AD281" s="50"/>
      <c r="AE281" s="85">
        <f>AD281*$F281</f>
        <v>0</v>
      </c>
      <c r="AF281" s="82" t="str">
        <f t="shared" si="194"/>
        <v/>
      </c>
      <c r="AG281" s="50"/>
      <c r="AH281" s="85">
        <f>AG281*$F281</f>
        <v>0</v>
      </c>
      <c r="AI281" s="82" t="str">
        <f t="shared" si="195"/>
        <v/>
      </c>
      <c r="AJ281" s="50"/>
      <c r="AK281" s="85">
        <f>AJ281*$F281</f>
        <v>0</v>
      </c>
      <c r="AL281" s="82" t="str">
        <f t="shared" si="196"/>
        <v/>
      </c>
      <c r="AM281" s="50"/>
      <c r="AN281" s="85">
        <f>AM281*$F281</f>
        <v>0</v>
      </c>
      <c r="AO281" s="82" t="str">
        <f t="shared" si="197"/>
        <v/>
      </c>
      <c r="AP281" s="48">
        <f t="shared" si="185"/>
        <v>0</v>
      </c>
      <c r="AQ281" s="85">
        <f>AP281*$F281</f>
        <v>0</v>
      </c>
      <c r="AR281" s="82" t="str">
        <f t="shared" si="198"/>
        <v/>
      </c>
      <c r="AS281" s="48">
        <f t="shared" si="186"/>
        <v>3</v>
      </c>
      <c r="AT281" s="85">
        <f>AS281*$F281</f>
        <v>91.23</v>
      </c>
      <c r="AU281" s="82">
        <f t="shared" si="199"/>
        <v>1</v>
      </c>
    </row>
    <row r="282" spans="1:56" ht="45">
      <c r="A282" s="16"/>
      <c r="B282" s="97" t="s">
        <v>1168</v>
      </c>
      <c r="C282" s="167" t="s">
        <v>1169</v>
      </c>
      <c r="D282" s="86" t="s">
        <v>1170</v>
      </c>
      <c r="E282" s="97" t="s">
        <v>28</v>
      </c>
      <c r="F282" s="172">
        <v>47.42</v>
      </c>
      <c r="G282" s="97">
        <v>2</v>
      </c>
      <c r="H282" s="85">
        <f t="shared" si="200"/>
        <v>94.84</v>
      </c>
      <c r="I282" s="50">
        <f t="shared" si="214"/>
        <v>0</v>
      </c>
      <c r="J282" s="85">
        <f>I282*$F282</f>
        <v>0</v>
      </c>
      <c r="K282" s="82" t="str">
        <f t="shared" si="187"/>
        <v/>
      </c>
      <c r="L282" s="50"/>
      <c r="M282" s="85">
        <f>L282*$F282</f>
        <v>0</v>
      </c>
      <c r="N282" s="82" t="str">
        <f t="shared" si="188"/>
        <v/>
      </c>
      <c r="O282" s="50"/>
      <c r="P282" s="85">
        <f>O282*$F282</f>
        <v>0</v>
      </c>
      <c r="Q282" s="82" t="str">
        <f t="shared" si="189"/>
        <v/>
      </c>
      <c r="R282" s="50"/>
      <c r="S282" s="85">
        <f>R282*$F282</f>
        <v>0</v>
      </c>
      <c r="T282" s="82" t="str">
        <f t="shared" si="190"/>
        <v/>
      </c>
      <c r="U282" s="50"/>
      <c r="V282" s="85">
        <f>U282*$F282</f>
        <v>0</v>
      </c>
      <c r="W282" s="82" t="str">
        <f t="shared" si="191"/>
        <v/>
      </c>
      <c r="X282" s="50"/>
      <c r="Y282" s="85">
        <f>X282*$F282</f>
        <v>0</v>
      </c>
      <c r="Z282" s="82" t="str">
        <f t="shared" si="192"/>
        <v/>
      </c>
      <c r="AA282" s="50"/>
      <c r="AB282" s="85">
        <f>AA282*$F282</f>
        <v>0</v>
      </c>
      <c r="AC282" s="82" t="str">
        <f t="shared" si="193"/>
        <v/>
      </c>
      <c r="AD282" s="50"/>
      <c r="AE282" s="85">
        <f>AD282*$F282</f>
        <v>0</v>
      </c>
      <c r="AF282" s="82" t="str">
        <f t="shared" si="194"/>
        <v/>
      </c>
      <c r="AG282" s="50"/>
      <c r="AH282" s="85">
        <f>AG282*$F282</f>
        <v>0</v>
      </c>
      <c r="AI282" s="82" t="str">
        <f t="shared" si="195"/>
        <v/>
      </c>
      <c r="AJ282" s="50"/>
      <c r="AK282" s="85">
        <f>AJ282*$F282</f>
        <v>0</v>
      </c>
      <c r="AL282" s="82" t="str">
        <f t="shared" si="196"/>
        <v/>
      </c>
      <c r="AM282" s="50"/>
      <c r="AN282" s="85">
        <f>AM282*$F282</f>
        <v>0</v>
      </c>
      <c r="AO282" s="82" t="str">
        <f t="shared" si="197"/>
        <v/>
      </c>
      <c r="AP282" s="48">
        <f t="shared" si="185"/>
        <v>0</v>
      </c>
      <c r="AQ282" s="85">
        <f>AP282*$F282</f>
        <v>0</v>
      </c>
      <c r="AR282" s="82" t="str">
        <f t="shared" si="198"/>
        <v/>
      </c>
      <c r="AS282" s="48">
        <f t="shared" si="186"/>
        <v>2</v>
      </c>
      <c r="AT282" s="85">
        <f>AS282*$F282</f>
        <v>94.84</v>
      </c>
      <c r="AU282" s="82">
        <f t="shared" si="199"/>
        <v>1</v>
      </c>
    </row>
    <row r="283" spans="1:56" ht="45">
      <c r="A283" s="16"/>
      <c r="B283" s="97" t="s">
        <v>1171</v>
      </c>
      <c r="C283" s="167" t="s">
        <v>1172</v>
      </c>
      <c r="D283" s="86" t="s">
        <v>1173</v>
      </c>
      <c r="E283" s="97" t="s">
        <v>28</v>
      </c>
      <c r="F283" s="172">
        <v>74.39</v>
      </c>
      <c r="G283" s="97">
        <v>2</v>
      </c>
      <c r="H283" s="85">
        <f t="shared" si="200"/>
        <v>148.78</v>
      </c>
      <c r="I283" s="50">
        <f t="shared" si="214"/>
        <v>0</v>
      </c>
      <c r="J283" s="85">
        <f>I283*$F283</f>
        <v>0</v>
      </c>
      <c r="K283" s="82" t="str">
        <f t="shared" si="187"/>
        <v/>
      </c>
      <c r="L283" s="50"/>
      <c r="M283" s="85">
        <f>L283*$F283</f>
        <v>0</v>
      </c>
      <c r="N283" s="82" t="str">
        <f t="shared" si="188"/>
        <v/>
      </c>
      <c r="O283" s="50"/>
      <c r="P283" s="85">
        <f>O283*$F283</f>
        <v>0</v>
      </c>
      <c r="Q283" s="82" t="str">
        <f t="shared" si="189"/>
        <v/>
      </c>
      <c r="R283" s="50"/>
      <c r="S283" s="85">
        <f>R283*$F283</f>
        <v>0</v>
      </c>
      <c r="T283" s="82" t="str">
        <f t="shared" si="190"/>
        <v/>
      </c>
      <c r="U283" s="50"/>
      <c r="V283" s="85">
        <f>U283*$F283</f>
        <v>0</v>
      </c>
      <c r="W283" s="82" t="str">
        <f t="shared" si="191"/>
        <v/>
      </c>
      <c r="X283" s="50"/>
      <c r="Y283" s="85">
        <f>X283*$F283</f>
        <v>0</v>
      </c>
      <c r="Z283" s="82" t="str">
        <f t="shared" si="192"/>
        <v/>
      </c>
      <c r="AA283" s="50"/>
      <c r="AB283" s="85">
        <f>AA283*$F283</f>
        <v>0</v>
      </c>
      <c r="AC283" s="82" t="str">
        <f t="shared" si="193"/>
        <v/>
      </c>
      <c r="AD283" s="50"/>
      <c r="AE283" s="85">
        <f>AD283*$F283</f>
        <v>0</v>
      </c>
      <c r="AF283" s="82" t="str">
        <f t="shared" si="194"/>
        <v/>
      </c>
      <c r="AG283" s="50"/>
      <c r="AH283" s="85">
        <f>AG283*$F283</f>
        <v>0</v>
      </c>
      <c r="AI283" s="82" t="str">
        <f t="shared" si="195"/>
        <v/>
      </c>
      <c r="AJ283" s="50"/>
      <c r="AK283" s="85">
        <f>AJ283*$F283</f>
        <v>0</v>
      </c>
      <c r="AL283" s="82" t="str">
        <f t="shared" si="196"/>
        <v/>
      </c>
      <c r="AM283" s="50"/>
      <c r="AN283" s="85">
        <f>AM283*$F283</f>
        <v>0</v>
      </c>
      <c r="AO283" s="82" t="str">
        <f t="shared" si="197"/>
        <v/>
      </c>
      <c r="AP283" s="48">
        <f t="shared" si="185"/>
        <v>0</v>
      </c>
      <c r="AQ283" s="85">
        <f>AP283*$F283</f>
        <v>0</v>
      </c>
      <c r="AR283" s="82" t="str">
        <f t="shared" si="198"/>
        <v/>
      </c>
      <c r="AS283" s="48">
        <f t="shared" si="186"/>
        <v>2</v>
      </c>
      <c r="AT283" s="85">
        <f>AS283*$F283</f>
        <v>148.78</v>
      </c>
      <c r="AU283" s="82">
        <f t="shared" si="199"/>
        <v>1</v>
      </c>
    </row>
    <row r="284" spans="1:56" s="161" customFormat="1" ht="30" customHeight="1">
      <c r="A284" s="94"/>
      <c r="B284" s="116" t="s">
        <v>1174</v>
      </c>
      <c r="C284" s="1945" t="s">
        <v>1175</v>
      </c>
      <c r="D284" s="1946"/>
      <c r="E284" s="1946"/>
      <c r="F284" s="1946"/>
      <c r="G284" s="1947"/>
      <c r="H284" s="159">
        <f>SUM(H285:H295)</f>
        <v>9680.2099999999991</v>
      </c>
      <c r="I284" s="50">
        <f t="shared" si="214"/>
        <v>0</v>
      </c>
      <c r="J284" s="159">
        <f>SUM(J285:J295)</f>
        <v>0</v>
      </c>
      <c r="K284" s="102">
        <f>J284/$H284</f>
        <v>0</v>
      </c>
      <c r="L284" s="101"/>
      <c r="M284" s="159">
        <f>SUM(M285:M295)</f>
        <v>0</v>
      </c>
      <c r="N284" s="102">
        <f>M284/$H284</f>
        <v>0</v>
      </c>
      <c r="O284" s="101"/>
      <c r="P284" s="159">
        <f>SUM(P285:P295)</f>
        <v>0</v>
      </c>
      <c r="Q284" s="102">
        <f>P284/$H284</f>
        <v>0</v>
      </c>
      <c r="R284" s="101"/>
      <c r="S284" s="159">
        <f>SUM(S285:S295)</f>
        <v>0</v>
      </c>
      <c r="T284" s="102">
        <f>S284/$H284</f>
        <v>0</v>
      </c>
      <c r="U284" s="101"/>
      <c r="V284" s="159">
        <f>SUM(V285:V295)</f>
        <v>0</v>
      </c>
      <c r="W284" s="102">
        <f>V284/$H284</f>
        <v>0</v>
      </c>
      <c r="X284" s="101"/>
      <c r="Y284" s="159">
        <f>SUM(Y285:Y295)</f>
        <v>0</v>
      </c>
      <c r="Z284" s="102">
        <f>Y284/$H284</f>
        <v>0</v>
      </c>
      <c r="AA284" s="101"/>
      <c r="AB284" s="159">
        <f>SUM(AB285:AB295)</f>
        <v>0</v>
      </c>
      <c r="AC284" s="102">
        <f>AB284/$H284</f>
        <v>0</v>
      </c>
      <c r="AD284" s="101"/>
      <c r="AE284" s="159">
        <f>SUM(AE285:AE295)</f>
        <v>0</v>
      </c>
      <c r="AF284" s="102">
        <f>AE284/$H284</f>
        <v>0</v>
      </c>
      <c r="AG284" s="101"/>
      <c r="AH284" s="159">
        <f>SUM(AH285:AH295)</f>
        <v>0</v>
      </c>
      <c r="AI284" s="102">
        <f>AH284/$H284</f>
        <v>0</v>
      </c>
      <c r="AJ284" s="101"/>
      <c r="AK284" s="159">
        <f>SUM(AK285:AK295)</f>
        <v>0</v>
      </c>
      <c r="AL284" s="102">
        <f>AK284/$H284</f>
        <v>0</v>
      </c>
      <c r="AM284" s="101"/>
      <c r="AN284" s="159">
        <f>SUM(AN285:AN295)</f>
        <v>0</v>
      </c>
      <c r="AO284" s="102">
        <f>AN284/$H284</f>
        <v>0</v>
      </c>
      <c r="AP284" s="160">
        <f t="shared" si="185"/>
        <v>0</v>
      </c>
      <c r="AQ284" s="159">
        <f>SUM(AQ285:AQ295)</f>
        <v>0</v>
      </c>
      <c r="AR284" s="102">
        <f>AQ284/$H284</f>
        <v>0</v>
      </c>
      <c r="AS284" s="160">
        <f t="shared" si="186"/>
        <v>0</v>
      </c>
      <c r="AT284" s="159">
        <f>SUM(AT285:AT295)</f>
        <v>9680.2099999999991</v>
      </c>
      <c r="AU284" s="102">
        <f>AT284/$H284</f>
        <v>1</v>
      </c>
    </row>
    <row r="285" spans="1:56" ht="30">
      <c r="A285" s="16"/>
      <c r="B285" s="97" t="s">
        <v>1176</v>
      </c>
      <c r="C285" s="167" t="s">
        <v>254</v>
      </c>
      <c r="D285" s="86" t="s">
        <v>255</v>
      </c>
      <c r="E285" s="97" t="s">
        <v>28</v>
      </c>
      <c r="F285" s="172">
        <v>73.05</v>
      </c>
      <c r="G285" s="97">
        <v>1</v>
      </c>
      <c r="H285" s="85">
        <f t="shared" si="200"/>
        <v>73.05</v>
      </c>
      <c r="I285" s="50">
        <f t="shared" si="214"/>
        <v>0</v>
      </c>
      <c r="J285" s="85">
        <f t="shared" ref="J285:J295" si="215">I285*$F285</f>
        <v>0</v>
      </c>
      <c r="K285" s="82" t="str">
        <f t="shared" si="187"/>
        <v/>
      </c>
      <c r="L285" s="50"/>
      <c r="M285" s="85">
        <f t="shared" ref="M285:M295" si="216">L285*$F285</f>
        <v>0</v>
      </c>
      <c r="N285" s="82" t="str">
        <f t="shared" si="188"/>
        <v/>
      </c>
      <c r="O285" s="50"/>
      <c r="P285" s="85">
        <f t="shared" ref="P285:P295" si="217">O285*$F285</f>
        <v>0</v>
      </c>
      <c r="Q285" s="82" t="str">
        <f t="shared" si="189"/>
        <v/>
      </c>
      <c r="R285" s="50"/>
      <c r="S285" s="85">
        <f t="shared" ref="S285:S295" si="218">R285*$F285</f>
        <v>0</v>
      </c>
      <c r="T285" s="82" t="str">
        <f t="shared" si="190"/>
        <v/>
      </c>
      <c r="U285" s="50"/>
      <c r="V285" s="85">
        <f t="shared" ref="V285:V295" si="219">U285*$F285</f>
        <v>0</v>
      </c>
      <c r="W285" s="82" t="str">
        <f t="shared" si="191"/>
        <v/>
      </c>
      <c r="X285" s="50"/>
      <c r="Y285" s="85">
        <f t="shared" ref="Y285:Y295" si="220">X285*$F285</f>
        <v>0</v>
      </c>
      <c r="Z285" s="82" t="str">
        <f t="shared" si="192"/>
        <v/>
      </c>
      <c r="AA285" s="50"/>
      <c r="AB285" s="85">
        <f t="shared" ref="AB285:AB295" si="221">AA285*$F285</f>
        <v>0</v>
      </c>
      <c r="AC285" s="82" t="str">
        <f t="shared" si="193"/>
        <v/>
      </c>
      <c r="AD285" s="50"/>
      <c r="AE285" s="85">
        <f t="shared" ref="AE285:AE295" si="222">AD285*$F285</f>
        <v>0</v>
      </c>
      <c r="AF285" s="82" t="str">
        <f t="shared" si="194"/>
        <v/>
      </c>
      <c r="AG285" s="50"/>
      <c r="AH285" s="85">
        <f t="shared" ref="AH285:AH295" si="223">AG285*$F285</f>
        <v>0</v>
      </c>
      <c r="AI285" s="82" t="str">
        <f t="shared" si="195"/>
        <v/>
      </c>
      <c r="AJ285" s="50"/>
      <c r="AK285" s="85">
        <f t="shared" ref="AK285:AK295" si="224">AJ285*$F285</f>
        <v>0</v>
      </c>
      <c r="AL285" s="82" t="str">
        <f t="shared" si="196"/>
        <v/>
      </c>
      <c r="AM285" s="50"/>
      <c r="AN285" s="85">
        <f t="shared" ref="AN285:AN295" si="225">AM285*$F285</f>
        <v>0</v>
      </c>
      <c r="AO285" s="82" t="str">
        <f t="shared" si="197"/>
        <v/>
      </c>
      <c r="AP285" s="48">
        <f t="shared" si="185"/>
        <v>0</v>
      </c>
      <c r="AQ285" s="85">
        <f t="shared" ref="AQ285:AQ295" si="226">AP285*$F285</f>
        <v>0</v>
      </c>
      <c r="AR285" s="82" t="str">
        <f t="shared" si="198"/>
        <v/>
      </c>
      <c r="AS285" s="48">
        <f t="shared" si="186"/>
        <v>1</v>
      </c>
      <c r="AT285" s="85">
        <f t="shared" ref="AT285:AT295" si="227">AS285*$F285</f>
        <v>73.05</v>
      </c>
      <c r="AU285" s="82">
        <f t="shared" si="199"/>
        <v>1</v>
      </c>
    </row>
    <row r="286" spans="1:56" ht="30">
      <c r="A286" s="16"/>
      <c r="B286" s="97" t="s">
        <v>1177</v>
      </c>
      <c r="C286" s="167" t="s">
        <v>1178</v>
      </c>
      <c r="D286" s="86" t="s">
        <v>1179</v>
      </c>
      <c r="E286" s="97" t="s">
        <v>28</v>
      </c>
      <c r="F286" s="172">
        <v>92.83</v>
      </c>
      <c r="G286" s="97">
        <v>2</v>
      </c>
      <c r="H286" s="85">
        <f t="shared" si="200"/>
        <v>185.66</v>
      </c>
      <c r="I286" s="50">
        <f t="shared" si="214"/>
        <v>0</v>
      </c>
      <c r="J286" s="85">
        <f t="shared" si="215"/>
        <v>0</v>
      </c>
      <c r="K286" s="82" t="str">
        <f t="shared" si="187"/>
        <v/>
      </c>
      <c r="L286" s="50"/>
      <c r="M286" s="85">
        <f t="shared" si="216"/>
        <v>0</v>
      </c>
      <c r="N286" s="82" t="str">
        <f t="shared" si="188"/>
        <v/>
      </c>
      <c r="O286" s="50"/>
      <c r="P286" s="85">
        <f t="shared" si="217"/>
        <v>0</v>
      </c>
      <c r="Q286" s="82" t="str">
        <f t="shared" si="189"/>
        <v/>
      </c>
      <c r="R286" s="50"/>
      <c r="S286" s="85">
        <f t="shared" si="218"/>
        <v>0</v>
      </c>
      <c r="T286" s="82" t="str">
        <f t="shared" si="190"/>
        <v/>
      </c>
      <c r="U286" s="50"/>
      <c r="V286" s="85">
        <f t="shared" si="219"/>
        <v>0</v>
      </c>
      <c r="W286" s="82" t="str">
        <f t="shared" si="191"/>
        <v/>
      </c>
      <c r="X286" s="50"/>
      <c r="Y286" s="85">
        <f t="shared" si="220"/>
        <v>0</v>
      </c>
      <c r="Z286" s="82" t="str">
        <f t="shared" si="192"/>
        <v/>
      </c>
      <c r="AA286" s="50"/>
      <c r="AB286" s="85">
        <f t="shared" si="221"/>
        <v>0</v>
      </c>
      <c r="AC286" s="82" t="str">
        <f t="shared" si="193"/>
        <v/>
      </c>
      <c r="AD286" s="50"/>
      <c r="AE286" s="85">
        <f t="shared" si="222"/>
        <v>0</v>
      </c>
      <c r="AF286" s="82" t="str">
        <f t="shared" si="194"/>
        <v/>
      </c>
      <c r="AG286" s="50"/>
      <c r="AH286" s="85">
        <f t="shared" si="223"/>
        <v>0</v>
      </c>
      <c r="AI286" s="82" t="str">
        <f t="shared" si="195"/>
        <v/>
      </c>
      <c r="AJ286" s="50"/>
      <c r="AK286" s="85">
        <f t="shared" si="224"/>
        <v>0</v>
      </c>
      <c r="AL286" s="82" t="str">
        <f t="shared" si="196"/>
        <v/>
      </c>
      <c r="AM286" s="50"/>
      <c r="AN286" s="85">
        <f t="shared" si="225"/>
        <v>0</v>
      </c>
      <c r="AO286" s="82" t="str">
        <f t="shared" si="197"/>
        <v/>
      </c>
      <c r="AP286" s="48">
        <f t="shared" si="185"/>
        <v>0</v>
      </c>
      <c r="AQ286" s="85">
        <f t="shared" si="226"/>
        <v>0</v>
      </c>
      <c r="AR286" s="82" t="str">
        <f t="shared" si="198"/>
        <v/>
      </c>
      <c r="AS286" s="48">
        <f t="shared" si="186"/>
        <v>2</v>
      </c>
      <c r="AT286" s="85">
        <f t="shared" si="227"/>
        <v>185.66</v>
      </c>
      <c r="AU286" s="82">
        <f t="shared" si="199"/>
        <v>1</v>
      </c>
    </row>
    <row r="287" spans="1:56" ht="30">
      <c r="A287" s="16"/>
      <c r="B287" s="97" t="s">
        <v>1180</v>
      </c>
      <c r="C287" s="167" t="s">
        <v>1181</v>
      </c>
      <c r="D287" s="86" t="s">
        <v>1182</v>
      </c>
      <c r="E287" s="97" t="s">
        <v>28</v>
      </c>
      <c r="F287" s="172">
        <v>145.53</v>
      </c>
      <c r="G287" s="97">
        <v>1</v>
      </c>
      <c r="H287" s="85">
        <f t="shared" si="200"/>
        <v>145.53</v>
      </c>
      <c r="I287" s="50">
        <f t="shared" si="214"/>
        <v>0</v>
      </c>
      <c r="J287" s="85">
        <f t="shared" si="215"/>
        <v>0</v>
      </c>
      <c r="K287" s="82" t="str">
        <f t="shared" si="187"/>
        <v/>
      </c>
      <c r="L287" s="50"/>
      <c r="M287" s="85">
        <f t="shared" si="216"/>
        <v>0</v>
      </c>
      <c r="N287" s="82" t="str">
        <f t="shared" si="188"/>
        <v/>
      </c>
      <c r="O287" s="50"/>
      <c r="P287" s="85">
        <f t="shared" si="217"/>
        <v>0</v>
      </c>
      <c r="Q287" s="82" t="str">
        <f t="shared" si="189"/>
        <v/>
      </c>
      <c r="R287" s="50"/>
      <c r="S287" s="85">
        <f t="shared" si="218"/>
        <v>0</v>
      </c>
      <c r="T287" s="82" t="str">
        <f t="shared" si="190"/>
        <v/>
      </c>
      <c r="U287" s="50"/>
      <c r="V287" s="85">
        <f t="shared" si="219"/>
        <v>0</v>
      </c>
      <c r="W287" s="82" t="str">
        <f t="shared" si="191"/>
        <v/>
      </c>
      <c r="X287" s="50"/>
      <c r="Y287" s="85">
        <f t="shared" si="220"/>
        <v>0</v>
      </c>
      <c r="Z287" s="82" t="str">
        <f t="shared" si="192"/>
        <v/>
      </c>
      <c r="AA287" s="50"/>
      <c r="AB287" s="85">
        <f t="shared" si="221"/>
        <v>0</v>
      </c>
      <c r="AC287" s="82" t="str">
        <f t="shared" si="193"/>
        <v/>
      </c>
      <c r="AD287" s="50"/>
      <c r="AE287" s="85">
        <f t="shared" si="222"/>
        <v>0</v>
      </c>
      <c r="AF287" s="82" t="str">
        <f t="shared" si="194"/>
        <v/>
      </c>
      <c r="AG287" s="50"/>
      <c r="AH287" s="85">
        <f t="shared" si="223"/>
        <v>0</v>
      </c>
      <c r="AI287" s="82" t="str">
        <f t="shared" si="195"/>
        <v/>
      </c>
      <c r="AJ287" s="50"/>
      <c r="AK287" s="85">
        <f t="shared" si="224"/>
        <v>0</v>
      </c>
      <c r="AL287" s="82" t="str">
        <f t="shared" si="196"/>
        <v/>
      </c>
      <c r="AM287" s="50"/>
      <c r="AN287" s="85">
        <f t="shared" si="225"/>
        <v>0</v>
      </c>
      <c r="AO287" s="82" t="str">
        <f t="shared" si="197"/>
        <v/>
      </c>
      <c r="AP287" s="48">
        <f t="shared" si="185"/>
        <v>0</v>
      </c>
      <c r="AQ287" s="85">
        <f t="shared" si="226"/>
        <v>0</v>
      </c>
      <c r="AR287" s="82" t="str">
        <f t="shared" si="198"/>
        <v/>
      </c>
      <c r="AS287" s="48">
        <f t="shared" si="186"/>
        <v>1</v>
      </c>
      <c r="AT287" s="85">
        <f t="shared" si="227"/>
        <v>145.53</v>
      </c>
      <c r="AU287" s="82">
        <f t="shared" si="199"/>
        <v>1</v>
      </c>
    </row>
    <row r="288" spans="1:56" ht="30">
      <c r="A288" s="16"/>
      <c r="B288" s="97" t="s">
        <v>1183</v>
      </c>
      <c r="C288" s="167" t="s">
        <v>1184</v>
      </c>
      <c r="D288" s="86" t="s">
        <v>1185</v>
      </c>
      <c r="E288" s="97" t="s">
        <v>28</v>
      </c>
      <c r="F288" s="172">
        <v>224.95</v>
      </c>
      <c r="G288" s="97">
        <v>3</v>
      </c>
      <c r="H288" s="85">
        <f t="shared" si="200"/>
        <v>674.84999999999991</v>
      </c>
      <c r="I288" s="50">
        <f t="shared" si="214"/>
        <v>0</v>
      </c>
      <c r="J288" s="85">
        <f t="shared" si="215"/>
        <v>0</v>
      </c>
      <c r="K288" s="82" t="str">
        <f t="shared" si="187"/>
        <v/>
      </c>
      <c r="L288" s="50"/>
      <c r="M288" s="85">
        <f t="shared" si="216"/>
        <v>0</v>
      </c>
      <c r="N288" s="82" t="str">
        <f t="shared" si="188"/>
        <v/>
      </c>
      <c r="O288" s="50"/>
      <c r="P288" s="85">
        <f t="shared" si="217"/>
        <v>0</v>
      </c>
      <c r="Q288" s="82" t="str">
        <f t="shared" si="189"/>
        <v/>
      </c>
      <c r="R288" s="50"/>
      <c r="S288" s="85">
        <f t="shared" si="218"/>
        <v>0</v>
      </c>
      <c r="T288" s="82" t="str">
        <f t="shared" si="190"/>
        <v/>
      </c>
      <c r="U288" s="50"/>
      <c r="V288" s="85">
        <f t="shared" si="219"/>
        <v>0</v>
      </c>
      <c r="W288" s="82" t="str">
        <f t="shared" si="191"/>
        <v/>
      </c>
      <c r="X288" s="50"/>
      <c r="Y288" s="85">
        <f t="shared" si="220"/>
        <v>0</v>
      </c>
      <c r="Z288" s="82" t="str">
        <f t="shared" si="192"/>
        <v/>
      </c>
      <c r="AA288" s="50"/>
      <c r="AB288" s="85">
        <f t="shared" si="221"/>
        <v>0</v>
      </c>
      <c r="AC288" s="82" t="str">
        <f t="shared" si="193"/>
        <v/>
      </c>
      <c r="AD288" s="50"/>
      <c r="AE288" s="85">
        <f t="shared" si="222"/>
        <v>0</v>
      </c>
      <c r="AF288" s="82" t="str">
        <f t="shared" si="194"/>
        <v/>
      </c>
      <c r="AG288" s="50"/>
      <c r="AH288" s="85">
        <f t="shared" si="223"/>
        <v>0</v>
      </c>
      <c r="AI288" s="82" t="str">
        <f t="shared" si="195"/>
        <v/>
      </c>
      <c r="AJ288" s="50"/>
      <c r="AK288" s="85">
        <f t="shared" si="224"/>
        <v>0</v>
      </c>
      <c r="AL288" s="82" t="str">
        <f t="shared" si="196"/>
        <v/>
      </c>
      <c r="AM288" s="50"/>
      <c r="AN288" s="85">
        <f t="shared" si="225"/>
        <v>0</v>
      </c>
      <c r="AO288" s="82" t="str">
        <f t="shared" si="197"/>
        <v/>
      </c>
      <c r="AP288" s="48">
        <f t="shared" si="185"/>
        <v>0</v>
      </c>
      <c r="AQ288" s="85">
        <f t="shared" si="226"/>
        <v>0</v>
      </c>
      <c r="AR288" s="82" t="str">
        <f t="shared" si="198"/>
        <v/>
      </c>
      <c r="AS288" s="48">
        <f t="shared" si="186"/>
        <v>3</v>
      </c>
      <c r="AT288" s="85">
        <f t="shared" si="227"/>
        <v>674.84999999999991</v>
      </c>
      <c r="AU288" s="82">
        <f t="shared" si="199"/>
        <v>1</v>
      </c>
    </row>
    <row r="289" spans="1:47" ht="45">
      <c r="A289" s="16"/>
      <c r="B289" s="97" t="s">
        <v>1186</v>
      </c>
      <c r="C289" s="167" t="s">
        <v>1187</v>
      </c>
      <c r="D289" s="86" t="s">
        <v>1188</v>
      </c>
      <c r="E289" s="97" t="s">
        <v>28</v>
      </c>
      <c r="F289" s="172">
        <v>152.47</v>
      </c>
      <c r="G289" s="97">
        <v>31</v>
      </c>
      <c r="H289" s="85">
        <f t="shared" si="200"/>
        <v>4726.57</v>
      </c>
      <c r="I289" s="50">
        <f t="shared" si="214"/>
        <v>0</v>
      </c>
      <c r="J289" s="85">
        <f t="shared" si="215"/>
        <v>0</v>
      </c>
      <c r="K289" s="82" t="str">
        <f t="shared" si="187"/>
        <v/>
      </c>
      <c r="L289" s="50"/>
      <c r="M289" s="85">
        <f t="shared" si="216"/>
        <v>0</v>
      </c>
      <c r="N289" s="82" t="str">
        <f t="shared" si="188"/>
        <v/>
      </c>
      <c r="O289" s="50"/>
      <c r="P289" s="85">
        <f t="shared" si="217"/>
        <v>0</v>
      </c>
      <c r="Q289" s="82" t="str">
        <f t="shared" si="189"/>
        <v/>
      </c>
      <c r="R289" s="50"/>
      <c r="S289" s="85">
        <f t="shared" si="218"/>
        <v>0</v>
      </c>
      <c r="T289" s="82" t="str">
        <f t="shared" si="190"/>
        <v/>
      </c>
      <c r="U289" s="50"/>
      <c r="V289" s="85">
        <f t="shared" si="219"/>
        <v>0</v>
      </c>
      <c r="W289" s="82" t="str">
        <f t="shared" si="191"/>
        <v/>
      </c>
      <c r="X289" s="50"/>
      <c r="Y289" s="85">
        <f t="shared" si="220"/>
        <v>0</v>
      </c>
      <c r="Z289" s="82" t="str">
        <f t="shared" si="192"/>
        <v/>
      </c>
      <c r="AA289" s="50"/>
      <c r="AB289" s="85">
        <f t="shared" si="221"/>
        <v>0</v>
      </c>
      <c r="AC289" s="82" t="str">
        <f t="shared" si="193"/>
        <v/>
      </c>
      <c r="AD289" s="50"/>
      <c r="AE289" s="85">
        <f t="shared" si="222"/>
        <v>0</v>
      </c>
      <c r="AF289" s="82" t="str">
        <f t="shared" si="194"/>
        <v/>
      </c>
      <c r="AG289" s="50"/>
      <c r="AH289" s="85">
        <f t="shared" si="223"/>
        <v>0</v>
      </c>
      <c r="AI289" s="82" t="str">
        <f t="shared" si="195"/>
        <v/>
      </c>
      <c r="AJ289" s="50"/>
      <c r="AK289" s="85">
        <f t="shared" si="224"/>
        <v>0</v>
      </c>
      <c r="AL289" s="82" t="str">
        <f t="shared" si="196"/>
        <v/>
      </c>
      <c r="AM289" s="50"/>
      <c r="AN289" s="85">
        <f t="shared" si="225"/>
        <v>0</v>
      </c>
      <c r="AO289" s="82" t="str">
        <f t="shared" si="197"/>
        <v/>
      </c>
      <c r="AP289" s="48">
        <f t="shared" si="185"/>
        <v>0</v>
      </c>
      <c r="AQ289" s="85">
        <f t="shared" si="226"/>
        <v>0</v>
      </c>
      <c r="AR289" s="82" t="str">
        <f t="shared" si="198"/>
        <v/>
      </c>
      <c r="AS289" s="48">
        <f t="shared" si="186"/>
        <v>31</v>
      </c>
      <c r="AT289" s="85">
        <f t="shared" si="227"/>
        <v>4726.57</v>
      </c>
      <c r="AU289" s="82">
        <f t="shared" si="199"/>
        <v>1</v>
      </c>
    </row>
    <row r="290" spans="1:47" ht="45">
      <c r="A290" s="16"/>
      <c r="B290" s="97" t="s">
        <v>1189</v>
      </c>
      <c r="C290" s="167" t="s">
        <v>1190</v>
      </c>
      <c r="D290" s="86" t="s">
        <v>1191</v>
      </c>
      <c r="E290" s="97" t="s">
        <v>28</v>
      </c>
      <c r="F290" s="172">
        <v>203.06</v>
      </c>
      <c r="G290" s="97">
        <v>1</v>
      </c>
      <c r="H290" s="85">
        <f t="shared" si="200"/>
        <v>203.06</v>
      </c>
      <c r="I290" s="50">
        <f t="shared" si="214"/>
        <v>0</v>
      </c>
      <c r="J290" s="85">
        <f t="shared" si="215"/>
        <v>0</v>
      </c>
      <c r="K290" s="82" t="str">
        <f t="shared" si="187"/>
        <v/>
      </c>
      <c r="L290" s="50"/>
      <c r="M290" s="85">
        <f t="shared" si="216"/>
        <v>0</v>
      </c>
      <c r="N290" s="82" t="str">
        <f t="shared" si="188"/>
        <v/>
      </c>
      <c r="O290" s="50"/>
      <c r="P290" s="85">
        <f t="shared" si="217"/>
        <v>0</v>
      </c>
      <c r="Q290" s="82" t="str">
        <f t="shared" si="189"/>
        <v/>
      </c>
      <c r="R290" s="50"/>
      <c r="S290" s="85">
        <f t="shared" si="218"/>
        <v>0</v>
      </c>
      <c r="T290" s="82" t="str">
        <f t="shared" si="190"/>
        <v/>
      </c>
      <c r="U290" s="50"/>
      <c r="V290" s="85">
        <f t="shared" si="219"/>
        <v>0</v>
      </c>
      <c r="W290" s="82" t="str">
        <f t="shared" si="191"/>
        <v/>
      </c>
      <c r="X290" s="50"/>
      <c r="Y290" s="85">
        <f t="shared" si="220"/>
        <v>0</v>
      </c>
      <c r="Z290" s="82" t="str">
        <f t="shared" si="192"/>
        <v/>
      </c>
      <c r="AA290" s="50"/>
      <c r="AB290" s="85">
        <f t="shared" si="221"/>
        <v>0</v>
      </c>
      <c r="AC290" s="82" t="str">
        <f t="shared" si="193"/>
        <v/>
      </c>
      <c r="AD290" s="50"/>
      <c r="AE290" s="85">
        <f t="shared" si="222"/>
        <v>0</v>
      </c>
      <c r="AF290" s="82" t="str">
        <f t="shared" si="194"/>
        <v/>
      </c>
      <c r="AG290" s="50"/>
      <c r="AH290" s="85">
        <f t="shared" si="223"/>
        <v>0</v>
      </c>
      <c r="AI290" s="82" t="str">
        <f t="shared" si="195"/>
        <v/>
      </c>
      <c r="AJ290" s="50"/>
      <c r="AK290" s="85">
        <f t="shared" si="224"/>
        <v>0</v>
      </c>
      <c r="AL290" s="82" t="str">
        <f t="shared" si="196"/>
        <v/>
      </c>
      <c r="AM290" s="50"/>
      <c r="AN290" s="85">
        <f t="shared" si="225"/>
        <v>0</v>
      </c>
      <c r="AO290" s="82" t="str">
        <f t="shared" si="197"/>
        <v/>
      </c>
      <c r="AP290" s="48">
        <f t="shared" si="185"/>
        <v>0</v>
      </c>
      <c r="AQ290" s="85">
        <f t="shared" si="226"/>
        <v>0</v>
      </c>
      <c r="AR290" s="82" t="str">
        <f t="shared" si="198"/>
        <v/>
      </c>
      <c r="AS290" s="48">
        <f t="shared" si="186"/>
        <v>1</v>
      </c>
      <c r="AT290" s="85">
        <f t="shared" si="227"/>
        <v>203.06</v>
      </c>
      <c r="AU290" s="82">
        <f t="shared" si="199"/>
        <v>1</v>
      </c>
    </row>
    <row r="291" spans="1:47" ht="45">
      <c r="A291" s="16"/>
      <c r="B291" s="97" t="s">
        <v>1192</v>
      </c>
      <c r="C291" s="167" t="s">
        <v>1193</v>
      </c>
      <c r="D291" s="86" t="s">
        <v>1194</v>
      </c>
      <c r="E291" s="97" t="s">
        <v>28</v>
      </c>
      <c r="F291" s="172">
        <v>142.04</v>
      </c>
      <c r="G291" s="97">
        <v>7</v>
      </c>
      <c r="H291" s="85">
        <f t="shared" si="200"/>
        <v>994.28</v>
      </c>
      <c r="I291" s="50">
        <f t="shared" si="214"/>
        <v>0</v>
      </c>
      <c r="J291" s="85">
        <f t="shared" si="215"/>
        <v>0</v>
      </c>
      <c r="K291" s="82" t="str">
        <f t="shared" si="187"/>
        <v/>
      </c>
      <c r="L291" s="50"/>
      <c r="M291" s="85">
        <f t="shared" si="216"/>
        <v>0</v>
      </c>
      <c r="N291" s="82" t="str">
        <f t="shared" si="188"/>
        <v/>
      </c>
      <c r="O291" s="50"/>
      <c r="P291" s="85">
        <f t="shared" si="217"/>
        <v>0</v>
      </c>
      <c r="Q291" s="82" t="str">
        <f t="shared" si="189"/>
        <v/>
      </c>
      <c r="R291" s="50"/>
      <c r="S291" s="85">
        <f t="shared" si="218"/>
        <v>0</v>
      </c>
      <c r="T291" s="82" t="str">
        <f t="shared" si="190"/>
        <v/>
      </c>
      <c r="U291" s="50"/>
      <c r="V291" s="85">
        <f t="shared" si="219"/>
        <v>0</v>
      </c>
      <c r="W291" s="82" t="str">
        <f t="shared" si="191"/>
        <v/>
      </c>
      <c r="X291" s="50"/>
      <c r="Y291" s="85">
        <f t="shared" si="220"/>
        <v>0</v>
      </c>
      <c r="Z291" s="82" t="str">
        <f t="shared" si="192"/>
        <v/>
      </c>
      <c r="AA291" s="50"/>
      <c r="AB291" s="85">
        <f t="shared" si="221"/>
        <v>0</v>
      </c>
      <c r="AC291" s="82" t="str">
        <f t="shared" si="193"/>
        <v/>
      </c>
      <c r="AD291" s="50"/>
      <c r="AE291" s="85">
        <f t="shared" si="222"/>
        <v>0</v>
      </c>
      <c r="AF291" s="82" t="str">
        <f t="shared" si="194"/>
        <v/>
      </c>
      <c r="AG291" s="50"/>
      <c r="AH291" s="85">
        <f t="shared" si="223"/>
        <v>0</v>
      </c>
      <c r="AI291" s="82" t="str">
        <f t="shared" si="195"/>
        <v/>
      </c>
      <c r="AJ291" s="50"/>
      <c r="AK291" s="85">
        <f t="shared" si="224"/>
        <v>0</v>
      </c>
      <c r="AL291" s="82" t="str">
        <f t="shared" si="196"/>
        <v/>
      </c>
      <c r="AM291" s="50"/>
      <c r="AN291" s="85">
        <f t="shared" si="225"/>
        <v>0</v>
      </c>
      <c r="AO291" s="82" t="str">
        <f t="shared" si="197"/>
        <v/>
      </c>
      <c r="AP291" s="48">
        <f t="shared" si="185"/>
        <v>0</v>
      </c>
      <c r="AQ291" s="85">
        <f t="shared" si="226"/>
        <v>0</v>
      </c>
      <c r="AR291" s="82" t="str">
        <f t="shared" si="198"/>
        <v/>
      </c>
      <c r="AS291" s="48">
        <f t="shared" si="186"/>
        <v>7</v>
      </c>
      <c r="AT291" s="85">
        <f t="shared" si="227"/>
        <v>994.28</v>
      </c>
      <c r="AU291" s="82">
        <f t="shared" si="199"/>
        <v>1</v>
      </c>
    </row>
    <row r="292" spans="1:47" ht="45">
      <c r="A292" s="16"/>
      <c r="B292" s="97" t="s">
        <v>1195</v>
      </c>
      <c r="C292" s="167" t="s">
        <v>1196</v>
      </c>
      <c r="D292" s="86" t="s">
        <v>1197</v>
      </c>
      <c r="E292" s="97" t="s">
        <v>28</v>
      </c>
      <c r="F292" s="172">
        <v>401.65</v>
      </c>
      <c r="G292" s="97">
        <v>1</v>
      </c>
      <c r="H292" s="85">
        <f t="shared" si="200"/>
        <v>401.65</v>
      </c>
      <c r="I292" s="50">
        <f t="shared" si="214"/>
        <v>0</v>
      </c>
      <c r="J292" s="85">
        <f t="shared" si="215"/>
        <v>0</v>
      </c>
      <c r="K292" s="82" t="str">
        <f t="shared" si="187"/>
        <v/>
      </c>
      <c r="L292" s="50"/>
      <c r="M292" s="85">
        <f t="shared" si="216"/>
        <v>0</v>
      </c>
      <c r="N292" s="82" t="str">
        <f t="shared" si="188"/>
        <v/>
      </c>
      <c r="O292" s="50"/>
      <c r="P292" s="85">
        <f t="shared" si="217"/>
        <v>0</v>
      </c>
      <c r="Q292" s="82" t="str">
        <f t="shared" si="189"/>
        <v/>
      </c>
      <c r="R292" s="50"/>
      <c r="S292" s="85">
        <f t="shared" si="218"/>
        <v>0</v>
      </c>
      <c r="T292" s="82" t="str">
        <f t="shared" si="190"/>
        <v/>
      </c>
      <c r="U292" s="50"/>
      <c r="V292" s="85">
        <f t="shared" si="219"/>
        <v>0</v>
      </c>
      <c r="W292" s="82" t="str">
        <f t="shared" si="191"/>
        <v/>
      </c>
      <c r="X292" s="50"/>
      <c r="Y292" s="85">
        <f t="shared" si="220"/>
        <v>0</v>
      </c>
      <c r="Z292" s="82" t="str">
        <f t="shared" si="192"/>
        <v/>
      </c>
      <c r="AA292" s="50"/>
      <c r="AB292" s="85">
        <f t="shared" si="221"/>
        <v>0</v>
      </c>
      <c r="AC292" s="82" t="str">
        <f t="shared" si="193"/>
        <v/>
      </c>
      <c r="AD292" s="50"/>
      <c r="AE292" s="85">
        <f t="shared" si="222"/>
        <v>0</v>
      </c>
      <c r="AF292" s="82" t="str">
        <f t="shared" si="194"/>
        <v/>
      </c>
      <c r="AG292" s="50"/>
      <c r="AH292" s="85">
        <f t="shared" si="223"/>
        <v>0</v>
      </c>
      <c r="AI292" s="82" t="str">
        <f t="shared" si="195"/>
        <v/>
      </c>
      <c r="AJ292" s="50"/>
      <c r="AK292" s="85">
        <f t="shared" si="224"/>
        <v>0</v>
      </c>
      <c r="AL292" s="82" t="str">
        <f t="shared" si="196"/>
        <v/>
      </c>
      <c r="AM292" s="50"/>
      <c r="AN292" s="85">
        <f t="shared" si="225"/>
        <v>0</v>
      </c>
      <c r="AO292" s="82" t="str">
        <f t="shared" si="197"/>
        <v/>
      </c>
      <c r="AP292" s="48">
        <f t="shared" si="185"/>
        <v>0</v>
      </c>
      <c r="AQ292" s="85">
        <f t="shared" si="226"/>
        <v>0</v>
      </c>
      <c r="AR292" s="82" t="str">
        <f t="shared" si="198"/>
        <v/>
      </c>
      <c r="AS292" s="48">
        <f t="shared" si="186"/>
        <v>1</v>
      </c>
      <c r="AT292" s="85">
        <f t="shared" si="227"/>
        <v>401.65</v>
      </c>
      <c r="AU292" s="82">
        <f t="shared" si="199"/>
        <v>1</v>
      </c>
    </row>
    <row r="293" spans="1:47" ht="45">
      <c r="A293" s="16"/>
      <c r="B293" s="97" t="s">
        <v>1198</v>
      </c>
      <c r="C293" s="167" t="s">
        <v>1199</v>
      </c>
      <c r="D293" s="86" t="s">
        <v>1200</v>
      </c>
      <c r="E293" s="97" t="s">
        <v>28</v>
      </c>
      <c r="F293" s="172">
        <v>467.7</v>
      </c>
      <c r="G293" s="97">
        <v>4</v>
      </c>
      <c r="H293" s="85">
        <f t="shared" si="200"/>
        <v>1870.8</v>
      </c>
      <c r="I293" s="50">
        <f t="shared" si="214"/>
        <v>0</v>
      </c>
      <c r="J293" s="85">
        <f t="shared" si="215"/>
        <v>0</v>
      </c>
      <c r="K293" s="82" t="str">
        <f t="shared" si="187"/>
        <v/>
      </c>
      <c r="L293" s="50"/>
      <c r="M293" s="85">
        <f t="shared" si="216"/>
        <v>0</v>
      </c>
      <c r="N293" s="82" t="str">
        <f t="shared" si="188"/>
        <v/>
      </c>
      <c r="O293" s="50"/>
      <c r="P293" s="85">
        <f t="shared" si="217"/>
        <v>0</v>
      </c>
      <c r="Q293" s="82" t="str">
        <f t="shared" si="189"/>
        <v/>
      </c>
      <c r="R293" s="50"/>
      <c r="S293" s="85">
        <f t="shared" si="218"/>
        <v>0</v>
      </c>
      <c r="T293" s="82" t="str">
        <f t="shared" si="190"/>
        <v/>
      </c>
      <c r="U293" s="50"/>
      <c r="V293" s="85">
        <f t="shared" si="219"/>
        <v>0</v>
      </c>
      <c r="W293" s="82" t="str">
        <f t="shared" si="191"/>
        <v/>
      </c>
      <c r="X293" s="50"/>
      <c r="Y293" s="85">
        <f t="shared" si="220"/>
        <v>0</v>
      </c>
      <c r="Z293" s="82" t="str">
        <f t="shared" si="192"/>
        <v/>
      </c>
      <c r="AA293" s="50"/>
      <c r="AB293" s="85">
        <f t="shared" si="221"/>
        <v>0</v>
      </c>
      <c r="AC293" s="82" t="str">
        <f t="shared" si="193"/>
        <v/>
      </c>
      <c r="AD293" s="50"/>
      <c r="AE293" s="85">
        <f t="shared" si="222"/>
        <v>0</v>
      </c>
      <c r="AF293" s="82" t="str">
        <f t="shared" si="194"/>
        <v/>
      </c>
      <c r="AG293" s="50"/>
      <c r="AH293" s="85">
        <f t="shared" si="223"/>
        <v>0</v>
      </c>
      <c r="AI293" s="82" t="str">
        <f t="shared" si="195"/>
        <v/>
      </c>
      <c r="AJ293" s="50"/>
      <c r="AK293" s="85">
        <f t="shared" si="224"/>
        <v>0</v>
      </c>
      <c r="AL293" s="82" t="str">
        <f t="shared" si="196"/>
        <v/>
      </c>
      <c r="AM293" s="50"/>
      <c r="AN293" s="85">
        <f t="shared" si="225"/>
        <v>0</v>
      </c>
      <c r="AO293" s="82" t="str">
        <f t="shared" si="197"/>
        <v/>
      </c>
      <c r="AP293" s="48">
        <f t="shared" si="185"/>
        <v>0</v>
      </c>
      <c r="AQ293" s="85">
        <f t="shared" si="226"/>
        <v>0</v>
      </c>
      <c r="AR293" s="82" t="str">
        <f t="shared" si="198"/>
        <v/>
      </c>
      <c r="AS293" s="48">
        <f t="shared" si="186"/>
        <v>4</v>
      </c>
      <c r="AT293" s="85">
        <f t="shared" si="227"/>
        <v>1870.8</v>
      </c>
      <c r="AU293" s="82">
        <f t="shared" si="199"/>
        <v>1</v>
      </c>
    </row>
    <row r="294" spans="1:47" ht="30">
      <c r="A294" s="16"/>
      <c r="B294" s="97" t="s">
        <v>1201</v>
      </c>
      <c r="C294" s="167" t="s">
        <v>1202</v>
      </c>
      <c r="D294" s="86" t="s">
        <v>1203</v>
      </c>
      <c r="E294" s="97" t="s">
        <v>28</v>
      </c>
      <c r="F294" s="172">
        <v>50.4</v>
      </c>
      <c r="G294" s="97">
        <v>3</v>
      </c>
      <c r="H294" s="85">
        <f t="shared" si="200"/>
        <v>151.19999999999999</v>
      </c>
      <c r="I294" s="50">
        <f t="shared" si="214"/>
        <v>0</v>
      </c>
      <c r="J294" s="85">
        <f t="shared" si="215"/>
        <v>0</v>
      </c>
      <c r="K294" s="82" t="str">
        <f t="shared" si="187"/>
        <v/>
      </c>
      <c r="L294" s="50"/>
      <c r="M294" s="85">
        <f t="shared" si="216"/>
        <v>0</v>
      </c>
      <c r="N294" s="82" t="str">
        <f t="shared" si="188"/>
        <v/>
      </c>
      <c r="O294" s="50"/>
      <c r="P294" s="85">
        <f t="shared" si="217"/>
        <v>0</v>
      </c>
      <c r="Q294" s="82" t="str">
        <f t="shared" si="189"/>
        <v/>
      </c>
      <c r="R294" s="50"/>
      <c r="S294" s="85">
        <f t="shared" si="218"/>
        <v>0</v>
      </c>
      <c r="T294" s="82" t="str">
        <f t="shared" si="190"/>
        <v/>
      </c>
      <c r="U294" s="50"/>
      <c r="V294" s="85">
        <f t="shared" si="219"/>
        <v>0</v>
      </c>
      <c r="W294" s="82" t="str">
        <f t="shared" si="191"/>
        <v/>
      </c>
      <c r="X294" s="50"/>
      <c r="Y294" s="85">
        <f t="shared" si="220"/>
        <v>0</v>
      </c>
      <c r="Z294" s="82" t="str">
        <f t="shared" si="192"/>
        <v/>
      </c>
      <c r="AA294" s="50"/>
      <c r="AB294" s="85">
        <f t="shared" si="221"/>
        <v>0</v>
      </c>
      <c r="AC294" s="82" t="str">
        <f t="shared" si="193"/>
        <v/>
      </c>
      <c r="AD294" s="50"/>
      <c r="AE294" s="85">
        <f t="shared" si="222"/>
        <v>0</v>
      </c>
      <c r="AF294" s="82" t="str">
        <f t="shared" si="194"/>
        <v/>
      </c>
      <c r="AG294" s="50"/>
      <c r="AH294" s="85">
        <f t="shared" si="223"/>
        <v>0</v>
      </c>
      <c r="AI294" s="82" t="str">
        <f t="shared" si="195"/>
        <v/>
      </c>
      <c r="AJ294" s="50"/>
      <c r="AK294" s="85">
        <f t="shared" si="224"/>
        <v>0</v>
      </c>
      <c r="AL294" s="82" t="str">
        <f t="shared" si="196"/>
        <v/>
      </c>
      <c r="AM294" s="50"/>
      <c r="AN294" s="85">
        <f t="shared" si="225"/>
        <v>0</v>
      </c>
      <c r="AO294" s="82" t="str">
        <f t="shared" si="197"/>
        <v/>
      </c>
      <c r="AP294" s="48">
        <f t="shared" si="185"/>
        <v>0</v>
      </c>
      <c r="AQ294" s="85">
        <f t="shared" si="226"/>
        <v>0</v>
      </c>
      <c r="AR294" s="82" t="str">
        <f t="shared" si="198"/>
        <v/>
      </c>
      <c r="AS294" s="48">
        <f t="shared" si="186"/>
        <v>3</v>
      </c>
      <c r="AT294" s="85">
        <f t="shared" si="227"/>
        <v>151.19999999999999</v>
      </c>
      <c r="AU294" s="82">
        <f t="shared" si="199"/>
        <v>1</v>
      </c>
    </row>
    <row r="295" spans="1:47" ht="30">
      <c r="A295" s="16"/>
      <c r="B295" s="97" t="s">
        <v>1204</v>
      </c>
      <c r="C295" s="167" t="s">
        <v>257</v>
      </c>
      <c r="D295" s="86" t="s">
        <v>258</v>
      </c>
      <c r="E295" s="97" t="s">
        <v>28</v>
      </c>
      <c r="F295" s="172">
        <v>126.78</v>
      </c>
      <c r="G295" s="97">
        <v>2</v>
      </c>
      <c r="H295" s="85">
        <f t="shared" si="200"/>
        <v>253.56</v>
      </c>
      <c r="I295" s="50">
        <f t="shared" si="214"/>
        <v>0</v>
      </c>
      <c r="J295" s="85">
        <f t="shared" si="215"/>
        <v>0</v>
      </c>
      <c r="K295" s="82" t="str">
        <f t="shared" si="187"/>
        <v/>
      </c>
      <c r="L295" s="50"/>
      <c r="M295" s="85">
        <f t="shared" si="216"/>
        <v>0</v>
      </c>
      <c r="N295" s="82" t="str">
        <f t="shared" si="188"/>
        <v/>
      </c>
      <c r="O295" s="50"/>
      <c r="P295" s="85">
        <f t="shared" si="217"/>
        <v>0</v>
      </c>
      <c r="Q295" s="82" t="str">
        <f t="shared" si="189"/>
        <v/>
      </c>
      <c r="R295" s="50"/>
      <c r="S295" s="85">
        <f t="shared" si="218"/>
        <v>0</v>
      </c>
      <c r="T295" s="82" t="str">
        <f t="shared" si="190"/>
        <v/>
      </c>
      <c r="U295" s="50"/>
      <c r="V295" s="85">
        <f t="shared" si="219"/>
        <v>0</v>
      </c>
      <c r="W295" s="82" t="str">
        <f t="shared" si="191"/>
        <v/>
      </c>
      <c r="X295" s="50"/>
      <c r="Y295" s="85">
        <f t="shared" si="220"/>
        <v>0</v>
      </c>
      <c r="Z295" s="82" t="str">
        <f t="shared" si="192"/>
        <v/>
      </c>
      <c r="AA295" s="50"/>
      <c r="AB295" s="85">
        <f t="shared" si="221"/>
        <v>0</v>
      </c>
      <c r="AC295" s="82" t="str">
        <f t="shared" si="193"/>
        <v/>
      </c>
      <c r="AD295" s="50"/>
      <c r="AE295" s="85">
        <f t="shared" si="222"/>
        <v>0</v>
      </c>
      <c r="AF295" s="82" t="str">
        <f t="shared" si="194"/>
        <v/>
      </c>
      <c r="AG295" s="50"/>
      <c r="AH295" s="85">
        <f t="shared" si="223"/>
        <v>0</v>
      </c>
      <c r="AI295" s="82" t="str">
        <f t="shared" si="195"/>
        <v/>
      </c>
      <c r="AJ295" s="50"/>
      <c r="AK295" s="85">
        <f t="shared" si="224"/>
        <v>0</v>
      </c>
      <c r="AL295" s="82" t="str">
        <f t="shared" si="196"/>
        <v/>
      </c>
      <c r="AM295" s="50"/>
      <c r="AN295" s="85">
        <f t="shared" si="225"/>
        <v>0</v>
      </c>
      <c r="AO295" s="82" t="str">
        <f t="shared" si="197"/>
        <v/>
      </c>
      <c r="AP295" s="48">
        <f t="shared" si="185"/>
        <v>0</v>
      </c>
      <c r="AQ295" s="85">
        <f t="shared" si="226"/>
        <v>0</v>
      </c>
      <c r="AR295" s="82" t="str">
        <f t="shared" si="198"/>
        <v/>
      </c>
      <c r="AS295" s="48">
        <f t="shared" si="186"/>
        <v>2</v>
      </c>
      <c r="AT295" s="85">
        <f t="shared" si="227"/>
        <v>253.56</v>
      </c>
      <c r="AU295" s="82">
        <f t="shared" si="199"/>
        <v>1</v>
      </c>
    </row>
    <row r="296" spans="1:47" s="161" customFormat="1">
      <c r="A296" s="94"/>
      <c r="B296" s="116" t="s">
        <v>1205</v>
      </c>
      <c r="C296" s="1945" t="s">
        <v>1206</v>
      </c>
      <c r="D296" s="1946"/>
      <c r="E296" s="1946"/>
      <c r="F296" s="1946"/>
      <c r="G296" s="1947"/>
      <c r="H296" s="159">
        <f>SUM(H297:H303)</f>
        <v>20921.162199999999</v>
      </c>
      <c r="I296" s="50">
        <f t="shared" si="214"/>
        <v>0</v>
      </c>
      <c r="J296" s="159">
        <f>SUM(J297:J303)</f>
        <v>0</v>
      </c>
      <c r="K296" s="102">
        <f>J296/$H296</f>
        <v>0</v>
      </c>
      <c r="L296" s="101"/>
      <c r="M296" s="159">
        <f>SUM(M297:M303)</f>
        <v>0</v>
      </c>
      <c r="N296" s="102">
        <f>M296/$H296</f>
        <v>0</v>
      </c>
      <c r="O296" s="101"/>
      <c r="P296" s="159">
        <f>SUM(P297:P303)</f>
        <v>0</v>
      </c>
      <c r="Q296" s="102">
        <f>P296/$H296</f>
        <v>0</v>
      </c>
      <c r="R296" s="101"/>
      <c r="S296" s="159">
        <f>SUM(S297:S303)</f>
        <v>0</v>
      </c>
      <c r="T296" s="102">
        <f>S296/$H296</f>
        <v>0</v>
      </c>
      <c r="U296" s="101"/>
      <c r="V296" s="159">
        <f>SUM(V297:V303)</f>
        <v>0</v>
      </c>
      <c r="W296" s="102">
        <f>V296/$H296</f>
        <v>0</v>
      </c>
      <c r="X296" s="101"/>
      <c r="Y296" s="159">
        <f>SUM(Y297:Y303)</f>
        <v>0</v>
      </c>
      <c r="Z296" s="102">
        <f>Y296/$H296</f>
        <v>0</v>
      </c>
      <c r="AA296" s="101"/>
      <c r="AB296" s="159">
        <f>SUM(AB297:AB303)</f>
        <v>0</v>
      </c>
      <c r="AC296" s="102">
        <f>AB296/$H296</f>
        <v>0</v>
      </c>
      <c r="AD296" s="101"/>
      <c r="AE296" s="159">
        <f>SUM(AE297:AE303)</f>
        <v>0</v>
      </c>
      <c r="AF296" s="102">
        <f>AE296/$H296</f>
        <v>0</v>
      </c>
      <c r="AG296" s="101"/>
      <c r="AH296" s="159">
        <f>SUM(AH297:AH303)</f>
        <v>0</v>
      </c>
      <c r="AI296" s="102">
        <f>AH296/$H296</f>
        <v>0</v>
      </c>
      <c r="AJ296" s="101"/>
      <c r="AK296" s="159">
        <f>SUM(AK297:AK303)</f>
        <v>0</v>
      </c>
      <c r="AL296" s="102">
        <f>AK296/$H296</f>
        <v>0</v>
      </c>
      <c r="AM296" s="101"/>
      <c r="AN296" s="159">
        <f>SUM(AN297:AN303)</f>
        <v>0</v>
      </c>
      <c r="AO296" s="102">
        <f>AN296/$H296</f>
        <v>0</v>
      </c>
      <c r="AP296" s="160">
        <f t="shared" si="185"/>
        <v>0</v>
      </c>
      <c r="AQ296" s="159">
        <f>SUM(AQ297:AQ303)</f>
        <v>0</v>
      </c>
      <c r="AR296" s="102">
        <f>AQ296/$H296</f>
        <v>0</v>
      </c>
      <c r="AS296" s="160">
        <f t="shared" si="186"/>
        <v>0</v>
      </c>
      <c r="AT296" s="159">
        <f>SUM(AT297:AT303)</f>
        <v>20921.162199999999</v>
      </c>
      <c r="AU296" s="102">
        <f>AT296/$H296</f>
        <v>1</v>
      </c>
    </row>
    <row r="297" spans="1:47" ht="45">
      <c r="A297" s="16"/>
      <c r="B297" s="97" t="s">
        <v>1207</v>
      </c>
      <c r="C297" s="167" t="s">
        <v>203</v>
      </c>
      <c r="D297" s="86" t="s">
        <v>204</v>
      </c>
      <c r="E297" s="97" t="s">
        <v>44</v>
      </c>
      <c r="F297" s="172">
        <v>40.28</v>
      </c>
      <c r="G297" s="97">
        <v>35.840000000000003</v>
      </c>
      <c r="H297" s="85">
        <f t="shared" si="200"/>
        <v>1443.6352000000002</v>
      </c>
      <c r="I297" s="50">
        <f t="shared" si="214"/>
        <v>0</v>
      </c>
      <c r="J297" s="85">
        <f t="shared" ref="J297:J303" si="228">I297*$F297</f>
        <v>0</v>
      </c>
      <c r="K297" s="82" t="str">
        <f t="shared" si="187"/>
        <v/>
      </c>
      <c r="L297" s="50"/>
      <c r="M297" s="85">
        <f t="shared" ref="M297:M303" si="229">L297*$F297</f>
        <v>0</v>
      </c>
      <c r="N297" s="82" t="str">
        <f t="shared" si="188"/>
        <v/>
      </c>
      <c r="O297" s="50"/>
      <c r="P297" s="85">
        <f t="shared" ref="P297:P303" si="230">O297*$F297</f>
        <v>0</v>
      </c>
      <c r="Q297" s="82" t="str">
        <f t="shared" si="189"/>
        <v/>
      </c>
      <c r="R297" s="50"/>
      <c r="S297" s="85">
        <f t="shared" ref="S297:S303" si="231">R297*$F297</f>
        <v>0</v>
      </c>
      <c r="T297" s="82" t="str">
        <f t="shared" si="190"/>
        <v/>
      </c>
      <c r="U297" s="50"/>
      <c r="V297" s="85">
        <f t="shared" ref="V297:V303" si="232">U297*$F297</f>
        <v>0</v>
      </c>
      <c r="W297" s="82" t="str">
        <f t="shared" si="191"/>
        <v/>
      </c>
      <c r="X297" s="50"/>
      <c r="Y297" s="85">
        <f t="shared" ref="Y297:Y303" si="233">X297*$F297</f>
        <v>0</v>
      </c>
      <c r="Z297" s="82" t="str">
        <f t="shared" si="192"/>
        <v/>
      </c>
      <c r="AA297" s="50"/>
      <c r="AB297" s="85">
        <f t="shared" ref="AB297:AB303" si="234">AA297*$F297</f>
        <v>0</v>
      </c>
      <c r="AC297" s="82" t="str">
        <f t="shared" si="193"/>
        <v/>
      </c>
      <c r="AD297" s="50"/>
      <c r="AE297" s="85">
        <f t="shared" ref="AE297:AE303" si="235">AD297*$F297</f>
        <v>0</v>
      </c>
      <c r="AF297" s="82" t="str">
        <f t="shared" si="194"/>
        <v/>
      </c>
      <c r="AG297" s="50"/>
      <c r="AH297" s="85">
        <f t="shared" ref="AH297:AH303" si="236">AG297*$F297</f>
        <v>0</v>
      </c>
      <c r="AI297" s="82" t="str">
        <f t="shared" si="195"/>
        <v/>
      </c>
      <c r="AJ297" s="50"/>
      <c r="AK297" s="85">
        <f t="shared" ref="AK297:AK303" si="237">AJ297*$F297</f>
        <v>0</v>
      </c>
      <c r="AL297" s="82" t="str">
        <f t="shared" si="196"/>
        <v/>
      </c>
      <c r="AM297" s="50"/>
      <c r="AN297" s="85">
        <f t="shared" ref="AN297:AN303" si="238">AM297*$F297</f>
        <v>0</v>
      </c>
      <c r="AO297" s="82" t="str">
        <f t="shared" si="197"/>
        <v/>
      </c>
      <c r="AP297" s="48">
        <f t="shared" si="185"/>
        <v>0</v>
      </c>
      <c r="AQ297" s="85">
        <f t="shared" ref="AQ297:AQ303" si="239">AP297*$F297</f>
        <v>0</v>
      </c>
      <c r="AR297" s="82" t="str">
        <f t="shared" si="198"/>
        <v/>
      </c>
      <c r="AS297" s="48">
        <f t="shared" si="186"/>
        <v>35.840000000000003</v>
      </c>
      <c r="AT297" s="85">
        <f t="shared" ref="AT297:AT303" si="240">AS297*$F297</f>
        <v>1443.6352000000002</v>
      </c>
      <c r="AU297" s="82">
        <f t="shared" si="199"/>
        <v>1</v>
      </c>
    </row>
    <row r="298" spans="1:47" ht="45">
      <c r="A298" s="16"/>
      <c r="B298" s="97" t="s">
        <v>1208</v>
      </c>
      <c r="C298" s="167" t="s">
        <v>206</v>
      </c>
      <c r="D298" s="86" t="s">
        <v>207</v>
      </c>
      <c r="E298" s="97" t="s">
        <v>44</v>
      </c>
      <c r="F298" s="172">
        <v>53</v>
      </c>
      <c r="G298" s="97">
        <v>127.62</v>
      </c>
      <c r="H298" s="85">
        <f t="shared" si="200"/>
        <v>6763.8600000000006</v>
      </c>
      <c r="I298" s="50">
        <f t="shared" si="214"/>
        <v>0</v>
      </c>
      <c r="J298" s="85">
        <f t="shared" si="228"/>
        <v>0</v>
      </c>
      <c r="K298" s="82" t="str">
        <f t="shared" si="187"/>
        <v/>
      </c>
      <c r="L298" s="50"/>
      <c r="M298" s="85">
        <f t="shared" si="229"/>
        <v>0</v>
      </c>
      <c r="N298" s="82" t="str">
        <f t="shared" si="188"/>
        <v/>
      </c>
      <c r="O298" s="50"/>
      <c r="P298" s="85">
        <f t="shared" si="230"/>
        <v>0</v>
      </c>
      <c r="Q298" s="82" t="str">
        <f t="shared" si="189"/>
        <v/>
      </c>
      <c r="R298" s="50"/>
      <c r="S298" s="85">
        <f t="shared" si="231"/>
        <v>0</v>
      </c>
      <c r="T298" s="82" t="str">
        <f t="shared" si="190"/>
        <v/>
      </c>
      <c r="U298" s="50"/>
      <c r="V298" s="85">
        <f t="shared" si="232"/>
        <v>0</v>
      </c>
      <c r="W298" s="82" t="str">
        <f t="shared" si="191"/>
        <v/>
      </c>
      <c r="X298" s="50"/>
      <c r="Y298" s="85">
        <f t="shared" si="233"/>
        <v>0</v>
      </c>
      <c r="Z298" s="82" t="str">
        <f t="shared" si="192"/>
        <v/>
      </c>
      <c r="AA298" s="50"/>
      <c r="AB298" s="85">
        <f t="shared" si="234"/>
        <v>0</v>
      </c>
      <c r="AC298" s="82" t="str">
        <f t="shared" si="193"/>
        <v/>
      </c>
      <c r="AD298" s="50"/>
      <c r="AE298" s="85">
        <f t="shared" si="235"/>
        <v>0</v>
      </c>
      <c r="AF298" s="82" t="str">
        <f t="shared" si="194"/>
        <v/>
      </c>
      <c r="AG298" s="50"/>
      <c r="AH298" s="85">
        <f t="shared" si="236"/>
        <v>0</v>
      </c>
      <c r="AI298" s="82" t="str">
        <f t="shared" si="195"/>
        <v/>
      </c>
      <c r="AJ298" s="50"/>
      <c r="AK298" s="85">
        <f t="shared" si="237"/>
        <v>0</v>
      </c>
      <c r="AL298" s="82" t="str">
        <f t="shared" si="196"/>
        <v/>
      </c>
      <c r="AM298" s="50"/>
      <c r="AN298" s="85">
        <f t="shared" si="238"/>
        <v>0</v>
      </c>
      <c r="AO298" s="82" t="str">
        <f t="shared" si="197"/>
        <v/>
      </c>
      <c r="AP298" s="48">
        <f t="shared" si="185"/>
        <v>0</v>
      </c>
      <c r="AQ298" s="85">
        <f t="shared" si="239"/>
        <v>0</v>
      </c>
      <c r="AR298" s="82" t="str">
        <f t="shared" si="198"/>
        <v/>
      </c>
      <c r="AS298" s="48">
        <f t="shared" si="186"/>
        <v>127.62</v>
      </c>
      <c r="AT298" s="85">
        <f t="shared" si="240"/>
        <v>6763.8600000000006</v>
      </c>
      <c r="AU298" s="82">
        <f t="shared" si="199"/>
        <v>1</v>
      </c>
    </row>
    <row r="299" spans="1:47" ht="45">
      <c r="A299" s="16"/>
      <c r="B299" s="97" t="s">
        <v>1209</v>
      </c>
      <c r="C299" s="167" t="s">
        <v>209</v>
      </c>
      <c r="D299" s="86" t="s">
        <v>210</v>
      </c>
      <c r="E299" s="97" t="s">
        <v>44</v>
      </c>
      <c r="F299" s="172">
        <v>76.739999999999995</v>
      </c>
      <c r="G299" s="97">
        <v>8.33</v>
      </c>
      <c r="H299" s="85">
        <f t="shared" si="200"/>
        <v>639.24419999999998</v>
      </c>
      <c r="I299" s="50">
        <f t="shared" si="214"/>
        <v>0</v>
      </c>
      <c r="J299" s="85">
        <f t="shared" si="228"/>
        <v>0</v>
      </c>
      <c r="K299" s="82" t="str">
        <f t="shared" si="187"/>
        <v/>
      </c>
      <c r="L299" s="50"/>
      <c r="M299" s="85">
        <f t="shared" si="229"/>
        <v>0</v>
      </c>
      <c r="N299" s="82" t="str">
        <f t="shared" si="188"/>
        <v/>
      </c>
      <c r="O299" s="50"/>
      <c r="P299" s="85">
        <f t="shared" si="230"/>
        <v>0</v>
      </c>
      <c r="Q299" s="82" t="str">
        <f t="shared" si="189"/>
        <v/>
      </c>
      <c r="R299" s="50"/>
      <c r="S299" s="85">
        <f t="shared" si="231"/>
        <v>0</v>
      </c>
      <c r="T299" s="82" t="str">
        <f t="shared" si="190"/>
        <v/>
      </c>
      <c r="U299" s="50"/>
      <c r="V299" s="85">
        <f t="shared" si="232"/>
        <v>0</v>
      </c>
      <c r="W299" s="82" t="str">
        <f t="shared" si="191"/>
        <v/>
      </c>
      <c r="X299" s="50"/>
      <c r="Y299" s="85">
        <f t="shared" si="233"/>
        <v>0</v>
      </c>
      <c r="Z299" s="82" t="str">
        <f t="shared" si="192"/>
        <v/>
      </c>
      <c r="AA299" s="50"/>
      <c r="AB299" s="85">
        <f t="shared" si="234"/>
        <v>0</v>
      </c>
      <c r="AC299" s="82" t="str">
        <f t="shared" si="193"/>
        <v/>
      </c>
      <c r="AD299" s="50"/>
      <c r="AE299" s="85">
        <f t="shared" si="235"/>
        <v>0</v>
      </c>
      <c r="AF299" s="82" t="str">
        <f t="shared" si="194"/>
        <v/>
      </c>
      <c r="AG299" s="50"/>
      <c r="AH299" s="85">
        <f t="shared" si="236"/>
        <v>0</v>
      </c>
      <c r="AI299" s="82" t="str">
        <f t="shared" si="195"/>
        <v/>
      </c>
      <c r="AJ299" s="50"/>
      <c r="AK299" s="85">
        <f t="shared" si="237"/>
        <v>0</v>
      </c>
      <c r="AL299" s="82" t="str">
        <f t="shared" si="196"/>
        <v/>
      </c>
      <c r="AM299" s="50"/>
      <c r="AN299" s="85">
        <f t="shared" si="238"/>
        <v>0</v>
      </c>
      <c r="AO299" s="82" t="str">
        <f t="shared" si="197"/>
        <v/>
      </c>
      <c r="AP299" s="48">
        <f t="shared" si="185"/>
        <v>0</v>
      </c>
      <c r="AQ299" s="85">
        <f t="shared" si="239"/>
        <v>0</v>
      </c>
      <c r="AR299" s="82" t="str">
        <f t="shared" si="198"/>
        <v/>
      </c>
      <c r="AS299" s="48">
        <f t="shared" si="186"/>
        <v>8.33</v>
      </c>
      <c r="AT299" s="85">
        <f t="shared" si="240"/>
        <v>639.24419999999998</v>
      </c>
      <c r="AU299" s="82">
        <f t="shared" si="199"/>
        <v>1</v>
      </c>
    </row>
    <row r="300" spans="1:47" ht="45">
      <c r="A300" s="16"/>
      <c r="B300" s="97" t="s">
        <v>1210</v>
      </c>
      <c r="C300" s="167" t="s">
        <v>212</v>
      </c>
      <c r="D300" s="86" t="s">
        <v>213</v>
      </c>
      <c r="E300" s="97" t="s">
        <v>44</v>
      </c>
      <c r="F300" s="172">
        <v>84.64</v>
      </c>
      <c r="G300" s="97">
        <v>115.52</v>
      </c>
      <c r="H300" s="85">
        <f t="shared" si="200"/>
        <v>9777.612799999999</v>
      </c>
      <c r="I300" s="50">
        <f t="shared" si="214"/>
        <v>0</v>
      </c>
      <c r="J300" s="85">
        <f t="shared" si="228"/>
        <v>0</v>
      </c>
      <c r="K300" s="82" t="str">
        <f t="shared" si="187"/>
        <v/>
      </c>
      <c r="L300" s="50"/>
      <c r="M300" s="85">
        <f t="shared" si="229"/>
        <v>0</v>
      </c>
      <c r="N300" s="82" t="str">
        <f t="shared" si="188"/>
        <v/>
      </c>
      <c r="O300" s="50"/>
      <c r="P300" s="85">
        <f t="shared" si="230"/>
        <v>0</v>
      </c>
      <c r="Q300" s="82" t="str">
        <f t="shared" si="189"/>
        <v/>
      </c>
      <c r="R300" s="50"/>
      <c r="S300" s="85">
        <f t="shared" si="231"/>
        <v>0</v>
      </c>
      <c r="T300" s="82" t="str">
        <f t="shared" si="190"/>
        <v/>
      </c>
      <c r="U300" s="50"/>
      <c r="V300" s="85">
        <f t="shared" si="232"/>
        <v>0</v>
      </c>
      <c r="W300" s="82" t="str">
        <f t="shared" si="191"/>
        <v/>
      </c>
      <c r="X300" s="50"/>
      <c r="Y300" s="85">
        <f t="shared" si="233"/>
        <v>0</v>
      </c>
      <c r="Z300" s="82" t="str">
        <f t="shared" si="192"/>
        <v/>
      </c>
      <c r="AA300" s="50"/>
      <c r="AB300" s="85">
        <f t="shared" si="234"/>
        <v>0</v>
      </c>
      <c r="AC300" s="82" t="str">
        <f t="shared" si="193"/>
        <v/>
      </c>
      <c r="AD300" s="50"/>
      <c r="AE300" s="85">
        <f t="shared" si="235"/>
        <v>0</v>
      </c>
      <c r="AF300" s="82" t="str">
        <f t="shared" si="194"/>
        <v/>
      </c>
      <c r="AG300" s="50"/>
      <c r="AH300" s="85">
        <f t="shared" si="236"/>
        <v>0</v>
      </c>
      <c r="AI300" s="82" t="str">
        <f t="shared" si="195"/>
        <v/>
      </c>
      <c r="AJ300" s="50"/>
      <c r="AK300" s="85">
        <f t="shared" si="237"/>
        <v>0</v>
      </c>
      <c r="AL300" s="82" t="str">
        <f t="shared" si="196"/>
        <v/>
      </c>
      <c r="AM300" s="50"/>
      <c r="AN300" s="85">
        <f t="shared" si="238"/>
        <v>0</v>
      </c>
      <c r="AO300" s="82" t="str">
        <f t="shared" si="197"/>
        <v/>
      </c>
      <c r="AP300" s="48">
        <f t="shared" si="185"/>
        <v>0</v>
      </c>
      <c r="AQ300" s="85">
        <f t="shared" si="239"/>
        <v>0</v>
      </c>
      <c r="AR300" s="82" t="str">
        <f t="shared" si="198"/>
        <v/>
      </c>
      <c r="AS300" s="48">
        <f t="shared" si="186"/>
        <v>115.52</v>
      </c>
      <c r="AT300" s="85">
        <f t="shared" si="240"/>
        <v>9777.612799999999</v>
      </c>
      <c r="AU300" s="82">
        <f t="shared" si="199"/>
        <v>1</v>
      </c>
    </row>
    <row r="301" spans="1:47" ht="45">
      <c r="A301" s="16"/>
      <c r="B301" s="97" t="s">
        <v>1211</v>
      </c>
      <c r="C301" s="167" t="s">
        <v>215</v>
      </c>
      <c r="D301" s="86" t="s">
        <v>216</v>
      </c>
      <c r="E301" s="97" t="s">
        <v>44</v>
      </c>
      <c r="F301" s="172">
        <v>130.12</v>
      </c>
      <c r="G301" s="97">
        <v>16.5</v>
      </c>
      <c r="H301" s="85">
        <f t="shared" si="200"/>
        <v>2146.98</v>
      </c>
      <c r="I301" s="50">
        <f t="shared" si="214"/>
        <v>0</v>
      </c>
      <c r="J301" s="85">
        <f t="shared" si="228"/>
        <v>0</v>
      </c>
      <c r="K301" s="82" t="str">
        <f t="shared" si="187"/>
        <v/>
      </c>
      <c r="L301" s="50"/>
      <c r="M301" s="85">
        <f t="shared" si="229"/>
        <v>0</v>
      </c>
      <c r="N301" s="82" t="str">
        <f t="shared" si="188"/>
        <v/>
      </c>
      <c r="O301" s="50"/>
      <c r="P301" s="85">
        <f t="shared" si="230"/>
        <v>0</v>
      </c>
      <c r="Q301" s="82" t="str">
        <f t="shared" si="189"/>
        <v/>
      </c>
      <c r="R301" s="50"/>
      <c r="S301" s="85">
        <f t="shared" si="231"/>
        <v>0</v>
      </c>
      <c r="T301" s="82" t="str">
        <f t="shared" si="190"/>
        <v/>
      </c>
      <c r="U301" s="50"/>
      <c r="V301" s="85">
        <f t="shared" si="232"/>
        <v>0</v>
      </c>
      <c r="W301" s="82" t="str">
        <f t="shared" si="191"/>
        <v/>
      </c>
      <c r="X301" s="50"/>
      <c r="Y301" s="85">
        <f t="shared" si="233"/>
        <v>0</v>
      </c>
      <c r="Z301" s="82" t="str">
        <f t="shared" si="192"/>
        <v/>
      </c>
      <c r="AA301" s="50"/>
      <c r="AB301" s="85">
        <f t="shared" si="234"/>
        <v>0</v>
      </c>
      <c r="AC301" s="82" t="str">
        <f t="shared" si="193"/>
        <v/>
      </c>
      <c r="AD301" s="50"/>
      <c r="AE301" s="85">
        <f t="shared" si="235"/>
        <v>0</v>
      </c>
      <c r="AF301" s="82" t="str">
        <f t="shared" si="194"/>
        <v/>
      </c>
      <c r="AG301" s="50"/>
      <c r="AH301" s="85">
        <f t="shared" si="236"/>
        <v>0</v>
      </c>
      <c r="AI301" s="82" t="str">
        <f t="shared" si="195"/>
        <v/>
      </c>
      <c r="AJ301" s="50"/>
      <c r="AK301" s="85">
        <f t="shared" si="237"/>
        <v>0</v>
      </c>
      <c r="AL301" s="82" t="str">
        <f t="shared" si="196"/>
        <v/>
      </c>
      <c r="AM301" s="50"/>
      <c r="AN301" s="85">
        <f t="shared" si="238"/>
        <v>0</v>
      </c>
      <c r="AO301" s="82" t="str">
        <f t="shared" si="197"/>
        <v/>
      </c>
      <c r="AP301" s="48">
        <f t="shared" si="185"/>
        <v>0</v>
      </c>
      <c r="AQ301" s="85">
        <f t="shared" si="239"/>
        <v>0</v>
      </c>
      <c r="AR301" s="82" t="str">
        <f t="shared" si="198"/>
        <v/>
      </c>
      <c r="AS301" s="48">
        <f t="shared" si="186"/>
        <v>16.5</v>
      </c>
      <c r="AT301" s="85">
        <f t="shared" si="240"/>
        <v>2146.98</v>
      </c>
      <c r="AU301" s="82">
        <f t="shared" si="199"/>
        <v>1</v>
      </c>
    </row>
    <row r="302" spans="1:47" ht="30">
      <c r="A302" s="16"/>
      <c r="B302" s="97" t="s">
        <v>1212</v>
      </c>
      <c r="C302" s="167" t="s">
        <v>1213</v>
      </c>
      <c r="D302" s="86" t="s">
        <v>1214</v>
      </c>
      <c r="E302" s="97" t="s">
        <v>28</v>
      </c>
      <c r="F302" s="172">
        <v>17.66</v>
      </c>
      <c r="G302" s="97">
        <v>7</v>
      </c>
      <c r="H302" s="85">
        <f t="shared" si="200"/>
        <v>123.62</v>
      </c>
      <c r="I302" s="50">
        <f t="shared" si="214"/>
        <v>0</v>
      </c>
      <c r="J302" s="85">
        <f t="shared" si="228"/>
        <v>0</v>
      </c>
      <c r="K302" s="82" t="str">
        <f t="shared" si="187"/>
        <v/>
      </c>
      <c r="L302" s="50"/>
      <c r="M302" s="85">
        <f t="shared" si="229"/>
        <v>0</v>
      </c>
      <c r="N302" s="82" t="str">
        <f t="shared" si="188"/>
        <v/>
      </c>
      <c r="O302" s="50"/>
      <c r="P302" s="85">
        <f t="shared" si="230"/>
        <v>0</v>
      </c>
      <c r="Q302" s="82" t="str">
        <f t="shared" si="189"/>
        <v/>
      </c>
      <c r="R302" s="50"/>
      <c r="S302" s="85">
        <f t="shared" si="231"/>
        <v>0</v>
      </c>
      <c r="T302" s="82" t="str">
        <f t="shared" si="190"/>
        <v/>
      </c>
      <c r="U302" s="50"/>
      <c r="V302" s="85">
        <f t="shared" si="232"/>
        <v>0</v>
      </c>
      <c r="W302" s="82" t="str">
        <f t="shared" si="191"/>
        <v/>
      </c>
      <c r="X302" s="50"/>
      <c r="Y302" s="85">
        <f t="shared" si="233"/>
        <v>0</v>
      </c>
      <c r="Z302" s="82" t="str">
        <f t="shared" si="192"/>
        <v/>
      </c>
      <c r="AA302" s="50"/>
      <c r="AB302" s="85">
        <f t="shared" si="234"/>
        <v>0</v>
      </c>
      <c r="AC302" s="82" t="str">
        <f t="shared" si="193"/>
        <v/>
      </c>
      <c r="AD302" s="50"/>
      <c r="AE302" s="85">
        <f t="shared" si="235"/>
        <v>0</v>
      </c>
      <c r="AF302" s="82" t="str">
        <f t="shared" si="194"/>
        <v/>
      </c>
      <c r="AG302" s="50"/>
      <c r="AH302" s="85">
        <f t="shared" si="236"/>
        <v>0</v>
      </c>
      <c r="AI302" s="82" t="str">
        <f t="shared" si="195"/>
        <v/>
      </c>
      <c r="AJ302" s="50"/>
      <c r="AK302" s="85">
        <f t="shared" si="237"/>
        <v>0</v>
      </c>
      <c r="AL302" s="82" t="str">
        <f t="shared" si="196"/>
        <v/>
      </c>
      <c r="AM302" s="50"/>
      <c r="AN302" s="85">
        <f t="shared" si="238"/>
        <v>0</v>
      </c>
      <c r="AO302" s="82" t="str">
        <f t="shared" si="197"/>
        <v/>
      </c>
      <c r="AP302" s="48">
        <f t="shared" si="185"/>
        <v>0</v>
      </c>
      <c r="AQ302" s="85">
        <f t="shared" si="239"/>
        <v>0</v>
      </c>
      <c r="AR302" s="82" t="str">
        <f t="shared" si="198"/>
        <v/>
      </c>
      <c r="AS302" s="48">
        <f t="shared" si="186"/>
        <v>7</v>
      </c>
      <c r="AT302" s="85">
        <f t="shared" si="240"/>
        <v>123.62</v>
      </c>
      <c r="AU302" s="82">
        <f t="shared" si="199"/>
        <v>1</v>
      </c>
    </row>
    <row r="303" spans="1:47" ht="30">
      <c r="A303" s="16"/>
      <c r="B303" s="97" t="s">
        <v>1215</v>
      </c>
      <c r="C303" s="167" t="s">
        <v>1216</v>
      </c>
      <c r="D303" s="86" t="s">
        <v>1217</v>
      </c>
      <c r="E303" s="97" t="s">
        <v>28</v>
      </c>
      <c r="F303" s="172">
        <v>26.21</v>
      </c>
      <c r="G303" s="97">
        <v>1</v>
      </c>
      <c r="H303" s="85">
        <f t="shared" si="200"/>
        <v>26.21</v>
      </c>
      <c r="I303" s="50">
        <f t="shared" si="214"/>
        <v>0</v>
      </c>
      <c r="J303" s="85">
        <f t="shared" si="228"/>
        <v>0</v>
      </c>
      <c r="K303" s="82" t="str">
        <f t="shared" si="187"/>
        <v/>
      </c>
      <c r="L303" s="50"/>
      <c r="M303" s="85">
        <f t="shared" si="229"/>
        <v>0</v>
      </c>
      <c r="N303" s="82" t="str">
        <f t="shared" si="188"/>
        <v/>
      </c>
      <c r="O303" s="50"/>
      <c r="P303" s="85">
        <f t="shared" si="230"/>
        <v>0</v>
      </c>
      <c r="Q303" s="82" t="str">
        <f t="shared" si="189"/>
        <v/>
      </c>
      <c r="R303" s="50"/>
      <c r="S303" s="85">
        <f t="shared" si="231"/>
        <v>0</v>
      </c>
      <c r="T303" s="82" t="str">
        <f t="shared" si="190"/>
        <v/>
      </c>
      <c r="U303" s="50"/>
      <c r="V303" s="85">
        <f t="shared" si="232"/>
        <v>0</v>
      </c>
      <c r="W303" s="82" t="str">
        <f t="shared" si="191"/>
        <v/>
      </c>
      <c r="X303" s="50"/>
      <c r="Y303" s="85">
        <f t="shared" si="233"/>
        <v>0</v>
      </c>
      <c r="Z303" s="82" t="str">
        <f t="shared" si="192"/>
        <v/>
      </c>
      <c r="AA303" s="50"/>
      <c r="AB303" s="85">
        <f t="shared" si="234"/>
        <v>0</v>
      </c>
      <c r="AC303" s="82" t="str">
        <f t="shared" si="193"/>
        <v/>
      </c>
      <c r="AD303" s="50"/>
      <c r="AE303" s="85">
        <f t="shared" si="235"/>
        <v>0</v>
      </c>
      <c r="AF303" s="82" t="str">
        <f t="shared" si="194"/>
        <v/>
      </c>
      <c r="AG303" s="50"/>
      <c r="AH303" s="85">
        <f t="shared" si="236"/>
        <v>0</v>
      </c>
      <c r="AI303" s="82" t="str">
        <f t="shared" si="195"/>
        <v/>
      </c>
      <c r="AJ303" s="50"/>
      <c r="AK303" s="85">
        <f t="shared" si="237"/>
        <v>0</v>
      </c>
      <c r="AL303" s="82" t="str">
        <f t="shared" si="196"/>
        <v/>
      </c>
      <c r="AM303" s="50"/>
      <c r="AN303" s="85">
        <f t="shared" si="238"/>
        <v>0</v>
      </c>
      <c r="AO303" s="82" t="str">
        <f t="shared" si="197"/>
        <v/>
      </c>
      <c r="AP303" s="48">
        <f t="shared" si="185"/>
        <v>0</v>
      </c>
      <c r="AQ303" s="85">
        <f t="shared" si="239"/>
        <v>0</v>
      </c>
      <c r="AR303" s="82" t="str">
        <f t="shared" si="198"/>
        <v/>
      </c>
      <c r="AS303" s="48">
        <f t="shared" si="186"/>
        <v>1</v>
      </c>
      <c r="AT303" s="85">
        <f t="shared" si="240"/>
        <v>26.21</v>
      </c>
      <c r="AU303" s="82">
        <f t="shared" si="199"/>
        <v>1</v>
      </c>
    </row>
    <row r="304" spans="1:47" s="161" customFormat="1">
      <c r="A304" s="94"/>
      <c r="B304" s="116" t="s">
        <v>1218</v>
      </c>
      <c r="C304" s="1945" t="s">
        <v>1219</v>
      </c>
      <c r="D304" s="1946"/>
      <c r="E304" s="1946"/>
      <c r="F304" s="1946"/>
      <c r="G304" s="1947"/>
      <c r="H304" s="159">
        <f>SUM(H305:H310)</f>
        <v>4358.670000000001</v>
      </c>
      <c r="I304" s="50">
        <f t="shared" si="214"/>
        <v>0</v>
      </c>
      <c r="J304" s="159">
        <f>SUM(J305:J310)</f>
        <v>0</v>
      </c>
      <c r="K304" s="102">
        <f>J304/$H304</f>
        <v>0</v>
      </c>
      <c r="L304" s="101"/>
      <c r="M304" s="159">
        <f>SUM(M305:M310)</f>
        <v>0</v>
      </c>
      <c r="N304" s="102">
        <f>M304/$H304</f>
        <v>0</v>
      </c>
      <c r="O304" s="101"/>
      <c r="P304" s="159">
        <f>SUM(P305:P310)</f>
        <v>0</v>
      </c>
      <c r="Q304" s="102">
        <f>P304/$H304</f>
        <v>0</v>
      </c>
      <c r="R304" s="101"/>
      <c r="S304" s="159">
        <f>SUM(S305:S310)</f>
        <v>0</v>
      </c>
      <c r="T304" s="102">
        <f>S304/$H304</f>
        <v>0</v>
      </c>
      <c r="U304" s="101"/>
      <c r="V304" s="159">
        <f>SUM(V305:V310)</f>
        <v>0</v>
      </c>
      <c r="W304" s="102">
        <f>V304/$H304</f>
        <v>0</v>
      </c>
      <c r="X304" s="101"/>
      <c r="Y304" s="159">
        <f>SUM(Y305:Y310)</f>
        <v>0</v>
      </c>
      <c r="Z304" s="102">
        <f>Y304/$H304</f>
        <v>0</v>
      </c>
      <c r="AA304" s="101"/>
      <c r="AB304" s="159">
        <f>SUM(AB305:AB310)</f>
        <v>0</v>
      </c>
      <c r="AC304" s="102">
        <f>AB304/$H304</f>
        <v>0</v>
      </c>
      <c r="AD304" s="101"/>
      <c r="AE304" s="159">
        <f>SUM(AE305:AE310)</f>
        <v>0</v>
      </c>
      <c r="AF304" s="102">
        <f>AE304/$H304</f>
        <v>0</v>
      </c>
      <c r="AG304" s="101"/>
      <c r="AH304" s="159">
        <f>SUM(AH305:AH310)</f>
        <v>0</v>
      </c>
      <c r="AI304" s="102">
        <f>AH304/$H304</f>
        <v>0</v>
      </c>
      <c r="AJ304" s="101"/>
      <c r="AK304" s="159">
        <f>SUM(AK305:AK310)</f>
        <v>0</v>
      </c>
      <c r="AL304" s="102">
        <f>AK304/$H304</f>
        <v>0</v>
      </c>
      <c r="AM304" s="101"/>
      <c r="AN304" s="159">
        <f>SUM(AN305:AN310)</f>
        <v>0</v>
      </c>
      <c r="AO304" s="102">
        <f>AN304/$H304</f>
        <v>0</v>
      </c>
      <c r="AP304" s="160">
        <f t="shared" si="185"/>
        <v>0</v>
      </c>
      <c r="AQ304" s="159">
        <f>SUM(AQ305:AQ310)</f>
        <v>0</v>
      </c>
      <c r="AR304" s="102">
        <f>AQ304/$H304</f>
        <v>0</v>
      </c>
      <c r="AS304" s="160">
        <f t="shared" si="186"/>
        <v>0</v>
      </c>
      <c r="AT304" s="159">
        <f>SUM(AT305:AT310)</f>
        <v>4358.670000000001</v>
      </c>
      <c r="AU304" s="102">
        <f>AT304/$H304</f>
        <v>1</v>
      </c>
    </row>
    <row r="305" spans="1:47" ht="45">
      <c r="A305" s="16"/>
      <c r="B305" s="97" t="s">
        <v>1220</v>
      </c>
      <c r="C305" s="167" t="s">
        <v>1221</v>
      </c>
      <c r="D305" s="86" t="s">
        <v>1222</v>
      </c>
      <c r="E305" s="97" t="s">
        <v>28</v>
      </c>
      <c r="F305" s="172">
        <v>154.78</v>
      </c>
      <c r="G305" s="97">
        <v>11</v>
      </c>
      <c r="H305" s="85">
        <f t="shared" si="200"/>
        <v>1702.58</v>
      </c>
      <c r="I305" s="50">
        <f t="shared" si="214"/>
        <v>0</v>
      </c>
      <c r="J305" s="85">
        <f t="shared" ref="J305:J310" si="241">I305*$F305</f>
        <v>0</v>
      </c>
      <c r="K305" s="82" t="str">
        <f t="shared" si="187"/>
        <v/>
      </c>
      <c r="L305" s="50"/>
      <c r="M305" s="85">
        <f t="shared" ref="M305:M310" si="242">L305*$F305</f>
        <v>0</v>
      </c>
      <c r="N305" s="82" t="str">
        <f t="shared" si="188"/>
        <v/>
      </c>
      <c r="O305" s="50"/>
      <c r="P305" s="85">
        <f t="shared" ref="P305:P310" si="243">O305*$F305</f>
        <v>0</v>
      </c>
      <c r="Q305" s="82" t="str">
        <f t="shared" si="189"/>
        <v/>
      </c>
      <c r="R305" s="50"/>
      <c r="S305" s="85">
        <f t="shared" ref="S305:S310" si="244">R305*$F305</f>
        <v>0</v>
      </c>
      <c r="T305" s="82" t="str">
        <f t="shared" si="190"/>
        <v/>
      </c>
      <c r="U305" s="50"/>
      <c r="V305" s="85">
        <f t="shared" ref="V305:V310" si="245">U305*$F305</f>
        <v>0</v>
      </c>
      <c r="W305" s="82" t="str">
        <f t="shared" si="191"/>
        <v/>
      </c>
      <c r="X305" s="50"/>
      <c r="Y305" s="85">
        <f t="shared" ref="Y305:Y310" si="246">X305*$F305</f>
        <v>0</v>
      </c>
      <c r="Z305" s="82" t="str">
        <f t="shared" si="192"/>
        <v/>
      </c>
      <c r="AA305" s="50"/>
      <c r="AB305" s="85">
        <f t="shared" ref="AB305:AB310" si="247">AA305*$F305</f>
        <v>0</v>
      </c>
      <c r="AC305" s="82" t="str">
        <f t="shared" si="193"/>
        <v/>
      </c>
      <c r="AD305" s="50"/>
      <c r="AE305" s="85">
        <f t="shared" ref="AE305:AE310" si="248">AD305*$F305</f>
        <v>0</v>
      </c>
      <c r="AF305" s="82" t="str">
        <f t="shared" si="194"/>
        <v/>
      </c>
      <c r="AG305" s="50"/>
      <c r="AH305" s="85">
        <f t="shared" ref="AH305:AH310" si="249">AG305*$F305</f>
        <v>0</v>
      </c>
      <c r="AI305" s="82" t="str">
        <f t="shared" si="195"/>
        <v/>
      </c>
      <c r="AJ305" s="50"/>
      <c r="AK305" s="85">
        <f t="shared" ref="AK305:AK310" si="250">AJ305*$F305</f>
        <v>0</v>
      </c>
      <c r="AL305" s="82" t="str">
        <f t="shared" si="196"/>
        <v/>
      </c>
      <c r="AM305" s="50"/>
      <c r="AN305" s="85">
        <f t="shared" ref="AN305:AN310" si="251">AM305*$F305</f>
        <v>0</v>
      </c>
      <c r="AO305" s="82" t="str">
        <f t="shared" si="197"/>
        <v/>
      </c>
      <c r="AP305" s="48">
        <f t="shared" si="185"/>
        <v>0</v>
      </c>
      <c r="AQ305" s="85">
        <f t="shared" ref="AQ305:AQ310" si="252">AP305*$F305</f>
        <v>0</v>
      </c>
      <c r="AR305" s="82" t="str">
        <f t="shared" si="198"/>
        <v/>
      </c>
      <c r="AS305" s="48">
        <f t="shared" si="186"/>
        <v>11</v>
      </c>
      <c r="AT305" s="85">
        <f t="shared" ref="AT305:AT310" si="253">AS305*$F305</f>
        <v>1702.58</v>
      </c>
      <c r="AU305" s="82">
        <f t="shared" si="199"/>
        <v>1</v>
      </c>
    </row>
    <row r="306" spans="1:47" ht="45">
      <c r="A306" s="16"/>
      <c r="B306" s="97" t="s">
        <v>1223</v>
      </c>
      <c r="C306" s="167" t="s">
        <v>1224</v>
      </c>
      <c r="D306" s="86" t="s">
        <v>1225</v>
      </c>
      <c r="E306" s="97" t="s">
        <v>28</v>
      </c>
      <c r="F306" s="172">
        <v>114.54</v>
      </c>
      <c r="G306" s="97">
        <v>16</v>
      </c>
      <c r="H306" s="85">
        <f t="shared" si="200"/>
        <v>1832.64</v>
      </c>
      <c r="I306" s="50">
        <f t="shared" si="214"/>
        <v>0</v>
      </c>
      <c r="J306" s="85">
        <f t="shared" si="241"/>
        <v>0</v>
      </c>
      <c r="K306" s="82" t="str">
        <f t="shared" si="187"/>
        <v/>
      </c>
      <c r="L306" s="50"/>
      <c r="M306" s="85">
        <f t="shared" si="242"/>
        <v>0</v>
      </c>
      <c r="N306" s="82" t="str">
        <f t="shared" si="188"/>
        <v/>
      </c>
      <c r="O306" s="50"/>
      <c r="P306" s="85">
        <f t="shared" si="243"/>
        <v>0</v>
      </c>
      <c r="Q306" s="82" t="str">
        <f t="shared" si="189"/>
        <v/>
      </c>
      <c r="R306" s="50"/>
      <c r="S306" s="85">
        <f t="shared" si="244"/>
        <v>0</v>
      </c>
      <c r="T306" s="82" t="str">
        <f t="shared" si="190"/>
        <v/>
      </c>
      <c r="U306" s="50"/>
      <c r="V306" s="85">
        <f t="shared" si="245"/>
        <v>0</v>
      </c>
      <c r="W306" s="82" t="str">
        <f t="shared" si="191"/>
        <v/>
      </c>
      <c r="X306" s="50"/>
      <c r="Y306" s="85">
        <f t="shared" si="246"/>
        <v>0</v>
      </c>
      <c r="Z306" s="82" t="str">
        <f t="shared" si="192"/>
        <v/>
      </c>
      <c r="AA306" s="50"/>
      <c r="AB306" s="85">
        <f t="shared" si="247"/>
        <v>0</v>
      </c>
      <c r="AC306" s="82" t="str">
        <f t="shared" si="193"/>
        <v/>
      </c>
      <c r="AD306" s="50"/>
      <c r="AE306" s="85">
        <f t="shared" si="248"/>
        <v>0</v>
      </c>
      <c r="AF306" s="82" t="str">
        <f t="shared" si="194"/>
        <v/>
      </c>
      <c r="AG306" s="50"/>
      <c r="AH306" s="85">
        <f t="shared" si="249"/>
        <v>0</v>
      </c>
      <c r="AI306" s="82" t="str">
        <f t="shared" si="195"/>
        <v/>
      </c>
      <c r="AJ306" s="50"/>
      <c r="AK306" s="85">
        <f t="shared" si="250"/>
        <v>0</v>
      </c>
      <c r="AL306" s="82" t="str">
        <f t="shared" si="196"/>
        <v/>
      </c>
      <c r="AM306" s="50"/>
      <c r="AN306" s="85">
        <f t="shared" si="251"/>
        <v>0</v>
      </c>
      <c r="AO306" s="82" t="str">
        <f t="shared" si="197"/>
        <v/>
      </c>
      <c r="AP306" s="48">
        <f t="shared" si="185"/>
        <v>0</v>
      </c>
      <c r="AQ306" s="85">
        <f t="shared" si="252"/>
        <v>0</v>
      </c>
      <c r="AR306" s="82" t="str">
        <f t="shared" si="198"/>
        <v/>
      </c>
      <c r="AS306" s="48">
        <f t="shared" si="186"/>
        <v>16</v>
      </c>
      <c r="AT306" s="85">
        <f t="shared" si="253"/>
        <v>1832.64</v>
      </c>
      <c r="AU306" s="82">
        <f t="shared" si="199"/>
        <v>1</v>
      </c>
    </row>
    <row r="307" spans="1:47" ht="30">
      <c r="A307" s="16"/>
      <c r="B307" s="97" t="s">
        <v>1226</v>
      </c>
      <c r="C307" s="167" t="s">
        <v>1227</v>
      </c>
      <c r="D307" s="86" t="s">
        <v>1228</v>
      </c>
      <c r="E307" s="97" t="s">
        <v>28</v>
      </c>
      <c r="F307" s="172">
        <v>101.53</v>
      </c>
      <c r="G307" s="97">
        <v>1</v>
      </c>
      <c r="H307" s="85">
        <f t="shared" si="200"/>
        <v>101.53</v>
      </c>
      <c r="I307" s="50">
        <f t="shared" si="214"/>
        <v>0</v>
      </c>
      <c r="J307" s="85">
        <f t="shared" si="241"/>
        <v>0</v>
      </c>
      <c r="K307" s="82" t="str">
        <f t="shared" si="187"/>
        <v/>
      </c>
      <c r="L307" s="50"/>
      <c r="M307" s="85">
        <f t="shared" si="242"/>
        <v>0</v>
      </c>
      <c r="N307" s="82" t="str">
        <f t="shared" si="188"/>
        <v/>
      </c>
      <c r="O307" s="50"/>
      <c r="P307" s="85">
        <f t="shared" si="243"/>
        <v>0</v>
      </c>
      <c r="Q307" s="82" t="str">
        <f t="shared" si="189"/>
        <v/>
      </c>
      <c r="R307" s="50"/>
      <c r="S307" s="85">
        <f t="shared" si="244"/>
        <v>0</v>
      </c>
      <c r="T307" s="82" t="str">
        <f t="shared" si="190"/>
        <v/>
      </c>
      <c r="U307" s="50"/>
      <c r="V307" s="85">
        <f t="shared" si="245"/>
        <v>0</v>
      </c>
      <c r="W307" s="82" t="str">
        <f t="shared" si="191"/>
        <v/>
      </c>
      <c r="X307" s="50"/>
      <c r="Y307" s="85">
        <f t="shared" si="246"/>
        <v>0</v>
      </c>
      <c r="Z307" s="82" t="str">
        <f t="shared" si="192"/>
        <v/>
      </c>
      <c r="AA307" s="50"/>
      <c r="AB307" s="85">
        <f t="shared" si="247"/>
        <v>0</v>
      </c>
      <c r="AC307" s="82" t="str">
        <f t="shared" si="193"/>
        <v/>
      </c>
      <c r="AD307" s="50"/>
      <c r="AE307" s="85">
        <f t="shared" si="248"/>
        <v>0</v>
      </c>
      <c r="AF307" s="82" t="str">
        <f t="shared" si="194"/>
        <v/>
      </c>
      <c r="AG307" s="50"/>
      <c r="AH307" s="85">
        <f t="shared" si="249"/>
        <v>0</v>
      </c>
      <c r="AI307" s="82" t="str">
        <f t="shared" si="195"/>
        <v/>
      </c>
      <c r="AJ307" s="50"/>
      <c r="AK307" s="85">
        <f t="shared" si="250"/>
        <v>0</v>
      </c>
      <c r="AL307" s="82" t="str">
        <f t="shared" si="196"/>
        <v/>
      </c>
      <c r="AM307" s="50"/>
      <c r="AN307" s="85">
        <f t="shared" si="251"/>
        <v>0</v>
      </c>
      <c r="AO307" s="82" t="str">
        <f t="shared" si="197"/>
        <v/>
      </c>
      <c r="AP307" s="48">
        <f t="shared" si="185"/>
        <v>0</v>
      </c>
      <c r="AQ307" s="85">
        <f t="shared" si="252"/>
        <v>0</v>
      </c>
      <c r="AR307" s="82" t="str">
        <f t="shared" si="198"/>
        <v/>
      </c>
      <c r="AS307" s="48">
        <f t="shared" si="186"/>
        <v>1</v>
      </c>
      <c r="AT307" s="85">
        <f t="shared" si="253"/>
        <v>101.53</v>
      </c>
      <c r="AU307" s="82">
        <f t="shared" si="199"/>
        <v>1</v>
      </c>
    </row>
    <row r="308" spans="1:47" ht="30">
      <c r="A308" s="16"/>
      <c r="B308" s="97" t="s">
        <v>1229</v>
      </c>
      <c r="C308" s="167" t="s">
        <v>1230</v>
      </c>
      <c r="D308" s="86" t="s">
        <v>1231</v>
      </c>
      <c r="E308" s="97" t="s">
        <v>28</v>
      </c>
      <c r="F308" s="172">
        <v>89.41</v>
      </c>
      <c r="G308" s="97">
        <v>3</v>
      </c>
      <c r="H308" s="85">
        <f t="shared" si="200"/>
        <v>268.23</v>
      </c>
      <c r="I308" s="50">
        <f t="shared" si="214"/>
        <v>0</v>
      </c>
      <c r="J308" s="85">
        <f t="shared" si="241"/>
        <v>0</v>
      </c>
      <c r="K308" s="82" t="str">
        <f t="shared" si="187"/>
        <v/>
      </c>
      <c r="L308" s="50"/>
      <c r="M308" s="85">
        <f t="shared" si="242"/>
        <v>0</v>
      </c>
      <c r="N308" s="82" t="str">
        <f t="shared" si="188"/>
        <v/>
      </c>
      <c r="O308" s="50"/>
      <c r="P308" s="85">
        <f t="shared" si="243"/>
        <v>0</v>
      </c>
      <c r="Q308" s="82" t="str">
        <f t="shared" si="189"/>
        <v/>
      </c>
      <c r="R308" s="50"/>
      <c r="S308" s="85">
        <f t="shared" si="244"/>
        <v>0</v>
      </c>
      <c r="T308" s="82" t="str">
        <f t="shared" si="190"/>
        <v/>
      </c>
      <c r="U308" s="50"/>
      <c r="V308" s="85">
        <f t="shared" si="245"/>
        <v>0</v>
      </c>
      <c r="W308" s="82" t="str">
        <f t="shared" si="191"/>
        <v/>
      </c>
      <c r="X308" s="50"/>
      <c r="Y308" s="85">
        <f t="shared" si="246"/>
        <v>0</v>
      </c>
      <c r="Z308" s="82" t="str">
        <f t="shared" si="192"/>
        <v/>
      </c>
      <c r="AA308" s="50"/>
      <c r="AB308" s="85">
        <f t="shared" si="247"/>
        <v>0</v>
      </c>
      <c r="AC308" s="82" t="str">
        <f t="shared" si="193"/>
        <v/>
      </c>
      <c r="AD308" s="50"/>
      <c r="AE308" s="85">
        <f t="shared" si="248"/>
        <v>0</v>
      </c>
      <c r="AF308" s="82" t="str">
        <f t="shared" si="194"/>
        <v/>
      </c>
      <c r="AG308" s="50"/>
      <c r="AH308" s="85">
        <f t="shared" si="249"/>
        <v>0</v>
      </c>
      <c r="AI308" s="82" t="str">
        <f t="shared" si="195"/>
        <v/>
      </c>
      <c r="AJ308" s="50"/>
      <c r="AK308" s="85">
        <f t="shared" si="250"/>
        <v>0</v>
      </c>
      <c r="AL308" s="82" t="str">
        <f t="shared" si="196"/>
        <v/>
      </c>
      <c r="AM308" s="50"/>
      <c r="AN308" s="85">
        <f t="shared" si="251"/>
        <v>0</v>
      </c>
      <c r="AO308" s="82" t="str">
        <f t="shared" si="197"/>
        <v/>
      </c>
      <c r="AP308" s="48">
        <f t="shared" si="185"/>
        <v>0</v>
      </c>
      <c r="AQ308" s="85">
        <f t="shared" si="252"/>
        <v>0</v>
      </c>
      <c r="AR308" s="82" t="str">
        <f t="shared" si="198"/>
        <v/>
      </c>
      <c r="AS308" s="48">
        <f t="shared" si="186"/>
        <v>3</v>
      </c>
      <c r="AT308" s="85">
        <f t="shared" si="253"/>
        <v>268.23</v>
      </c>
      <c r="AU308" s="82">
        <f t="shared" si="199"/>
        <v>1</v>
      </c>
    </row>
    <row r="309" spans="1:47" ht="30">
      <c r="A309" s="16"/>
      <c r="B309" s="97" t="s">
        <v>1232</v>
      </c>
      <c r="C309" s="167" t="s">
        <v>1233</v>
      </c>
      <c r="D309" s="86" t="s">
        <v>1234</v>
      </c>
      <c r="E309" s="97" t="s">
        <v>28</v>
      </c>
      <c r="F309" s="172">
        <v>52.77</v>
      </c>
      <c r="G309" s="97">
        <v>5</v>
      </c>
      <c r="H309" s="85">
        <f t="shared" si="200"/>
        <v>263.85000000000002</v>
      </c>
      <c r="I309" s="50">
        <f t="shared" si="214"/>
        <v>0</v>
      </c>
      <c r="J309" s="85">
        <f t="shared" si="241"/>
        <v>0</v>
      </c>
      <c r="K309" s="82" t="str">
        <f t="shared" si="187"/>
        <v/>
      </c>
      <c r="L309" s="50"/>
      <c r="M309" s="85">
        <f t="shared" si="242"/>
        <v>0</v>
      </c>
      <c r="N309" s="82" t="str">
        <f t="shared" si="188"/>
        <v/>
      </c>
      <c r="O309" s="50"/>
      <c r="P309" s="85">
        <f t="shared" si="243"/>
        <v>0</v>
      </c>
      <c r="Q309" s="82" t="str">
        <f t="shared" si="189"/>
        <v/>
      </c>
      <c r="R309" s="50"/>
      <c r="S309" s="85">
        <f t="shared" si="244"/>
        <v>0</v>
      </c>
      <c r="T309" s="82" t="str">
        <f t="shared" si="190"/>
        <v/>
      </c>
      <c r="U309" s="50"/>
      <c r="V309" s="85">
        <f t="shared" si="245"/>
        <v>0</v>
      </c>
      <c r="W309" s="82" t="str">
        <f t="shared" si="191"/>
        <v/>
      </c>
      <c r="X309" s="50"/>
      <c r="Y309" s="85">
        <f t="shared" si="246"/>
        <v>0</v>
      </c>
      <c r="Z309" s="82" t="str">
        <f t="shared" si="192"/>
        <v/>
      </c>
      <c r="AA309" s="50"/>
      <c r="AB309" s="85">
        <f t="shared" si="247"/>
        <v>0</v>
      </c>
      <c r="AC309" s="82" t="str">
        <f t="shared" si="193"/>
        <v/>
      </c>
      <c r="AD309" s="50"/>
      <c r="AE309" s="85">
        <f t="shared" si="248"/>
        <v>0</v>
      </c>
      <c r="AF309" s="82" t="str">
        <f t="shared" si="194"/>
        <v/>
      </c>
      <c r="AG309" s="50"/>
      <c r="AH309" s="85">
        <f t="shared" si="249"/>
        <v>0</v>
      </c>
      <c r="AI309" s="82" t="str">
        <f t="shared" si="195"/>
        <v/>
      </c>
      <c r="AJ309" s="50"/>
      <c r="AK309" s="85">
        <f t="shared" si="250"/>
        <v>0</v>
      </c>
      <c r="AL309" s="82" t="str">
        <f t="shared" si="196"/>
        <v/>
      </c>
      <c r="AM309" s="50"/>
      <c r="AN309" s="85">
        <f t="shared" si="251"/>
        <v>0</v>
      </c>
      <c r="AO309" s="82" t="str">
        <f t="shared" si="197"/>
        <v/>
      </c>
      <c r="AP309" s="48">
        <f t="shared" si="185"/>
        <v>0</v>
      </c>
      <c r="AQ309" s="85">
        <f t="shared" si="252"/>
        <v>0</v>
      </c>
      <c r="AR309" s="82" t="str">
        <f t="shared" si="198"/>
        <v/>
      </c>
      <c r="AS309" s="48">
        <f t="shared" si="186"/>
        <v>5</v>
      </c>
      <c r="AT309" s="85">
        <f t="shared" si="253"/>
        <v>263.85000000000002</v>
      </c>
      <c r="AU309" s="82">
        <f t="shared" si="199"/>
        <v>1</v>
      </c>
    </row>
    <row r="310" spans="1:47" ht="30">
      <c r="A310" s="16"/>
      <c r="B310" s="97" t="s">
        <v>1235</v>
      </c>
      <c r="C310" s="167" t="s">
        <v>1236</v>
      </c>
      <c r="D310" s="86" t="s">
        <v>1237</v>
      </c>
      <c r="E310" s="97" t="s">
        <v>28</v>
      </c>
      <c r="F310" s="172">
        <v>94.92</v>
      </c>
      <c r="G310" s="97">
        <v>2</v>
      </c>
      <c r="H310" s="85">
        <f t="shared" si="200"/>
        <v>189.84</v>
      </c>
      <c r="I310" s="50">
        <f t="shared" si="214"/>
        <v>0</v>
      </c>
      <c r="J310" s="85">
        <f t="shared" si="241"/>
        <v>0</v>
      </c>
      <c r="K310" s="82" t="str">
        <f t="shared" si="187"/>
        <v/>
      </c>
      <c r="L310" s="50"/>
      <c r="M310" s="85">
        <f t="shared" si="242"/>
        <v>0</v>
      </c>
      <c r="N310" s="82" t="str">
        <f t="shared" si="188"/>
        <v/>
      </c>
      <c r="O310" s="50"/>
      <c r="P310" s="85">
        <f t="shared" si="243"/>
        <v>0</v>
      </c>
      <c r="Q310" s="82" t="str">
        <f t="shared" si="189"/>
        <v/>
      </c>
      <c r="R310" s="50"/>
      <c r="S310" s="85">
        <f t="shared" si="244"/>
        <v>0</v>
      </c>
      <c r="T310" s="82" t="str">
        <f t="shared" si="190"/>
        <v/>
      </c>
      <c r="U310" s="50"/>
      <c r="V310" s="85">
        <f t="shared" si="245"/>
        <v>0</v>
      </c>
      <c r="W310" s="82" t="str">
        <f t="shared" si="191"/>
        <v/>
      </c>
      <c r="X310" s="50"/>
      <c r="Y310" s="85">
        <f t="shared" si="246"/>
        <v>0</v>
      </c>
      <c r="Z310" s="82" t="str">
        <f t="shared" si="192"/>
        <v/>
      </c>
      <c r="AA310" s="50"/>
      <c r="AB310" s="85">
        <f t="shared" si="247"/>
        <v>0</v>
      </c>
      <c r="AC310" s="82" t="str">
        <f t="shared" si="193"/>
        <v/>
      </c>
      <c r="AD310" s="50"/>
      <c r="AE310" s="85">
        <f t="shared" si="248"/>
        <v>0</v>
      </c>
      <c r="AF310" s="82" t="str">
        <f t="shared" si="194"/>
        <v/>
      </c>
      <c r="AG310" s="50"/>
      <c r="AH310" s="85">
        <f t="shared" si="249"/>
        <v>0</v>
      </c>
      <c r="AI310" s="82" t="str">
        <f t="shared" si="195"/>
        <v/>
      </c>
      <c r="AJ310" s="50"/>
      <c r="AK310" s="85">
        <f t="shared" si="250"/>
        <v>0</v>
      </c>
      <c r="AL310" s="82" t="str">
        <f t="shared" si="196"/>
        <v/>
      </c>
      <c r="AM310" s="50"/>
      <c r="AN310" s="85">
        <f t="shared" si="251"/>
        <v>0</v>
      </c>
      <c r="AO310" s="82" t="str">
        <f t="shared" si="197"/>
        <v/>
      </c>
      <c r="AP310" s="48">
        <f t="shared" si="185"/>
        <v>0</v>
      </c>
      <c r="AQ310" s="85">
        <f t="shared" si="252"/>
        <v>0</v>
      </c>
      <c r="AR310" s="82" t="str">
        <f t="shared" si="198"/>
        <v/>
      </c>
      <c r="AS310" s="48">
        <f t="shared" si="186"/>
        <v>2</v>
      </c>
      <c r="AT310" s="85">
        <f t="shared" si="253"/>
        <v>189.84</v>
      </c>
      <c r="AU310" s="82">
        <f t="shared" si="199"/>
        <v>1</v>
      </c>
    </row>
    <row r="311" spans="1:47" s="161" customFormat="1">
      <c r="A311" s="94"/>
      <c r="B311" s="116" t="s">
        <v>1238</v>
      </c>
      <c r="C311" s="1945" t="s">
        <v>1239</v>
      </c>
      <c r="D311" s="1946"/>
      <c r="E311" s="1946"/>
      <c r="F311" s="1946"/>
      <c r="G311" s="1947"/>
      <c r="H311" s="159">
        <f>H312+H313</f>
        <v>10174.419999999998</v>
      </c>
      <c r="I311" s="50">
        <f t="shared" si="214"/>
        <v>0</v>
      </c>
      <c r="J311" s="159">
        <f>J312+J313</f>
        <v>0</v>
      </c>
      <c r="K311" s="102">
        <f>J311/$H311</f>
        <v>0</v>
      </c>
      <c r="L311" s="101"/>
      <c r="M311" s="159">
        <f>M312+M313</f>
        <v>0</v>
      </c>
      <c r="N311" s="102">
        <f>M311/$H311</f>
        <v>0</v>
      </c>
      <c r="O311" s="101"/>
      <c r="P311" s="159">
        <f>P312+P313</f>
        <v>0</v>
      </c>
      <c r="Q311" s="102">
        <f>P311/$H311</f>
        <v>0</v>
      </c>
      <c r="R311" s="101"/>
      <c r="S311" s="159">
        <f>S312+S313</f>
        <v>0</v>
      </c>
      <c r="T311" s="102">
        <f>S311/$H311</f>
        <v>0</v>
      </c>
      <c r="U311" s="101"/>
      <c r="V311" s="159">
        <f>V312+V313</f>
        <v>0</v>
      </c>
      <c r="W311" s="102">
        <f>V311/$H311</f>
        <v>0</v>
      </c>
      <c r="X311" s="101"/>
      <c r="Y311" s="159">
        <f>Y312+Y313</f>
        <v>0</v>
      </c>
      <c r="Z311" s="102">
        <f>Y311/$H311</f>
        <v>0</v>
      </c>
      <c r="AA311" s="101"/>
      <c r="AB311" s="159">
        <f>AB312+AB313</f>
        <v>0</v>
      </c>
      <c r="AC311" s="102">
        <f>AB311/$H311</f>
        <v>0</v>
      </c>
      <c r="AD311" s="101"/>
      <c r="AE311" s="159">
        <f>AE312+AE313</f>
        <v>0</v>
      </c>
      <c r="AF311" s="102">
        <f>AE311/$H311</f>
        <v>0</v>
      </c>
      <c r="AG311" s="101"/>
      <c r="AH311" s="159">
        <f>AH312+AH313</f>
        <v>0</v>
      </c>
      <c r="AI311" s="102">
        <f>AH311/$H311</f>
        <v>0</v>
      </c>
      <c r="AJ311" s="101"/>
      <c r="AK311" s="159">
        <f>AK312+AK313</f>
        <v>0</v>
      </c>
      <c r="AL311" s="102">
        <f>AK311/$H311</f>
        <v>0</v>
      </c>
      <c r="AM311" s="101"/>
      <c r="AN311" s="159">
        <f>AN312+AN313</f>
        <v>0</v>
      </c>
      <c r="AO311" s="102">
        <f>AN311/$H311</f>
        <v>0</v>
      </c>
      <c r="AP311" s="160">
        <f t="shared" si="185"/>
        <v>0</v>
      </c>
      <c r="AQ311" s="159">
        <f>AQ312+AQ313</f>
        <v>0</v>
      </c>
      <c r="AR311" s="102">
        <f>AQ311/$H311</f>
        <v>0</v>
      </c>
      <c r="AS311" s="160">
        <f t="shared" si="186"/>
        <v>0</v>
      </c>
      <c r="AT311" s="159">
        <f>AT312+AT313</f>
        <v>10174.419999999998</v>
      </c>
      <c r="AU311" s="102">
        <f>AT311/$H311</f>
        <v>1</v>
      </c>
    </row>
    <row r="312" spans="1:47" ht="30">
      <c r="A312" s="16"/>
      <c r="B312" s="97" t="s">
        <v>1240</v>
      </c>
      <c r="C312" s="167" t="s">
        <v>1241</v>
      </c>
      <c r="D312" s="86" t="s">
        <v>1242</v>
      </c>
      <c r="E312" s="97" t="s">
        <v>28</v>
      </c>
      <c r="F312" s="141">
        <v>126.46</v>
      </c>
      <c r="G312" s="97">
        <v>1</v>
      </c>
      <c r="H312" s="85">
        <f t="shared" si="200"/>
        <v>126.46</v>
      </c>
      <c r="I312" s="50">
        <f t="shared" si="214"/>
        <v>0</v>
      </c>
      <c r="J312" s="85">
        <f>I312*$F312</f>
        <v>0</v>
      </c>
      <c r="K312" s="82" t="str">
        <f t="shared" si="187"/>
        <v/>
      </c>
      <c r="L312" s="50"/>
      <c r="M312" s="85">
        <f>L312*$F312</f>
        <v>0</v>
      </c>
      <c r="N312" s="82" t="str">
        <f t="shared" si="188"/>
        <v/>
      </c>
      <c r="O312" s="50"/>
      <c r="P312" s="85">
        <f>O312*$F312</f>
        <v>0</v>
      </c>
      <c r="Q312" s="82" t="str">
        <f t="shared" si="189"/>
        <v/>
      </c>
      <c r="R312" s="50"/>
      <c r="S312" s="85">
        <f>R312*$F312</f>
        <v>0</v>
      </c>
      <c r="T312" s="82" t="str">
        <f t="shared" si="190"/>
        <v/>
      </c>
      <c r="U312" s="50"/>
      <c r="V312" s="85">
        <f>U312*$F312</f>
        <v>0</v>
      </c>
      <c r="W312" s="82" t="str">
        <f t="shared" si="191"/>
        <v/>
      </c>
      <c r="X312" s="50"/>
      <c r="Y312" s="85">
        <f>X312*$F312</f>
        <v>0</v>
      </c>
      <c r="Z312" s="82" t="str">
        <f t="shared" si="192"/>
        <v/>
      </c>
      <c r="AA312" s="50"/>
      <c r="AB312" s="85">
        <f>AA312*$F312</f>
        <v>0</v>
      </c>
      <c r="AC312" s="82" t="str">
        <f t="shared" si="193"/>
        <v/>
      </c>
      <c r="AD312" s="50"/>
      <c r="AE312" s="85">
        <f>AD312*$F312</f>
        <v>0</v>
      </c>
      <c r="AF312" s="82" t="str">
        <f t="shared" si="194"/>
        <v/>
      </c>
      <c r="AG312" s="50"/>
      <c r="AH312" s="85">
        <f>AG312*$F312</f>
        <v>0</v>
      </c>
      <c r="AI312" s="82" t="str">
        <f t="shared" si="195"/>
        <v/>
      </c>
      <c r="AJ312" s="50"/>
      <c r="AK312" s="85">
        <f>AJ312*$F312</f>
        <v>0</v>
      </c>
      <c r="AL312" s="82" t="str">
        <f t="shared" si="196"/>
        <v/>
      </c>
      <c r="AM312" s="50"/>
      <c r="AN312" s="85">
        <f>AM312*$F312</f>
        <v>0</v>
      </c>
      <c r="AO312" s="82" t="str">
        <f t="shared" si="197"/>
        <v/>
      </c>
      <c r="AP312" s="48">
        <f t="shared" si="185"/>
        <v>0</v>
      </c>
      <c r="AQ312" s="85">
        <f>AP312*$F312</f>
        <v>0</v>
      </c>
      <c r="AR312" s="82" t="str">
        <f t="shared" si="198"/>
        <v/>
      </c>
      <c r="AS312" s="48">
        <f t="shared" si="186"/>
        <v>1</v>
      </c>
      <c r="AT312" s="85">
        <f>AS312*$F312</f>
        <v>126.46</v>
      </c>
      <c r="AU312" s="82">
        <f t="shared" si="199"/>
        <v>1</v>
      </c>
    </row>
    <row r="313" spans="1:47" ht="60">
      <c r="A313" s="16"/>
      <c r="B313" s="97" t="s">
        <v>1243</v>
      </c>
      <c r="C313" s="167" t="s">
        <v>1244</v>
      </c>
      <c r="D313" s="86" t="s">
        <v>1245</v>
      </c>
      <c r="E313" s="97" t="s">
        <v>28</v>
      </c>
      <c r="F313" s="141">
        <v>5023.9799999999996</v>
      </c>
      <c r="G313" s="97">
        <v>2</v>
      </c>
      <c r="H313" s="85">
        <f t="shared" si="200"/>
        <v>10047.959999999999</v>
      </c>
      <c r="I313" s="50">
        <f t="shared" si="214"/>
        <v>0</v>
      </c>
      <c r="J313" s="85">
        <f>I313*$F313</f>
        <v>0</v>
      </c>
      <c r="K313" s="82" t="str">
        <f t="shared" si="187"/>
        <v/>
      </c>
      <c r="L313" s="50"/>
      <c r="M313" s="85">
        <f>L313*$F313</f>
        <v>0</v>
      </c>
      <c r="N313" s="82" t="str">
        <f t="shared" si="188"/>
        <v/>
      </c>
      <c r="O313" s="50"/>
      <c r="P313" s="85">
        <f>O313*$F313</f>
        <v>0</v>
      </c>
      <c r="Q313" s="82" t="str">
        <f t="shared" si="189"/>
        <v/>
      </c>
      <c r="R313" s="50"/>
      <c r="S313" s="85">
        <f>R313*$F313</f>
        <v>0</v>
      </c>
      <c r="T313" s="82" t="str">
        <f t="shared" si="190"/>
        <v/>
      </c>
      <c r="U313" s="50"/>
      <c r="V313" s="85">
        <f>U313*$F313</f>
        <v>0</v>
      </c>
      <c r="W313" s="82" t="str">
        <f t="shared" si="191"/>
        <v/>
      </c>
      <c r="X313" s="50"/>
      <c r="Y313" s="85">
        <f>X313*$F313</f>
        <v>0</v>
      </c>
      <c r="Z313" s="82" t="str">
        <f t="shared" si="192"/>
        <v/>
      </c>
      <c r="AA313" s="50"/>
      <c r="AB313" s="85">
        <f>AA313*$F313</f>
        <v>0</v>
      </c>
      <c r="AC313" s="82" t="str">
        <f t="shared" si="193"/>
        <v/>
      </c>
      <c r="AD313" s="50"/>
      <c r="AE313" s="85">
        <f>AD313*$F313</f>
        <v>0</v>
      </c>
      <c r="AF313" s="82" t="str">
        <f t="shared" si="194"/>
        <v/>
      </c>
      <c r="AG313" s="50"/>
      <c r="AH313" s="85">
        <f>AG313*$F313</f>
        <v>0</v>
      </c>
      <c r="AI313" s="82" t="str">
        <f t="shared" si="195"/>
        <v/>
      </c>
      <c r="AJ313" s="50"/>
      <c r="AK313" s="85">
        <f>AJ313*$F313</f>
        <v>0</v>
      </c>
      <c r="AL313" s="82" t="str">
        <f t="shared" si="196"/>
        <v/>
      </c>
      <c r="AM313" s="50"/>
      <c r="AN313" s="85">
        <f>AM313*$F313</f>
        <v>0</v>
      </c>
      <c r="AO313" s="82" t="str">
        <f t="shared" si="197"/>
        <v/>
      </c>
      <c r="AP313" s="48">
        <f t="shared" si="185"/>
        <v>0</v>
      </c>
      <c r="AQ313" s="85">
        <f>AP313*$F313</f>
        <v>0</v>
      </c>
      <c r="AR313" s="82" t="str">
        <f t="shared" si="198"/>
        <v/>
      </c>
      <c r="AS313" s="48">
        <f t="shared" si="186"/>
        <v>2</v>
      </c>
      <c r="AT313" s="85">
        <f>AS313*$F313</f>
        <v>10047.959999999999</v>
      </c>
      <c r="AU313" s="82">
        <f t="shared" si="199"/>
        <v>1</v>
      </c>
    </row>
    <row r="314" spans="1:47" s="161" customFormat="1" ht="30" customHeight="1">
      <c r="A314" s="94"/>
      <c r="B314" s="116" t="s">
        <v>1246</v>
      </c>
      <c r="C314" s="1945" t="s">
        <v>1247</v>
      </c>
      <c r="D314" s="1946"/>
      <c r="E314" s="1946"/>
      <c r="F314" s="1946"/>
      <c r="G314" s="1947"/>
      <c r="H314" s="159">
        <f>SUM(H315:H318)</f>
        <v>34138.042000000001</v>
      </c>
      <c r="I314" s="50">
        <f t="shared" si="214"/>
        <v>0</v>
      </c>
      <c r="J314" s="159">
        <f>SUM(J315:J318)</f>
        <v>0</v>
      </c>
      <c r="K314" s="102">
        <f>J314/$H314</f>
        <v>0</v>
      </c>
      <c r="L314" s="101"/>
      <c r="M314" s="159">
        <f>SUM(M315:M318)</f>
        <v>0</v>
      </c>
      <c r="N314" s="102">
        <f>M314/$H314</f>
        <v>0</v>
      </c>
      <c r="O314" s="101"/>
      <c r="P314" s="159">
        <f>SUM(P315:P318)</f>
        <v>0</v>
      </c>
      <c r="Q314" s="102">
        <f>P314/$H314</f>
        <v>0</v>
      </c>
      <c r="R314" s="101"/>
      <c r="S314" s="159">
        <f>SUM(S315:S318)</f>
        <v>0</v>
      </c>
      <c r="T314" s="102">
        <f>S314/$H314</f>
        <v>0</v>
      </c>
      <c r="U314" s="101"/>
      <c r="V314" s="159">
        <f>SUM(V315:V318)</f>
        <v>0</v>
      </c>
      <c r="W314" s="102">
        <f>V314/$H314</f>
        <v>0</v>
      </c>
      <c r="X314" s="101"/>
      <c r="Y314" s="159">
        <f>SUM(Y315:Y318)</f>
        <v>0</v>
      </c>
      <c r="Z314" s="102">
        <f>Y314/$H314</f>
        <v>0</v>
      </c>
      <c r="AA314" s="101"/>
      <c r="AB314" s="159">
        <f>SUM(AB315:AB318)</f>
        <v>0</v>
      </c>
      <c r="AC314" s="102">
        <f>AB314/$H314</f>
        <v>0</v>
      </c>
      <c r="AD314" s="101"/>
      <c r="AE314" s="159">
        <f>SUM(AE315:AE318)</f>
        <v>0</v>
      </c>
      <c r="AF314" s="102">
        <f>AE314/$H314</f>
        <v>0</v>
      </c>
      <c r="AG314" s="101"/>
      <c r="AH314" s="159">
        <f>SUM(AH315:AH318)</f>
        <v>0</v>
      </c>
      <c r="AI314" s="102">
        <f>AH314/$H314</f>
        <v>0</v>
      </c>
      <c r="AJ314" s="101"/>
      <c r="AK314" s="159">
        <f>SUM(AK315:AK318)</f>
        <v>0</v>
      </c>
      <c r="AL314" s="102">
        <f>AK314/$H314</f>
        <v>0</v>
      </c>
      <c r="AM314" s="101"/>
      <c r="AN314" s="159">
        <f>SUM(AN315:AN318)</f>
        <v>0</v>
      </c>
      <c r="AO314" s="102">
        <f>AN314/$H314</f>
        <v>0</v>
      </c>
      <c r="AP314" s="160">
        <f t="shared" si="185"/>
        <v>0</v>
      </c>
      <c r="AQ314" s="159">
        <f>SUM(AQ315:AQ318)</f>
        <v>0</v>
      </c>
      <c r="AR314" s="102">
        <f>AQ314/$H314</f>
        <v>0</v>
      </c>
      <c r="AS314" s="160">
        <f t="shared" si="186"/>
        <v>0</v>
      </c>
      <c r="AT314" s="159">
        <f>SUM(AT315:AT318)</f>
        <v>34138.042000000001</v>
      </c>
      <c r="AU314" s="102">
        <f>AT314/$H314</f>
        <v>1</v>
      </c>
    </row>
    <row r="315" spans="1:47" ht="30">
      <c r="A315" s="16"/>
      <c r="B315" s="97" t="s">
        <v>1248</v>
      </c>
      <c r="C315" s="167" t="s">
        <v>194</v>
      </c>
      <c r="D315" s="86" t="s">
        <v>195</v>
      </c>
      <c r="E315" s="97" t="s">
        <v>44</v>
      </c>
      <c r="F315" s="172">
        <v>28.7</v>
      </c>
      <c r="G315" s="97">
        <v>107.1</v>
      </c>
      <c r="H315" s="85">
        <f t="shared" si="200"/>
        <v>3073.77</v>
      </c>
      <c r="I315" s="50">
        <f t="shared" si="214"/>
        <v>0</v>
      </c>
      <c r="J315" s="85">
        <f>I315*$F315</f>
        <v>0</v>
      </c>
      <c r="K315" s="82" t="str">
        <f t="shared" si="187"/>
        <v/>
      </c>
      <c r="L315" s="50"/>
      <c r="M315" s="85">
        <f>L315*$F315</f>
        <v>0</v>
      </c>
      <c r="N315" s="82" t="str">
        <f t="shared" si="188"/>
        <v/>
      </c>
      <c r="O315" s="50"/>
      <c r="P315" s="85">
        <f>O315*$F315</f>
        <v>0</v>
      </c>
      <c r="Q315" s="82" t="str">
        <f t="shared" si="189"/>
        <v/>
      </c>
      <c r="R315" s="50"/>
      <c r="S315" s="85">
        <f>R315*$F315</f>
        <v>0</v>
      </c>
      <c r="T315" s="82" t="str">
        <f t="shared" si="190"/>
        <v/>
      </c>
      <c r="U315" s="50"/>
      <c r="V315" s="85">
        <f>U315*$F315</f>
        <v>0</v>
      </c>
      <c r="W315" s="82" t="str">
        <f t="shared" si="191"/>
        <v/>
      </c>
      <c r="X315" s="50"/>
      <c r="Y315" s="85">
        <f>X315*$F315</f>
        <v>0</v>
      </c>
      <c r="Z315" s="82" t="str">
        <f t="shared" si="192"/>
        <v/>
      </c>
      <c r="AA315" s="50"/>
      <c r="AB315" s="85">
        <f>AA315*$F315</f>
        <v>0</v>
      </c>
      <c r="AC315" s="82" t="str">
        <f t="shared" si="193"/>
        <v/>
      </c>
      <c r="AD315" s="50"/>
      <c r="AE315" s="85">
        <f>AD315*$F315</f>
        <v>0</v>
      </c>
      <c r="AF315" s="82" t="str">
        <f t="shared" si="194"/>
        <v/>
      </c>
      <c r="AG315" s="50"/>
      <c r="AH315" s="85">
        <f>AG315*$F315</f>
        <v>0</v>
      </c>
      <c r="AI315" s="82" t="str">
        <f t="shared" si="195"/>
        <v/>
      </c>
      <c r="AJ315" s="50"/>
      <c r="AK315" s="85">
        <f>AJ315*$F315</f>
        <v>0</v>
      </c>
      <c r="AL315" s="82" t="str">
        <f t="shared" si="196"/>
        <v/>
      </c>
      <c r="AM315" s="50"/>
      <c r="AN315" s="85">
        <f>AM315*$F315</f>
        <v>0</v>
      </c>
      <c r="AO315" s="82" t="str">
        <f t="shared" si="197"/>
        <v/>
      </c>
      <c r="AP315" s="48">
        <f t="shared" si="185"/>
        <v>0</v>
      </c>
      <c r="AQ315" s="85">
        <f>AP315*$F315</f>
        <v>0</v>
      </c>
      <c r="AR315" s="82" t="str">
        <f t="shared" si="198"/>
        <v/>
      </c>
      <c r="AS315" s="48">
        <f t="shared" si="186"/>
        <v>107.1</v>
      </c>
      <c r="AT315" s="85">
        <f>AS315*$F315</f>
        <v>3073.77</v>
      </c>
      <c r="AU315" s="82">
        <f t="shared" si="199"/>
        <v>1</v>
      </c>
    </row>
    <row r="316" spans="1:47" ht="45">
      <c r="A316" s="16"/>
      <c r="B316" s="97" t="s">
        <v>1249</v>
      </c>
      <c r="C316" s="167" t="s">
        <v>203</v>
      </c>
      <c r="D316" s="86" t="s">
        <v>204</v>
      </c>
      <c r="E316" s="97" t="s">
        <v>44</v>
      </c>
      <c r="F316" s="172">
        <v>40.28</v>
      </c>
      <c r="G316" s="97">
        <v>159.19999999999999</v>
      </c>
      <c r="H316" s="85">
        <f t="shared" si="200"/>
        <v>6412.576</v>
      </c>
      <c r="I316" s="50">
        <f t="shared" si="214"/>
        <v>0</v>
      </c>
      <c r="J316" s="85">
        <f>I316*$F316</f>
        <v>0</v>
      </c>
      <c r="K316" s="82" t="str">
        <f t="shared" si="187"/>
        <v/>
      </c>
      <c r="L316" s="50"/>
      <c r="M316" s="85">
        <f>L316*$F316</f>
        <v>0</v>
      </c>
      <c r="N316" s="82" t="str">
        <f t="shared" si="188"/>
        <v/>
      </c>
      <c r="O316" s="50"/>
      <c r="P316" s="85">
        <f>O316*$F316</f>
        <v>0</v>
      </c>
      <c r="Q316" s="82" t="str">
        <f t="shared" si="189"/>
        <v/>
      </c>
      <c r="R316" s="50"/>
      <c r="S316" s="85">
        <f>R316*$F316</f>
        <v>0</v>
      </c>
      <c r="T316" s="82" t="str">
        <f t="shared" si="190"/>
        <v/>
      </c>
      <c r="U316" s="50"/>
      <c r="V316" s="85">
        <f>U316*$F316</f>
        <v>0</v>
      </c>
      <c r="W316" s="82" t="str">
        <f t="shared" si="191"/>
        <v/>
      </c>
      <c r="X316" s="50"/>
      <c r="Y316" s="85">
        <f>X316*$F316</f>
        <v>0</v>
      </c>
      <c r="Z316" s="82" t="str">
        <f t="shared" si="192"/>
        <v/>
      </c>
      <c r="AA316" s="50"/>
      <c r="AB316" s="85">
        <f>AA316*$F316</f>
        <v>0</v>
      </c>
      <c r="AC316" s="82" t="str">
        <f t="shared" si="193"/>
        <v/>
      </c>
      <c r="AD316" s="50"/>
      <c r="AE316" s="85">
        <f>AD316*$F316</f>
        <v>0</v>
      </c>
      <c r="AF316" s="82" t="str">
        <f t="shared" si="194"/>
        <v/>
      </c>
      <c r="AG316" s="50"/>
      <c r="AH316" s="85">
        <f>AG316*$F316</f>
        <v>0</v>
      </c>
      <c r="AI316" s="82" t="str">
        <f t="shared" si="195"/>
        <v/>
      </c>
      <c r="AJ316" s="50"/>
      <c r="AK316" s="85">
        <f>AJ316*$F316</f>
        <v>0</v>
      </c>
      <c r="AL316" s="82" t="str">
        <f t="shared" si="196"/>
        <v/>
      </c>
      <c r="AM316" s="50"/>
      <c r="AN316" s="85">
        <f>AM316*$F316</f>
        <v>0</v>
      </c>
      <c r="AO316" s="82" t="str">
        <f t="shared" si="197"/>
        <v/>
      </c>
      <c r="AP316" s="48">
        <f t="shared" si="185"/>
        <v>0</v>
      </c>
      <c r="AQ316" s="85">
        <f>AP316*$F316</f>
        <v>0</v>
      </c>
      <c r="AR316" s="82" t="str">
        <f t="shared" si="198"/>
        <v/>
      </c>
      <c r="AS316" s="48">
        <f t="shared" si="186"/>
        <v>159.19999999999999</v>
      </c>
      <c r="AT316" s="85">
        <f>AS316*$F316</f>
        <v>6412.576</v>
      </c>
      <c r="AU316" s="82">
        <f t="shared" si="199"/>
        <v>1</v>
      </c>
    </row>
    <row r="317" spans="1:47" ht="60">
      <c r="A317" s="16"/>
      <c r="B317" s="97" t="s">
        <v>1250</v>
      </c>
      <c r="C317" s="167" t="s">
        <v>1251</v>
      </c>
      <c r="D317" s="86" t="s">
        <v>1252</v>
      </c>
      <c r="E317" s="97" t="s">
        <v>44</v>
      </c>
      <c r="F317" s="172">
        <v>95.96</v>
      </c>
      <c r="G317" s="97">
        <v>107.1</v>
      </c>
      <c r="H317" s="85">
        <f t="shared" si="200"/>
        <v>10277.315999999999</v>
      </c>
      <c r="I317" s="50">
        <f t="shared" si="214"/>
        <v>0</v>
      </c>
      <c r="J317" s="85">
        <f>I317*$F317</f>
        <v>0</v>
      </c>
      <c r="K317" s="82" t="str">
        <f t="shared" si="187"/>
        <v/>
      </c>
      <c r="L317" s="50"/>
      <c r="M317" s="85">
        <f>L317*$F317</f>
        <v>0</v>
      </c>
      <c r="N317" s="82" t="str">
        <f t="shared" si="188"/>
        <v/>
      </c>
      <c r="O317" s="50"/>
      <c r="P317" s="85">
        <f>O317*$F317</f>
        <v>0</v>
      </c>
      <c r="Q317" s="82" t="str">
        <f t="shared" si="189"/>
        <v/>
      </c>
      <c r="R317" s="50"/>
      <c r="S317" s="85">
        <f>R317*$F317</f>
        <v>0</v>
      </c>
      <c r="T317" s="82" t="str">
        <f t="shared" si="190"/>
        <v/>
      </c>
      <c r="U317" s="50"/>
      <c r="V317" s="85">
        <f>U317*$F317</f>
        <v>0</v>
      </c>
      <c r="W317" s="82" t="str">
        <f t="shared" si="191"/>
        <v/>
      </c>
      <c r="X317" s="50"/>
      <c r="Y317" s="85">
        <f>X317*$F317</f>
        <v>0</v>
      </c>
      <c r="Z317" s="82" t="str">
        <f t="shared" si="192"/>
        <v/>
      </c>
      <c r="AA317" s="50"/>
      <c r="AB317" s="85">
        <f>AA317*$F317</f>
        <v>0</v>
      </c>
      <c r="AC317" s="82" t="str">
        <f t="shared" si="193"/>
        <v/>
      </c>
      <c r="AD317" s="50"/>
      <c r="AE317" s="85">
        <f>AD317*$F317</f>
        <v>0</v>
      </c>
      <c r="AF317" s="82" t="str">
        <f t="shared" si="194"/>
        <v/>
      </c>
      <c r="AG317" s="50"/>
      <c r="AH317" s="85">
        <f>AG317*$F317</f>
        <v>0</v>
      </c>
      <c r="AI317" s="82" t="str">
        <f t="shared" si="195"/>
        <v/>
      </c>
      <c r="AJ317" s="50"/>
      <c r="AK317" s="85">
        <f>AJ317*$F317</f>
        <v>0</v>
      </c>
      <c r="AL317" s="82" t="str">
        <f t="shared" si="196"/>
        <v/>
      </c>
      <c r="AM317" s="50"/>
      <c r="AN317" s="85">
        <f>AM317*$F317</f>
        <v>0</v>
      </c>
      <c r="AO317" s="82" t="str">
        <f t="shared" si="197"/>
        <v/>
      </c>
      <c r="AP317" s="48">
        <f t="shared" si="185"/>
        <v>0</v>
      </c>
      <c r="AQ317" s="85">
        <f>AP317*$F317</f>
        <v>0</v>
      </c>
      <c r="AR317" s="82" t="str">
        <f t="shared" si="198"/>
        <v/>
      </c>
      <c r="AS317" s="48">
        <f t="shared" si="186"/>
        <v>107.1</v>
      </c>
      <c r="AT317" s="85">
        <f>AS317*$F317</f>
        <v>10277.315999999999</v>
      </c>
      <c r="AU317" s="82">
        <f t="shared" si="199"/>
        <v>1</v>
      </c>
    </row>
    <row r="318" spans="1:47" ht="60">
      <c r="A318" s="16"/>
      <c r="B318" s="97" t="s">
        <v>1253</v>
      </c>
      <c r="C318" s="167" t="s">
        <v>1254</v>
      </c>
      <c r="D318" s="86" t="s">
        <v>1255</v>
      </c>
      <c r="E318" s="97" t="s">
        <v>44</v>
      </c>
      <c r="F318" s="172">
        <v>134.34</v>
      </c>
      <c r="G318" s="97">
        <v>107</v>
      </c>
      <c r="H318" s="85">
        <f t="shared" si="200"/>
        <v>14374.380000000001</v>
      </c>
      <c r="I318" s="50">
        <f t="shared" si="214"/>
        <v>0</v>
      </c>
      <c r="J318" s="85">
        <f>I318*$F318</f>
        <v>0</v>
      </c>
      <c r="K318" s="82" t="str">
        <f t="shared" si="187"/>
        <v/>
      </c>
      <c r="L318" s="50"/>
      <c r="M318" s="85">
        <f>L318*$F318</f>
        <v>0</v>
      </c>
      <c r="N318" s="82" t="str">
        <f t="shared" si="188"/>
        <v/>
      </c>
      <c r="O318" s="50"/>
      <c r="P318" s="85">
        <f>O318*$F318</f>
        <v>0</v>
      </c>
      <c r="Q318" s="82" t="str">
        <f t="shared" si="189"/>
        <v/>
      </c>
      <c r="R318" s="50"/>
      <c r="S318" s="85">
        <f>R318*$F318</f>
        <v>0</v>
      </c>
      <c r="T318" s="82" t="str">
        <f t="shared" si="190"/>
        <v/>
      </c>
      <c r="U318" s="50"/>
      <c r="V318" s="85">
        <f>U318*$F318</f>
        <v>0</v>
      </c>
      <c r="W318" s="82" t="str">
        <f t="shared" si="191"/>
        <v/>
      </c>
      <c r="X318" s="50"/>
      <c r="Y318" s="85">
        <f>X318*$F318</f>
        <v>0</v>
      </c>
      <c r="Z318" s="82" t="str">
        <f t="shared" si="192"/>
        <v/>
      </c>
      <c r="AA318" s="50"/>
      <c r="AB318" s="85">
        <f>AA318*$F318</f>
        <v>0</v>
      </c>
      <c r="AC318" s="82" t="str">
        <f t="shared" si="193"/>
        <v/>
      </c>
      <c r="AD318" s="50"/>
      <c r="AE318" s="85">
        <f>AD318*$F318</f>
        <v>0</v>
      </c>
      <c r="AF318" s="82" t="str">
        <f t="shared" si="194"/>
        <v/>
      </c>
      <c r="AG318" s="50"/>
      <c r="AH318" s="85">
        <f>AG318*$F318</f>
        <v>0</v>
      </c>
      <c r="AI318" s="82" t="str">
        <f t="shared" si="195"/>
        <v/>
      </c>
      <c r="AJ318" s="50"/>
      <c r="AK318" s="85">
        <f>AJ318*$F318</f>
        <v>0</v>
      </c>
      <c r="AL318" s="82" t="str">
        <f t="shared" si="196"/>
        <v/>
      </c>
      <c r="AM318" s="50"/>
      <c r="AN318" s="85">
        <f>AM318*$F318</f>
        <v>0</v>
      </c>
      <c r="AO318" s="82" t="str">
        <f t="shared" si="197"/>
        <v/>
      </c>
      <c r="AP318" s="48">
        <f t="shared" si="185"/>
        <v>0</v>
      </c>
      <c r="AQ318" s="85">
        <f>AP318*$F318</f>
        <v>0</v>
      </c>
      <c r="AR318" s="82" t="str">
        <f t="shared" si="198"/>
        <v/>
      </c>
      <c r="AS318" s="48">
        <f t="shared" si="186"/>
        <v>107</v>
      </c>
      <c r="AT318" s="85">
        <f>AS318*$F318</f>
        <v>14374.380000000001</v>
      </c>
      <c r="AU318" s="82">
        <f t="shared" si="199"/>
        <v>1</v>
      </c>
    </row>
    <row r="319" spans="1:47" s="161" customFormat="1" ht="45" customHeight="1">
      <c r="A319" s="94"/>
      <c r="B319" s="116" t="s">
        <v>1256</v>
      </c>
      <c r="C319" s="1945" t="s">
        <v>1257</v>
      </c>
      <c r="D319" s="1946"/>
      <c r="E319" s="1946"/>
      <c r="F319" s="1946"/>
      <c r="G319" s="1947"/>
      <c r="H319" s="159">
        <f>SUM(H320:H325)</f>
        <v>5458.0434999999998</v>
      </c>
      <c r="I319" s="50">
        <f t="shared" si="214"/>
        <v>0</v>
      </c>
      <c r="J319" s="159">
        <f>SUM(J320:J325)</f>
        <v>0</v>
      </c>
      <c r="K319" s="102">
        <f>J319/$H319</f>
        <v>0</v>
      </c>
      <c r="L319" s="101"/>
      <c r="M319" s="159">
        <f>SUM(M320:M325)</f>
        <v>0</v>
      </c>
      <c r="N319" s="102">
        <f>M319/$H319</f>
        <v>0</v>
      </c>
      <c r="O319" s="101"/>
      <c r="P319" s="159">
        <f>SUM(P320:P325)</f>
        <v>0</v>
      </c>
      <c r="Q319" s="102">
        <f>P319/$H319</f>
        <v>0</v>
      </c>
      <c r="R319" s="101"/>
      <c r="S319" s="159">
        <f>SUM(S320:S325)</f>
        <v>0</v>
      </c>
      <c r="T319" s="102">
        <f>S319/$H319</f>
        <v>0</v>
      </c>
      <c r="U319" s="101"/>
      <c r="V319" s="159">
        <f>SUM(V320:V325)</f>
        <v>0</v>
      </c>
      <c r="W319" s="102">
        <f>V319/$H319</f>
        <v>0</v>
      </c>
      <c r="X319" s="101"/>
      <c r="Y319" s="159">
        <f>SUM(Y320:Y325)</f>
        <v>0</v>
      </c>
      <c r="Z319" s="102">
        <f>Y319/$H319</f>
        <v>0</v>
      </c>
      <c r="AA319" s="101"/>
      <c r="AB319" s="159">
        <f>SUM(AB320:AB325)</f>
        <v>0</v>
      </c>
      <c r="AC319" s="102">
        <f>AB319/$H319</f>
        <v>0</v>
      </c>
      <c r="AD319" s="101"/>
      <c r="AE319" s="159">
        <f>SUM(AE320:AE325)</f>
        <v>0</v>
      </c>
      <c r="AF319" s="102">
        <f>AE319/$H319</f>
        <v>0</v>
      </c>
      <c r="AG319" s="101"/>
      <c r="AH319" s="159">
        <f>SUM(AH320:AH325)</f>
        <v>0</v>
      </c>
      <c r="AI319" s="102">
        <f>AH319/$H319</f>
        <v>0</v>
      </c>
      <c r="AJ319" s="101"/>
      <c r="AK319" s="159">
        <f>SUM(AK320:AK325)</f>
        <v>0</v>
      </c>
      <c r="AL319" s="102">
        <f>AK319/$H319</f>
        <v>0</v>
      </c>
      <c r="AM319" s="101"/>
      <c r="AN319" s="159">
        <f>SUM(AN320:AN325)</f>
        <v>0</v>
      </c>
      <c r="AO319" s="102">
        <f>AN319/$H319</f>
        <v>0</v>
      </c>
      <c r="AP319" s="160">
        <f t="shared" si="185"/>
        <v>0</v>
      </c>
      <c r="AQ319" s="159">
        <f>SUM(AQ320:AQ325)</f>
        <v>0</v>
      </c>
      <c r="AR319" s="102">
        <f>AQ319/$H319</f>
        <v>0</v>
      </c>
      <c r="AS319" s="160">
        <f t="shared" si="186"/>
        <v>0</v>
      </c>
      <c r="AT319" s="159">
        <f>SUM(AT320:AT325)</f>
        <v>5458.0434999999998</v>
      </c>
      <c r="AU319" s="102">
        <f>AT319/$H319</f>
        <v>1</v>
      </c>
    </row>
    <row r="320" spans="1:47" ht="45">
      <c r="A320" s="16"/>
      <c r="B320" s="97" t="s">
        <v>1258</v>
      </c>
      <c r="C320" s="167" t="s">
        <v>218</v>
      </c>
      <c r="D320" s="86" t="s">
        <v>219</v>
      </c>
      <c r="E320" s="97" t="s">
        <v>44</v>
      </c>
      <c r="F320" s="172">
        <v>12.56</v>
      </c>
      <c r="G320" s="97">
        <v>43.15</v>
      </c>
      <c r="H320" s="85">
        <f t="shared" si="200"/>
        <v>541.96400000000006</v>
      </c>
      <c r="I320" s="50">
        <f t="shared" si="214"/>
        <v>0</v>
      </c>
      <c r="J320" s="85">
        <f t="shared" ref="J320:J325" si="254">I320*$F320</f>
        <v>0</v>
      </c>
      <c r="K320" s="82" t="str">
        <f t="shared" si="187"/>
        <v/>
      </c>
      <c r="L320" s="50"/>
      <c r="M320" s="85">
        <f t="shared" ref="M320:M325" si="255">L320*$F320</f>
        <v>0</v>
      </c>
      <c r="N320" s="82" t="str">
        <f t="shared" si="188"/>
        <v/>
      </c>
      <c r="O320" s="50"/>
      <c r="P320" s="85">
        <f t="shared" ref="P320:P325" si="256">O320*$F320</f>
        <v>0</v>
      </c>
      <c r="Q320" s="82" t="str">
        <f t="shared" si="189"/>
        <v/>
      </c>
      <c r="R320" s="50"/>
      <c r="S320" s="85">
        <f t="shared" ref="S320:S325" si="257">R320*$F320</f>
        <v>0</v>
      </c>
      <c r="T320" s="82" t="str">
        <f t="shared" si="190"/>
        <v/>
      </c>
      <c r="U320" s="50"/>
      <c r="V320" s="85">
        <f t="shared" ref="V320:V325" si="258">U320*$F320</f>
        <v>0</v>
      </c>
      <c r="W320" s="82" t="str">
        <f t="shared" si="191"/>
        <v/>
      </c>
      <c r="X320" s="50"/>
      <c r="Y320" s="85">
        <f t="shared" ref="Y320:Y325" si="259">X320*$F320</f>
        <v>0</v>
      </c>
      <c r="Z320" s="82" t="str">
        <f t="shared" si="192"/>
        <v/>
      </c>
      <c r="AA320" s="50"/>
      <c r="AB320" s="85">
        <f t="shared" ref="AB320:AB325" si="260">AA320*$F320</f>
        <v>0</v>
      </c>
      <c r="AC320" s="82" t="str">
        <f t="shared" si="193"/>
        <v/>
      </c>
      <c r="AD320" s="50"/>
      <c r="AE320" s="85">
        <f t="shared" ref="AE320:AE325" si="261">AD320*$F320</f>
        <v>0</v>
      </c>
      <c r="AF320" s="82" t="str">
        <f t="shared" si="194"/>
        <v/>
      </c>
      <c r="AG320" s="50"/>
      <c r="AH320" s="85">
        <f t="shared" ref="AH320:AH325" si="262">AG320*$F320</f>
        <v>0</v>
      </c>
      <c r="AI320" s="82" t="str">
        <f t="shared" si="195"/>
        <v/>
      </c>
      <c r="AJ320" s="50"/>
      <c r="AK320" s="85">
        <f t="shared" ref="AK320:AK325" si="263">AJ320*$F320</f>
        <v>0</v>
      </c>
      <c r="AL320" s="82" t="str">
        <f t="shared" si="196"/>
        <v/>
      </c>
      <c r="AM320" s="50"/>
      <c r="AN320" s="85">
        <f t="shared" ref="AN320:AN325" si="264">AM320*$F320</f>
        <v>0</v>
      </c>
      <c r="AO320" s="82" t="str">
        <f t="shared" si="197"/>
        <v/>
      </c>
      <c r="AP320" s="48">
        <f t="shared" si="185"/>
        <v>0</v>
      </c>
      <c r="AQ320" s="85">
        <f t="shared" ref="AQ320:AQ325" si="265">AP320*$F320</f>
        <v>0</v>
      </c>
      <c r="AR320" s="82" t="str">
        <f t="shared" si="198"/>
        <v/>
      </c>
      <c r="AS320" s="48">
        <f t="shared" si="186"/>
        <v>43.15</v>
      </c>
      <c r="AT320" s="85">
        <f t="shared" ref="AT320:AT325" si="266">AS320*$F320</f>
        <v>541.96400000000006</v>
      </c>
      <c r="AU320" s="82">
        <f t="shared" si="199"/>
        <v>1</v>
      </c>
    </row>
    <row r="321" spans="1:56" ht="45">
      <c r="A321" s="16"/>
      <c r="B321" s="97" t="s">
        <v>1259</v>
      </c>
      <c r="C321" s="167" t="s">
        <v>230</v>
      </c>
      <c r="D321" s="86" t="s">
        <v>231</v>
      </c>
      <c r="E321" s="97" t="s">
        <v>44</v>
      </c>
      <c r="F321" s="172">
        <v>36.479999999999997</v>
      </c>
      <c r="G321" s="97">
        <v>92.8</v>
      </c>
      <c r="H321" s="85">
        <f t="shared" si="200"/>
        <v>3385.3439999999996</v>
      </c>
      <c r="I321" s="50">
        <f t="shared" si="214"/>
        <v>0</v>
      </c>
      <c r="J321" s="85">
        <f t="shared" si="254"/>
        <v>0</v>
      </c>
      <c r="K321" s="82" t="str">
        <f t="shared" si="187"/>
        <v/>
      </c>
      <c r="L321" s="50"/>
      <c r="M321" s="85">
        <f t="shared" si="255"/>
        <v>0</v>
      </c>
      <c r="N321" s="82" t="str">
        <f t="shared" si="188"/>
        <v/>
      </c>
      <c r="O321" s="50"/>
      <c r="P321" s="85">
        <f t="shared" si="256"/>
        <v>0</v>
      </c>
      <c r="Q321" s="82" t="str">
        <f t="shared" si="189"/>
        <v/>
      </c>
      <c r="R321" s="50"/>
      <c r="S321" s="85">
        <f t="shared" si="257"/>
        <v>0</v>
      </c>
      <c r="T321" s="82" t="str">
        <f t="shared" si="190"/>
        <v/>
      </c>
      <c r="U321" s="50"/>
      <c r="V321" s="85">
        <f t="shared" si="258"/>
        <v>0</v>
      </c>
      <c r="W321" s="82" t="str">
        <f t="shared" si="191"/>
        <v/>
      </c>
      <c r="X321" s="50"/>
      <c r="Y321" s="85">
        <f t="shared" si="259"/>
        <v>0</v>
      </c>
      <c r="Z321" s="82" t="str">
        <f t="shared" si="192"/>
        <v/>
      </c>
      <c r="AA321" s="50"/>
      <c r="AB321" s="85">
        <f t="shared" si="260"/>
        <v>0</v>
      </c>
      <c r="AC321" s="82" t="str">
        <f t="shared" si="193"/>
        <v/>
      </c>
      <c r="AD321" s="50"/>
      <c r="AE321" s="85">
        <f t="shared" si="261"/>
        <v>0</v>
      </c>
      <c r="AF321" s="82" t="str">
        <f t="shared" si="194"/>
        <v/>
      </c>
      <c r="AG321" s="50"/>
      <c r="AH321" s="85">
        <f t="shared" si="262"/>
        <v>0</v>
      </c>
      <c r="AI321" s="82" t="str">
        <f t="shared" si="195"/>
        <v/>
      </c>
      <c r="AJ321" s="50"/>
      <c r="AK321" s="85">
        <f t="shared" si="263"/>
        <v>0</v>
      </c>
      <c r="AL321" s="82" t="str">
        <f t="shared" si="196"/>
        <v/>
      </c>
      <c r="AM321" s="50"/>
      <c r="AN321" s="85">
        <f t="shared" si="264"/>
        <v>0</v>
      </c>
      <c r="AO321" s="82" t="str">
        <f t="shared" si="197"/>
        <v/>
      </c>
      <c r="AP321" s="48">
        <f t="shared" si="185"/>
        <v>0</v>
      </c>
      <c r="AQ321" s="85">
        <f t="shared" si="265"/>
        <v>0</v>
      </c>
      <c r="AR321" s="82" t="str">
        <f t="shared" si="198"/>
        <v/>
      </c>
      <c r="AS321" s="48">
        <f t="shared" si="186"/>
        <v>92.8</v>
      </c>
      <c r="AT321" s="85">
        <f t="shared" si="266"/>
        <v>3385.3439999999996</v>
      </c>
      <c r="AU321" s="82">
        <f t="shared" si="199"/>
        <v>1</v>
      </c>
    </row>
    <row r="322" spans="1:56" ht="45">
      <c r="A322" s="16"/>
      <c r="B322" s="97" t="s">
        <v>1260</v>
      </c>
      <c r="C322" s="167" t="s">
        <v>233</v>
      </c>
      <c r="D322" s="86" t="s">
        <v>234</v>
      </c>
      <c r="E322" s="97" t="s">
        <v>44</v>
      </c>
      <c r="F322" s="172">
        <v>53.06</v>
      </c>
      <c r="G322" s="97">
        <v>28</v>
      </c>
      <c r="H322" s="85">
        <f t="shared" si="200"/>
        <v>1485.68</v>
      </c>
      <c r="I322" s="50">
        <f t="shared" si="214"/>
        <v>0</v>
      </c>
      <c r="J322" s="85">
        <f t="shared" si="254"/>
        <v>0</v>
      </c>
      <c r="K322" s="82" t="str">
        <f>IF(I322=0,"",I322/$G322)</f>
        <v/>
      </c>
      <c r="L322" s="50"/>
      <c r="M322" s="85">
        <f t="shared" si="255"/>
        <v>0</v>
      </c>
      <c r="N322" s="82" t="str">
        <f>IF(L322=0,"",L322/$G322)</f>
        <v/>
      </c>
      <c r="O322" s="50"/>
      <c r="P322" s="85">
        <f t="shared" si="256"/>
        <v>0</v>
      </c>
      <c r="Q322" s="82" t="str">
        <f>IF(O322=0,"",O322/$G322)</f>
        <v/>
      </c>
      <c r="R322" s="50"/>
      <c r="S322" s="85">
        <f t="shared" si="257"/>
        <v>0</v>
      </c>
      <c r="T322" s="82" t="str">
        <f>IF(R322=0,"",R322/$G322)</f>
        <v/>
      </c>
      <c r="U322" s="50"/>
      <c r="V322" s="85">
        <f t="shared" si="258"/>
        <v>0</v>
      </c>
      <c r="W322" s="82" t="str">
        <f>IF(U322=0,"",U322/$G322)</f>
        <v/>
      </c>
      <c r="X322" s="50"/>
      <c r="Y322" s="85">
        <f t="shared" si="259"/>
        <v>0</v>
      </c>
      <c r="Z322" s="82" t="str">
        <f>IF(X322=0,"",X322/$G322)</f>
        <v/>
      </c>
      <c r="AA322" s="50"/>
      <c r="AB322" s="85">
        <f t="shared" si="260"/>
        <v>0</v>
      </c>
      <c r="AC322" s="82" t="str">
        <f>IF(AA322=0,"",AA322/$G322)</f>
        <v/>
      </c>
      <c r="AD322" s="50"/>
      <c r="AE322" s="85">
        <f t="shared" si="261"/>
        <v>0</v>
      </c>
      <c r="AF322" s="82" t="str">
        <f>IF(AD322=0,"",AD322/$G322)</f>
        <v/>
      </c>
      <c r="AG322" s="50"/>
      <c r="AH322" s="85">
        <f t="shared" si="262"/>
        <v>0</v>
      </c>
      <c r="AI322" s="82" t="str">
        <f>IF(AG322=0,"",AG322/$G322)</f>
        <v/>
      </c>
      <c r="AJ322" s="50"/>
      <c r="AK322" s="85">
        <f t="shared" si="263"/>
        <v>0</v>
      </c>
      <c r="AL322" s="82" t="str">
        <f>IF(AJ322=0,"",AJ322/$G322)</f>
        <v/>
      </c>
      <c r="AM322" s="50"/>
      <c r="AN322" s="85">
        <f t="shared" si="264"/>
        <v>0</v>
      </c>
      <c r="AO322" s="82" t="str">
        <f>IF(AM322=0,"",AM322/$G322)</f>
        <v/>
      </c>
      <c r="AP322" s="48">
        <f>AM322+AJ322+AG322+AD322+AA322+X322+U322+R322+O322+L322</f>
        <v>0</v>
      </c>
      <c r="AQ322" s="85">
        <f t="shared" si="265"/>
        <v>0</v>
      </c>
      <c r="AR322" s="82" t="str">
        <f>IF(AP322=0,"",AP322/$G322)</f>
        <v/>
      </c>
      <c r="AS322" s="48">
        <f>G322-AP322</f>
        <v>28</v>
      </c>
      <c r="AT322" s="85">
        <f t="shared" si="266"/>
        <v>1485.68</v>
      </c>
      <c r="AU322" s="82">
        <f>IF(AS322=0,"",AS322/$G322)</f>
        <v>1</v>
      </c>
    </row>
    <row r="323" spans="1:56" ht="45">
      <c r="A323" s="16"/>
      <c r="B323" s="97" t="s">
        <v>1261</v>
      </c>
      <c r="C323" s="167" t="s">
        <v>1262</v>
      </c>
      <c r="D323" s="86" t="s">
        <v>1263</v>
      </c>
      <c r="E323" s="97" t="s">
        <v>1264</v>
      </c>
      <c r="F323" s="172">
        <v>4.09</v>
      </c>
      <c r="G323" s="97">
        <v>2.25</v>
      </c>
      <c r="H323" s="85">
        <f t="shared" si="200"/>
        <v>9.2025000000000006</v>
      </c>
      <c r="I323" s="50">
        <f t="shared" si="214"/>
        <v>0</v>
      </c>
      <c r="J323" s="85">
        <f t="shared" si="254"/>
        <v>0</v>
      </c>
      <c r="K323" s="82" t="str">
        <f t="shared" ref="K323:K383" si="267">IF(I323=0,"",I323/$G323)</f>
        <v/>
      </c>
      <c r="L323" s="50"/>
      <c r="M323" s="85">
        <f t="shared" si="255"/>
        <v>0</v>
      </c>
      <c r="N323" s="82" t="str">
        <f t="shared" ref="N323:N383" si="268">IF(L323=0,"",L323/$G323)</f>
        <v/>
      </c>
      <c r="O323" s="50"/>
      <c r="P323" s="85">
        <f t="shared" si="256"/>
        <v>0</v>
      </c>
      <c r="Q323" s="82" t="str">
        <f t="shared" ref="Q323:Q383" si="269">IF(O323=0,"",O323/$G323)</f>
        <v/>
      </c>
      <c r="R323" s="50"/>
      <c r="S323" s="85">
        <f t="shared" si="257"/>
        <v>0</v>
      </c>
      <c r="T323" s="82" t="str">
        <f t="shared" ref="T323:T383" si="270">IF(R323=0,"",R323/$G323)</f>
        <v/>
      </c>
      <c r="U323" s="50"/>
      <c r="V323" s="85">
        <f t="shared" si="258"/>
        <v>0</v>
      </c>
      <c r="W323" s="82" t="str">
        <f t="shared" ref="W323:W383" si="271">IF(U323=0,"",U323/$G323)</f>
        <v/>
      </c>
      <c r="X323" s="50"/>
      <c r="Y323" s="85">
        <f t="shared" si="259"/>
        <v>0</v>
      </c>
      <c r="Z323" s="82" t="str">
        <f t="shared" ref="Z323:Z383" si="272">IF(X323=0,"",X323/$G323)</f>
        <v/>
      </c>
      <c r="AA323" s="50"/>
      <c r="AB323" s="85">
        <f t="shared" si="260"/>
        <v>0</v>
      </c>
      <c r="AC323" s="82" t="str">
        <f t="shared" ref="AC323:AC383" si="273">IF(AA323=0,"",AA323/$G323)</f>
        <v/>
      </c>
      <c r="AD323" s="50"/>
      <c r="AE323" s="85">
        <f t="shared" si="261"/>
        <v>0</v>
      </c>
      <c r="AF323" s="82" t="str">
        <f t="shared" ref="AF323:AF383" si="274">IF(AD323=0,"",AD323/$G323)</f>
        <v/>
      </c>
      <c r="AG323" s="50"/>
      <c r="AH323" s="85">
        <f t="shared" si="262"/>
        <v>0</v>
      </c>
      <c r="AI323" s="82" t="str">
        <f t="shared" ref="AI323:AI383" si="275">IF(AG323=0,"",AG323/$G323)</f>
        <v/>
      </c>
      <c r="AJ323" s="50"/>
      <c r="AK323" s="85">
        <f t="shared" si="263"/>
        <v>0</v>
      </c>
      <c r="AL323" s="82" t="str">
        <f t="shared" ref="AL323:AL383" si="276">IF(AJ323=0,"",AJ323/$G323)</f>
        <v/>
      </c>
      <c r="AM323" s="50"/>
      <c r="AN323" s="85">
        <f t="shared" si="264"/>
        <v>0</v>
      </c>
      <c r="AO323" s="82" t="str">
        <f t="shared" ref="AO323:AO383" si="277">IF(AM323=0,"",AM323/$G323)</f>
        <v/>
      </c>
      <c r="AP323" s="48">
        <f t="shared" ref="AP323:AP384" si="278">AM323+AJ323+AG323+AD323+AA323+X323+U323+R323+O323+L323</f>
        <v>0</v>
      </c>
      <c r="AQ323" s="85">
        <f t="shared" si="265"/>
        <v>0</v>
      </c>
      <c r="AR323" s="82" t="str">
        <f t="shared" ref="AR323:AR383" si="279">IF(AP323=0,"",AP323/$G323)</f>
        <v/>
      </c>
      <c r="AS323" s="48">
        <f t="shared" ref="AS323:AS384" si="280">G323-AP323</f>
        <v>2.25</v>
      </c>
      <c r="AT323" s="85">
        <f t="shared" si="266"/>
        <v>9.2025000000000006</v>
      </c>
      <c r="AU323" s="82">
        <f t="shared" ref="AU323:AU383" si="281">IF(AS323=0,"",AS323/$G323)</f>
        <v>1</v>
      </c>
    </row>
    <row r="324" spans="1:56" ht="60">
      <c r="A324" s="16"/>
      <c r="B324" s="97" t="s">
        <v>1265</v>
      </c>
      <c r="C324" s="167" t="s">
        <v>1266</v>
      </c>
      <c r="D324" s="86" t="s">
        <v>1267</v>
      </c>
      <c r="E324" s="97" t="s">
        <v>1264</v>
      </c>
      <c r="F324" s="172">
        <v>6.53</v>
      </c>
      <c r="G324" s="97">
        <v>3</v>
      </c>
      <c r="H324" s="85">
        <f t="shared" si="200"/>
        <v>19.59</v>
      </c>
      <c r="I324" s="50">
        <f t="shared" si="214"/>
        <v>0</v>
      </c>
      <c r="J324" s="85">
        <f t="shared" si="254"/>
        <v>0</v>
      </c>
      <c r="K324" s="82" t="str">
        <f t="shared" si="267"/>
        <v/>
      </c>
      <c r="L324" s="50"/>
      <c r="M324" s="85">
        <f t="shared" si="255"/>
        <v>0</v>
      </c>
      <c r="N324" s="82" t="str">
        <f t="shared" si="268"/>
        <v/>
      </c>
      <c r="O324" s="50"/>
      <c r="P324" s="85">
        <f t="shared" si="256"/>
        <v>0</v>
      </c>
      <c r="Q324" s="82" t="str">
        <f t="shared" si="269"/>
        <v/>
      </c>
      <c r="R324" s="50"/>
      <c r="S324" s="85">
        <f t="shared" si="257"/>
        <v>0</v>
      </c>
      <c r="T324" s="82" t="str">
        <f t="shared" si="270"/>
        <v/>
      </c>
      <c r="U324" s="50"/>
      <c r="V324" s="85">
        <f t="shared" si="258"/>
        <v>0</v>
      </c>
      <c r="W324" s="82" t="str">
        <f t="shared" si="271"/>
        <v/>
      </c>
      <c r="X324" s="50"/>
      <c r="Y324" s="85">
        <f t="shared" si="259"/>
        <v>0</v>
      </c>
      <c r="Z324" s="82" t="str">
        <f t="shared" si="272"/>
        <v/>
      </c>
      <c r="AA324" s="50"/>
      <c r="AB324" s="85">
        <f t="shared" si="260"/>
        <v>0</v>
      </c>
      <c r="AC324" s="82" t="str">
        <f t="shared" si="273"/>
        <v/>
      </c>
      <c r="AD324" s="50"/>
      <c r="AE324" s="85">
        <f t="shared" si="261"/>
        <v>0</v>
      </c>
      <c r="AF324" s="82" t="str">
        <f t="shared" si="274"/>
        <v/>
      </c>
      <c r="AG324" s="50"/>
      <c r="AH324" s="85">
        <f t="shared" si="262"/>
        <v>0</v>
      </c>
      <c r="AI324" s="82" t="str">
        <f t="shared" si="275"/>
        <v/>
      </c>
      <c r="AJ324" s="50"/>
      <c r="AK324" s="85">
        <f t="shared" si="263"/>
        <v>0</v>
      </c>
      <c r="AL324" s="82" t="str">
        <f t="shared" si="276"/>
        <v/>
      </c>
      <c r="AM324" s="50"/>
      <c r="AN324" s="85">
        <f t="shared" si="264"/>
        <v>0</v>
      </c>
      <c r="AO324" s="82" t="str">
        <f t="shared" si="277"/>
        <v/>
      </c>
      <c r="AP324" s="48">
        <f t="shared" si="278"/>
        <v>0</v>
      </c>
      <c r="AQ324" s="85">
        <f t="shared" si="265"/>
        <v>0</v>
      </c>
      <c r="AR324" s="82" t="str">
        <f t="shared" si="279"/>
        <v/>
      </c>
      <c r="AS324" s="48">
        <f t="shared" si="280"/>
        <v>3</v>
      </c>
      <c r="AT324" s="85">
        <f t="shared" si="266"/>
        <v>19.59</v>
      </c>
      <c r="AU324" s="82">
        <f t="shared" si="281"/>
        <v>1</v>
      </c>
    </row>
    <row r="325" spans="1:56" ht="60">
      <c r="A325" s="16"/>
      <c r="B325" s="97" t="s">
        <v>1268</v>
      </c>
      <c r="C325" s="167" t="s">
        <v>1269</v>
      </c>
      <c r="D325" s="86" t="s">
        <v>1270</v>
      </c>
      <c r="E325" s="97" t="s">
        <v>1264</v>
      </c>
      <c r="F325" s="172">
        <v>8.34</v>
      </c>
      <c r="G325" s="97">
        <v>1.95</v>
      </c>
      <c r="H325" s="85">
        <f t="shared" si="200"/>
        <v>16.262999999999998</v>
      </c>
      <c r="I325" s="50">
        <f t="shared" si="214"/>
        <v>0</v>
      </c>
      <c r="J325" s="85">
        <f t="shared" si="254"/>
        <v>0</v>
      </c>
      <c r="K325" s="82" t="str">
        <f t="shared" si="267"/>
        <v/>
      </c>
      <c r="L325" s="50"/>
      <c r="M325" s="85">
        <f t="shared" si="255"/>
        <v>0</v>
      </c>
      <c r="N325" s="82" t="str">
        <f t="shared" si="268"/>
        <v/>
      </c>
      <c r="O325" s="50"/>
      <c r="P325" s="85">
        <f t="shared" si="256"/>
        <v>0</v>
      </c>
      <c r="Q325" s="82" t="str">
        <f t="shared" si="269"/>
        <v/>
      </c>
      <c r="R325" s="50"/>
      <c r="S325" s="85">
        <f t="shared" si="257"/>
        <v>0</v>
      </c>
      <c r="T325" s="82" t="str">
        <f t="shared" si="270"/>
        <v/>
      </c>
      <c r="U325" s="50"/>
      <c r="V325" s="85">
        <f t="shared" si="258"/>
        <v>0</v>
      </c>
      <c r="W325" s="82" t="str">
        <f t="shared" si="271"/>
        <v/>
      </c>
      <c r="X325" s="50"/>
      <c r="Y325" s="85">
        <f t="shared" si="259"/>
        <v>0</v>
      </c>
      <c r="Z325" s="82" t="str">
        <f t="shared" si="272"/>
        <v/>
      </c>
      <c r="AA325" s="50"/>
      <c r="AB325" s="85">
        <f t="shared" si="260"/>
        <v>0</v>
      </c>
      <c r="AC325" s="82" t="str">
        <f t="shared" si="273"/>
        <v/>
      </c>
      <c r="AD325" s="50"/>
      <c r="AE325" s="85">
        <f t="shared" si="261"/>
        <v>0</v>
      </c>
      <c r="AF325" s="82" t="str">
        <f t="shared" si="274"/>
        <v/>
      </c>
      <c r="AG325" s="50"/>
      <c r="AH325" s="85">
        <f t="shared" si="262"/>
        <v>0</v>
      </c>
      <c r="AI325" s="82" t="str">
        <f t="shared" si="275"/>
        <v/>
      </c>
      <c r="AJ325" s="50"/>
      <c r="AK325" s="85">
        <f t="shared" si="263"/>
        <v>0</v>
      </c>
      <c r="AL325" s="82" t="str">
        <f t="shared" si="276"/>
        <v/>
      </c>
      <c r="AM325" s="50"/>
      <c r="AN325" s="85">
        <f t="shared" si="264"/>
        <v>0</v>
      </c>
      <c r="AO325" s="82" t="str">
        <f t="shared" si="277"/>
        <v/>
      </c>
      <c r="AP325" s="48">
        <f t="shared" si="278"/>
        <v>0</v>
      </c>
      <c r="AQ325" s="85">
        <f t="shared" si="265"/>
        <v>0</v>
      </c>
      <c r="AR325" s="82" t="str">
        <f t="shared" si="279"/>
        <v/>
      </c>
      <c r="AS325" s="48">
        <f t="shared" si="280"/>
        <v>1.95</v>
      </c>
      <c r="AT325" s="85">
        <f t="shared" si="266"/>
        <v>16.262999999999998</v>
      </c>
      <c r="AU325" s="82">
        <f t="shared" si="281"/>
        <v>1</v>
      </c>
    </row>
    <row r="326" spans="1:56" s="115" customFormat="1" ht="15.75">
      <c r="A326" s="109"/>
      <c r="B326" s="118" t="s">
        <v>1271</v>
      </c>
      <c r="C326" s="1937" t="s">
        <v>1272</v>
      </c>
      <c r="D326" s="1938"/>
      <c r="E326" s="1938"/>
      <c r="F326" s="1938"/>
      <c r="G326" s="1939"/>
      <c r="H326" s="112">
        <f>H327+H351+H384+H395+H415+H430+H443+H452+H457</f>
        <v>617302.70500000007</v>
      </c>
      <c r="I326" s="50">
        <f t="shared" si="214"/>
        <v>0</v>
      </c>
      <c r="J326" s="112">
        <f>J327+J351+J384+J395+J415+J430+J443+J452+J457</f>
        <v>0</v>
      </c>
      <c r="K326" s="113">
        <f>J326/$H326</f>
        <v>0</v>
      </c>
      <c r="L326" s="111"/>
      <c r="M326" s="112">
        <f>M327+M351+M384+M395+M415+M430+M443+M452+M457</f>
        <v>0</v>
      </c>
      <c r="N326" s="113">
        <f>M326/$H326</f>
        <v>0</v>
      </c>
      <c r="O326" s="111"/>
      <c r="P326" s="112">
        <f>P327+P351+P384+P395+P415+P430+P443+P452+P457</f>
        <v>0</v>
      </c>
      <c r="Q326" s="113">
        <f>P326/$H326</f>
        <v>0</v>
      </c>
      <c r="R326" s="111"/>
      <c r="S326" s="112">
        <f>S327+S351+S384+S395+S415+S430+S443+S452+S457</f>
        <v>0</v>
      </c>
      <c r="T326" s="113">
        <f>S326/$H326</f>
        <v>0</v>
      </c>
      <c r="U326" s="111"/>
      <c r="V326" s="112">
        <f>V327+V351+V384+V395+V415+V430+V443+V452+V457</f>
        <v>0</v>
      </c>
      <c r="W326" s="113">
        <f>V326/$H326</f>
        <v>0</v>
      </c>
      <c r="X326" s="111"/>
      <c r="Y326" s="112">
        <f>Y327+Y351+Y384+Y395+Y415+Y430+Y443+Y452+Y457</f>
        <v>0</v>
      </c>
      <c r="Z326" s="113">
        <f>Y326/$H326</f>
        <v>0</v>
      </c>
      <c r="AA326" s="111"/>
      <c r="AB326" s="112">
        <f>AB327+AB351+AB384+AB395+AB415+AB430+AB443+AB452+AB457</f>
        <v>0</v>
      </c>
      <c r="AC326" s="113">
        <f>AB326/$H326</f>
        <v>0</v>
      </c>
      <c r="AD326" s="111"/>
      <c r="AE326" s="112">
        <f>AE327+AE351+AE384+AE395+AE415+AE430+AE443+AE452+AE457</f>
        <v>0</v>
      </c>
      <c r="AF326" s="113">
        <f>AE326/$H326</f>
        <v>0</v>
      </c>
      <c r="AG326" s="111"/>
      <c r="AH326" s="112">
        <f>AH327+AH351+AH384+AH395+AH415+AH430+AH443+AH452+AH457</f>
        <v>0</v>
      </c>
      <c r="AI326" s="113">
        <f>AH326/$H326</f>
        <v>0</v>
      </c>
      <c r="AJ326" s="111"/>
      <c r="AK326" s="112">
        <f>AK327+AK351+AK384+AK395+AK415+AK430+AK443+AK452+AK457</f>
        <v>0</v>
      </c>
      <c r="AL326" s="113">
        <f>AK326/$H326</f>
        <v>0</v>
      </c>
      <c r="AM326" s="111"/>
      <c r="AN326" s="112">
        <f>AN327+AN351+AN384+AN395+AN415+AN430+AN443+AN452+AN457</f>
        <v>0</v>
      </c>
      <c r="AO326" s="113">
        <f>AN326/$H326</f>
        <v>0</v>
      </c>
      <c r="AP326" s="114">
        <f t="shared" si="278"/>
        <v>0</v>
      </c>
      <c r="AQ326" s="112">
        <f>AQ327+AQ351+AQ384+AQ395+AQ415+AQ430+AQ443+AQ452+AQ457</f>
        <v>0</v>
      </c>
      <c r="AR326" s="113">
        <f>AQ326/$H326</f>
        <v>0</v>
      </c>
      <c r="AS326" s="114">
        <f t="shared" si="280"/>
        <v>0</v>
      </c>
      <c r="AT326" s="112">
        <f>AT327+AT351+AT384+AT395+AT415+AT430+AT443+AT452+AT457</f>
        <v>617302.70500000007</v>
      </c>
      <c r="AU326" s="113">
        <f>AT326/$H326</f>
        <v>1</v>
      </c>
    </row>
    <row r="327" spans="1:56" s="161" customFormat="1">
      <c r="A327" s="94"/>
      <c r="B327" s="116" t="s">
        <v>1273</v>
      </c>
      <c r="C327" s="1945" t="s">
        <v>1274</v>
      </c>
      <c r="D327" s="1946"/>
      <c r="E327" s="1946"/>
      <c r="F327" s="1946"/>
      <c r="G327" s="1947"/>
      <c r="H327" s="159">
        <f>SUM(H328:H350)</f>
        <v>170585.38999999998</v>
      </c>
      <c r="I327" s="50">
        <f t="shared" si="214"/>
        <v>0</v>
      </c>
      <c r="J327" s="159">
        <f>SUM(J328:J350)</f>
        <v>0</v>
      </c>
      <c r="K327" s="102">
        <f>J327/$H327</f>
        <v>0</v>
      </c>
      <c r="L327" s="101"/>
      <c r="M327" s="159">
        <f>SUM(M328:M350)</f>
        <v>0</v>
      </c>
      <c r="N327" s="102">
        <f>M327/$H327</f>
        <v>0</v>
      </c>
      <c r="O327" s="101"/>
      <c r="P327" s="159">
        <f>SUM(P328:P350)</f>
        <v>0</v>
      </c>
      <c r="Q327" s="102">
        <f>P327/$H327</f>
        <v>0</v>
      </c>
      <c r="R327" s="101"/>
      <c r="S327" s="159">
        <f>SUM(S328:S350)</f>
        <v>0</v>
      </c>
      <c r="T327" s="102">
        <f>S327/$H327</f>
        <v>0</v>
      </c>
      <c r="U327" s="101"/>
      <c r="V327" s="159">
        <f>SUM(V328:V350)</f>
        <v>0</v>
      </c>
      <c r="W327" s="102">
        <f>V327/$H327</f>
        <v>0</v>
      </c>
      <c r="X327" s="101"/>
      <c r="Y327" s="159">
        <f>SUM(Y328:Y350)</f>
        <v>0</v>
      </c>
      <c r="Z327" s="102">
        <f>Y327/$H327</f>
        <v>0</v>
      </c>
      <c r="AA327" s="101"/>
      <c r="AB327" s="159">
        <f>SUM(AB328:AB350)</f>
        <v>0</v>
      </c>
      <c r="AC327" s="102">
        <f>AB327/$H327</f>
        <v>0</v>
      </c>
      <c r="AD327" s="101"/>
      <c r="AE327" s="159">
        <f>SUM(AE328:AE350)</f>
        <v>0</v>
      </c>
      <c r="AF327" s="102">
        <f>AE327/$H327</f>
        <v>0</v>
      </c>
      <c r="AG327" s="101"/>
      <c r="AH327" s="159">
        <f>SUM(AH328:AH350)</f>
        <v>0</v>
      </c>
      <c r="AI327" s="102">
        <f>AH327/$H327</f>
        <v>0</v>
      </c>
      <c r="AJ327" s="101"/>
      <c r="AK327" s="159">
        <f>SUM(AK328:AK350)</f>
        <v>0</v>
      </c>
      <c r="AL327" s="102">
        <f>AK327/$H327</f>
        <v>0</v>
      </c>
      <c r="AM327" s="101"/>
      <c r="AN327" s="159">
        <f>SUM(AN328:AN350)</f>
        <v>0</v>
      </c>
      <c r="AO327" s="102">
        <f>AN327/$H327</f>
        <v>0</v>
      </c>
      <c r="AP327" s="160">
        <f t="shared" si="278"/>
        <v>0</v>
      </c>
      <c r="AQ327" s="159">
        <f>SUM(AQ328:AQ350)</f>
        <v>0</v>
      </c>
      <c r="AR327" s="102">
        <f>AQ327/$H327</f>
        <v>0</v>
      </c>
      <c r="AS327" s="160">
        <f t="shared" si="280"/>
        <v>0</v>
      </c>
      <c r="AT327" s="159">
        <f>SUM(AT328:AT350)</f>
        <v>170585.38999999998</v>
      </c>
      <c r="AU327" s="102">
        <f>AT327/$H327</f>
        <v>1</v>
      </c>
    </row>
    <row r="328" spans="1:56" ht="45">
      <c r="A328" s="16"/>
      <c r="B328" s="97" t="s">
        <v>1275</v>
      </c>
      <c r="C328" s="167" t="s">
        <v>1276</v>
      </c>
      <c r="D328" s="86" t="s">
        <v>1277</v>
      </c>
      <c r="E328" s="97" t="s">
        <v>44</v>
      </c>
      <c r="F328" s="172">
        <v>106.99</v>
      </c>
      <c r="G328" s="97">
        <v>60</v>
      </c>
      <c r="H328" s="85">
        <f t="shared" ref="H328:H391" si="282">G328*$F328</f>
        <v>6419.4</v>
      </c>
      <c r="I328" s="50">
        <f t="shared" si="214"/>
        <v>0</v>
      </c>
      <c r="J328" s="85">
        <f t="shared" ref="J328:J350" si="283">I328*$F328</f>
        <v>0</v>
      </c>
      <c r="K328" s="82" t="str">
        <f t="shared" si="267"/>
        <v/>
      </c>
      <c r="L328" s="50"/>
      <c r="M328" s="85">
        <f t="shared" ref="M328:M350" si="284">L328*$F328</f>
        <v>0</v>
      </c>
      <c r="N328" s="82" t="str">
        <f t="shared" si="268"/>
        <v/>
      </c>
      <c r="O328" s="50"/>
      <c r="P328" s="85">
        <f t="shared" ref="P328:P350" si="285">O328*$F328</f>
        <v>0</v>
      </c>
      <c r="Q328" s="82" t="str">
        <f t="shared" si="269"/>
        <v/>
      </c>
      <c r="R328" s="50"/>
      <c r="S328" s="85">
        <f t="shared" ref="S328:S350" si="286">R328*$F328</f>
        <v>0</v>
      </c>
      <c r="T328" s="82" t="str">
        <f t="shared" si="270"/>
        <v/>
      </c>
      <c r="U328" s="50"/>
      <c r="V328" s="85">
        <f t="shared" ref="V328:V350" si="287">U328*$F328</f>
        <v>0</v>
      </c>
      <c r="W328" s="82" t="str">
        <f t="shared" si="271"/>
        <v/>
      </c>
      <c r="X328" s="50"/>
      <c r="Y328" s="85">
        <f t="shared" ref="Y328:Y350" si="288">X328*$F328</f>
        <v>0</v>
      </c>
      <c r="Z328" s="82" t="str">
        <f t="shared" si="272"/>
        <v/>
      </c>
      <c r="AA328" s="50"/>
      <c r="AB328" s="85">
        <f t="shared" ref="AB328:AB350" si="289">AA328*$F328</f>
        <v>0</v>
      </c>
      <c r="AC328" s="82" t="str">
        <f t="shared" si="273"/>
        <v/>
      </c>
      <c r="AD328" s="50"/>
      <c r="AE328" s="85">
        <f t="shared" ref="AE328:AE350" si="290">AD328*$F328</f>
        <v>0</v>
      </c>
      <c r="AF328" s="82" t="str">
        <f t="shared" si="274"/>
        <v/>
      </c>
      <c r="AG328" s="50"/>
      <c r="AH328" s="85">
        <f t="shared" ref="AH328:AH350" si="291">AG328*$F328</f>
        <v>0</v>
      </c>
      <c r="AI328" s="82" t="str">
        <f t="shared" si="275"/>
        <v/>
      </c>
      <c r="AJ328" s="50"/>
      <c r="AK328" s="85">
        <f t="shared" ref="AK328:AK350" si="292">AJ328*$F328</f>
        <v>0</v>
      </c>
      <c r="AL328" s="82" t="str">
        <f t="shared" si="276"/>
        <v/>
      </c>
      <c r="AM328" s="50"/>
      <c r="AN328" s="85">
        <f t="shared" ref="AN328:AN350" si="293">AM328*$F328</f>
        <v>0</v>
      </c>
      <c r="AO328" s="82" t="str">
        <f t="shared" si="277"/>
        <v/>
      </c>
      <c r="AP328" s="48">
        <f t="shared" si="278"/>
        <v>0</v>
      </c>
      <c r="AQ328" s="85">
        <f t="shared" ref="AQ328:AQ350" si="294">AP328*$F328</f>
        <v>0</v>
      </c>
      <c r="AR328" s="82" t="str">
        <f t="shared" si="279"/>
        <v/>
      </c>
      <c r="AS328" s="48">
        <f t="shared" si="280"/>
        <v>60</v>
      </c>
      <c r="AT328" s="85">
        <f t="shared" ref="AT328:AT350" si="295">AS328*$F328</f>
        <v>6419.4</v>
      </c>
      <c r="AU328" s="82">
        <f t="shared" si="281"/>
        <v>1</v>
      </c>
    </row>
    <row r="329" spans="1:56" ht="30">
      <c r="A329" s="16"/>
      <c r="B329" s="97" t="s">
        <v>1278</v>
      </c>
      <c r="C329" s="167" t="s">
        <v>1279</v>
      </c>
      <c r="D329" s="86" t="s">
        <v>1280</v>
      </c>
      <c r="E329" s="97" t="s">
        <v>44</v>
      </c>
      <c r="F329" s="172">
        <v>226.2</v>
      </c>
      <c r="G329" s="97">
        <v>40</v>
      </c>
      <c r="H329" s="85">
        <f t="shared" si="282"/>
        <v>9048</v>
      </c>
      <c r="I329" s="50">
        <f t="shared" si="214"/>
        <v>0</v>
      </c>
      <c r="J329" s="85">
        <f t="shared" si="283"/>
        <v>0</v>
      </c>
      <c r="K329" s="82" t="str">
        <f t="shared" si="267"/>
        <v/>
      </c>
      <c r="L329" s="50"/>
      <c r="M329" s="85">
        <f t="shared" si="284"/>
        <v>0</v>
      </c>
      <c r="N329" s="82" t="str">
        <f t="shared" si="268"/>
        <v/>
      </c>
      <c r="O329" s="50"/>
      <c r="P329" s="85">
        <f t="shared" si="285"/>
        <v>0</v>
      </c>
      <c r="Q329" s="82" t="str">
        <f t="shared" si="269"/>
        <v/>
      </c>
      <c r="R329" s="50"/>
      <c r="S329" s="85">
        <f t="shared" si="286"/>
        <v>0</v>
      </c>
      <c r="T329" s="82" t="str">
        <f t="shared" si="270"/>
        <v/>
      </c>
      <c r="U329" s="50"/>
      <c r="V329" s="85">
        <f t="shared" si="287"/>
        <v>0</v>
      </c>
      <c r="W329" s="82" t="str">
        <f t="shared" si="271"/>
        <v/>
      </c>
      <c r="X329" s="50"/>
      <c r="Y329" s="85">
        <f t="shared" si="288"/>
        <v>0</v>
      </c>
      <c r="Z329" s="82" t="str">
        <f t="shared" si="272"/>
        <v/>
      </c>
      <c r="AA329" s="50"/>
      <c r="AB329" s="85">
        <f t="shared" si="289"/>
        <v>0</v>
      </c>
      <c r="AC329" s="82" t="str">
        <f t="shared" si="273"/>
        <v/>
      </c>
      <c r="AD329" s="50"/>
      <c r="AE329" s="85">
        <f t="shared" si="290"/>
        <v>0</v>
      </c>
      <c r="AF329" s="82" t="str">
        <f t="shared" si="274"/>
        <v/>
      </c>
      <c r="AG329" s="50"/>
      <c r="AH329" s="85">
        <f t="shared" si="291"/>
        <v>0</v>
      </c>
      <c r="AI329" s="82" t="str">
        <f t="shared" si="275"/>
        <v/>
      </c>
      <c r="AJ329" s="50"/>
      <c r="AK329" s="85">
        <f t="shared" si="292"/>
        <v>0</v>
      </c>
      <c r="AL329" s="82" t="str">
        <f t="shared" si="276"/>
        <v/>
      </c>
      <c r="AM329" s="50"/>
      <c r="AN329" s="85">
        <f t="shared" si="293"/>
        <v>0</v>
      </c>
      <c r="AO329" s="82" t="str">
        <f t="shared" si="277"/>
        <v/>
      </c>
      <c r="AP329" s="48">
        <f t="shared" si="278"/>
        <v>0</v>
      </c>
      <c r="AQ329" s="85">
        <f t="shared" si="294"/>
        <v>0</v>
      </c>
      <c r="AR329" s="82" t="str">
        <f t="shared" si="279"/>
        <v/>
      </c>
      <c r="AS329" s="48">
        <f t="shared" si="280"/>
        <v>40</v>
      </c>
      <c r="AT329" s="85">
        <f t="shared" si="295"/>
        <v>9048</v>
      </c>
      <c r="AU329" s="82">
        <f t="shared" si="281"/>
        <v>1</v>
      </c>
    </row>
    <row r="330" spans="1:56" ht="75">
      <c r="A330" s="16"/>
      <c r="B330" s="97" t="s">
        <v>1281</v>
      </c>
      <c r="C330" s="167" t="s">
        <v>1282</v>
      </c>
      <c r="D330" s="86" t="s">
        <v>1283</v>
      </c>
      <c r="E330" s="97" t="s">
        <v>28</v>
      </c>
      <c r="F330" s="172">
        <v>1633.7</v>
      </c>
      <c r="G330" s="97">
        <v>2</v>
      </c>
      <c r="H330" s="85">
        <f t="shared" si="282"/>
        <v>3267.4</v>
      </c>
      <c r="I330" s="50">
        <f t="shared" si="214"/>
        <v>0</v>
      </c>
      <c r="J330" s="85">
        <f t="shared" si="283"/>
        <v>0</v>
      </c>
      <c r="K330" s="82" t="str">
        <f t="shared" si="267"/>
        <v/>
      </c>
      <c r="L330" s="50"/>
      <c r="M330" s="85">
        <f t="shared" si="284"/>
        <v>0</v>
      </c>
      <c r="N330" s="82" t="str">
        <f t="shared" si="268"/>
        <v/>
      </c>
      <c r="O330" s="50"/>
      <c r="P330" s="85">
        <f t="shared" si="285"/>
        <v>0</v>
      </c>
      <c r="Q330" s="82" t="str">
        <f t="shared" si="269"/>
        <v/>
      </c>
      <c r="R330" s="50"/>
      <c r="S330" s="85">
        <f t="shared" si="286"/>
        <v>0</v>
      </c>
      <c r="T330" s="82" t="str">
        <f t="shared" si="270"/>
        <v/>
      </c>
      <c r="U330" s="50"/>
      <c r="V330" s="85">
        <f t="shared" si="287"/>
        <v>0</v>
      </c>
      <c r="W330" s="82" t="str">
        <f t="shared" si="271"/>
        <v/>
      </c>
      <c r="X330" s="50"/>
      <c r="Y330" s="85">
        <f t="shared" si="288"/>
        <v>0</v>
      </c>
      <c r="Z330" s="82" t="str">
        <f t="shared" si="272"/>
        <v/>
      </c>
      <c r="AA330" s="50"/>
      <c r="AB330" s="85">
        <f t="shared" si="289"/>
        <v>0</v>
      </c>
      <c r="AC330" s="82" t="str">
        <f t="shared" si="273"/>
        <v/>
      </c>
      <c r="AD330" s="50"/>
      <c r="AE330" s="85">
        <f t="shared" si="290"/>
        <v>0</v>
      </c>
      <c r="AF330" s="82" t="str">
        <f t="shared" si="274"/>
        <v/>
      </c>
      <c r="AG330" s="50"/>
      <c r="AH330" s="85">
        <f t="shared" si="291"/>
        <v>0</v>
      </c>
      <c r="AI330" s="82" t="str">
        <f t="shared" si="275"/>
        <v/>
      </c>
      <c r="AJ330" s="50"/>
      <c r="AK330" s="85">
        <f t="shared" si="292"/>
        <v>0</v>
      </c>
      <c r="AL330" s="82" t="str">
        <f t="shared" si="276"/>
        <v/>
      </c>
      <c r="AM330" s="50"/>
      <c r="AN330" s="85">
        <f t="shared" si="293"/>
        <v>0</v>
      </c>
      <c r="AO330" s="82" t="str">
        <f t="shared" si="277"/>
        <v/>
      </c>
      <c r="AP330" s="48">
        <f t="shared" si="278"/>
        <v>0</v>
      </c>
      <c r="AQ330" s="85">
        <f t="shared" si="294"/>
        <v>0</v>
      </c>
      <c r="AR330" s="82" t="str">
        <f t="shared" si="279"/>
        <v/>
      </c>
      <c r="AS330" s="48">
        <f t="shared" si="280"/>
        <v>2</v>
      </c>
      <c r="AT330" s="85">
        <f t="shared" si="295"/>
        <v>3267.4</v>
      </c>
      <c r="AU330" s="82">
        <f t="shared" si="281"/>
        <v>1</v>
      </c>
    </row>
    <row r="331" spans="1:56" ht="45">
      <c r="A331" s="16"/>
      <c r="B331" s="97" t="s">
        <v>1284</v>
      </c>
      <c r="C331" s="167" t="s">
        <v>1285</v>
      </c>
      <c r="D331" s="86" t="s">
        <v>1286</v>
      </c>
      <c r="E331" s="97" t="s">
        <v>44</v>
      </c>
      <c r="F331" s="172">
        <v>68.23</v>
      </c>
      <c r="G331" s="97">
        <v>12</v>
      </c>
      <c r="H331" s="85">
        <f t="shared" si="282"/>
        <v>818.76</v>
      </c>
      <c r="I331" s="50">
        <f t="shared" si="214"/>
        <v>0</v>
      </c>
      <c r="J331" s="85">
        <f t="shared" si="283"/>
        <v>0</v>
      </c>
      <c r="K331" s="82" t="str">
        <f t="shared" si="267"/>
        <v/>
      </c>
      <c r="L331" s="50"/>
      <c r="M331" s="85">
        <f t="shared" si="284"/>
        <v>0</v>
      </c>
      <c r="N331" s="82" t="str">
        <f t="shared" si="268"/>
        <v/>
      </c>
      <c r="O331" s="50"/>
      <c r="P331" s="85">
        <f t="shared" si="285"/>
        <v>0</v>
      </c>
      <c r="Q331" s="82" t="str">
        <f t="shared" si="269"/>
        <v/>
      </c>
      <c r="R331" s="50"/>
      <c r="S331" s="85">
        <f t="shared" si="286"/>
        <v>0</v>
      </c>
      <c r="T331" s="82" t="str">
        <f t="shared" si="270"/>
        <v/>
      </c>
      <c r="U331" s="50"/>
      <c r="V331" s="85">
        <f t="shared" si="287"/>
        <v>0</v>
      </c>
      <c r="W331" s="82" t="str">
        <f t="shared" si="271"/>
        <v/>
      </c>
      <c r="X331" s="50"/>
      <c r="Y331" s="85">
        <f t="shared" si="288"/>
        <v>0</v>
      </c>
      <c r="Z331" s="82" t="str">
        <f t="shared" si="272"/>
        <v/>
      </c>
      <c r="AA331" s="50"/>
      <c r="AB331" s="85">
        <f t="shared" si="289"/>
        <v>0</v>
      </c>
      <c r="AC331" s="82" t="str">
        <f t="shared" si="273"/>
        <v/>
      </c>
      <c r="AD331" s="50"/>
      <c r="AE331" s="85">
        <f t="shared" si="290"/>
        <v>0</v>
      </c>
      <c r="AF331" s="82" t="str">
        <f t="shared" si="274"/>
        <v/>
      </c>
      <c r="AG331" s="50"/>
      <c r="AH331" s="85">
        <f t="shared" si="291"/>
        <v>0</v>
      </c>
      <c r="AI331" s="82" t="str">
        <f t="shared" si="275"/>
        <v/>
      </c>
      <c r="AJ331" s="50"/>
      <c r="AK331" s="85">
        <f t="shared" si="292"/>
        <v>0</v>
      </c>
      <c r="AL331" s="82" t="str">
        <f t="shared" si="276"/>
        <v/>
      </c>
      <c r="AM331" s="50"/>
      <c r="AN331" s="85">
        <f t="shared" si="293"/>
        <v>0</v>
      </c>
      <c r="AO331" s="82" t="str">
        <f t="shared" si="277"/>
        <v/>
      </c>
      <c r="AP331" s="48">
        <f t="shared" si="278"/>
        <v>0</v>
      </c>
      <c r="AQ331" s="85">
        <f t="shared" si="294"/>
        <v>0</v>
      </c>
      <c r="AR331" s="82" t="str">
        <f t="shared" si="279"/>
        <v/>
      </c>
      <c r="AS331" s="48">
        <f t="shared" si="280"/>
        <v>12</v>
      </c>
      <c r="AT331" s="85">
        <f t="shared" si="295"/>
        <v>818.76</v>
      </c>
      <c r="AU331" s="82">
        <f t="shared" si="281"/>
        <v>1</v>
      </c>
    </row>
    <row r="332" spans="1:56">
      <c r="A332" s="16"/>
      <c r="B332" s="97" t="s">
        <v>1287</v>
      </c>
      <c r="C332" s="167" t="s">
        <v>1288</v>
      </c>
      <c r="D332" s="86" t="s">
        <v>1289</v>
      </c>
      <c r="E332" s="97" t="s">
        <v>44</v>
      </c>
      <c r="F332" s="172">
        <v>50.88</v>
      </c>
      <c r="G332" s="97">
        <v>35</v>
      </c>
      <c r="H332" s="85">
        <f t="shared" si="282"/>
        <v>1780.8000000000002</v>
      </c>
      <c r="I332" s="50">
        <f t="shared" si="214"/>
        <v>0</v>
      </c>
      <c r="J332" s="85">
        <f t="shared" si="283"/>
        <v>0</v>
      </c>
      <c r="K332" s="82" t="str">
        <f t="shared" si="267"/>
        <v/>
      </c>
      <c r="L332" s="50"/>
      <c r="M332" s="85">
        <f t="shared" si="284"/>
        <v>0</v>
      </c>
      <c r="N332" s="82" t="str">
        <f t="shared" si="268"/>
        <v/>
      </c>
      <c r="O332" s="50"/>
      <c r="P332" s="85">
        <f t="shared" si="285"/>
        <v>0</v>
      </c>
      <c r="Q332" s="82" t="str">
        <f t="shared" si="269"/>
        <v/>
      </c>
      <c r="R332" s="50"/>
      <c r="S332" s="85">
        <f t="shared" si="286"/>
        <v>0</v>
      </c>
      <c r="T332" s="82" t="str">
        <f t="shared" si="270"/>
        <v/>
      </c>
      <c r="U332" s="50"/>
      <c r="V332" s="85">
        <f t="shared" si="287"/>
        <v>0</v>
      </c>
      <c r="W332" s="82" t="str">
        <f t="shared" si="271"/>
        <v/>
      </c>
      <c r="X332" s="50"/>
      <c r="Y332" s="85">
        <f t="shared" si="288"/>
        <v>0</v>
      </c>
      <c r="Z332" s="82" t="str">
        <f t="shared" si="272"/>
        <v/>
      </c>
      <c r="AA332" s="50"/>
      <c r="AB332" s="85">
        <f t="shared" si="289"/>
        <v>0</v>
      </c>
      <c r="AC332" s="82" t="str">
        <f t="shared" si="273"/>
        <v/>
      </c>
      <c r="AD332" s="50"/>
      <c r="AE332" s="85">
        <f t="shared" si="290"/>
        <v>0</v>
      </c>
      <c r="AF332" s="82" t="str">
        <f t="shared" si="274"/>
        <v/>
      </c>
      <c r="AG332" s="50"/>
      <c r="AH332" s="85">
        <f t="shared" si="291"/>
        <v>0</v>
      </c>
      <c r="AI332" s="82" t="str">
        <f t="shared" si="275"/>
        <v/>
      </c>
      <c r="AJ332" s="50"/>
      <c r="AK332" s="85">
        <f t="shared" si="292"/>
        <v>0</v>
      </c>
      <c r="AL332" s="82" t="str">
        <f t="shared" si="276"/>
        <v/>
      </c>
      <c r="AM332" s="50"/>
      <c r="AN332" s="85">
        <f t="shared" si="293"/>
        <v>0</v>
      </c>
      <c r="AO332" s="82" t="str">
        <f t="shared" si="277"/>
        <v/>
      </c>
      <c r="AP332" s="48">
        <f t="shared" si="278"/>
        <v>0</v>
      </c>
      <c r="AQ332" s="85">
        <f t="shared" si="294"/>
        <v>0</v>
      </c>
      <c r="AR332" s="82" t="str">
        <f t="shared" si="279"/>
        <v/>
      </c>
      <c r="AS332" s="48">
        <f t="shared" si="280"/>
        <v>35</v>
      </c>
      <c r="AT332" s="85">
        <f t="shared" si="295"/>
        <v>1780.8000000000002</v>
      </c>
      <c r="AU332" s="82">
        <f t="shared" si="281"/>
        <v>1</v>
      </c>
    </row>
    <row r="333" spans="1:56" ht="90">
      <c r="A333" s="16"/>
      <c r="B333" s="97" t="s">
        <v>1290</v>
      </c>
      <c r="C333" s="167" t="s">
        <v>1291</v>
      </c>
      <c r="D333" s="86" t="s">
        <v>1292</v>
      </c>
      <c r="E333" s="97" t="s">
        <v>28</v>
      </c>
      <c r="F333" s="172">
        <v>435.54</v>
      </c>
      <c r="G333" s="97">
        <v>5</v>
      </c>
      <c r="H333" s="85">
        <f t="shared" si="282"/>
        <v>2177.7000000000003</v>
      </c>
      <c r="I333" s="50">
        <f t="shared" si="214"/>
        <v>0</v>
      </c>
      <c r="J333" s="85">
        <f t="shared" si="283"/>
        <v>0</v>
      </c>
      <c r="K333" s="82" t="str">
        <f t="shared" si="267"/>
        <v/>
      </c>
      <c r="L333" s="50"/>
      <c r="M333" s="85">
        <f t="shared" si="284"/>
        <v>0</v>
      </c>
      <c r="N333" s="82" t="str">
        <f t="shared" si="268"/>
        <v/>
      </c>
      <c r="O333" s="50"/>
      <c r="P333" s="85">
        <f t="shared" si="285"/>
        <v>0</v>
      </c>
      <c r="Q333" s="82" t="str">
        <f t="shared" si="269"/>
        <v/>
      </c>
      <c r="R333" s="50"/>
      <c r="S333" s="85">
        <f t="shared" si="286"/>
        <v>0</v>
      </c>
      <c r="T333" s="82" t="str">
        <f t="shared" si="270"/>
        <v/>
      </c>
      <c r="U333" s="50"/>
      <c r="V333" s="85">
        <f t="shared" si="287"/>
        <v>0</v>
      </c>
      <c r="W333" s="82" t="str">
        <f t="shared" si="271"/>
        <v/>
      </c>
      <c r="X333" s="50"/>
      <c r="Y333" s="85">
        <f t="shared" si="288"/>
        <v>0</v>
      </c>
      <c r="Z333" s="82" t="str">
        <f t="shared" si="272"/>
        <v/>
      </c>
      <c r="AA333" s="50"/>
      <c r="AB333" s="85">
        <f t="shared" si="289"/>
        <v>0</v>
      </c>
      <c r="AC333" s="82" t="str">
        <f t="shared" si="273"/>
        <v/>
      </c>
      <c r="AD333" s="50"/>
      <c r="AE333" s="85">
        <f t="shared" si="290"/>
        <v>0</v>
      </c>
      <c r="AF333" s="82" t="str">
        <f t="shared" si="274"/>
        <v/>
      </c>
      <c r="AG333" s="50"/>
      <c r="AH333" s="85">
        <f t="shared" si="291"/>
        <v>0</v>
      </c>
      <c r="AI333" s="82" t="str">
        <f t="shared" si="275"/>
        <v/>
      </c>
      <c r="AJ333" s="50"/>
      <c r="AK333" s="85">
        <f t="shared" si="292"/>
        <v>0</v>
      </c>
      <c r="AL333" s="82" t="str">
        <f t="shared" si="276"/>
        <v/>
      </c>
      <c r="AM333" s="50"/>
      <c r="AN333" s="85">
        <f t="shared" si="293"/>
        <v>0</v>
      </c>
      <c r="AO333" s="82" t="str">
        <f t="shared" si="277"/>
        <v/>
      </c>
      <c r="AP333" s="48">
        <f t="shared" si="278"/>
        <v>0</v>
      </c>
      <c r="AQ333" s="85">
        <f t="shared" si="294"/>
        <v>0</v>
      </c>
      <c r="AR333" s="82" t="str">
        <f t="shared" si="279"/>
        <v/>
      </c>
      <c r="AS333" s="48">
        <f t="shared" si="280"/>
        <v>5</v>
      </c>
      <c r="AT333" s="85">
        <f t="shared" si="295"/>
        <v>2177.7000000000003</v>
      </c>
      <c r="AU333" s="82">
        <f t="shared" si="281"/>
        <v>1</v>
      </c>
      <c r="AW333" s="51"/>
      <c r="AX333" s="51"/>
      <c r="AY333" s="51"/>
      <c r="AZ333" s="1927"/>
      <c r="BA333" s="1927"/>
      <c r="BB333" s="1927"/>
      <c r="BC333" s="1927"/>
      <c r="BD333" s="1927"/>
    </row>
    <row r="334" spans="1:56" ht="30">
      <c r="A334" s="16"/>
      <c r="B334" s="97" t="s">
        <v>1293</v>
      </c>
      <c r="C334" s="167" t="s">
        <v>1294</v>
      </c>
      <c r="D334" s="86" t="s">
        <v>1295</v>
      </c>
      <c r="E334" s="97" t="s">
        <v>44</v>
      </c>
      <c r="F334" s="172">
        <v>147.44999999999999</v>
      </c>
      <c r="G334" s="97">
        <v>12</v>
      </c>
      <c r="H334" s="85">
        <f t="shared" si="282"/>
        <v>1769.3999999999999</v>
      </c>
      <c r="I334" s="50">
        <f t="shared" si="214"/>
        <v>0</v>
      </c>
      <c r="J334" s="85">
        <f t="shared" si="283"/>
        <v>0</v>
      </c>
      <c r="K334" s="82" t="str">
        <f t="shared" si="267"/>
        <v/>
      </c>
      <c r="L334" s="50"/>
      <c r="M334" s="85">
        <f t="shared" si="284"/>
        <v>0</v>
      </c>
      <c r="N334" s="82" t="str">
        <f t="shared" si="268"/>
        <v/>
      </c>
      <c r="O334" s="50"/>
      <c r="P334" s="85">
        <f t="shared" si="285"/>
        <v>0</v>
      </c>
      <c r="Q334" s="82" t="str">
        <f t="shared" si="269"/>
        <v/>
      </c>
      <c r="R334" s="50"/>
      <c r="S334" s="85">
        <f t="shared" si="286"/>
        <v>0</v>
      </c>
      <c r="T334" s="82" t="str">
        <f t="shared" si="270"/>
        <v/>
      </c>
      <c r="U334" s="50"/>
      <c r="V334" s="85">
        <f t="shared" si="287"/>
        <v>0</v>
      </c>
      <c r="W334" s="82" t="str">
        <f t="shared" si="271"/>
        <v/>
      </c>
      <c r="X334" s="50"/>
      <c r="Y334" s="85">
        <f t="shared" si="288"/>
        <v>0</v>
      </c>
      <c r="Z334" s="82" t="str">
        <f t="shared" si="272"/>
        <v/>
      </c>
      <c r="AA334" s="50"/>
      <c r="AB334" s="85">
        <f t="shared" si="289"/>
        <v>0</v>
      </c>
      <c r="AC334" s="82" t="str">
        <f t="shared" si="273"/>
        <v/>
      </c>
      <c r="AD334" s="50"/>
      <c r="AE334" s="85">
        <f t="shared" si="290"/>
        <v>0</v>
      </c>
      <c r="AF334" s="82" t="str">
        <f t="shared" si="274"/>
        <v/>
      </c>
      <c r="AG334" s="50"/>
      <c r="AH334" s="85">
        <f t="shared" si="291"/>
        <v>0</v>
      </c>
      <c r="AI334" s="82" t="str">
        <f t="shared" si="275"/>
        <v/>
      </c>
      <c r="AJ334" s="50"/>
      <c r="AK334" s="85">
        <f t="shared" si="292"/>
        <v>0</v>
      </c>
      <c r="AL334" s="82" t="str">
        <f t="shared" si="276"/>
        <v/>
      </c>
      <c r="AM334" s="50"/>
      <c r="AN334" s="85">
        <f t="shared" si="293"/>
        <v>0</v>
      </c>
      <c r="AO334" s="82" t="str">
        <f t="shared" si="277"/>
        <v/>
      </c>
      <c r="AP334" s="48">
        <f t="shared" si="278"/>
        <v>0</v>
      </c>
      <c r="AQ334" s="85">
        <f t="shared" si="294"/>
        <v>0</v>
      </c>
      <c r="AR334" s="82" t="str">
        <f t="shared" si="279"/>
        <v/>
      </c>
      <c r="AS334" s="48">
        <f t="shared" si="280"/>
        <v>12</v>
      </c>
      <c r="AT334" s="85">
        <f t="shared" si="295"/>
        <v>1769.3999999999999</v>
      </c>
      <c r="AU334" s="82">
        <f t="shared" si="281"/>
        <v>1</v>
      </c>
      <c r="AW334" s="51"/>
      <c r="AX334" s="51"/>
      <c r="AY334" s="51"/>
      <c r="AZ334" s="1927"/>
      <c r="BA334" s="1927"/>
      <c r="BB334" s="1927"/>
      <c r="BC334" s="1927"/>
      <c r="BD334" s="1927"/>
    </row>
    <row r="335" spans="1:56" ht="30">
      <c r="A335" s="16"/>
      <c r="B335" s="97" t="s">
        <v>1296</v>
      </c>
      <c r="C335" s="167" t="s">
        <v>1297</v>
      </c>
      <c r="D335" s="86" t="s">
        <v>1298</v>
      </c>
      <c r="E335" s="97" t="s">
        <v>44</v>
      </c>
      <c r="F335" s="172">
        <v>61.95</v>
      </c>
      <c r="G335" s="97">
        <v>13</v>
      </c>
      <c r="H335" s="85">
        <f t="shared" si="282"/>
        <v>805.35</v>
      </c>
      <c r="I335" s="50">
        <f t="shared" si="214"/>
        <v>0</v>
      </c>
      <c r="J335" s="85">
        <f t="shared" si="283"/>
        <v>0</v>
      </c>
      <c r="K335" s="82" t="str">
        <f t="shared" si="267"/>
        <v/>
      </c>
      <c r="L335" s="50"/>
      <c r="M335" s="85">
        <f t="shared" si="284"/>
        <v>0</v>
      </c>
      <c r="N335" s="82" t="str">
        <f t="shared" si="268"/>
        <v/>
      </c>
      <c r="O335" s="50"/>
      <c r="P335" s="85">
        <f t="shared" si="285"/>
        <v>0</v>
      </c>
      <c r="Q335" s="82" t="str">
        <f t="shared" si="269"/>
        <v/>
      </c>
      <c r="R335" s="50"/>
      <c r="S335" s="85">
        <f t="shared" si="286"/>
        <v>0</v>
      </c>
      <c r="T335" s="82" t="str">
        <f t="shared" si="270"/>
        <v/>
      </c>
      <c r="U335" s="50"/>
      <c r="V335" s="85">
        <f t="shared" si="287"/>
        <v>0</v>
      </c>
      <c r="W335" s="82" t="str">
        <f t="shared" si="271"/>
        <v/>
      </c>
      <c r="X335" s="50"/>
      <c r="Y335" s="85">
        <f t="shared" si="288"/>
        <v>0</v>
      </c>
      <c r="Z335" s="82" t="str">
        <f t="shared" si="272"/>
        <v/>
      </c>
      <c r="AA335" s="50"/>
      <c r="AB335" s="85">
        <f t="shared" si="289"/>
        <v>0</v>
      </c>
      <c r="AC335" s="82" t="str">
        <f t="shared" si="273"/>
        <v/>
      </c>
      <c r="AD335" s="50"/>
      <c r="AE335" s="85">
        <f t="shared" si="290"/>
        <v>0</v>
      </c>
      <c r="AF335" s="82" t="str">
        <f t="shared" si="274"/>
        <v/>
      </c>
      <c r="AG335" s="50"/>
      <c r="AH335" s="85">
        <f t="shared" si="291"/>
        <v>0</v>
      </c>
      <c r="AI335" s="82" t="str">
        <f t="shared" si="275"/>
        <v/>
      </c>
      <c r="AJ335" s="50"/>
      <c r="AK335" s="85">
        <f t="shared" si="292"/>
        <v>0</v>
      </c>
      <c r="AL335" s="82" t="str">
        <f t="shared" si="276"/>
        <v/>
      </c>
      <c r="AM335" s="50"/>
      <c r="AN335" s="85">
        <f t="shared" si="293"/>
        <v>0</v>
      </c>
      <c r="AO335" s="82" t="str">
        <f t="shared" si="277"/>
        <v/>
      </c>
      <c r="AP335" s="48">
        <f t="shared" si="278"/>
        <v>0</v>
      </c>
      <c r="AQ335" s="85">
        <f t="shared" si="294"/>
        <v>0</v>
      </c>
      <c r="AR335" s="82" t="str">
        <f t="shared" si="279"/>
        <v/>
      </c>
      <c r="AS335" s="48">
        <f t="shared" si="280"/>
        <v>13</v>
      </c>
      <c r="AT335" s="85">
        <f t="shared" si="295"/>
        <v>805.35</v>
      </c>
      <c r="AU335" s="82">
        <f t="shared" si="281"/>
        <v>1</v>
      </c>
      <c r="AW335" s="51"/>
      <c r="AX335" s="51"/>
      <c r="AY335" s="51"/>
      <c r="AZ335" s="1927"/>
      <c r="BA335" s="1927"/>
      <c r="BB335" s="1927"/>
      <c r="BC335" s="1927"/>
      <c r="BD335" s="1927"/>
    </row>
    <row r="336" spans="1:56" ht="30">
      <c r="A336" s="16"/>
      <c r="B336" s="97" t="s">
        <v>1299</v>
      </c>
      <c r="C336" s="167" t="s">
        <v>1300</v>
      </c>
      <c r="D336" s="86" t="s">
        <v>1301</v>
      </c>
      <c r="E336" s="97" t="s">
        <v>44</v>
      </c>
      <c r="F336" s="172">
        <v>224.41</v>
      </c>
      <c r="G336" s="97">
        <v>6</v>
      </c>
      <c r="H336" s="85">
        <f t="shared" si="282"/>
        <v>1346.46</v>
      </c>
      <c r="I336" s="50">
        <f t="shared" si="214"/>
        <v>0</v>
      </c>
      <c r="J336" s="85">
        <f t="shared" si="283"/>
        <v>0</v>
      </c>
      <c r="K336" s="82" t="str">
        <f t="shared" si="267"/>
        <v/>
      </c>
      <c r="L336" s="50"/>
      <c r="M336" s="85">
        <f t="shared" si="284"/>
        <v>0</v>
      </c>
      <c r="N336" s="82" t="str">
        <f t="shared" si="268"/>
        <v/>
      </c>
      <c r="O336" s="50"/>
      <c r="P336" s="85">
        <f t="shared" si="285"/>
        <v>0</v>
      </c>
      <c r="Q336" s="82" t="str">
        <f t="shared" si="269"/>
        <v/>
      </c>
      <c r="R336" s="50"/>
      <c r="S336" s="85">
        <f t="shared" si="286"/>
        <v>0</v>
      </c>
      <c r="T336" s="82" t="str">
        <f t="shared" si="270"/>
        <v/>
      </c>
      <c r="U336" s="50"/>
      <c r="V336" s="85">
        <f t="shared" si="287"/>
        <v>0</v>
      </c>
      <c r="W336" s="82" t="str">
        <f t="shared" si="271"/>
        <v/>
      </c>
      <c r="X336" s="50"/>
      <c r="Y336" s="85">
        <f t="shared" si="288"/>
        <v>0</v>
      </c>
      <c r="Z336" s="82" t="str">
        <f t="shared" si="272"/>
        <v/>
      </c>
      <c r="AA336" s="50"/>
      <c r="AB336" s="85">
        <f t="shared" si="289"/>
        <v>0</v>
      </c>
      <c r="AC336" s="82" t="str">
        <f t="shared" si="273"/>
        <v/>
      </c>
      <c r="AD336" s="50"/>
      <c r="AE336" s="85">
        <f t="shared" si="290"/>
        <v>0</v>
      </c>
      <c r="AF336" s="82" t="str">
        <f t="shared" si="274"/>
        <v/>
      </c>
      <c r="AG336" s="50"/>
      <c r="AH336" s="85">
        <f t="shared" si="291"/>
        <v>0</v>
      </c>
      <c r="AI336" s="82" t="str">
        <f t="shared" si="275"/>
        <v/>
      </c>
      <c r="AJ336" s="50"/>
      <c r="AK336" s="85">
        <f t="shared" si="292"/>
        <v>0</v>
      </c>
      <c r="AL336" s="82" t="str">
        <f t="shared" si="276"/>
        <v/>
      </c>
      <c r="AM336" s="50"/>
      <c r="AN336" s="85">
        <f t="shared" si="293"/>
        <v>0</v>
      </c>
      <c r="AO336" s="82" t="str">
        <f t="shared" si="277"/>
        <v/>
      </c>
      <c r="AP336" s="48">
        <f t="shared" si="278"/>
        <v>0</v>
      </c>
      <c r="AQ336" s="85">
        <f t="shared" si="294"/>
        <v>0</v>
      </c>
      <c r="AR336" s="82" t="str">
        <f t="shared" si="279"/>
        <v/>
      </c>
      <c r="AS336" s="48">
        <f t="shared" si="280"/>
        <v>6</v>
      </c>
      <c r="AT336" s="85">
        <f t="shared" si="295"/>
        <v>1346.46</v>
      </c>
      <c r="AU336" s="82">
        <f t="shared" si="281"/>
        <v>1</v>
      </c>
      <c r="AW336" s="51"/>
      <c r="AX336" s="51"/>
      <c r="AY336" s="51"/>
      <c r="AZ336" s="1927"/>
      <c r="BA336" s="1927"/>
      <c r="BB336" s="1927"/>
      <c r="BC336" s="1927"/>
      <c r="BD336" s="1927"/>
    </row>
    <row r="337" spans="1:56" ht="45">
      <c r="A337" s="16"/>
      <c r="B337" s="97" t="s">
        <v>1302</v>
      </c>
      <c r="C337" s="167" t="s">
        <v>1303</v>
      </c>
      <c r="D337" s="86" t="s">
        <v>1304</v>
      </c>
      <c r="E337" s="97" t="s">
        <v>44</v>
      </c>
      <c r="F337" s="172">
        <v>31.28</v>
      </c>
      <c r="G337" s="97">
        <v>10</v>
      </c>
      <c r="H337" s="85">
        <f t="shared" si="282"/>
        <v>312.8</v>
      </c>
      <c r="I337" s="50">
        <f t="shared" si="214"/>
        <v>0</v>
      </c>
      <c r="J337" s="85">
        <f t="shared" si="283"/>
        <v>0</v>
      </c>
      <c r="K337" s="82" t="str">
        <f t="shared" si="267"/>
        <v/>
      </c>
      <c r="L337" s="50"/>
      <c r="M337" s="85">
        <f t="shared" si="284"/>
        <v>0</v>
      </c>
      <c r="N337" s="82" t="str">
        <f t="shared" si="268"/>
        <v/>
      </c>
      <c r="O337" s="50"/>
      <c r="P337" s="85">
        <f t="shared" si="285"/>
        <v>0</v>
      </c>
      <c r="Q337" s="82" t="str">
        <f t="shared" si="269"/>
        <v/>
      </c>
      <c r="R337" s="50"/>
      <c r="S337" s="85">
        <f t="shared" si="286"/>
        <v>0</v>
      </c>
      <c r="T337" s="82" t="str">
        <f t="shared" si="270"/>
        <v/>
      </c>
      <c r="U337" s="50"/>
      <c r="V337" s="85">
        <f t="shared" si="287"/>
        <v>0</v>
      </c>
      <c r="W337" s="82" t="str">
        <f t="shared" si="271"/>
        <v/>
      </c>
      <c r="X337" s="50"/>
      <c r="Y337" s="85">
        <f t="shared" si="288"/>
        <v>0</v>
      </c>
      <c r="Z337" s="82" t="str">
        <f t="shared" si="272"/>
        <v/>
      </c>
      <c r="AA337" s="50"/>
      <c r="AB337" s="85">
        <f t="shared" si="289"/>
        <v>0</v>
      </c>
      <c r="AC337" s="82" t="str">
        <f t="shared" si="273"/>
        <v/>
      </c>
      <c r="AD337" s="50"/>
      <c r="AE337" s="85">
        <f t="shared" si="290"/>
        <v>0</v>
      </c>
      <c r="AF337" s="82" t="str">
        <f t="shared" si="274"/>
        <v/>
      </c>
      <c r="AG337" s="50"/>
      <c r="AH337" s="85">
        <f t="shared" si="291"/>
        <v>0</v>
      </c>
      <c r="AI337" s="82" t="str">
        <f t="shared" si="275"/>
        <v/>
      </c>
      <c r="AJ337" s="50"/>
      <c r="AK337" s="85">
        <f t="shared" si="292"/>
        <v>0</v>
      </c>
      <c r="AL337" s="82" t="str">
        <f t="shared" si="276"/>
        <v/>
      </c>
      <c r="AM337" s="50"/>
      <c r="AN337" s="85">
        <f t="shared" si="293"/>
        <v>0</v>
      </c>
      <c r="AO337" s="82" t="str">
        <f t="shared" si="277"/>
        <v/>
      </c>
      <c r="AP337" s="48">
        <f t="shared" si="278"/>
        <v>0</v>
      </c>
      <c r="AQ337" s="85">
        <f t="shared" si="294"/>
        <v>0</v>
      </c>
      <c r="AR337" s="82" t="str">
        <f t="shared" si="279"/>
        <v/>
      </c>
      <c r="AS337" s="48">
        <f t="shared" si="280"/>
        <v>10</v>
      </c>
      <c r="AT337" s="85">
        <f t="shared" si="295"/>
        <v>312.8</v>
      </c>
      <c r="AU337" s="82">
        <f t="shared" si="281"/>
        <v>1</v>
      </c>
      <c r="AW337" s="51"/>
      <c r="AX337" s="51"/>
      <c r="AY337" s="51"/>
      <c r="AZ337" s="1940"/>
      <c r="BA337" s="1940"/>
      <c r="BB337" s="1940"/>
      <c r="BC337" s="1940"/>
      <c r="BD337" s="1940"/>
    </row>
    <row r="338" spans="1:56" ht="90">
      <c r="A338" s="16"/>
      <c r="B338" s="97" t="s">
        <v>1305</v>
      </c>
      <c r="C338" s="167" t="s">
        <v>1306</v>
      </c>
      <c r="D338" s="86" t="s">
        <v>1307</v>
      </c>
      <c r="E338" s="97" t="s">
        <v>28</v>
      </c>
      <c r="F338" s="172">
        <v>383.51</v>
      </c>
      <c r="G338" s="97">
        <v>4</v>
      </c>
      <c r="H338" s="85">
        <f t="shared" si="282"/>
        <v>1534.04</v>
      </c>
      <c r="I338" s="50">
        <f t="shared" si="214"/>
        <v>0</v>
      </c>
      <c r="J338" s="85">
        <f t="shared" si="283"/>
        <v>0</v>
      </c>
      <c r="K338" s="82" t="str">
        <f t="shared" si="267"/>
        <v/>
      </c>
      <c r="L338" s="50"/>
      <c r="M338" s="85">
        <f t="shared" si="284"/>
        <v>0</v>
      </c>
      <c r="N338" s="82" t="str">
        <f t="shared" si="268"/>
        <v/>
      </c>
      <c r="O338" s="50"/>
      <c r="P338" s="85">
        <f t="shared" si="285"/>
        <v>0</v>
      </c>
      <c r="Q338" s="82" t="str">
        <f t="shared" si="269"/>
        <v/>
      </c>
      <c r="R338" s="50"/>
      <c r="S338" s="85">
        <f t="shared" si="286"/>
        <v>0</v>
      </c>
      <c r="T338" s="82" t="str">
        <f t="shared" si="270"/>
        <v/>
      </c>
      <c r="U338" s="50"/>
      <c r="V338" s="85">
        <f t="shared" si="287"/>
        <v>0</v>
      </c>
      <c r="W338" s="82" t="str">
        <f t="shared" si="271"/>
        <v/>
      </c>
      <c r="X338" s="50"/>
      <c r="Y338" s="85">
        <f t="shared" si="288"/>
        <v>0</v>
      </c>
      <c r="Z338" s="82" t="str">
        <f t="shared" si="272"/>
        <v/>
      </c>
      <c r="AA338" s="50"/>
      <c r="AB338" s="85">
        <f t="shared" si="289"/>
        <v>0</v>
      </c>
      <c r="AC338" s="82" t="str">
        <f t="shared" si="273"/>
        <v/>
      </c>
      <c r="AD338" s="50"/>
      <c r="AE338" s="85">
        <f t="shared" si="290"/>
        <v>0</v>
      </c>
      <c r="AF338" s="82" t="str">
        <f t="shared" si="274"/>
        <v/>
      </c>
      <c r="AG338" s="50"/>
      <c r="AH338" s="85">
        <f t="shared" si="291"/>
        <v>0</v>
      </c>
      <c r="AI338" s="82" t="str">
        <f t="shared" si="275"/>
        <v/>
      </c>
      <c r="AJ338" s="50"/>
      <c r="AK338" s="85">
        <f t="shared" si="292"/>
        <v>0</v>
      </c>
      <c r="AL338" s="82" t="str">
        <f t="shared" si="276"/>
        <v/>
      </c>
      <c r="AM338" s="50"/>
      <c r="AN338" s="85">
        <f t="shared" si="293"/>
        <v>0</v>
      </c>
      <c r="AO338" s="82" t="str">
        <f t="shared" si="277"/>
        <v/>
      </c>
      <c r="AP338" s="48">
        <f t="shared" si="278"/>
        <v>0</v>
      </c>
      <c r="AQ338" s="85">
        <f t="shared" si="294"/>
        <v>0</v>
      </c>
      <c r="AR338" s="82" t="str">
        <f t="shared" si="279"/>
        <v/>
      </c>
      <c r="AS338" s="48">
        <f t="shared" si="280"/>
        <v>4</v>
      </c>
      <c r="AT338" s="85">
        <f t="shared" si="295"/>
        <v>1534.04</v>
      </c>
      <c r="AU338" s="82">
        <f t="shared" si="281"/>
        <v>1</v>
      </c>
      <c r="AW338" s="2"/>
      <c r="AX338" s="3"/>
      <c r="AY338" s="3"/>
      <c r="AZ338" s="4"/>
      <c r="BA338" s="3"/>
      <c r="BB338" s="1"/>
      <c r="BC338" s="5"/>
      <c r="BD338" s="1"/>
    </row>
    <row r="339" spans="1:56" ht="30">
      <c r="A339" s="16"/>
      <c r="B339" s="97" t="s">
        <v>1308</v>
      </c>
      <c r="C339" s="167" t="s">
        <v>1309</v>
      </c>
      <c r="D339" s="86" t="s">
        <v>1310</v>
      </c>
      <c r="E339" s="97" t="s">
        <v>28</v>
      </c>
      <c r="F339" s="172">
        <v>284.31</v>
      </c>
      <c r="G339" s="97">
        <v>2</v>
      </c>
      <c r="H339" s="85">
        <f t="shared" si="282"/>
        <v>568.62</v>
      </c>
      <c r="I339" s="50">
        <f t="shared" ref="I339:I402" si="296">L339+O339</f>
        <v>0</v>
      </c>
      <c r="J339" s="85">
        <f t="shared" si="283"/>
        <v>0</v>
      </c>
      <c r="K339" s="82" t="str">
        <f t="shared" si="267"/>
        <v/>
      </c>
      <c r="L339" s="50"/>
      <c r="M339" s="85">
        <f t="shared" si="284"/>
        <v>0</v>
      </c>
      <c r="N339" s="82" t="str">
        <f t="shared" si="268"/>
        <v/>
      </c>
      <c r="O339" s="50"/>
      <c r="P339" s="85">
        <f t="shared" si="285"/>
        <v>0</v>
      </c>
      <c r="Q339" s="82" t="str">
        <f t="shared" si="269"/>
        <v/>
      </c>
      <c r="R339" s="50"/>
      <c r="S339" s="85">
        <f t="shared" si="286"/>
        <v>0</v>
      </c>
      <c r="T339" s="82" t="str">
        <f t="shared" si="270"/>
        <v/>
      </c>
      <c r="U339" s="50"/>
      <c r="V339" s="85">
        <f t="shared" si="287"/>
        <v>0</v>
      </c>
      <c r="W339" s="82" t="str">
        <f t="shared" si="271"/>
        <v/>
      </c>
      <c r="X339" s="50"/>
      <c r="Y339" s="85">
        <f t="shared" si="288"/>
        <v>0</v>
      </c>
      <c r="Z339" s="82" t="str">
        <f t="shared" si="272"/>
        <v/>
      </c>
      <c r="AA339" s="50"/>
      <c r="AB339" s="85">
        <f t="shared" si="289"/>
        <v>0</v>
      </c>
      <c r="AC339" s="82" t="str">
        <f t="shared" si="273"/>
        <v/>
      </c>
      <c r="AD339" s="50"/>
      <c r="AE339" s="85">
        <f t="shared" si="290"/>
        <v>0</v>
      </c>
      <c r="AF339" s="82" t="str">
        <f t="shared" si="274"/>
        <v/>
      </c>
      <c r="AG339" s="50"/>
      <c r="AH339" s="85">
        <f t="shared" si="291"/>
        <v>0</v>
      </c>
      <c r="AI339" s="82" t="str">
        <f t="shared" si="275"/>
        <v/>
      </c>
      <c r="AJ339" s="50"/>
      <c r="AK339" s="85">
        <f t="shared" si="292"/>
        <v>0</v>
      </c>
      <c r="AL339" s="82" t="str">
        <f t="shared" si="276"/>
        <v/>
      </c>
      <c r="AM339" s="50"/>
      <c r="AN339" s="85">
        <f t="shared" si="293"/>
        <v>0</v>
      </c>
      <c r="AO339" s="82" t="str">
        <f t="shared" si="277"/>
        <v/>
      </c>
      <c r="AP339" s="48">
        <f t="shared" si="278"/>
        <v>0</v>
      </c>
      <c r="AQ339" s="85">
        <f t="shared" si="294"/>
        <v>0</v>
      </c>
      <c r="AR339" s="82" t="str">
        <f t="shared" si="279"/>
        <v/>
      </c>
      <c r="AS339" s="48">
        <f t="shared" si="280"/>
        <v>2</v>
      </c>
      <c r="AT339" s="85">
        <f t="shared" si="295"/>
        <v>568.62</v>
      </c>
      <c r="AU339" s="82">
        <f t="shared" si="281"/>
        <v>1</v>
      </c>
    </row>
    <row r="340" spans="1:56" ht="30">
      <c r="A340" s="16"/>
      <c r="B340" s="97" t="s">
        <v>1311</v>
      </c>
      <c r="C340" s="167" t="s">
        <v>1312</v>
      </c>
      <c r="D340" s="86" t="s">
        <v>1313</v>
      </c>
      <c r="E340" s="97" t="s">
        <v>44</v>
      </c>
      <c r="F340" s="172">
        <v>257.89999999999998</v>
      </c>
      <c r="G340" s="97">
        <v>60</v>
      </c>
      <c r="H340" s="85">
        <f t="shared" si="282"/>
        <v>15473.999999999998</v>
      </c>
      <c r="I340" s="50">
        <f t="shared" si="296"/>
        <v>0</v>
      </c>
      <c r="J340" s="85">
        <f t="shared" si="283"/>
        <v>0</v>
      </c>
      <c r="K340" s="82" t="str">
        <f t="shared" si="267"/>
        <v/>
      </c>
      <c r="L340" s="50"/>
      <c r="M340" s="85">
        <f t="shared" si="284"/>
        <v>0</v>
      </c>
      <c r="N340" s="82" t="str">
        <f t="shared" si="268"/>
        <v/>
      </c>
      <c r="O340" s="50"/>
      <c r="P340" s="85">
        <f t="shared" si="285"/>
        <v>0</v>
      </c>
      <c r="Q340" s="82" t="str">
        <f t="shared" si="269"/>
        <v/>
      </c>
      <c r="R340" s="50"/>
      <c r="S340" s="85">
        <f t="shared" si="286"/>
        <v>0</v>
      </c>
      <c r="T340" s="82" t="str">
        <f t="shared" si="270"/>
        <v/>
      </c>
      <c r="U340" s="50"/>
      <c r="V340" s="85">
        <f t="shared" si="287"/>
        <v>0</v>
      </c>
      <c r="W340" s="82" t="str">
        <f t="shared" si="271"/>
        <v/>
      </c>
      <c r="X340" s="50"/>
      <c r="Y340" s="85">
        <f t="shared" si="288"/>
        <v>0</v>
      </c>
      <c r="Z340" s="82" t="str">
        <f t="shared" si="272"/>
        <v/>
      </c>
      <c r="AA340" s="50"/>
      <c r="AB340" s="85">
        <f t="shared" si="289"/>
        <v>0</v>
      </c>
      <c r="AC340" s="82" t="str">
        <f t="shared" si="273"/>
        <v/>
      </c>
      <c r="AD340" s="50"/>
      <c r="AE340" s="85">
        <f t="shared" si="290"/>
        <v>0</v>
      </c>
      <c r="AF340" s="82" t="str">
        <f t="shared" si="274"/>
        <v/>
      </c>
      <c r="AG340" s="50"/>
      <c r="AH340" s="85">
        <f t="shared" si="291"/>
        <v>0</v>
      </c>
      <c r="AI340" s="82" t="str">
        <f t="shared" si="275"/>
        <v/>
      </c>
      <c r="AJ340" s="50"/>
      <c r="AK340" s="85">
        <f t="shared" si="292"/>
        <v>0</v>
      </c>
      <c r="AL340" s="82" t="str">
        <f t="shared" si="276"/>
        <v/>
      </c>
      <c r="AM340" s="50"/>
      <c r="AN340" s="85">
        <f t="shared" si="293"/>
        <v>0</v>
      </c>
      <c r="AO340" s="82" t="str">
        <f t="shared" si="277"/>
        <v/>
      </c>
      <c r="AP340" s="48">
        <f t="shared" si="278"/>
        <v>0</v>
      </c>
      <c r="AQ340" s="85">
        <f t="shared" si="294"/>
        <v>0</v>
      </c>
      <c r="AR340" s="82" t="str">
        <f t="shared" si="279"/>
        <v/>
      </c>
      <c r="AS340" s="48">
        <f t="shared" si="280"/>
        <v>60</v>
      </c>
      <c r="AT340" s="85">
        <f t="shared" si="295"/>
        <v>15473.999999999998</v>
      </c>
      <c r="AU340" s="82">
        <f t="shared" si="281"/>
        <v>1</v>
      </c>
    </row>
    <row r="341" spans="1:56" ht="30">
      <c r="A341" s="16"/>
      <c r="B341" s="97" t="s">
        <v>1314</v>
      </c>
      <c r="C341" s="167" t="s">
        <v>1315</v>
      </c>
      <c r="D341" s="86" t="s">
        <v>1316</v>
      </c>
      <c r="E341" s="97" t="s">
        <v>28</v>
      </c>
      <c r="F341" s="172">
        <v>714.07</v>
      </c>
      <c r="G341" s="97">
        <v>2</v>
      </c>
      <c r="H341" s="85">
        <f t="shared" si="282"/>
        <v>1428.14</v>
      </c>
      <c r="I341" s="50">
        <f t="shared" si="296"/>
        <v>0</v>
      </c>
      <c r="J341" s="85">
        <f t="shared" si="283"/>
        <v>0</v>
      </c>
      <c r="K341" s="82" t="str">
        <f t="shared" si="267"/>
        <v/>
      </c>
      <c r="L341" s="50"/>
      <c r="M341" s="85">
        <f t="shared" si="284"/>
        <v>0</v>
      </c>
      <c r="N341" s="82" t="str">
        <f t="shared" si="268"/>
        <v/>
      </c>
      <c r="O341" s="50"/>
      <c r="P341" s="85">
        <f t="shared" si="285"/>
        <v>0</v>
      </c>
      <c r="Q341" s="82" t="str">
        <f t="shared" si="269"/>
        <v/>
      </c>
      <c r="R341" s="50"/>
      <c r="S341" s="85">
        <f t="shared" si="286"/>
        <v>0</v>
      </c>
      <c r="T341" s="82" t="str">
        <f t="shared" si="270"/>
        <v/>
      </c>
      <c r="U341" s="50"/>
      <c r="V341" s="85">
        <f t="shared" si="287"/>
        <v>0</v>
      </c>
      <c r="W341" s="82" t="str">
        <f t="shared" si="271"/>
        <v/>
      </c>
      <c r="X341" s="50"/>
      <c r="Y341" s="85">
        <f t="shared" si="288"/>
        <v>0</v>
      </c>
      <c r="Z341" s="82" t="str">
        <f t="shared" si="272"/>
        <v/>
      </c>
      <c r="AA341" s="50"/>
      <c r="AB341" s="85">
        <f t="shared" si="289"/>
        <v>0</v>
      </c>
      <c r="AC341" s="82" t="str">
        <f t="shared" si="273"/>
        <v/>
      </c>
      <c r="AD341" s="50"/>
      <c r="AE341" s="85">
        <f t="shared" si="290"/>
        <v>0</v>
      </c>
      <c r="AF341" s="82" t="str">
        <f t="shared" si="274"/>
        <v/>
      </c>
      <c r="AG341" s="50"/>
      <c r="AH341" s="85">
        <f t="shared" si="291"/>
        <v>0</v>
      </c>
      <c r="AI341" s="82" t="str">
        <f t="shared" si="275"/>
        <v/>
      </c>
      <c r="AJ341" s="50"/>
      <c r="AK341" s="85">
        <f t="shared" si="292"/>
        <v>0</v>
      </c>
      <c r="AL341" s="82" t="str">
        <f t="shared" si="276"/>
        <v/>
      </c>
      <c r="AM341" s="50"/>
      <c r="AN341" s="85">
        <f t="shared" si="293"/>
        <v>0</v>
      </c>
      <c r="AO341" s="82" t="str">
        <f t="shared" si="277"/>
        <v/>
      </c>
      <c r="AP341" s="48">
        <f t="shared" si="278"/>
        <v>0</v>
      </c>
      <c r="AQ341" s="85">
        <f t="shared" si="294"/>
        <v>0</v>
      </c>
      <c r="AR341" s="82" t="str">
        <f t="shared" si="279"/>
        <v/>
      </c>
      <c r="AS341" s="48">
        <f t="shared" si="280"/>
        <v>2</v>
      </c>
      <c r="AT341" s="85">
        <f t="shared" si="295"/>
        <v>1428.14</v>
      </c>
      <c r="AU341" s="82">
        <f t="shared" si="281"/>
        <v>1</v>
      </c>
    </row>
    <row r="342" spans="1:56" ht="30">
      <c r="A342" s="16"/>
      <c r="B342" s="97" t="s">
        <v>1317</v>
      </c>
      <c r="C342" s="167" t="s">
        <v>1318</v>
      </c>
      <c r="D342" s="86" t="s">
        <v>1319</v>
      </c>
      <c r="E342" s="97" t="s">
        <v>28</v>
      </c>
      <c r="F342" s="172">
        <v>703.13</v>
      </c>
      <c r="G342" s="97">
        <v>2</v>
      </c>
      <c r="H342" s="85">
        <f t="shared" si="282"/>
        <v>1406.26</v>
      </c>
      <c r="I342" s="50">
        <f t="shared" si="296"/>
        <v>0</v>
      </c>
      <c r="J342" s="85">
        <f t="shared" si="283"/>
        <v>0</v>
      </c>
      <c r="K342" s="82" t="str">
        <f t="shared" si="267"/>
        <v/>
      </c>
      <c r="L342" s="50"/>
      <c r="M342" s="85">
        <f t="shared" si="284"/>
        <v>0</v>
      </c>
      <c r="N342" s="82" t="str">
        <f t="shared" si="268"/>
        <v/>
      </c>
      <c r="O342" s="50"/>
      <c r="P342" s="85">
        <f t="shared" si="285"/>
        <v>0</v>
      </c>
      <c r="Q342" s="82" t="str">
        <f t="shared" si="269"/>
        <v/>
      </c>
      <c r="R342" s="50"/>
      <c r="S342" s="85">
        <f t="shared" si="286"/>
        <v>0</v>
      </c>
      <c r="T342" s="82" t="str">
        <f t="shared" si="270"/>
        <v/>
      </c>
      <c r="U342" s="50"/>
      <c r="V342" s="85">
        <f t="shared" si="287"/>
        <v>0</v>
      </c>
      <c r="W342" s="82" t="str">
        <f t="shared" si="271"/>
        <v/>
      </c>
      <c r="X342" s="50"/>
      <c r="Y342" s="85">
        <f t="shared" si="288"/>
        <v>0</v>
      </c>
      <c r="Z342" s="82" t="str">
        <f t="shared" si="272"/>
        <v/>
      </c>
      <c r="AA342" s="50"/>
      <c r="AB342" s="85">
        <f t="shared" si="289"/>
        <v>0</v>
      </c>
      <c r="AC342" s="82" t="str">
        <f t="shared" si="273"/>
        <v/>
      </c>
      <c r="AD342" s="50"/>
      <c r="AE342" s="85">
        <f t="shared" si="290"/>
        <v>0</v>
      </c>
      <c r="AF342" s="82" t="str">
        <f t="shared" si="274"/>
        <v/>
      </c>
      <c r="AG342" s="50"/>
      <c r="AH342" s="85">
        <f t="shared" si="291"/>
        <v>0</v>
      </c>
      <c r="AI342" s="82" t="str">
        <f t="shared" si="275"/>
        <v/>
      </c>
      <c r="AJ342" s="50"/>
      <c r="AK342" s="85">
        <f t="shared" si="292"/>
        <v>0</v>
      </c>
      <c r="AL342" s="82" t="str">
        <f t="shared" si="276"/>
        <v/>
      </c>
      <c r="AM342" s="50"/>
      <c r="AN342" s="85">
        <f t="shared" si="293"/>
        <v>0</v>
      </c>
      <c r="AO342" s="82" t="str">
        <f t="shared" si="277"/>
        <v/>
      </c>
      <c r="AP342" s="48">
        <f t="shared" si="278"/>
        <v>0</v>
      </c>
      <c r="AQ342" s="85">
        <f t="shared" si="294"/>
        <v>0</v>
      </c>
      <c r="AR342" s="82" t="str">
        <f t="shared" si="279"/>
        <v/>
      </c>
      <c r="AS342" s="48">
        <f t="shared" si="280"/>
        <v>2</v>
      </c>
      <c r="AT342" s="85">
        <f t="shared" si="295"/>
        <v>1406.26</v>
      </c>
      <c r="AU342" s="82">
        <f t="shared" si="281"/>
        <v>1</v>
      </c>
    </row>
    <row r="343" spans="1:56" ht="30">
      <c r="A343" s="16"/>
      <c r="B343" s="97" t="s">
        <v>1320</v>
      </c>
      <c r="C343" s="167" t="s">
        <v>1321</v>
      </c>
      <c r="D343" s="86" t="s">
        <v>1322</v>
      </c>
      <c r="E343" s="97" t="s">
        <v>28</v>
      </c>
      <c r="F343" s="172">
        <v>4503.38</v>
      </c>
      <c r="G343" s="97">
        <v>1</v>
      </c>
      <c r="H343" s="85">
        <f t="shared" si="282"/>
        <v>4503.38</v>
      </c>
      <c r="I343" s="50">
        <f t="shared" si="296"/>
        <v>0</v>
      </c>
      <c r="J343" s="85">
        <f t="shared" si="283"/>
        <v>0</v>
      </c>
      <c r="K343" s="82" t="str">
        <f t="shared" si="267"/>
        <v/>
      </c>
      <c r="L343" s="50"/>
      <c r="M343" s="85">
        <f t="shared" si="284"/>
        <v>0</v>
      </c>
      <c r="N343" s="82" t="str">
        <f t="shared" si="268"/>
        <v/>
      </c>
      <c r="O343" s="50"/>
      <c r="P343" s="85">
        <f t="shared" si="285"/>
        <v>0</v>
      </c>
      <c r="Q343" s="82" t="str">
        <f t="shared" si="269"/>
        <v/>
      </c>
      <c r="R343" s="50"/>
      <c r="S343" s="85">
        <f t="shared" si="286"/>
        <v>0</v>
      </c>
      <c r="T343" s="82" t="str">
        <f t="shared" si="270"/>
        <v/>
      </c>
      <c r="U343" s="50"/>
      <c r="V343" s="85">
        <f t="shared" si="287"/>
        <v>0</v>
      </c>
      <c r="W343" s="82" t="str">
        <f t="shared" si="271"/>
        <v/>
      </c>
      <c r="X343" s="50"/>
      <c r="Y343" s="85">
        <f t="shared" si="288"/>
        <v>0</v>
      </c>
      <c r="Z343" s="82" t="str">
        <f t="shared" si="272"/>
        <v/>
      </c>
      <c r="AA343" s="50"/>
      <c r="AB343" s="85">
        <f t="shared" si="289"/>
        <v>0</v>
      </c>
      <c r="AC343" s="82" t="str">
        <f t="shared" si="273"/>
        <v/>
      </c>
      <c r="AD343" s="50"/>
      <c r="AE343" s="85">
        <f t="shared" si="290"/>
        <v>0</v>
      </c>
      <c r="AF343" s="82" t="str">
        <f t="shared" si="274"/>
        <v/>
      </c>
      <c r="AG343" s="50"/>
      <c r="AH343" s="85">
        <f t="shared" si="291"/>
        <v>0</v>
      </c>
      <c r="AI343" s="82" t="str">
        <f t="shared" si="275"/>
        <v/>
      </c>
      <c r="AJ343" s="50"/>
      <c r="AK343" s="85">
        <f t="shared" si="292"/>
        <v>0</v>
      </c>
      <c r="AL343" s="82" t="str">
        <f t="shared" si="276"/>
        <v/>
      </c>
      <c r="AM343" s="50"/>
      <c r="AN343" s="85">
        <f t="shared" si="293"/>
        <v>0</v>
      </c>
      <c r="AO343" s="82" t="str">
        <f t="shared" si="277"/>
        <v/>
      </c>
      <c r="AP343" s="48">
        <f t="shared" si="278"/>
        <v>0</v>
      </c>
      <c r="AQ343" s="85">
        <f t="shared" si="294"/>
        <v>0</v>
      </c>
      <c r="AR343" s="82" t="str">
        <f t="shared" si="279"/>
        <v/>
      </c>
      <c r="AS343" s="48">
        <f t="shared" si="280"/>
        <v>1</v>
      </c>
      <c r="AT343" s="85">
        <f t="shared" si="295"/>
        <v>4503.38</v>
      </c>
      <c r="AU343" s="82">
        <f t="shared" si="281"/>
        <v>1</v>
      </c>
    </row>
    <row r="344" spans="1:56" ht="30">
      <c r="A344" s="16"/>
      <c r="B344" s="97" t="s">
        <v>1323</v>
      </c>
      <c r="C344" s="167" t="s">
        <v>288</v>
      </c>
      <c r="D344" s="86" t="s">
        <v>289</v>
      </c>
      <c r="E344" s="97" t="s">
        <v>44</v>
      </c>
      <c r="F344" s="172">
        <v>2.2799999999999998</v>
      </c>
      <c r="G344" s="97">
        <v>21</v>
      </c>
      <c r="H344" s="85">
        <f t="shared" si="282"/>
        <v>47.879999999999995</v>
      </c>
      <c r="I344" s="50">
        <f t="shared" si="296"/>
        <v>0</v>
      </c>
      <c r="J344" s="85">
        <f t="shared" si="283"/>
        <v>0</v>
      </c>
      <c r="K344" s="82" t="str">
        <f t="shared" si="267"/>
        <v/>
      </c>
      <c r="L344" s="50"/>
      <c r="M344" s="85">
        <f t="shared" si="284"/>
        <v>0</v>
      </c>
      <c r="N344" s="82" t="str">
        <f t="shared" si="268"/>
        <v/>
      </c>
      <c r="O344" s="50"/>
      <c r="P344" s="85">
        <f t="shared" si="285"/>
        <v>0</v>
      </c>
      <c r="Q344" s="82" t="str">
        <f t="shared" si="269"/>
        <v/>
      </c>
      <c r="R344" s="50"/>
      <c r="S344" s="85">
        <f t="shared" si="286"/>
        <v>0</v>
      </c>
      <c r="T344" s="82" t="str">
        <f t="shared" si="270"/>
        <v/>
      </c>
      <c r="U344" s="50"/>
      <c r="V344" s="85">
        <f t="shared" si="287"/>
        <v>0</v>
      </c>
      <c r="W344" s="82" t="str">
        <f t="shared" si="271"/>
        <v/>
      </c>
      <c r="X344" s="50"/>
      <c r="Y344" s="85">
        <f t="shared" si="288"/>
        <v>0</v>
      </c>
      <c r="Z344" s="82" t="str">
        <f t="shared" si="272"/>
        <v/>
      </c>
      <c r="AA344" s="50"/>
      <c r="AB344" s="85">
        <f t="shared" si="289"/>
        <v>0</v>
      </c>
      <c r="AC344" s="82" t="str">
        <f t="shared" si="273"/>
        <v/>
      </c>
      <c r="AD344" s="50"/>
      <c r="AE344" s="85">
        <f t="shared" si="290"/>
        <v>0</v>
      </c>
      <c r="AF344" s="82" t="str">
        <f t="shared" si="274"/>
        <v/>
      </c>
      <c r="AG344" s="50"/>
      <c r="AH344" s="85">
        <f t="shared" si="291"/>
        <v>0</v>
      </c>
      <c r="AI344" s="82" t="str">
        <f t="shared" si="275"/>
        <v/>
      </c>
      <c r="AJ344" s="50"/>
      <c r="AK344" s="85">
        <f t="shared" si="292"/>
        <v>0</v>
      </c>
      <c r="AL344" s="82" t="str">
        <f t="shared" si="276"/>
        <v/>
      </c>
      <c r="AM344" s="50"/>
      <c r="AN344" s="85">
        <f t="shared" si="293"/>
        <v>0</v>
      </c>
      <c r="AO344" s="82" t="str">
        <f t="shared" si="277"/>
        <v/>
      </c>
      <c r="AP344" s="48">
        <f t="shared" si="278"/>
        <v>0</v>
      </c>
      <c r="AQ344" s="85">
        <f t="shared" si="294"/>
        <v>0</v>
      </c>
      <c r="AR344" s="82" t="str">
        <f t="shared" si="279"/>
        <v/>
      </c>
      <c r="AS344" s="48">
        <f t="shared" si="280"/>
        <v>21</v>
      </c>
      <c r="AT344" s="85">
        <f t="shared" si="295"/>
        <v>47.879999999999995</v>
      </c>
      <c r="AU344" s="82">
        <f t="shared" si="281"/>
        <v>1</v>
      </c>
    </row>
    <row r="345" spans="1:56" ht="30">
      <c r="A345" s="16"/>
      <c r="B345" s="97" t="s">
        <v>1324</v>
      </c>
      <c r="C345" s="167" t="s">
        <v>1325</v>
      </c>
      <c r="D345" s="86" t="s">
        <v>1326</v>
      </c>
      <c r="E345" s="97" t="s">
        <v>28</v>
      </c>
      <c r="F345" s="172">
        <v>180.44</v>
      </c>
      <c r="G345" s="97">
        <v>60</v>
      </c>
      <c r="H345" s="85">
        <f t="shared" si="282"/>
        <v>10826.4</v>
      </c>
      <c r="I345" s="50">
        <f t="shared" si="296"/>
        <v>0</v>
      </c>
      <c r="J345" s="85">
        <f t="shared" si="283"/>
        <v>0</v>
      </c>
      <c r="K345" s="82" t="str">
        <f t="shared" si="267"/>
        <v/>
      </c>
      <c r="L345" s="50"/>
      <c r="M345" s="85">
        <f t="shared" si="284"/>
        <v>0</v>
      </c>
      <c r="N345" s="82" t="str">
        <f t="shared" si="268"/>
        <v/>
      </c>
      <c r="O345" s="50"/>
      <c r="P345" s="85">
        <f t="shared" si="285"/>
        <v>0</v>
      </c>
      <c r="Q345" s="82" t="str">
        <f t="shared" si="269"/>
        <v/>
      </c>
      <c r="R345" s="50"/>
      <c r="S345" s="85">
        <f t="shared" si="286"/>
        <v>0</v>
      </c>
      <c r="T345" s="82" t="str">
        <f t="shared" si="270"/>
        <v/>
      </c>
      <c r="U345" s="50"/>
      <c r="V345" s="85">
        <f t="shared" si="287"/>
        <v>0</v>
      </c>
      <c r="W345" s="82" t="str">
        <f t="shared" si="271"/>
        <v/>
      </c>
      <c r="X345" s="50"/>
      <c r="Y345" s="85">
        <f t="shared" si="288"/>
        <v>0</v>
      </c>
      <c r="Z345" s="82" t="str">
        <f t="shared" si="272"/>
        <v/>
      </c>
      <c r="AA345" s="50"/>
      <c r="AB345" s="85">
        <f t="shared" si="289"/>
        <v>0</v>
      </c>
      <c r="AC345" s="82" t="str">
        <f t="shared" si="273"/>
        <v/>
      </c>
      <c r="AD345" s="50"/>
      <c r="AE345" s="85">
        <f t="shared" si="290"/>
        <v>0</v>
      </c>
      <c r="AF345" s="82" t="str">
        <f t="shared" si="274"/>
        <v/>
      </c>
      <c r="AG345" s="50"/>
      <c r="AH345" s="85">
        <f t="shared" si="291"/>
        <v>0</v>
      </c>
      <c r="AI345" s="82" t="str">
        <f t="shared" si="275"/>
        <v/>
      </c>
      <c r="AJ345" s="50"/>
      <c r="AK345" s="85">
        <f t="shared" si="292"/>
        <v>0</v>
      </c>
      <c r="AL345" s="82" t="str">
        <f t="shared" si="276"/>
        <v/>
      </c>
      <c r="AM345" s="50"/>
      <c r="AN345" s="85">
        <f t="shared" si="293"/>
        <v>0</v>
      </c>
      <c r="AO345" s="82" t="str">
        <f t="shared" si="277"/>
        <v/>
      </c>
      <c r="AP345" s="48">
        <f t="shared" si="278"/>
        <v>0</v>
      </c>
      <c r="AQ345" s="85">
        <f t="shared" si="294"/>
        <v>0</v>
      </c>
      <c r="AR345" s="82" t="str">
        <f t="shared" si="279"/>
        <v/>
      </c>
      <c r="AS345" s="48">
        <f t="shared" si="280"/>
        <v>60</v>
      </c>
      <c r="AT345" s="85">
        <f t="shared" si="295"/>
        <v>10826.4</v>
      </c>
      <c r="AU345" s="82">
        <f t="shared" si="281"/>
        <v>1</v>
      </c>
    </row>
    <row r="346" spans="1:56">
      <c r="A346" s="16"/>
      <c r="B346" s="97" t="s">
        <v>1327</v>
      </c>
      <c r="C346" s="167" t="s">
        <v>1328</v>
      </c>
      <c r="D346" s="86" t="s">
        <v>1329</v>
      </c>
      <c r="E346" s="97" t="s">
        <v>28</v>
      </c>
      <c r="F346" s="172">
        <v>62.11</v>
      </c>
      <c r="G346" s="97">
        <v>4</v>
      </c>
      <c r="H346" s="85">
        <f t="shared" si="282"/>
        <v>248.44</v>
      </c>
      <c r="I346" s="50">
        <f t="shared" si="296"/>
        <v>0</v>
      </c>
      <c r="J346" s="85">
        <f t="shared" si="283"/>
        <v>0</v>
      </c>
      <c r="K346" s="82" t="str">
        <f t="shared" si="267"/>
        <v/>
      </c>
      <c r="L346" s="50"/>
      <c r="M346" s="85">
        <f t="shared" si="284"/>
        <v>0</v>
      </c>
      <c r="N346" s="82" t="str">
        <f t="shared" si="268"/>
        <v/>
      </c>
      <c r="O346" s="50"/>
      <c r="P346" s="85">
        <f t="shared" si="285"/>
        <v>0</v>
      </c>
      <c r="Q346" s="82" t="str">
        <f t="shared" si="269"/>
        <v/>
      </c>
      <c r="R346" s="50"/>
      <c r="S346" s="85">
        <f t="shared" si="286"/>
        <v>0</v>
      </c>
      <c r="T346" s="82" t="str">
        <f t="shared" si="270"/>
        <v/>
      </c>
      <c r="U346" s="50"/>
      <c r="V346" s="85">
        <f t="shared" si="287"/>
        <v>0</v>
      </c>
      <c r="W346" s="82" t="str">
        <f t="shared" si="271"/>
        <v/>
      </c>
      <c r="X346" s="50"/>
      <c r="Y346" s="85">
        <f t="shared" si="288"/>
        <v>0</v>
      </c>
      <c r="Z346" s="82" t="str">
        <f t="shared" si="272"/>
        <v/>
      </c>
      <c r="AA346" s="50"/>
      <c r="AB346" s="85">
        <f t="shared" si="289"/>
        <v>0</v>
      </c>
      <c r="AC346" s="82" t="str">
        <f t="shared" si="273"/>
        <v/>
      </c>
      <c r="AD346" s="50"/>
      <c r="AE346" s="85">
        <f t="shared" si="290"/>
        <v>0</v>
      </c>
      <c r="AF346" s="82" t="str">
        <f t="shared" si="274"/>
        <v/>
      </c>
      <c r="AG346" s="50"/>
      <c r="AH346" s="85">
        <f t="shared" si="291"/>
        <v>0</v>
      </c>
      <c r="AI346" s="82" t="str">
        <f t="shared" si="275"/>
        <v/>
      </c>
      <c r="AJ346" s="50"/>
      <c r="AK346" s="85">
        <f t="shared" si="292"/>
        <v>0</v>
      </c>
      <c r="AL346" s="82" t="str">
        <f t="shared" si="276"/>
        <v/>
      </c>
      <c r="AM346" s="50"/>
      <c r="AN346" s="85">
        <f t="shared" si="293"/>
        <v>0</v>
      </c>
      <c r="AO346" s="82" t="str">
        <f t="shared" si="277"/>
        <v/>
      </c>
      <c r="AP346" s="48">
        <f t="shared" si="278"/>
        <v>0</v>
      </c>
      <c r="AQ346" s="85">
        <f t="shared" si="294"/>
        <v>0</v>
      </c>
      <c r="AR346" s="82" t="str">
        <f t="shared" si="279"/>
        <v/>
      </c>
      <c r="AS346" s="48">
        <f t="shared" si="280"/>
        <v>4</v>
      </c>
      <c r="AT346" s="85">
        <f t="shared" si="295"/>
        <v>248.44</v>
      </c>
      <c r="AU346" s="82">
        <f t="shared" si="281"/>
        <v>1</v>
      </c>
    </row>
    <row r="347" spans="1:56" ht="210">
      <c r="A347" s="16"/>
      <c r="B347" s="119" t="s">
        <v>1330</v>
      </c>
      <c r="C347" s="168" t="s">
        <v>1331</v>
      </c>
      <c r="D347" s="87" t="s">
        <v>2136</v>
      </c>
      <c r="E347" s="98" t="s">
        <v>28</v>
      </c>
      <c r="F347" s="172">
        <v>97584.74</v>
      </c>
      <c r="G347" s="148">
        <v>1</v>
      </c>
      <c r="H347" s="85">
        <f t="shared" si="282"/>
        <v>97584.74</v>
      </c>
      <c r="I347" s="50">
        <f t="shared" si="296"/>
        <v>0</v>
      </c>
      <c r="J347" s="85">
        <f t="shared" si="283"/>
        <v>0</v>
      </c>
      <c r="K347" s="82" t="str">
        <f t="shared" si="267"/>
        <v/>
      </c>
      <c r="L347" s="50"/>
      <c r="M347" s="85">
        <f t="shared" si="284"/>
        <v>0</v>
      </c>
      <c r="N347" s="82" t="str">
        <f t="shared" si="268"/>
        <v/>
      </c>
      <c r="O347" s="50"/>
      <c r="P347" s="85">
        <f t="shared" si="285"/>
        <v>0</v>
      </c>
      <c r="Q347" s="82" t="str">
        <f t="shared" si="269"/>
        <v/>
      </c>
      <c r="R347" s="50"/>
      <c r="S347" s="85">
        <f t="shared" si="286"/>
        <v>0</v>
      </c>
      <c r="T347" s="82" t="str">
        <f t="shared" si="270"/>
        <v/>
      </c>
      <c r="U347" s="50"/>
      <c r="V347" s="85">
        <f t="shared" si="287"/>
        <v>0</v>
      </c>
      <c r="W347" s="82" t="str">
        <f t="shared" si="271"/>
        <v/>
      </c>
      <c r="X347" s="50"/>
      <c r="Y347" s="85">
        <f t="shared" si="288"/>
        <v>0</v>
      </c>
      <c r="Z347" s="82" t="str">
        <f t="shared" si="272"/>
        <v/>
      </c>
      <c r="AA347" s="50"/>
      <c r="AB347" s="85">
        <f t="shared" si="289"/>
        <v>0</v>
      </c>
      <c r="AC347" s="82" t="str">
        <f t="shared" si="273"/>
        <v/>
      </c>
      <c r="AD347" s="50"/>
      <c r="AE347" s="85">
        <f t="shared" si="290"/>
        <v>0</v>
      </c>
      <c r="AF347" s="82" t="str">
        <f t="shared" si="274"/>
        <v/>
      </c>
      <c r="AG347" s="50"/>
      <c r="AH347" s="85">
        <f t="shared" si="291"/>
        <v>0</v>
      </c>
      <c r="AI347" s="82" t="str">
        <f t="shared" si="275"/>
        <v/>
      </c>
      <c r="AJ347" s="50"/>
      <c r="AK347" s="85">
        <f t="shared" si="292"/>
        <v>0</v>
      </c>
      <c r="AL347" s="82" t="str">
        <f t="shared" si="276"/>
        <v/>
      </c>
      <c r="AM347" s="50"/>
      <c r="AN347" s="85">
        <f t="shared" si="293"/>
        <v>0</v>
      </c>
      <c r="AO347" s="82" t="str">
        <f t="shared" si="277"/>
        <v/>
      </c>
      <c r="AP347" s="48">
        <f t="shared" si="278"/>
        <v>0</v>
      </c>
      <c r="AQ347" s="85">
        <f t="shared" si="294"/>
        <v>0</v>
      </c>
      <c r="AR347" s="82" t="str">
        <f t="shared" si="279"/>
        <v/>
      </c>
      <c r="AS347" s="48">
        <f t="shared" si="280"/>
        <v>1</v>
      </c>
      <c r="AT347" s="85">
        <f t="shared" si="295"/>
        <v>97584.74</v>
      </c>
      <c r="AU347" s="82">
        <f t="shared" si="281"/>
        <v>1</v>
      </c>
    </row>
    <row r="348" spans="1:56" ht="45">
      <c r="A348" s="16"/>
      <c r="B348" s="97" t="s">
        <v>1332</v>
      </c>
      <c r="C348" s="167" t="s">
        <v>1333</v>
      </c>
      <c r="D348" s="86" t="s">
        <v>1334</v>
      </c>
      <c r="E348" s="97" t="s">
        <v>28</v>
      </c>
      <c r="F348" s="172">
        <v>607.35</v>
      </c>
      <c r="G348" s="97">
        <v>4</v>
      </c>
      <c r="H348" s="85">
        <f t="shared" si="282"/>
        <v>2429.4</v>
      </c>
      <c r="I348" s="50">
        <f t="shared" si="296"/>
        <v>0</v>
      </c>
      <c r="J348" s="85">
        <f t="shared" si="283"/>
        <v>0</v>
      </c>
      <c r="K348" s="82" t="str">
        <f t="shared" si="267"/>
        <v/>
      </c>
      <c r="L348" s="50"/>
      <c r="M348" s="85">
        <f t="shared" si="284"/>
        <v>0</v>
      </c>
      <c r="N348" s="82" t="str">
        <f t="shared" si="268"/>
        <v/>
      </c>
      <c r="O348" s="50"/>
      <c r="P348" s="85">
        <f t="shared" si="285"/>
        <v>0</v>
      </c>
      <c r="Q348" s="82" t="str">
        <f t="shared" si="269"/>
        <v/>
      </c>
      <c r="R348" s="50"/>
      <c r="S348" s="85">
        <f t="shared" si="286"/>
        <v>0</v>
      </c>
      <c r="T348" s="82" t="str">
        <f t="shared" si="270"/>
        <v/>
      </c>
      <c r="U348" s="50"/>
      <c r="V348" s="85">
        <f t="shared" si="287"/>
        <v>0</v>
      </c>
      <c r="W348" s="82" t="str">
        <f t="shared" si="271"/>
        <v/>
      </c>
      <c r="X348" s="50"/>
      <c r="Y348" s="85">
        <f t="shared" si="288"/>
        <v>0</v>
      </c>
      <c r="Z348" s="82" t="str">
        <f t="shared" si="272"/>
        <v/>
      </c>
      <c r="AA348" s="50"/>
      <c r="AB348" s="85">
        <f t="shared" si="289"/>
        <v>0</v>
      </c>
      <c r="AC348" s="82" t="str">
        <f t="shared" si="273"/>
        <v/>
      </c>
      <c r="AD348" s="50"/>
      <c r="AE348" s="85">
        <f t="shared" si="290"/>
        <v>0</v>
      </c>
      <c r="AF348" s="82" t="str">
        <f t="shared" si="274"/>
        <v/>
      </c>
      <c r="AG348" s="50"/>
      <c r="AH348" s="85">
        <f t="shared" si="291"/>
        <v>0</v>
      </c>
      <c r="AI348" s="82" t="str">
        <f t="shared" si="275"/>
        <v/>
      </c>
      <c r="AJ348" s="50"/>
      <c r="AK348" s="85">
        <f t="shared" si="292"/>
        <v>0</v>
      </c>
      <c r="AL348" s="82" t="str">
        <f t="shared" si="276"/>
        <v/>
      </c>
      <c r="AM348" s="50"/>
      <c r="AN348" s="85">
        <f t="shared" si="293"/>
        <v>0</v>
      </c>
      <c r="AO348" s="82" t="str">
        <f t="shared" si="277"/>
        <v/>
      </c>
      <c r="AP348" s="48">
        <f t="shared" si="278"/>
        <v>0</v>
      </c>
      <c r="AQ348" s="85">
        <f t="shared" si="294"/>
        <v>0</v>
      </c>
      <c r="AR348" s="82" t="str">
        <f t="shared" si="279"/>
        <v/>
      </c>
      <c r="AS348" s="48">
        <f t="shared" si="280"/>
        <v>4</v>
      </c>
      <c r="AT348" s="85">
        <f t="shared" si="295"/>
        <v>2429.4</v>
      </c>
      <c r="AU348" s="82">
        <f t="shared" si="281"/>
        <v>1</v>
      </c>
    </row>
    <row r="349" spans="1:56" ht="165">
      <c r="A349" s="16"/>
      <c r="B349" s="98" t="s">
        <v>1335</v>
      </c>
      <c r="C349" s="168" t="s">
        <v>1336</v>
      </c>
      <c r="D349" s="87" t="s">
        <v>2137</v>
      </c>
      <c r="E349" s="98" t="s">
        <v>28</v>
      </c>
      <c r="F349" s="172">
        <v>6608.58</v>
      </c>
      <c r="G349" s="98">
        <v>1</v>
      </c>
      <c r="H349" s="85">
        <f t="shared" si="282"/>
        <v>6608.58</v>
      </c>
      <c r="I349" s="50">
        <f t="shared" si="296"/>
        <v>0</v>
      </c>
      <c r="J349" s="85">
        <f t="shared" si="283"/>
        <v>0</v>
      </c>
      <c r="K349" s="82" t="str">
        <f t="shared" si="267"/>
        <v/>
      </c>
      <c r="L349" s="50"/>
      <c r="M349" s="85">
        <f t="shared" si="284"/>
        <v>0</v>
      </c>
      <c r="N349" s="82" t="str">
        <f t="shared" si="268"/>
        <v/>
      </c>
      <c r="O349" s="50"/>
      <c r="P349" s="85">
        <f t="shared" si="285"/>
        <v>0</v>
      </c>
      <c r="Q349" s="82" t="str">
        <f t="shared" si="269"/>
        <v/>
      </c>
      <c r="R349" s="50"/>
      <c r="S349" s="85">
        <f t="shared" si="286"/>
        <v>0</v>
      </c>
      <c r="T349" s="82" t="str">
        <f t="shared" si="270"/>
        <v/>
      </c>
      <c r="U349" s="50"/>
      <c r="V349" s="85">
        <f t="shared" si="287"/>
        <v>0</v>
      </c>
      <c r="W349" s="82" t="str">
        <f t="shared" si="271"/>
        <v/>
      </c>
      <c r="X349" s="50"/>
      <c r="Y349" s="85">
        <f t="shared" si="288"/>
        <v>0</v>
      </c>
      <c r="Z349" s="82" t="str">
        <f t="shared" si="272"/>
        <v/>
      </c>
      <c r="AA349" s="50"/>
      <c r="AB349" s="85">
        <f t="shared" si="289"/>
        <v>0</v>
      </c>
      <c r="AC349" s="82" t="str">
        <f t="shared" si="273"/>
        <v/>
      </c>
      <c r="AD349" s="50"/>
      <c r="AE349" s="85">
        <f t="shared" si="290"/>
        <v>0</v>
      </c>
      <c r="AF349" s="82" t="str">
        <f t="shared" si="274"/>
        <v/>
      </c>
      <c r="AG349" s="50"/>
      <c r="AH349" s="85">
        <f t="shared" si="291"/>
        <v>0</v>
      </c>
      <c r="AI349" s="82" t="str">
        <f t="shared" si="275"/>
        <v/>
      </c>
      <c r="AJ349" s="50"/>
      <c r="AK349" s="85">
        <f t="shared" si="292"/>
        <v>0</v>
      </c>
      <c r="AL349" s="82" t="str">
        <f t="shared" si="276"/>
        <v/>
      </c>
      <c r="AM349" s="50"/>
      <c r="AN349" s="85">
        <f t="shared" si="293"/>
        <v>0</v>
      </c>
      <c r="AO349" s="82" t="str">
        <f t="shared" si="277"/>
        <v/>
      </c>
      <c r="AP349" s="48">
        <f t="shared" si="278"/>
        <v>0</v>
      </c>
      <c r="AQ349" s="85">
        <f t="shared" si="294"/>
        <v>0</v>
      </c>
      <c r="AR349" s="82" t="str">
        <f t="shared" si="279"/>
        <v/>
      </c>
      <c r="AS349" s="48">
        <f t="shared" si="280"/>
        <v>1</v>
      </c>
      <c r="AT349" s="85">
        <f t="shared" si="295"/>
        <v>6608.58</v>
      </c>
      <c r="AU349" s="82">
        <f t="shared" si="281"/>
        <v>1</v>
      </c>
    </row>
    <row r="350" spans="1:56" ht="30">
      <c r="A350" s="16"/>
      <c r="B350" s="97" t="s">
        <v>1337</v>
      </c>
      <c r="C350" s="167" t="s">
        <v>1338</v>
      </c>
      <c r="D350" s="86" t="s">
        <v>1339</v>
      </c>
      <c r="E350" s="97" t="s">
        <v>28</v>
      </c>
      <c r="F350" s="172">
        <v>22.43</v>
      </c>
      <c r="G350" s="97">
        <v>8</v>
      </c>
      <c r="H350" s="85">
        <f t="shared" si="282"/>
        <v>179.44</v>
      </c>
      <c r="I350" s="50">
        <f t="shared" si="296"/>
        <v>0</v>
      </c>
      <c r="J350" s="85">
        <f t="shared" si="283"/>
        <v>0</v>
      </c>
      <c r="K350" s="82" t="str">
        <f t="shared" si="267"/>
        <v/>
      </c>
      <c r="L350" s="50"/>
      <c r="M350" s="85">
        <f t="shared" si="284"/>
        <v>0</v>
      </c>
      <c r="N350" s="82" t="str">
        <f t="shared" si="268"/>
        <v/>
      </c>
      <c r="O350" s="50"/>
      <c r="P350" s="85">
        <f t="shared" si="285"/>
        <v>0</v>
      </c>
      <c r="Q350" s="82" t="str">
        <f t="shared" si="269"/>
        <v/>
      </c>
      <c r="R350" s="50"/>
      <c r="S350" s="85">
        <f t="shared" si="286"/>
        <v>0</v>
      </c>
      <c r="T350" s="82" t="str">
        <f t="shared" si="270"/>
        <v/>
      </c>
      <c r="U350" s="50"/>
      <c r="V350" s="85">
        <f t="shared" si="287"/>
        <v>0</v>
      </c>
      <c r="W350" s="82" t="str">
        <f t="shared" si="271"/>
        <v/>
      </c>
      <c r="X350" s="50"/>
      <c r="Y350" s="85">
        <f t="shared" si="288"/>
        <v>0</v>
      </c>
      <c r="Z350" s="82" t="str">
        <f t="shared" si="272"/>
        <v/>
      </c>
      <c r="AA350" s="50"/>
      <c r="AB350" s="85">
        <f t="shared" si="289"/>
        <v>0</v>
      </c>
      <c r="AC350" s="82" t="str">
        <f t="shared" si="273"/>
        <v/>
      </c>
      <c r="AD350" s="50"/>
      <c r="AE350" s="85">
        <f t="shared" si="290"/>
        <v>0</v>
      </c>
      <c r="AF350" s="82" t="str">
        <f t="shared" si="274"/>
        <v/>
      </c>
      <c r="AG350" s="50"/>
      <c r="AH350" s="85">
        <f t="shared" si="291"/>
        <v>0</v>
      </c>
      <c r="AI350" s="82" t="str">
        <f t="shared" si="275"/>
        <v/>
      </c>
      <c r="AJ350" s="50"/>
      <c r="AK350" s="85">
        <f t="shared" si="292"/>
        <v>0</v>
      </c>
      <c r="AL350" s="82" t="str">
        <f t="shared" si="276"/>
        <v/>
      </c>
      <c r="AM350" s="50"/>
      <c r="AN350" s="85">
        <f t="shared" si="293"/>
        <v>0</v>
      </c>
      <c r="AO350" s="82" t="str">
        <f t="shared" si="277"/>
        <v/>
      </c>
      <c r="AP350" s="48">
        <f t="shared" si="278"/>
        <v>0</v>
      </c>
      <c r="AQ350" s="85">
        <f t="shared" si="294"/>
        <v>0</v>
      </c>
      <c r="AR350" s="82" t="str">
        <f t="shared" si="279"/>
        <v/>
      </c>
      <c r="AS350" s="48">
        <f t="shared" si="280"/>
        <v>8</v>
      </c>
      <c r="AT350" s="85">
        <f t="shared" si="295"/>
        <v>179.44</v>
      </c>
      <c r="AU350" s="82">
        <f t="shared" si="281"/>
        <v>1</v>
      </c>
    </row>
    <row r="351" spans="1:56" s="161" customFormat="1" ht="45" customHeight="1">
      <c r="A351" s="94"/>
      <c r="B351" s="116" t="s">
        <v>1340</v>
      </c>
      <c r="C351" s="1945" t="s">
        <v>1341</v>
      </c>
      <c r="D351" s="1946"/>
      <c r="E351" s="1946"/>
      <c r="F351" s="1946"/>
      <c r="G351" s="1947"/>
      <c r="H351" s="159">
        <f>SUM(H352:H383)</f>
        <v>134041.74000000002</v>
      </c>
      <c r="I351" s="50">
        <f t="shared" si="296"/>
        <v>0</v>
      </c>
      <c r="J351" s="159">
        <f>SUM(J352:J383)</f>
        <v>0</v>
      </c>
      <c r="K351" s="102">
        <f>J351/$H351</f>
        <v>0</v>
      </c>
      <c r="L351" s="101"/>
      <c r="M351" s="159">
        <f>SUM(M352:M383)</f>
        <v>0</v>
      </c>
      <c r="N351" s="102">
        <f>M351/$H351</f>
        <v>0</v>
      </c>
      <c r="O351" s="101"/>
      <c r="P351" s="159">
        <f>SUM(P352:P383)</f>
        <v>0</v>
      </c>
      <c r="Q351" s="102">
        <f>P351/$H351</f>
        <v>0</v>
      </c>
      <c r="R351" s="101"/>
      <c r="S351" s="159">
        <f>SUM(S352:S383)</f>
        <v>0</v>
      </c>
      <c r="T351" s="102">
        <f>S351/$H351</f>
        <v>0</v>
      </c>
      <c r="U351" s="101"/>
      <c r="V351" s="159">
        <f>SUM(V352:V383)</f>
        <v>0</v>
      </c>
      <c r="W351" s="102">
        <f>V351/$H351</f>
        <v>0</v>
      </c>
      <c r="X351" s="101"/>
      <c r="Y351" s="159">
        <f>SUM(Y352:Y383)</f>
        <v>0</v>
      </c>
      <c r="Z351" s="102">
        <f>Y351/$H351</f>
        <v>0</v>
      </c>
      <c r="AA351" s="101"/>
      <c r="AB351" s="159">
        <f>SUM(AB352:AB383)</f>
        <v>0</v>
      </c>
      <c r="AC351" s="102">
        <f>AB351/$H351</f>
        <v>0</v>
      </c>
      <c r="AD351" s="101"/>
      <c r="AE351" s="159">
        <f>SUM(AE352:AE383)</f>
        <v>0</v>
      </c>
      <c r="AF351" s="102">
        <f>AE351/$H351</f>
        <v>0</v>
      </c>
      <c r="AG351" s="101"/>
      <c r="AH351" s="159">
        <f>SUM(AH352:AH383)</f>
        <v>0</v>
      </c>
      <c r="AI351" s="102">
        <f>AH351/$H351</f>
        <v>0</v>
      </c>
      <c r="AJ351" s="101"/>
      <c r="AK351" s="159">
        <f>SUM(AK352:AK383)</f>
        <v>0</v>
      </c>
      <c r="AL351" s="102">
        <f>AK351/$H351</f>
        <v>0</v>
      </c>
      <c r="AM351" s="101"/>
      <c r="AN351" s="159">
        <f>SUM(AN352:AN383)</f>
        <v>0</v>
      </c>
      <c r="AO351" s="102">
        <f>AN351/$H351</f>
        <v>0</v>
      </c>
      <c r="AP351" s="160">
        <f t="shared" si="278"/>
        <v>0</v>
      </c>
      <c r="AQ351" s="159">
        <f>SUM(AQ352:AQ383)</f>
        <v>0</v>
      </c>
      <c r="AR351" s="102">
        <f>AQ351/$H351</f>
        <v>0</v>
      </c>
      <c r="AS351" s="160">
        <f t="shared" si="280"/>
        <v>0</v>
      </c>
      <c r="AT351" s="159">
        <f>SUM(AT352:AT383)</f>
        <v>134041.74000000002</v>
      </c>
      <c r="AU351" s="102">
        <f>AT351/$H351</f>
        <v>1</v>
      </c>
    </row>
    <row r="352" spans="1:56" ht="30">
      <c r="A352" s="16"/>
      <c r="B352" s="97" t="s">
        <v>1342</v>
      </c>
      <c r="C352" s="167" t="s">
        <v>312</v>
      </c>
      <c r="D352" s="86" t="s">
        <v>313</v>
      </c>
      <c r="E352" s="97" t="s">
        <v>44</v>
      </c>
      <c r="F352" s="172">
        <v>19.72</v>
      </c>
      <c r="G352" s="97">
        <v>320</v>
      </c>
      <c r="H352" s="85">
        <f t="shared" si="282"/>
        <v>6310.4</v>
      </c>
      <c r="I352" s="50">
        <f t="shared" si="296"/>
        <v>0</v>
      </c>
      <c r="J352" s="85">
        <f t="shared" ref="J352:J383" si="297">I352*$F352</f>
        <v>0</v>
      </c>
      <c r="K352" s="82" t="str">
        <f t="shared" si="267"/>
        <v/>
      </c>
      <c r="L352" s="50"/>
      <c r="M352" s="85">
        <f t="shared" ref="M352:M383" si="298">L352*$F352</f>
        <v>0</v>
      </c>
      <c r="N352" s="82" t="str">
        <f t="shared" si="268"/>
        <v/>
      </c>
      <c r="O352" s="50"/>
      <c r="P352" s="85">
        <f t="shared" ref="P352:P383" si="299">O352*$F352</f>
        <v>0</v>
      </c>
      <c r="Q352" s="82" t="str">
        <f t="shared" si="269"/>
        <v/>
      </c>
      <c r="R352" s="50"/>
      <c r="S352" s="85">
        <f t="shared" ref="S352:S383" si="300">R352*$F352</f>
        <v>0</v>
      </c>
      <c r="T352" s="82" t="str">
        <f t="shared" si="270"/>
        <v/>
      </c>
      <c r="U352" s="50"/>
      <c r="V352" s="85">
        <f t="shared" ref="V352:V383" si="301">U352*$F352</f>
        <v>0</v>
      </c>
      <c r="W352" s="82" t="str">
        <f t="shared" si="271"/>
        <v/>
      </c>
      <c r="X352" s="50"/>
      <c r="Y352" s="85">
        <f t="shared" ref="Y352:Y383" si="302">X352*$F352</f>
        <v>0</v>
      </c>
      <c r="Z352" s="82" t="str">
        <f t="shared" si="272"/>
        <v/>
      </c>
      <c r="AA352" s="50"/>
      <c r="AB352" s="85">
        <f t="shared" ref="AB352:AB383" si="303">AA352*$F352</f>
        <v>0</v>
      </c>
      <c r="AC352" s="82" t="str">
        <f t="shared" si="273"/>
        <v/>
      </c>
      <c r="AD352" s="50"/>
      <c r="AE352" s="85">
        <f t="shared" ref="AE352:AE383" si="304">AD352*$F352</f>
        <v>0</v>
      </c>
      <c r="AF352" s="82" t="str">
        <f t="shared" si="274"/>
        <v/>
      </c>
      <c r="AG352" s="50"/>
      <c r="AH352" s="85">
        <f t="shared" ref="AH352:AH383" si="305">AG352*$F352</f>
        <v>0</v>
      </c>
      <c r="AI352" s="82" t="str">
        <f t="shared" si="275"/>
        <v/>
      </c>
      <c r="AJ352" s="50"/>
      <c r="AK352" s="85">
        <f t="shared" ref="AK352:AK383" si="306">AJ352*$F352</f>
        <v>0</v>
      </c>
      <c r="AL352" s="82" t="str">
        <f t="shared" si="276"/>
        <v/>
      </c>
      <c r="AM352" s="50"/>
      <c r="AN352" s="85">
        <f t="shared" ref="AN352:AN383" si="307">AM352*$F352</f>
        <v>0</v>
      </c>
      <c r="AO352" s="82" t="str">
        <f t="shared" si="277"/>
        <v/>
      </c>
      <c r="AP352" s="48">
        <f t="shared" si="278"/>
        <v>0</v>
      </c>
      <c r="AQ352" s="85">
        <f t="shared" ref="AQ352:AQ383" si="308">AP352*$F352</f>
        <v>0</v>
      </c>
      <c r="AR352" s="82" t="str">
        <f t="shared" si="279"/>
        <v/>
      </c>
      <c r="AS352" s="48">
        <f t="shared" si="280"/>
        <v>320</v>
      </c>
      <c r="AT352" s="85">
        <f t="shared" ref="AT352:AT383" si="309">AS352*$F352</f>
        <v>6310.4</v>
      </c>
      <c r="AU352" s="82">
        <f t="shared" si="281"/>
        <v>1</v>
      </c>
    </row>
    <row r="353" spans="1:47" ht="30">
      <c r="A353" s="16"/>
      <c r="B353" s="97" t="s">
        <v>1343</v>
      </c>
      <c r="C353" s="167" t="s">
        <v>315</v>
      </c>
      <c r="D353" s="86" t="s">
        <v>316</v>
      </c>
      <c r="E353" s="97" t="s">
        <v>44</v>
      </c>
      <c r="F353" s="172">
        <v>29.61</v>
      </c>
      <c r="G353" s="97">
        <v>43</v>
      </c>
      <c r="H353" s="85">
        <f t="shared" si="282"/>
        <v>1273.23</v>
      </c>
      <c r="I353" s="50">
        <f t="shared" si="296"/>
        <v>0</v>
      </c>
      <c r="J353" s="85">
        <f t="shared" si="297"/>
        <v>0</v>
      </c>
      <c r="K353" s="82" t="str">
        <f t="shared" si="267"/>
        <v/>
      </c>
      <c r="L353" s="50"/>
      <c r="M353" s="85">
        <f t="shared" si="298"/>
        <v>0</v>
      </c>
      <c r="N353" s="82" t="str">
        <f t="shared" si="268"/>
        <v/>
      </c>
      <c r="O353" s="50"/>
      <c r="P353" s="85">
        <f t="shared" si="299"/>
        <v>0</v>
      </c>
      <c r="Q353" s="82" t="str">
        <f t="shared" si="269"/>
        <v/>
      </c>
      <c r="R353" s="50"/>
      <c r="S353" s="85">
        <f t="shared" si="300"/>
        <v>0</v>
      </c>
      <c r="T353" s="82" t="str">
        <f t="shared" si="270"/>
        <v/>
      </c>
      <c r="U353" s="50"/>
      <c r="V353" s="85">
        <f t="shared" si="301"/>
        <v>0</v>
      </c>
      <c r="W353" s="82" t="str">
        <f t="shared" si="271"/>
        <v/>
      </c>
      <c r="X353" s="50"/>
      <c r="Y353" s="85">
        <f t="shared" si="302"/>
        <v>0</v>
      </c>
      <c r="Z353" s="82" t="str">
        <f t="shared" si="272"/>
        <v/>
      </c>
      <c r="AA353" s="50"/>
      <c r="AB353" s="85">
        <f t="shared" si="303"/>
        <v>0</v>
      </c>
      <c r="AC353" s="82" t="str">
        <f t="shared" si="273"/>
        <v/>
      </c>
      <c r="AD353" s="50"/>
      <c r="AE353" s="85">
        <f t="shared" si="304"/>
        <v>0</v>
      </c>
      <c r="AF353" s="82" t="str">
        <f t="shared" si="274"/>
        <v/>
      </c>
      <c r="AG353" s="50"/>
      <c r="AH353" s="85">
        <f t="shared" si="305"/>
        <v>0</v>
      </c>
      <c r="AI353" s="82" t="str">
        <f t="shared" si="275"/>
        <v/>
      </c>
      <c r="AJ353" s="50"/>
      <c r="AK353" s="85">
        <f t="shared" si="306"/>
        <v>0</v>
      </c>
      <c r="AL353" s="82" t="str">
        <f t="shared" si="276"/>
        <v/>
      </c>
      <c r="AM353" s="50"/>
      <c r="AN353" s="85">
        <f t="shared" si="307"/>
        <v>0</v>
      </c>
      <c r="AO353" s="82" t="str">
        <f t="shared" si="277"/>
        <v/>
      </c>
      <c r="AP353" s="48">
        <f t="shared" si="278"/>
        <v>0</v>
      </c>
      <c r="AQ353" s="85">
        <f t="shared" si="308"/>
        <v>0</v>
      </c>
      <c r="AR353" s="82" t="str">
        <f t="shared" si="279"/>
        <v/>
      </c>
      <c r="AS353" s="48">
        <f t="shared" si="280"/>
        <v>43</v>
      </c>
      <c r="AT353" s="85">
        <f t="shared" si="309"/>
        <v>1273.23</v>
      </c>
      <c r="AU353" s="82">
        <f t="shared" si="281"/>
        <v>1</v>
      </c>
    </row>
    <row r="354" spans="1:47" ht="30">
      <c r="A354" s="16"/>
      <c r="B354" s="97" t="s">
        <v>1344</v>
      </c>
      <c r="C354" s="167" t="s">
        <v>1345</v>
      </c>
      <c r="D354" s="86" t="s">
        <v>1346</v>
      </c>
      <c r="E354" s="97" t="s">
        <v>44</v>
      </c>
      <c r="F354" s="172">
        <v>54.81</v>
      </c>
      <c r="G354" s="97">
        <v>16</v>
      </c>
      <c r="H354" s="85">
        <f t="shared" si="282"/>
        <v>876.96</v>
      </c>
      <c r="I354" s="50">
        <f t="shared" si="296"/>
        <v>0</v>
      </c>
      <c r="J354" s="85">
        <f t="shared" si="297"/>
        <v>0</v>
      </c>
      <c r="K354" s="82" t="str">
        <f t="shared" si="267"/>
        <v/>
      </c>
      <c r="L354" s="50"/>
      <c r="M354" s="85">
        <f t="shared" si="298"/>
        <v>0</v>
      </c>
      <c r="N354" s="82" t="str">
        <f t="shared" si="268"/>
        <v/>
      </c>
      <c r="O354" s="50"/>
      <c r="P354" s="85">
        <f t="shared" si="299"/>
        <v>0</v>
      </c>
      <c r="Q354" s="82" t="str">
        <f t="shared" si="269"/>
        <v/>
      </c>
      <c r="R354" s="50"/>
      <c r="S354" s="85">
        <f t="shared" si="300"/>
        <v>0</v>
      </c>
      <c r="T354" s="82" t="str">
        <f t="shared" si="270"/>
        <v/>
      </c>
      <c r="U354" s="50"/>
      <c r="V354" s="85">
        <f t="shared" si="301"/>
        <v>0</v>
      </c>
      <c r="W354" s="82" t="str">
        <f t="shared" si="271"/>
        <v/>
      </c>
      <c r="X354" s="50"/>
      <c r="Y354" s="85">
        <f t="shared" si="302"/>
        <v>0</v>
      </c>
      <c r="Z354" s="82" t="str">
        <f t="shared" si="272"/>
        <v/>
      </c>
      <c r="AA354" s="50"/>
      <c r="AB354" s="85">
        <f t="shared" si="303"/>
        <v>0</v>
      </c>
      <c r="AC354" s="82" t="str">
        <f t="shared" si="273"/>
        <v/>
      </c>
      <c r="AD354" s="50"/>
      <c r="AE354" s="85">
        <f t="shared" si="304"/>
        <v>0</v>
      </c>
      <c r="AF354" s="82" t="str">
        <f t="shared" si="274"/>
        <v/>
      </c>
      <c r="AG354" s="50"/>
      <c r="AH354" s="85">
        <f t="shared" si="305"/>
        <v>0</v>
      </c>
      <c r="AI354" s="82" t="str">
        <f t="shared" si="275"/>
        <v/>
      </c>
      <c r="AJ354" s="50"/>
      <c r="AK354" s="85">
        <f t="shared" si="306"/>
        <v>0</v>
      </c>
      <c r="AL354" s="82" t="str">
        <f t="shared" si="276"/>
        <v/>
      </c>
      <c r="AM354" s="50"/>
      <c r="AN354" s="85">
        <f t="shared" si="307"/>
        <v>0</v>
      </c>
      <c r="AO354" s="82" t="str">
        <f t="shared" si="277"/>
        <v/>
      </c>
      <c r="AP354" s="48">
        <f t="shared" si="278"/>
        <v>0</v>
      </c>
      <c r="AQ354" s="85">
        <f t="shared" si="308"/>
        <v>0</v>
      </c>
      <c r="AR354" s="82" t="str">
        <f t="shared" si="279"/>
        <v/>
      </c>
      <c r="AS354" s="48">
        <f t="shared" si="280"/>
        <v>16</v>
      </c>
      <c r="AT354" s="85">
        <f t="shared" si="309"/>
        <v>876.96</v>
      </c>
      <c r="AU354" s="82">
        <f t="shared" si="281"/>
        <v>1</v>
      </c>
    </row>
    <row r="355" spans="1:47" ht="30">
      <c r="A355" s="16"/>
      <c r="B355" s="97" t="s">
        <v>1347</v>
      </c>
      <c r="C355" s="167" t="s">
        <v>1348</v>
      </c>
      <c r="D355" s="86" t="s">
        <v>1349</v>
      </c>
      <c r="E355" s="97" t="s">
        <v>44</v>
      </c>
      <c r="F355" s="172">
        <v>27.7</v>
      </c>
      <c r="G355" s="97">
        <v>104</v>
      </c>
      <c r="H355" s="85">
        <f t="shared" si="282"/>
        <v>2880.7999999999997</v>
      </c>
      <c r="I355" s="50">
        <f t="shared" si="296"/>
        <v>0</v>
      </c>
      <c r="J355" s="85">
        <f t="shared" si="297"/>
        <v>0</v>
      </c>
      <c r="K355" s="82" t="str">
        <f t="shared" si="267"/>
        <v/>
      </c>
      <c r="L355" s="50"/>
      <c r="M355" s="85">
        <f t="shared" si="298"/>
        <v>0</v>
      </c>
      <c r="N355" s="82" t="str">
        <f t="shared" si="268"/>
        <v/>
      </c>
      <c r="O355" s="50"/>
      <c r="P355" s="85">
        <f t="shared" si="299"/>
        <v>0</v>
      </c>
      <c r="Q355" s="82" t="str">
        <f t="shared" si="269"/>
        <v/>
      </c>
      <c r="R355" s="50"/>
      <c r="S355" s="85">
        <f t="shared" si="300"/>
        <v>0</v>
      </c>
      <c r="T355" s="82" t="str">
        <f t="shared" si="270"/>
        <v/>
      </c>
      <c r="U355" s="50"/>
      <c r="V355" s="85">
        <f t="shared" si="301"/>
        <v>0</v>
      </c>
      <c r="W355" s="82" t="str">
        <f t="shared" si="271"/>
        <v/>
      </c>
      <c r="X355" s="50"/>
      <c r="Y355" s="85">
        <f t="shared" si="302"/>
        <v>0</v>
      </c>
      <c r="Z355" s="82" t="str">
        <f t="shared" si="272"/>
        <v/>
      </c>
      <c r="AA355" s="50"/>
      <c r="AB355" s="85">
        <f t="shared" si="303"/>
        <v>0</v>
      </c>
      <c r="AC355" s="82" t="str">
        <f t="shared" si="273"/>
        <v/>
      </c>
      <c r="AD355" s="50"/>
      <c r="AE355" s="85">
        <f t="shared" si="304"/>
        <v>0</v>
      </c>
      <c r="AF355" s="82" t="str">
        <f t="shared" si="274"/>
        <v/>
      </c>
      <c r="AG355" s="50"/>
      <c r="AH355" s="85">
        <f t="shared" si="305"/>
        <v>0</v>
      </c>
      <c r="AI355" s="82" t="str">
        <f t="shared" si="275"/>
        <v/>
      </c>
      <c r="AJ355" s="50"/>
      <c r="AK355" s="85">
        <f t="shared" si="306"/>
        <v>0</v>
      </c>
      <c r="AL355" s="82" t="str">
        <f t="shared" si="276"/>
        <v/>
      </c>
      <c r="AM355" s="50"/>
      <c r="AN355" s="85">
        <f t="shared" si="307"/>
        <v>0</v>
      </c>
      <c r="AO355" s="82" t="str">
        <f t="shared" si="277"/>
        <v/>
      </c>
      <c r="AP355" s="48">
        <f t="shared" si="278"/>
        <v>0</v>
      </c>
      <c r="AQ355" s="85">
        <f t="shared" si="308"/>
        <v>0</v>
      </c>
      <c r="AR355" s="82" t="str">
        <f t="shared" si="279"/>
        <v/>
      </c>
      <c r="AS355" s="48">
        <f t="shared" si="280"/>
        <v>104</v>
      </c>
      <c r="AT355" s="85">
        <f t="shared" si="309"/>
        <v>2880.7999999999997</v>
      </c>
      <c r="AU355" s="82">
        <f t="shared" si="281"/>
        <v>1</v>
      </c>
    </row>
    <row r="356" spans="1:47" ht="30">
      <c r="A356" s="16"/>
      <c r="B356" s="97" t="s">
        <v>1350</v>
      </c>
      <c r="C356" s="167" t="s">
        <v>1351</v>
      </c>
      <c r="D356" s="86" t="s">
        <v>1352</v>
      </c>
      <c r="E356" s="97" t="s">
        <v>44</v>
      </c>
      <c r="F356" s="172">
        <v>45.36</v>
      </c>
      <c r="G356" s="97">
        <v>80</v>
      </c>
      <c r="H356" s="85">
        <f t="shared" si="282"/>
        <v>3628.8</v>
      </c>
      <c r="I356" s="50">
        <f t="shared" si="296"/>
        <v>0</v>
      </c>
      <c r="J356" s="85">
        <f t="shared" si="297"/>
        <v>0</v>
      </c>
      <c r="K356" s="82" t="str">
        <f t="shared" si="267"/>
        <v/>
      </c>
      <c r="L356" s="50"/>
      <c r="M356" s="85">
        <f t="shared" si="298"/>
        <v>0</v>
      </c>
      <c r="N356" s="82" t="str">
        <f t="shared" si="268"/>
        <v/>
      </c>
      <c r="O356" s="50"/>
      <c r="P356" s="85">
        <f t="shared" si="299"/>
        <v>0</v>
      </c>
      <c r="Q356" s="82" t="str">
        <f t="shared" si="269"/>
        <v/>
      </c>
      <c r="R356" s="50"/>
      <c r="S356" s="85">
        <f t="shared" si="300"/>
        <v>0</v>
      </c>
      <c r="T356" s="82" t="str">
        <f t="shared" si="270"/>
        <v/>
      </c>
      <c r="U356" s="50"/>
      <c r="V356" s="85">
        <f t="shared" si="301"/>
        <v>0</v>
      </c>
      <c r="W356" s="82" t="str">
        <f t="shared" si="271"/>
        <v/>
      </c>
      <c r="X356" s="50"/>
      <c r="Y356" s="85">
        <f t="shared" si="302"/>
        <v>0</v>
      </c>
      <c r="Z356" s="82" t="str">
        <f t="shared" si="272"/>
        <v/>
      </c>
      <c r="AA356" s="50"/>
      <c r="AB356" s="85">
        <f t="shared" si="303"/>
        <v>0</v>
      </c>
      <c r="AC356" s="82" t="str">
        <f t="shared" si="273"/>
        <v/>
      </c>
      <c r="AD356" s="50"/>
      <c r="AE356" s="85">
        <f t="shared" si="304"/>
        <v>0</v>
      </c>
      <c r="AF356" s="82" t="str">
        <f t="shared" si="274"/>
        <v/>
      </c>
      <c r="AG356" s="50"/>
      <c r="AH356" s="85">
        <f t="shared" si="305"/>
        <v>0</v>
      </c>
      <c r="AI356" s="82" t="str">
        <f t="shared" si="275"/>
        <v/>
      </c>
      <c r="AJ356" s="50"/>
      <c r="AK356" s="85">
        <f t="shared" si="306"/>
        <v>0</v>
      </c>
      <c r="AL356" s="82" t="str">
        <f t="shared" si="276"/>
        <v/>
      </c>
      <c r="AM356" s="50"/>
      <c r="AN356" s="85">
        <f t="shared" si="307"/>
        <v>0</v>
      </c>
      <c r="AO356" s="82" t="str">
        <f t="shared" si="277"/>
        <v/>
      </c>
      <c r="AP356" s="48">
        <f t="shared" si="278"/>
        <v>0</v>
      </c>
      <c r="AQ356" s="85">
        <f t="shared" si="308"/>
        <v>0</v>
      </c>
      <c r="AR356" s="82" t="str">
        <f t="shared" si="279"/>
        <v/>
      </c>
      <c r="AS356" s="48">
        <f t="shared" si="280"/>
        <v>80</v>
      </c>
      <c r="AT356" s="85">
        <f t="shared" si="309"/>
        <v>3628.8</v>
      </c>
      <c r="AU356" s="82">
        <f t="shared" si="281"/>
        <v>1</v>
      </c>
    </row>
    <row r="357" spans="1:47" ht="30">
      <c r="A357" s="16"/>
      <c r="B357" s="97" t="s">
        <v>1353</v>
      </c>
      <c r="C357" s="167" t="s">
        <v>1354</v>
      </c>
      <c r="D357" s="86" t="s">
        <v>1355</v>
      </c>
      <c r="E357" s="97" t="s">
        <v>28</v>
      </c>
      <c r="F357" s="172">
        <v>12.29</v>
      </c>
      <c r="G357" s="97">
        <v>100</v>
      </c>
      <c r="H357" s="85">
        <f t="shared" si="282"/>
        <v>1229</v>
      </c>
      <c r="I357" s="50">
        <f t="shared" si="296"/>
        <v>0</v>
      </c>
      <c r="J357" s="85">
        <f t="shared" si="297"/>
        <v>0</v>
      </c>
      <c r="K357" s="82" t="str">
        <f t="shared" si="267"/>
        <v/>
      </c>
      <c r="L357" s="50"/>
      <c r="M357" s="85">
        <f t="shared" si="298"/>
        <v>0</v>
      </c>
      <c r="N357" s="82" t="str">
        <f t="shared" si="268"/>
        <v/>
      </c>
      <c r="O357" s="50"/>
      <c r="P357" s="85">
        <f t="shared" si="299"/>
        <v>0</v>
      </c>
      <c r="Q357" s="82" t="str">
        <f t="shared" si="269"/>
        <v/>
      </c>
      <c r="R357" s="50"/>
      <c r="S357" s="85">
        <f t="shared" si="300"/>
        <v>0</v>
      </c>
      <c r="T357" s="82" t="str">
        <f t="shared" si="270"/>
        <v/>
      </c>
      <c r="U357" s="50"/>
      <c r="V357" s="85">
        <f t="shared" si="301"/>
        <v>0</v>
      </c>
      <c r="W357" s="82" t="str">
        <f t="shared" si="271"/>
        <v/>
      </c>
      <c r="X357" s="50"/>
      <c r="Y357" s="85">
        <f t="shared" si="302"/>
        <v>0</v>
      </c>
      <c r="Z357" s="82" t="str">
        <f t="shared" si="272"/>
        <v/>
      </c>
      <c r="AA357" s="50"/>
      <c r="AB357" s="85">
        <f t="shared" si="303"/>
        <v>0</v>
      </c>
      <c r="AC357" s="82" t="str">
        <f t="shared" si="273"/>
        <v/>
      </c>
      <c r="AD357" s="50"/>
      <c r="AE357" s="85">
        <f t="shared" si="304"/>
        <v>0</v>
      </c>
      <c r="AF357" s="82" t="str">
        <f t="shared" si="274"/>
        <v/>
      </c>
      <c r="AG357" s="50"/>
      <c r="AH357" s="85">
        <f t="shared" si="305"/>
        <v>0</v>
      </c>
      <c r="AI357" s="82" t="str">
        <f t="shared" si="275"/>
        <v/>
      </c>
      <c r="AJ357" s="50"/>
      <c r="AK357" s="85">
        <f t="shared" si="306"/>
        <v>0</v>
      </c>
      <c r="AL357" s="82" t="str">
        <f t="shared" si="276"/>
        <v/>
      </c>
      <c r="AM357" s="50"/>
      <c r="AN357" s="85">
        <f t="shared" si="307"/>
        <v>0</v>
      </c>
      <c r="AO357" s="82" t="str">
        <f t="shared" si="277"/>
        <v/>
      </c>
      <c r="AP357" s="48">
        <f t="shared" si="278"/>
        <v>0</v>
      </c>
      <c r="AQ357" s="85">
        <f t="shared" si="308"/>
        <v>0</v>
      </c>
      <c r="AR357" s="82" t="str">
        <f t="shared" si="279"/>
        <v/>
      </c>
      <c r="AS357" s="48">
        <f t="shared" si="280"/>
        <v>100</v>
      </c>
      <c r="AT357" s="85">
        <f t="shared" si="309"/>
        <v>1229</v>
      </c>
      <c r="AU357" s="82">
        <f t="shared" si="281"/>
        <v>1</v>
      </c>
    </row>
    <row r="358" spans="1:47">
      <c r="A358" s="16"/>
      <c r="B358" s="97" t="s">
        <v>1356</v>
      </c>
      <c r="C358" s="167" t="s">
        <v>1357</v>
      </c>
      <c r="D358" s="86" t="s">
        <v>1358</v>
      </c>
      <c r="E358" s="97" t="s">
        <v>28</v>
      </c>
      <c r="F358" s="172">
        <v>12.78</v>
      </c>
      <c r="G358" s="97">
        <v>18</v>
      </c>
      <c r="H358" s="85">
        <f t="shared" si="282"/>
        <v>230.04</v>
      </c>
      <c r="I358" s="50">
        <f t="shared" si="296"/>
        <v>0</v>
      </c>
      <c r="J358" s="85">
        <f t="shared" si="297"/>
        <v>0</v>
      </c>
      <c r="K358" s="82" t="str">
        <f t="shared" si="267"/>
        <v/>
      </c>
      <c r="L358" s="50"/>
      <c r="M358" s="85">
        <f t="shared" si="298"/>
        <v>0</v>
      </c>
      <c r="N358" s="82" t="str">
        <f t="shared" si="268"/>
        <v/>
      </c>
      <c r="O358" s="50"/>
      <c r="P358" s="85">
        <f t="shared" si="299"/>
        <v>0</v>
      </c>
      <c r="Q358" s="82" t="str">
        <f t="shared" si="269"/>
        <v/>
      </c>
      <c r="R358" s="50"/>
      <c r="S358" s="85">
        <f t="shared" si="300"/>
        <v>0</v>
      </c>
      <c r="T358" s="82" t="str">
        <f t="shared" si="270"/>
        <v/>
      </c>
      <c r="U358" s="50"/>
      <c r="V358" s="85">
        <f t="shared" si="301"/>
        <v>0</v>
      </c>
      <c r="W358" s="82" t="str">
        <f t="shared" si="271"/>
        <v/>
      </c>
      <c r="X358" s="50"/>
      <c r="Y358" s="85">
        <f t="shared" si="302"/>
        <v>0</v>
      </c>
      <c r="Z358" s="82" t="str">
        <f t="shared" si="272"/>
        <v/>
      </c>
      <c r="AA358" s="50"/>
      <c r="AB358" s="85">
        <f t="shared" si="303"/>
        <v>0</v>
      </c>
      <c r="AC358" s="82" t="str">
        <f t="shared" si="273"/>
        <v/>
      </c>
      <c r="AD358" s="50"/>
      <c r="AE358" s="85">
        <f t="shared" si="304"/>
        <v>0</v>
      </c>
      <c r="AF358" s="82" t="str">
        <f t="shared" si="274"/>
        <v/>
      </c>
      <c r="AG358" s="50"/>
      <c r="AH358" s="85">
        <f t="shared" si="305"/>
        <v>0</v>
      </c>
      <c r="AI358" s="82" t="str">
        <f t="shared" si="275"/>
        <v/>
      </c>
      <c r="AJ358" s="50"/>
      <c r="AK358" s="85">
        <f t="shared" si="306"/>
        <v>0</v>
      </c>
      <c r="AL358" s="82" t="str">
        <f t="shared" si="276"/>
        <v/>
      </c>
      <c r="AM358" s="50"/>
      <c r="AN358" s="85">
        <f t="shared" si="307"/>
        <v>0</v>
      </c>
      <c r="AO358" s="82" t="str">
        <f t="shared" si="277"/>
        <v/>
      </c>
      <c r="AP358" s="48">
        <f t="shared" si="278"/>
        <v>0</v>
      </c>
      <c r="AQ358" s="85">
        <f t="shared" si="308"/>
        <v>0</v>
      </c>
      <c r="AR358" s="82" t="str">
        <f t="shared" si="279"/>
        <v/>
      </c>
      <c r="AS358" s="48">
        <f t="shared" si="280"/>
        <v>18</v>
      </c>
      <c r="AT358" s="85">
        <f t="shared" si="309"/>
        <v>230.04</v>
      </c>
      <c r="AU358" s="82">
        <f t="shared" si="281"/>
        <v>1</v>
      </c>
    </row>
    <row r="359" spans="1:47" ht="30">
      <c r="A359" s="16"/>
      <c r="B359" s="97" t="s">
        <v>1359</v>
      </c>
      <c r="C359" s="167" t="s">
        <v>1360</v>
      </c>
      <c r="D359" s="86" t="s">
        <v>1361</v>
      </c>
      <c r="E359" s="97" t="s">
        <v>44</v>
      </c>
      <c r="F359" s="172">
        <v>199.8</v>
      </c>
      <c r="G359" s="97">
        <v>36</v>
      </c>
      <c r="H359" s="85">
        <f t="shared" si="282"/>
        <v>7192.8</v>
      </c>
      <c r="I359" s="50">
        <f t="shared" si="296"/>
        <v>0</v>
      </c>
      <c r="J359" s="85">
        <f t="shared" si="297"/>
        <v>0</v>
      </c>
      <c r="K359" s="82" t="str">
        <f t="shared" si="267"/>
        <v/>
      </c>
      <c r="L359" s="50"/>
      <c r="M359" s="85">
        <f t="shared" si="298"/>
        <v>0</v>
      </c>
      <c r="N359" s="82" t="str">
        <f t="shared" si="268"/>
        <v/>
      </c>
      <c r="O359" s="50"/>
      <c r="P359" s="85">
        <f t="shared" si="299"/>
        <v>0</v>
      </c>
      <c r="Q359" s="82" t="str">
        <f t="shared" si="269"/>
        <v/>
      </c>
      <c r="R359" s="50"/>
      <c r="S359" s="85">
        <f t="shared" si="300"/>
        <v>0</v>
      </c>
      <c r="T359" s="82" t="str">
        <f t="shared" si="270"/>
        <v/>
      </c>
      <c r="U359" s="50"/>
      <c r="V359" s="85">
        <f t="shared" si="301"/>
        <v>0</v>
      </c>
      <c r="W359" s="82" t="str">
        <f t="shared" si="271"/>
        <v/>
      </c>
      <c r="X359" s="50"/>
      <c r="Y359" s="85">
        <f t="shared" si="302"/>
        <v>0</v>
      </c>
      <c r="Z359" s="82" t="str">
        <f t="shared" si="272"/>
        <v/>
      </c>
      <c r="AA359" s="50"/>
      <c r="AB359" s="85">
        <f t="shared" si="303"/>
        <v>0</v>
      </c>
      <c r="AC359" s="82" t="str">
        <f t="shared" si="273"/>
        <v/>
      </c>
      <c r="AD359" s="50"/>
      <c r="AE359" s="85">
        <f t="shared" si="304"/>
        <v>0</v>
      </c>
      <c r="AF359" s="82" t="str">
        <f t="shared" si="274"/>
        <v/>
      </c>
      <c r="AG359" s="50"/>
      <c r="AH359" s="85">
        <f t="shared" si="305"/>
        <v>0</v>
      </c>
      <c r="AI359" s="82" t="str">
        <f t="shared" si="275"/>
        <v/>
      </c>
      <c r="AJ359" s="50"/>
      <c r="AK359" s="85">
        <f t="shared" si="306"/>
        <v>0</v>
      </c>
      <c r="AL359" s="82" t="str">
        <f t="shared" si="276"/>
        <v/>
      </c>
      <c r="AM359" s="50"/>
      <c r="AN359" s="85">
        <f t="shared" si="307"/>
        <v>0</v>
      </c>
      <c r="AO359" s="82" t="str">
        <f t="shared" si="277"/>
        <v/>
      </c>
      <c r="AP359" s="48">
        <f t="shared" si="278"/>
        <v>0</v>
      </c>
      <c r="AQ359" s="85">
        <f t="shared" si="308"/>
        <v>0</v>
      </c>
      <c r="AR359" s="82" t="str">
        <f t="shared" si="279"/>
        <v/>
      </c>
      <c r="AS359" s="48">
        <f t="shared" si="280"/>
        <v>36</v>
      </c>
      <c r="AT359" s="85">
        <f t="shared" si="309"/>
        <v>7192.8</v>
      </c>
      <c r="AU359" s="82">
        <f t="shared" si="281"/>
        <v>1</v>
      </c>
    </row>
    <row r="360" spans="1:47" ht="45">
      <c r="A360" s="16"/>
      <c r="B360" s="97" t="s">
        <v>1362</v>
      </c>
      <c r="C360" s="167" t="s">
        <v>1363</v>
      </c>
      <c r="D360" s="86" t="s">
        <v>1364</v>
      </c>
      <c r="E360" s="97" t="s">
        <v>44</v>
      </c>
      <c r="F360" s="172">
        <v>166.24</v>
      </c>
      <c r="G360" s="97">
        <v>117</v>
      </c>
      <c r="H360" s="85">
        <f t="shared" si="282"/>
        <v>19450.080000000002</v>
      </c>
      <c r="I360" s="50">
        <f t="shared" si="296"/>
        <v>0</v>
      </c>
      <c r="J360" s="85">
        <f t="shared" si="297"/>
        <v>0</v>
      </c>
      <c r="K360" s="82" t="str">
        <f t="shared" si="267"/>
        <v/>
      </c>
      <c r="L360" s="50"/>
      <c r="M360" s="85">
        <f t="shared" si="298"/>
        <v>0</v>
      </c>
      <c r="N360" s="82" t="str">
        <f t="shared" si="268"/>
        <v/>
      </c>
      <c r="O360" s="50"/>
      <c r="P360" s="85">
        <f t="shared" si="299"/>
        <v>0</v>
      </c>
      <c r="Q360" s="82" t="str">
        <f t="shared" si="269"/>
        <v/>
      </c>
      <c r="R360" s="50"/>
      <c r="S360" s="85">
        <f t="shared" si="300"/>
        <v>0</v>
      </c>
      <c r="T360" s="82" t="str">
        <f t="shared" si="270"/>
        <v/>
      </c>
      <c r="U360" s="50"/>
      <c r="V360" s="85">
        <f t="shared" si="301"/>
        <v>0</v>
      </c>
      <c r="W360" s="82" t="str">
        <f t="shared" si="271"/>
        <v/>
      </c>
      <c r="X360" s="50"/>
      <c r="Y360" s="85">
        <f t="shared" si="302"/>
        <v>0</v>
      </c>
      <c r="Z360" s="82" t="str">
        <f t="shared" si="272"/>
        <v/>
      </c>
      <c r="AA360" s="50"/>
      <c r="AB360" s="85">
        <f t="shared" si="303"/>
        <v>0</v>
      </c>
      <c r="AC360" s="82" t="str">
        <f t="shared" si="273"/>
        <v/>
      </c>
      <c r="AD360" s="50"/>
      <c r="AE360" s="85">
        <f t="shared" si="304"/>
        <v>0</v>
      </c>
      <c r="AF360" s="82" t="str">
        <f t="shared" si="274"/>
        <v/>
      </c>
      <c r="AG360" s="50"/>
      <c r="AH360" s="85">
        <f t="shared" si="305"/>
        <v>0</v>
      </c>
      <c r="AI360" s="82" t="str">
        <f t="shared" si="275"/>
        <v/>
      </c>
      <c r="AJ360" s="50"/>
      <c r="AK360" s="85">
        <f t="shared" si="306"/>
        <v>0</v>
      </c>
      <c r="AL360" s="82" t="str">
        <f t="shared" si="276"/>
        <v/>
      </c>
      <c r="AM360" s="50"/>
      <c r="AN360" s="85">
        <f t="shared" si="307"/>
        <v>0</v>
      </c>
      <c r="AO360" s="82" t="str">
        <f t="shared" si="277"/>
        <v/>
      </c>
      <c r="AP360" s="48">
        <f t="shared" si="278"/>
        <v>0</v>
      </c>
      <c r="AQ360" s="85">
        <f t="shared" si="308"/>
        <v>0</v>
      </c>
      <c r="AR360" s="82" t="str">
        <f t="shared" si="279"/>
        <v/>
      </c>
      <c r="AS360" s="48">
        <f t="shared" si="280"/>
        <v>117</v>
      </c>
      <c r="AT360" s="85">
        <f t="shared" si="309"/>
        <v>19450.080000000002</v>
      </c>
      <c r="AU360" s="82">
        <f t="shared" si="281"/>
        <v>1</v>
      </c>
    </row>
    <row r="361" spans="1:47" ht="30">
      <c r="A361" s="16"/>
      <c r="B361" s="97" t="s">
        <v>1365</v>
      </c>
      <c r="C361" s="167" t="s">
        <v>1366</v>
      </c>
      <c r="D361" s="86" t="s">
        <v>1367</v>
      </c>
      <c r="E361" s="97" t="s">
        <v>44</v>
      </c>
      <c r="F361" s="172">
        <v>10.050000000000001</v>
      </c>
      <c r="G361" s="97">
        <v>213</v>
      </c>
      <c r="H361" s="85">
        <f t="shared" si="282"/>
        <v>2140.65</v>
      </c>
      <c r="I361" s="50">
        <f t="shared" si="296"/>
        <v>0</v>
      </c>
      <c r="J361" s="85">
        <f t="shared" si="297"/>
        <v>0</v>
      </c>
      <c r="K361" s="82" t="str">
        <f t="shared" si="267"/>
        <v/>
      </c>
      <c r="L361" s="50"/>
      <c r="M361" s="85">
        <f t="shared" si="298"/>
        <v>0</v>
      </c>
      <c r="N361" s="82" t="str">
        <f t="shared" si="268"/>
        <v/>
      </c>
      <c r="O361" s="50"/>
      <c r="P361" s="85">
        <f t="shared" si="299"/>
        <v>0</v>
      </c>
      <c r="Q361" s="82" t="str">
        <f t="shared" si="269"/>
        <v/>
      </c>
      <c r="R361" s="50"/>
      <c r="S361" s="85">
        <f t="shared" si="300"/>
        <v>0</v>
      </c>
      <c r="T361" s="82" t="str">
        <f t="shared" si="270"/>
        <v/>
      </c>
      <c r="U361" s="50"/>
      <c r="V361" s="85">
        <f t="shared" si="301"/>
        <v>0</v>
      </c>
      <c r="W361" s="82" t="str">
        <f t="shared" si="271"/>
        <v/>
      </c>
      <c r="X361" s="50"/>
      <c r="Y361" s="85">
        <f t="shared" si="302"/>
        <v>0</v>
      </c>
      <c r="Z361" s="82" t="str">
        <f t="shared" si="272"/>
        <v/>
      </c>
      <c r="AA361" s="50"/>
      <c r="AB361" s="85">
        <f t="shared" si="303"/>
        <v>0</v>
      </c>
      <c r="AC361" s="82" t="str">
        <f t="shared" si="273"/>
        <v/>
      </c>
      <c r="AD361" s="50"/>
      <c r="AE361" s="85">
        <f t="shared" si="304"/>
        <v>0</v>
      </c>
      <c r="AF361" s="82" t="str">
        <f t="shared" si="274"/>
        <v/>
      </c>
      <c r="AG361" s="50"/>
      <c r="AH361" s="85">
        <f t="shared" si="305"/>
        <v>0</v>
      </c>
      <c r="AI361" s="82" t="str">
        <f t="shared" si="275"/>
        <v/>
      </c>
      <c r="AJ361" s="50"/>
      <c r="AK361" s="85">
        <f t="shared" si="306"/>
        <v>0</v>
      </c>
      <c r="AL361" s="82" t="str">
        <f t="shared" si="276"/>
        <v/>
      </c>
      <c r="AM361" s="50"/>
      <c r="AN361" s="85">
        <f t="shared" si="307"/>
        <v>0</v>
      </c>
      <c r="AO361" s="82" t="str">
        <f t="shared" si="277"/>
        <v/>
      </c>
      <c r="AP361" s="48">
        <f t="shared" si="278"/>
        <v>0</v>
      </c>
      <c r="AQ361" s="85">
        <f t="shared" si="308"/>
        <v>0</v>
      </c>
      <c r="AR361" s="82" t="str">
        <f t="shared" si="279"/>
        <v/>
      </c>
      <c r="AS361" s="48">
        <f t="shared" si="280"/>
        <v>213</v>
      </c>
      <c r="AT361" s="85">
        <f t="shared" si="309"/>
        <v>2140.65</v>
      </c>
      <c r="AU361" s="82">
        <f t="shared" si="281"/>
        <v>1</v>
      </c>
    </row>
    <row r="362" spans="1:47" ht="45">
      <c r="A362" s="16"/>
      <c r="B362" s="97" t="s">
        <v>1368</v>
      </c>
      <c r="C362" s="167" t="s">
        <v>1369</v>
      </c>
      <c r="D362" s="86" t="s">
        <v>1370</v>
      </c>
      <c r="E362" s="97" t="s">
        <v>28</v>
      </c>
      <c r="F362" s="172">
        <v>74.239999999999995</v>
      </c>
      <c r="G362" s="97">
        <v>117</v>
      </c>
      <c r="H362" s="85">
        <f t="shared" si="282"/>
        <v>8686.08</v>
      </c>
      <c r="I362" s="50">
        <f t="shared" si="296"/>
        <v>0</v>
      </c>
      <c r="J362" s="85">
        <f t="shared" si="297"/>
        <v>0</v>
      </c>
      <c r="K362" s="82" t="str">
        <f t="shared" si="267"/>
        <v/>
      </c>
      <c r="L362" s="50"/>
      <c r="M362" s="85">
        <f t="shared" si="298"/>
        <v>0</v>
      </c>
      <c r="N362" s="82" t="str">
        <f t="shared" si="268"/>
        <v/>
      </c>
      <c r="O362" s="50"/>
      <c r="P362" s="85">
        <f t="shared" si="299"/>
        <v>0</v>
      </c>
      <c r="Q362" s="82" t="str">
        <f t="shared" si="269"/>
        <v/>
      </c>
      <c r="R362" s="50"/>
      <c r="S362" s="85">
        <f t="shared" si="300"/>
        <v>0</v>
      </c>
      <c r="T362" s="82" t="str">
        <f t="shared" si="270"/>
        <v/>
      </c>
      <c r="U362" s="50"/>
      <c r="V362" s="85">
        <f t="shared" si="301"/>
        <v>0</v>
      </c>
      <c r="W362" s="82" t="str">
        <f t="shared" si="271"/>
        <v/>
      </c>
      <c r="X362" s="50"/>
      <c r="Y362" s="85">
        <f t="shared" si="302"/>
        <v>0</v>
      </c>
      <c r="Z362" s="82" t="str">
        <f t="shared" si="272"/>
        <v/>
      </c>
      <c r="AA362" s="50"/>
      <c r="AB362" s="85">
        <f t="shared" si="303"/>
        <v>0</v>
      </c>
      <c r="AC362" s="82" t="str">
        <f t="shared" si="273"/>
        <v/>
      </c>
      <c r="AD362" s="50"/>
      <c r="AE362" s="85">
        <f t="shared" si="304"/>
        <v>0</v>
      </c>
      <c r="AF362" s="82" t="str">
        <f t="shared" si="274"/>
        <v/>
      </c>
      <c r="AG362" s="50"/>
      <c r="AH362" s="85">
        <f t="shared" si="305"/>
        <v>0</v>
      </c>
      <c r="AI362" s="82" t="str">
        <f t="shared" si="275"/>
        <v/>
      </c>
      <c r="AJ362" s="50"/>
      <c r="AK362" s="85">
        <f t="shared" si="306"/>
        <v>0</v>
      </c>
      <c r="AL362" s="82" t="str">
        <f t="shared" si="276"/>
        <v/>
      </c>
      <c r="AM362" s="50"/>
      <c r="AN362" s="85">
        <f t="shared" si="307"/>
        <v>0</v>
      </c>
      <c r="AO362" s="82" t="str">
        <f t="shared" si="277"/>
        <v/>
      </c>
      <c r="AP362" s="48">
        <f t="shared" si="278"/>
        <v>0</v>
      </c>
      <c r="AQ362" s="85">
        <f t="shared" si="308"/>
        <v>0</v>
      </c>
      <c r="AR362" s="82" t="str">
        <f t="shared" si="279"/>
        <v/>
      </c>
      <c r="AS362" s="48">
        <f t="shared" si="280"/>
        <v>117</v>
      </c>
      <c r="AT362" s="85">
        <f t="shared" si="309"/>
        <v>8686.08</v>
      </c>
      <c r="AU362" s="82">
        <f t="shared" si="281"/>
        <v>1</v>
      </c>
    </row>
    <row r="363" spans="1:47" ht="30">
      <c r="A363" s="16"/>
      <c r="B363" s="97" t="s">
        <v>1371</v>
      </c>
      <c r="C363" s="167" t="s">
        <v>1372</v>
      </c>
      <c r="D363" s="86" t="s">
        <v>1373</v>
      </c>
      <c r="E363" s="97" t="s">
        <v>44</v>
      </c>
      <c r="F363" s="172">
        <v>87.73</v>
      </c>
      <c r="G363" s="97">
        <v>82</v>
      </c>
      <c r="H363" s="85">
        <f t="shared" si="282"/>
        <v>7193.8600000000006</v>
      </c>
      <c r="I363" s="50">
        <f t="shared" si="296"/>
        <v>0</v>
      </c>
      <c r="J363" s="85">
        <f t="shared" si="297"/>
        <v>0</v>
      </c>
      <c r="K363" s="82" t="str">
        <f t="shared" si="267"/>
        <v/>
      </c>
      <c r="L363" s="50"/>
      <c r="M363" s="85">
        <f t="shared" si="298"/>
        <v>0</v>
      </c>
      <c r="N363" s="82" t="str">
        <f t="shared" si="268"/>
        <v/>
      </c>
      <c r="O363" s="50"/>
      <c r="P363" s="85">
        <f t="shared" si="299"/>
        <v>0</v>
      </c>
      <c r="Q363" s="82" t="str">
        <f t="shared" si="269"/>
        <v/>
      </c>
      <c r="R363" s="50"/>
      <c r="S363" s="85">
        <f t="shared" si="300"/>
        <v>0</v>
      </c>
      <c r="T363" s="82" t="str">
        <f t="shared" si="270"/>
        <v/>
      </c>
      <c r="U363" s="50"/>
      <c r="V363" s="85">
        <f t="shared" si="301"/>
        <v>0</v>
      </c>
      <c r="W363" s="82" t="str">
        <f t="shared" si="271"/>
        <v/>
      </c>
      <c r="X363" s="50"/>
      <c r="Y363" s="85">
        <f t="shared" si="302"/>
        <v>0</v>
      </c>
      <c r="Z363" s="82" t="str">
        <f t="shared" si="272"/>
        <v/>
      </c>
      <c r="AA363" s="50"/>
      <c r="AB363" s="85">
        <f t="shared" si="303"/>
        <v>0</v>
      </c>
      <c r="AC363" s="82" t="str">
        <f t="shared" si="273"/>
        <v/>
      </c>
      <c r="AD363" s="50"/>
      <c r="AE363" s="85">
        <f t="shared" si="304"/>
        <v>0</v>
      </c>
      <c r="AF363" s="82" t="str">
        <f t="shared" si="274"/>
        <v/>
      </c>
      <c r="AG363" s="50"/>
      <c r="AH363" s="85">
        <f t="shared" si="305"/>
        <v>0</v>
      </c>
      <c r="AI363" s="82" t="str">
        <f t="shared" si="275"/>
        <v/>
      </c>
      <c r="AJ363" s="50"/>
      <c r="AK363" s="85">
        <f t="shared" si="306"/>
        <v>0</v>
      </c>
      <c r="AL363" s="82" t="str">
        <f t="shared" si="276"/>
        <v/>
      </c>
      <c r="AM363" s="50"/>
      <c r="AN363" s="85">
        <f t="shared" si="307"/>
        <v>0</v>
      </c>
      <c r="AO363" s="82" t="str">
        <f t="shared" si="277"/>
        <v/>
      </c>
      <c r="AP363" s="48">
        <f t="shared" si="278"/>
        <v>0</v>
      </c>
      <c r="AQ363" s="85">
        <f t="shared" si="308"/>
        <v>0</v>
      </c>
      <c r="AR363" s="82" t="str">
        <f t="shared" si="279"/>
        <v/>
      </c>
      <c r="AS363" s="48">
        <f t="shared" si="280"/>
        <v>82</v>
      </c>
      <c r="AT363" s="85">
        <f t="shared" si="309"/>
        <v>7193.8600000000006</v>
      </c>
      <c r="AU363" s="82">
        <f t="shared" si="281"/>
        <v>1</v>
      </c>
    </row>
    <row r="364" spans="1:47" ht="90">
      <c r="A364" s="16"/>
      <c r="B364" s="97" t="s">
        <v>1374</v>
      </c>
      <c r="C364" s="167" t="s">
        <v>1375</v>
      </c>
      <c r="D364" s="86" t="s">
        <v>1376</v>
      </c>
      <c r="E364" s="97" t="s">
        <v>28</v>
      </c>
      <c r="F364" s="172">
        <v>50.61</v>
      </c>
      <c r="G364" s="97">
        <v>58</v>
      </c>
      <c r="H364" s="85">
        <f t="shared" si="282"/>
        <v>2935.38</v>
      </c>
      <c r="I364" s="50">
        <f t="shared" si="296"/>
        <v>0</v>
      </c>
      <c r="J364" s="85">
        <f t="shared" si="297"/>
        <v>0</v>
      </c>
      <c r="K364" s="82" t="str">
        <f t="shared" si="267"/>
        <v/>
      </c>
      <c r="L364" s="50"/>
      <c r="M364" s="85">
        <f t="shared" si="298"/>
        <v>0</v>
      </c>
      <c r="N364" s="82" t="str">
        <f t="shared" si="268"/>
        <v/>
      </c>
      <c r="O364" s="50"/>
      <c r="P364" s="85">
        <f t="shared" si="299"/>
        <v>0</v>
      </c>
      <c r="Q364" s="82" t="str">
        <f t="shared" si="269"/>
        <v/>
      </c>
      <c r="R364" s="50"/>
      <c r="S364" s="85">
        <f t="shared" si="300"/>
        <v>0</v>
      </c>
      <c r="T364" s="82" t="str">
        <f t="shared" si="270"/>
        <v/>
      </c>
      <c r="U364" s="50"/>
      <c r="V364" s="85">
        <f t="shared" si="301"/>
        <v>0</v>
      </c>
      <c r="W364" s="82" t="str">
        <f t="shared" si="271"/>
        <v/>
      </c>
      <c r="X364" s="50"/>
      <c r="Y364" s="85">
        <f t="shared" si="302"/>
        <v>0</v>
      </c>
      <c r="Z364" s="82" t="str">
        <f t="shared" si="272"/>
        <v/>
      </c>
      <c r="AA364" s="50"/>
      <c r="AB364" s="85">
        <f t="shared" si="303"/>
        <v>0</v>
      </c>
      <c r="AC364" s="82" t="str">
        <f t="shared" si="273"/>
        <v/>
      </c>
      <c r="AD364" s="50"/>
      <c r="AE364" s="85">
        <f t="shared" si="304"/>
        <v>0</v>
      </c>
      <c r="AF364" s="82" t="str">
        <f t="shared" si="274"/>
        <v/>
      </c>
      <c r="AG364" s="50"/>
      <c r="AH364" s="85">
        <f t="shared" si="305"/>
        <v>0</v>
      </c>
      <c r="AI364" s="82" t="str">
        <f t="shared" si="275"/>
        <v/>
      </c>
      <c r="AJ364" s="50"/>
      <c r="AK364" s="85">
        <f t="shared" si="306"/>
        <v>0</v>
      </c>
      <c r="AL364" s="82" t="str">
        <f t="shared" si="276"/>
        <v/>
      </c>
      <c r="AM364" s="50"/>
      <c r="AN364" s="85">
        <f t="shared" si="307"/>
        <v>0</v>
      </c>
      <c r="AO364" s="82" t="str">
        <f t="shared" si="277"/>
        <v/>
      </c>
      <c r="AP364" s="48">
        <f t="shared" si="278"/>
        <v>0</v>
      </c>
      <c r="AQ364" s="85">
        <f t="shared" si="308"/>
        <v>0</v>
      </c>
      <c r="AR364" s="82" t="str">
        <f t="shared" si="279"/>
        <v/>
      </c>
      <c r="AS364" s="48">
        <f t="shared" si="280"/>
        <v>58</v>
      </c>
      <c r="AT364" s="85">
        <f t="shared" si="309"/>
        <v>2935.38</v>
      </c>
      <c r="AU364" s="82">
        <f t="shared" si="281"/>
        <v>1</v>
      </c>
    </row>
    <row r="365" spans="1:47" ht="30">
      <c r="A365" s="16"/>
      <c r="B365" s="97" t="s">
        <v>1377</v>
      </c>
      <c r="C365" s="167" t="s">
        <v>1378</v>
      </c>
      <c r="D365" s="86" t="s">
        <v>1379</v>
      </c>
      <c r="E365" s="97" t="s">
        <v>44</v>
      </c>
      <c r="F365" s="172">
        <v>116.06</v>
      </c>
      <c r="G365" s="97">
        <v>12</v>
      </c>
      <c r="H365" s="85">
        <f t="shared" si="282"/>
        <v>1392.72</v>
      </c>
      <c r="I365" s="50">
        <f t="shared" si="296"/>
        <v>0</v>
      </c>
      <c r="J365" s="85">
        <f t="shared" si="297"/>
        <v>0</v>
      </c>
      <c r="K365" s="82" t="str">
        <f t="shared" si="267"/>
        <v/>
      </c>
      <c r="L365" s="50"/>
      <c r="M365" s="85">
        <f t="shared" si="298"/>
        <v>0</v>
      </c>
      <c r="N365" s="82" t="str">
        <f t="shared" si="268"/>
        <v/>
      </c>
      <c r="O365" s="50"/>
      <c r="P365" s="85">
        <f t="shared" si="299"/>
        <v>0</v>
      </c>
      <c r="Q365" s="82" t="str">
        <f t="shared" si="269"/>
        <v/>
      </c>
      <c r="R365" s="50"/>
      <c r="S365" s="85">
        <f t="shared" si="300"/>
        <v>0</v>
      </c>
      <c r="T365" s="82" t="str">
        <f t="shared" si="270"/>
        <v/>
      </c>
      <c r="U365" s="50"/>
      <c r="V365" s="85">
        <f t="shared" si="301"/>
        <v>0</v>
      </c>
      <c r="W365" s="82" t="str">
        <f t="shared" si="271"/>
        <v/>
      </c>
      <c r="X365" s="50"/>
      <c r="Y365" s="85">
        <f t="shared" si="302"/>
        <v>0</v>
      </c>
      <c r="Z365" s="82" t="str">
        <f t="shared" si="272"/>
        <v/>
      </c>
      <c r="AA365" s="50"/>
      <c r="AB365" s="85">
        <f t="shared" si="303"/>
        <v>0</v>
      </c>
      <c r="AC365" s="82" t="str">
        <f t="shared" si="273"/>
        <v/>
      </c>
      <c r="AD365" s="50"/>
      <c r="AE365" s="85">
        <f t="shared" si="304"/>
        <v>0</v>
      </c>
      <c r="AF365" s="82" t="str">
        <f t="shared" si="274"/>
        <v/>
      </c>
      <c r="AG365" s="50"/>
      <c r="AH365" s="85">
        <f t="shared" si="305"/>
        <v>0</v>
      </c>
      <c r="AI365" s="82" t="str">
        <f t="shared" si="275"/>
        <v/>
      </c>
      <c r="AJ365" s="50"/>
      <c r="AK365" s="85">
        <f t="shared" si="306"/>
        <v>0</v>
      </c>
      <c r="AL365" s="82" t="str">
        <f t="shared" si="276"/>
        <v/>
      </c>
      <c r="AM365" s="50"/>
      <c r="AN365" s="85">
        <f t="shared" si="307"/>
        <v>0</v>
      </c>
      <c r="AO365" s="82" t="str">
        <f t="shared" si="277"/>
        <v/>
      </c>
      <c r="AP365" s="48">
        <f t="shared" si="278"/>
        <v>0</v>
      </c>
      <c r="AQ365" s="85">
        <f t="shared" si="308"/>
        <v>0</v>
      </c>
      <c r="AR365" s="82" t="str">
        <f t="shared" si="279"/>
        <v/>
      </c>
      <c r="AS365" s="48">
        <f t="shared" si="280"/>
        <v>12</v>
      </c>
      <c r="AT365" s="85">
        <f t="shared" si="309"/>
        <v>1392.72</v>
      </c>
      <c r="AU365" s="82">
        <f t="shared" si="281"/>
        <v>1</v>
      </c>
    </row>
    <row r="366" spans="1:47" ht="30">
      <c r="A366" s="16"/>
      <c r="B366" s="97" t="s">
        <v>1380</v>
      </c>
      <c r="C366" s="167" t="s">
        <v>1381</v>
      </c>
      <c r="D366" s="86" t="s">
        <v>1382</v>
      </c>
      <c r="E366" s="97" t="s">
        <v>44</v>
      </c>
      <c r="F366" s="172">
        <v>171.15</v>
      </c>
      <c r="G366" s="97">
        <v>10</v>
      </c>
      <c r="H366" s="85">
        <f t="shared" si="282"/>
        <v>1711.5</v>
      </c>
      <c r="I366" s="50">
        <f t="shared" si="296"/>
        <v>0</v>
      </c>
      <c r="J366" s="85">
        <f t="shared" si="297"/>
        <v>0</v>
      </c>
      <c r="K366" s="82" t="str">
        <f t="shared" si="267"/>
        <v/>
      </c>
      <c r="L366" s="50"/>
      <c r="M366" s="85">
        <f t="shared" si="298"/>
        <v>0</v>
      </c>
      <c r="N366" s="82" t="str">
        <f t="shared" si="268"/>
        <v/>
      </c>
      <c r="O366" s="50"/>
      <c r="P366" s="85">
        <f t="shared" si="299"/>
        <v>0</v>
      </c>
      <c r="Q366" s="82" t="str">
        <f t="shared" si="269"/>
        <v/>
      </c>
      <c r="R366" s="50"/>
      <c r="S366" s="85">
        <f t="shared" si="300"/>
        <v>0</v>
      </c>
      <c r="T366" s="82" t="str">
        <f t="shared" si="270"/>
        <v/>
      </c>
      <c r="U366" s="50"/>
      <c r="V366" s="85">
        <f t="shared" si="301"/>
        <v>0</v>
      </c>
      <c r="W366" s="82" t="str">
        <f t="shared" si="271"/>
        <v/>
      </c>
      <c r="X366" s="50"/>
      <c r="Y366" s="85">
        <f t="shared" si="302"/>
        <v>0</v>
      </c>
      <c r="Z366" s="82" t="str">
        <f t="shared" si="272"/>
        <v/>
      </c>
      <c r="AA366" s="50"/>
      <c r="AB366" s="85">
        <f t="shared" si="303"/>
        <v>0</v>
      </c>
      <c r="AC366" s="82" t="str">
        <f t="shared" si="273"/>
        <v/>
      </c>
      <c r="AD366" s="50"/>
      <c r="AE366" s="85">
        <f t="shared" si="304"/>
        <v>0</v>
      </c>
      <c r="AF366" s="82" t="str">
        <f t="shared" si="274"/>
        <v/>
      </c>
      <c r="AG366" s="50"/>
      <c r="AH366" s="85">
        <f t="shared" si="305"/>
        <v>0</v>
      </c>
      <c r="AI366" s="82" t="str">
        <f t="shared" si="275"/>
        <v/>
      </c>
      <c r="AJ366" s="50"/>
      <c r="AK366" s="85">
        <f t="shared" si="306"/>
        <v>0</v>
      </c>
      <c r="AL366" s="82" t="str">
        <f t="shared" si="276"/>
        <v/>
      </c>
      <c r="AM366" s="50"/>
      <c r="AN366" s="85">
        <f t="shared" si="307"/>
        <v>0</v>
      </c>
      <c r="AO366" s="82" t="str">
        <f t="shared" si="277"/>
        <v/>
      </c>
      <c r="AP366" s="48">
        <f t="shared" si="278"/>
        <v>0</v>
      </c>
      <c r="AQ366" s="85">
        <f t="shared" si="308"/>
        <v>0</v>
      </c>
      <c r="AR366" s="82" t="str">
        <f t="shared" si="279"/>
        <v/>
      </c>
      <c r="AS366" s="48">
        <f t="shared" si="280"/>
        <v>10</v>
      </c>
      <c r="AT366" s="85">
        <f t="shared" si="309"/>
        <v>1711.5</v>
      </c>
      <c r="AU366" s="82">
        <f t="shared" si="281"/>
        <v>1</v>
      </c>
    </row>
    <row r="367" spans="1:47" ht="45">
      <c r="A367" s="16"/>
      <c r="B367" s="97" t="s">
        <v>1383</v>
      </c>
      <c r="C367" s="167" t="s">
        <v>1384</v>
      </c>
      <c r="D367" s="86" t="s">
        <v>1385</v>
      </c>
      <c r="E367" s="97" t="s">
        <v>28</v>
      </c>
      <c r="F367" s="172">
        <v>12.87</v>
      </c>
      <c r="G367" s="97">
        <v>7</v>
      </c>
      <c r="H367" s="85">
        <f t="shared" si="282"/>
        <v>90.089999999999989</v>
      </c>
      <c r="I367" s="50">
        <f t="shared" si="296"/>
        <v>0</v>
      </c>
      <c r="J367" s="85">
        <f t="shared" si="297"/>
        <v>0</v>
      </c>
      <c r="K367" s="82" t="str">
        <f t="shared" si="267"/>
        <v/>
      </c>
      <c r="L367" s="50"/>
      <c r="M367" s="85">
        <f t="shared" si="298"/>
        <v>0</v>
      </c>
      <c r="N367" s="82" t="str">
        <f t="shared" si="268"/>
        <v/>
      </c>
      <c r="O367" s="50"/>
      <c r="P367" s="85">
        <f t="shared" si="299"/>
        <v>0</v>
      </c>
      <c r="Q367" s="82" t="str">
        <f t="shared" si="269"/>
        <v/>
      </c>
      <c r="R367" s="50"/>
      <c r="S367" s="85">
        <f t="shared" si="300"/>
        <v>0</v>
      </c>
      <c r="T367" s="82" t="str">
        <f t="shared" si="270"/>
        <v/>
      </c>
      <c r="U367" s="50"/>
      <c r="V367" s="85">
        <f t="shared" si="301"/>
        <v>0</v>
      </c>
      <c r="W367" s="82" t="str">
        <f t="shared" si="271"/>
        <v/>
      </c>
      <c r="X367" s="50"/>
      <c r="Y367" s="85">
        <f t="shared" si="302"/>
        <v>0</v>
      </c>
      <c r="Z367" s="82" t="str">
        <f t="shared" si="272"/>
        <v/>
      </c>
      <c r="AA367" s="50"/>
      <c r="AB367" s="85">
        <f t="shared" si="303"/>
        <v>0</v>
      </c>
      <c r="AC367" s="82" t="str">
        <f t="shared" si="273"/>
        <v/>
      </c>
      <c r="AD367" s="50"/>
      <c r="AE367" s="85">
        <f t="shared" si="304"/>
        <v>0</v>
      </c>
      <c r="AF367" s="82" t="str">
        <f t="shared" si="274"/>
        <v/>
      </c>
      <c r="AG367" s="50"/>
      <c r="AH367" s="85">
        <f t="shared" si="305"/>
        <v>0</v>
      </c>
      <c r="AI367" s="82" t="str">
        <f t="shared" si="275"/>
        <v/>
      </c>
      <c r="AJ367" s="50"/>
      <c r="AK367" s="85">
        <f t="shared" si="306"/>
        <v>0</v>
      </c>
      <c r="AL367" s="82" t="str">
        <f t="shared" si="276"/>
        <v/>
      </c>
      <c r="AM367" s="50"/>
      <c r="AN367" s="85">
        <f t="shared" si="307"/>
        <v>0</v>
      </c>
      <c r="AO367" s="82" t="str">
        <f t="shared" si="277"/>
        <v/>
      </c>
      <c r="AP367" s="48">
        <f t="shared" si="278"/>
        <v>0</v>
      </c>
      <c r="AQ367" s="85">
        <f t="shared" si="308"/>
        <v>0</v>
      </c>
      <c r="AR367" s="82" t="str">
        <f t="shared" si="279"/>
        <v/>
      </c>
      <c r="AS367" s="48">
        <f t="shared" si="280"/>
        <v>7</v>
      </c>
      <c r="AT367" s="85">
        <f t="shared" si="309"/>
        <v>90.089999999999989</v>
      </c>
      <c r="AU367" s="82">
        <f t="shared" si="281"/>
        <v>1</v>
      </c>
    </row>
    <row r="368" spans="1:47" ht="45">
      <c r="A368" s="16"/>
      <c r="B368" s="97" t="s">
        <v>1386</v>
      </c>
      <c r="C368" s="167" t="s">
        <v>1387</v>
      </c>
      <c r="D368" s="86" t="s">
        <v>1388</v>
      </c>
      <c r="E368" s="97" t="s">
        <v>28</v>
      </c>
      <c r="F368" s="172">
        <v>24.37</v>
      </c>
      <c r="G368" s="97">
        <v>8</v>
      </c>
      <c r="H368" s="85">
        <f t="shared" si="282"/>
        <v>194.96</v>
      </c>
      <c r="I368" s="50">
        <f t="shared" si="296"/>
        <v>0</v>
      </c>
      <c r="J368" s="85">
        <f t="shared" si="297"/>
        <v>0</v>
      </c>
      <c r="K368" s="82" t="str">
        <f t="shared" si="267"/>
        <v/>
      </c>
      <c r="L368" s="50"/>
      <c r="M368" s="85">
        <f t="shared" si="298"/>
        <v>0</v>
      </c>
      <c r="N368" s="82" t="str">
        <f t="shared" si="268"/>
        <v/>
      </c>
      <c r="O368" s="50"/>
      <c r="P368" s="85">
        <f t="shared" si="299"/>
        <v>0</v>
      </c>
      <c r="Q368" s="82" t="str">
        <f t="shared" si="269"/>
        <v/>
      </c>
      <c r="R368" s="50"/>
      <c r="S368" s="85">
        <f t="shared" si="300"/>
        <v>0</v>
      </c>
      <c r="T368" s="82" t="str">
        <f t="shared" si="270"/>
        <v/>
      </c>
      <c r="U368" s="50"/>
      <c r="V368" s="85">
        <f t="shared" si="301"/>
        <v>0</v>
      </c>
      <c r="W368" s="82" t="str">
        <f t="shared" si="271"/>
        <v/>
      </c>
      <c r="X368" s="50"/>
      <c r="Y368" s="85">
        <f t="shared" si="302"/>
        <v>0</v>
      </c>
      <c r="Z368" s="82" t="str">
        <f t="shared" si="272"/>
        <v/>
      </c>
      <c r="AA368" s="50"/>
      <c r="AB368" s="85">
        <f t="shared" si="303"/>
        <v>0</v>
      </c>
      <c r="AC368" s="82" t="str">
        <f t="shared" si="273"/>
        <v/>
      </c>
      <c r="AD368" s="50"/>
      <c r="AE368" s="85">
        <f t="shared" si="304"/>
        <v>0</v>
      </c>
      <c r="AF368" s="82" t="str">
        <f t="shared" si="274"/>
        <v/>
      </c>
      <c r="AG368" s="50"/>
      <c r="AH368" s="85">
        <f t="shared" si="305"/>
        <v>0</v>
      </c>
      <c r="AI368" s="82" t="str">
        <f t="shared" si="275"/>
        <v/>
      </c>
      <c r="AJ368" s="50"/>
      <c r="AK368" s="85">
        <f t="shared" si="306"/>
        <v>0</v>
      </c>
      <c r="AL368" s="82" t="str">
        <f t="shared" si="276"/>
        <v/>
      </c>
      <c r="AM368" s="50"/>
      <c r="AN368" s="85">
        <f t="shared" si="307"/>
        <v>0</v>
      </c>
      <c r="AO368" s="82" t="str">
        <f t="shared" si="277"/>
        <v/>
      </c>
      <c r="AP368" s="48">
        <f t="shared" si="278"/>
        <v>0</v>
      </c>
      <c r="AQ368" s="85">
        <f t="shared" si="308"/>
        <v>0</v>
      </c>
      <c r="AR368" s="82" t="str">
        <f t="shared" si="279"/>
        <v/>
      </c>
      <c r="AS368" s="48">
        <f t="shared" si="280"/>
        <v>8</v>
      </c>
      <c r="AT368" s="85">
        <f t="shared" si="309"/>
        <v>194.96</v>
      </c>
      <c r="AU368" s="82">
        <f t="shared" si="281"/>
        <v>1</v>
      </c>
    </row>
    <row r="369" spans="1:47" ht="30">
      <c r="A369" s="16"/>
      <c r="B369" s="97" t="s">
        <v>1389</v>
      </c>
      <c r="C369" s="167" t="s">
        <v>1390</v>
      </c>
      <c r="D369" s="86" t="s">
        <v>1391</v>
      </c>
      <c r="E369" s="97" t="s">
        <v>44</v>
      </c>
      <c r="F369" s="172">
        <v>98.52</v>
      </c>
      <c r="G369" s="97">
        <v>10</v>
      </c>
      <c r="H369" s="85">
        <f t="shared" si="282"/>
        <v>985.19999999999993</v>
      </c>
      <c r="I369" s="50">
        <f t="shared" si="296"/>
        <v>0</v>
      </c>
      <c r="J369" s="85">
        <f t="shared" si="297"/>
        <v>0</v>
      </c>
      <c r="K369" s="82" t="str">
        <f t="shared" si="267"/>
        <v/>
      </c>
      <c r="L369" s="50"/>
      <c r="M369" s="85">
        <f t="shared" si="298"/>
        <v>0</v>
      </c>
      <c r="N369" s="82" t="str">
        <f t="shared" si="268"/>
        <v/>
      </c>
      <c r="O369" s="50"/>
      <c r="P369" s="85">
        <f t="shared" si="299"/>
        <v>0</v>
      </c>
      <c r="Q369" s="82" t="str">
        <f t="shared" si="269"/>
        <v/>
      </c>
      <c r="R369" s="50"/>
      <c r="S369" s="85">
        <f t="shared" si="300"/>
        <v>0</v>
      </c>
      <c r="T369" s="82" t="str">
        <f t="shared" si="270"/>
        <v/>
      </c>
      <c r="U369" s="50"/>
      <c r="V369" s="85">
        <f t="shared" si="301"/>
        <v>0</v>
      </c>
      <c r="W369" s="82" t="str">
        <f t="shared" si="271"/>
        <v/>
      </c>
      <c r="X369" s="50"/>
      <c r="Y369" s="85">
        <f t="shared" si="302"/>
        <v>0</v>
      </c>
      <c r="Z369" s="82" t="str">
        <f t="shared" si="272"/>
        <v/>
      </c>
      <c r="AA369" s="50"/>
      <c r="AB369" s="85">
        <f t="shared" si="303"/>
        <v>0</v>
      </c>
      <c r="AC369" s="82" t="str">
        <f t="shared" si="273"/>
        <v/>
      </c>
      <c r="AD369" s="50"/>
      <c r="AE369" s="85">
        <f t="shared" si="304"/>
        <v>0</v>
      </c>
      <c r="AF369" s="82" t="str">
        <f t="shared" si="274"/>
        <v/>
      </c>
      <c r="AG369" s="50"/>
      <c r="AH369" s="85">
        <f t="shared" si="305"/>
        <v>0</v>
      </c>
      <c r="AI369" s="82" t="str">
        <f t="shared" si="275"/>
        <v/>
      </c>
      <c r="AJ369" s="50"/>
      <c r="AK369" s="85">
        <f t="shared" si="306"/>
        <v>0</v>
      </c>
      <c r="AL369" s="82" t="str">
        <f t="shared" si="276"/>
        <v/>
      </c>
      <c r="AM369" s="50"/>
      <c r="AN369" s="85">
        <f t="shared" si="307"/>
        <v>0</v>
      </c>
      <c r="AO369" s="82" t="str">
        <f t="shared" si="277"/>
        <v/>
      </c>
      <c r="AP369" s="48">
        <f t="shared" si="278"/>
        <v>0</v>
      </c>
      <c r="AQ369" s="85">
        <f t="shared" si="308"/>
        <v>0</v>
      </c>
      <c r="AR369" s="82" t="str">
        <f t="shared" si="279"/>
        <v/>
      </c>
      <c r="AS369" s="48">
        <f t="shared" si="280"/>
        <v>10</v>
      </c>
      <c r="AT369" s="85">
        <f t="shared" si="309"/>
        <v>985.19999999999993</v>
      </c>
      <c r="AU369" s="82">
        <f t="shared" si="281"/>
        <v>1</v>
      </c>
    </row>
    <row r="370" spans="1:47" ht="45">
      <c r="A370" s="16"/>
      <c r="B370" s="97" t="s">
        <v>1392</v>
      </c>
      <c r="C370" s="167" t="s">
        <v>1393</v>
      </c>
      <c r="D370" s="86" t="s">
        <v>1394</v>
      </c>
      <c r="E370" s="97" t="s">
        <v>28</v>
      </c>
      <c r="F370" s="172">
        <v>10.26</v>
      </c>
      <c r="G370" s="97">
        <v>37</v>
      </c>
      <c r="H370" s="85">
        <f t="shared" si="282"/>
        <v>379.62</v>
      </c>
      <c r="I370" s="50">
        <f t="shared" si="296"/>
        <v>0</v>
      </c>
      <c r="J370" s="85">
        <f t="shared" si="297"/>
        <v>0</v>
      </c>
      <c r="K370" s="82" t="str">
        <f t="shared" si="267"/>
        <v/>
      </c>
      <c r="L370" s="50"/>
      <c r="M370" s="85">
        <f t="shared" si="298"/>
        <v>0</v>
      </c>
      <c r="N370" s="82" t="str">
        <f t="shared" si="268"/>
        <v/>
      </c>
      <c r="O370" s="50"/>
      <c r="P370" s="85">
        <f t="shared" si="299"/>
        <v>0</v>
      </c>
      <c r="Q370" s="82" t="str">
        <f t="shared" si="269"/>
        <v/>
      </c>
      <c r="R370" s="50"/>
      <c r="S370" s="85">
        <f t="shared" si="300"/>
        <v>0</v>
      </c>
      <c r="T370" s="82" t="str">
        <f t="shared" si="270"/>
        <v/>
      </c>
      <c r="U370" s="50"/>
      <c r="V370" s="85">
        <f t="shared" si="301"/>
        <v>0</v>
      </c>
      <c r="W370" s="82" t="str">
        <f t="shared" si="271"/>
        <v/>
      </c>
      <c r="X370" s="50"/>
      <c r="Y370" s="85">
        <f t="shared" si="302"/>
        <v>0</v>
      </c>
      <c r="Z370" s="82" t="str">
        <f t="shared" si="272"/>
        <v/>
      </c>
      <c r="AA370" s="50"/>
      <c r="AB370" s="85">
        <f t="shared" si="303"/>
        <v>0</v>
      </c>
      <c r="AC370" s="82" t="str">
        <f t="shared" si="273"/>
        <v/>
      </c>
      <c r="AD370" s="50"/>
      <c r="AE370" s="85">
        <f t="shared" si="304"/>
        <v>0</v>
      </c>
      <c r="AF370" s="82" t="str">
        <f t="shared" si="274"/>
        <v/>
      </c>
      <c r="AG370" s="50"/>
      <c r="AH370" s="85">
        <f t="shared" si="305"/>
        <v>0</v>
      </c>
      <c r="AI370" s="82" t="str">
        <f t="shared" si="275"/>
        <v/>
      </c>
      <c r="AJ370" s="50"/>
      <c r="AK370" s="85">
        <f t="shared" si="306"/>
        <v>0</v>
      </c>
      <c r="AL370" s="82" t="str">
        <f t="shared" si="276"/>
        <v/>
      </c>
      <c r="AM370" s="50"/>
      <c r="AN370" s="85">
        <f t="shared" si="307"/>
        <v>0</v>
      </c>
      <c r="AO370" s="82" t="str">
        <f t="shared" si="277"/>
        <v/>
      </c>
      <c r="AP370" s="48">
        <f t="shared" si="278"/>
        <v>0</v>
      </c>
      <c r="AQ370" s="85">
        <f t="shared" si="308"/>
        <v>0</v>
      </c>
      <c r="AR370" s="82" t="str">
        <f t="shared" si="279"/>
        <v/>
      </c>
      <c r="AS370" s="48">
        <f t="shared" si="280"/>
        <v>37</v>
      </c>
      <c r="AT370" s="85">
        <f t="shared" si="309"/>
        <v>379.62</v>
      </c>
      <c r="AU370" s="82">
        <f t="shared" si="281"/>
        <v>1</v>
      </c>
    </row>
    <row r="371" spans="1:47" ht="45">
      <c r="A371" s="16"/>
      <c r="B371" s="97" t="s">
        <v>1395</v>
      </c>
      <c r="C371" s="167" t="s">
        <v>1396</v>
      </c>
      <c r="D371" s="86" t="s">
        <v>1397</v>
      </c>
      <c r="E371" s="97" t="s">
        <v>28</v>
      </c>
      <c r="F371" s="172">
        <v>141.96</v>
      </c>
      <c r="G371" s="97">
        <v>14</v>
      </c>
      <c r="H371" s="85">
        <f t="shared" si="282"/>
        <v>1987.44</v>
      </c>
      <c r="I371" s="50">
        <f t="shared" si="296"/>
        <v>0</v>
      </c>
      <c r="J371" s="85">
        <f t="shared" si="297"/>
        <v>0</v>
      </c>
      <c r="K371" s="82" t="str">
        <f t="shared" si="267"/>
        <v/>
      </c>
      <c r="L371" s="50"/>
      <c r="M371" s="85">
        <f t="shared" si="298"/>
        <v>0</v>
      </c>
      <c r="N371" s="82" t="str">
        <f t="shared" si="268"/>
        <v/>
      </c>
      <c r="O371" s="50"/>
      <c r="P371" s="85">
        <f t="shared" si="299"/>
        <v>0</v>
      </c>
      <c r="Q371" s="82" t="str">
        <f t="shared" si="269"/>
        <v/>
      </c>
      <c r="R371" s="50"/>
      <c r="S371" s="85">
        <f t="shared" si="300"/>
        <v>0</v>
      </c>
      <c r="T371" s="82" t="str">
        <f t="shared" si="270"/>
        <v/>
      </c>
      <c r="U371" s="50"/>
      <c r="V371" s="85">
        <f t="shared" si="301"/>
        <v>0</v>
      </c>
      <c r="W371" s="82" t="str">
        <f t="shared" si="271"/>
        <v/>
      </c>
      <c r="X371" s="50"/>
      <c r="Y371" s="85">
        <f t="shared" si="302"/>
        <v>0</v>
      </c>
      <c r="Z371" s="82" t="str">
        <f t="shared" si="272"/>
        <v/>
      </c>
      <c r="AA371" s="50"/>
      <c r="AB371" s="85">
        <f t="shared" si="303"/>
        <v>0</v>
      </c>
      <c r="AC371" s="82" t="str">
        <f t="shared" si="273"/>
        <v/>
      </c>
      <c r="AD371" s="50"/>
      <c r="AE371" s="85">
        <f t="shared" si="304"/>
        <v>0</v>
      </c>
      <c r="AF371" s="82" t="str">
        <f t="shared" si="274"/>
        <v/>
      </c>
      <c r="AG371" s="50"/>
      <c r="AH371" s="85">
        <f t="shared" si="305"/>
        <v>0</v>
      </c>
      <c r="AI371" s="82" t="str">
        <f t="shared" si="275"/>
        <v/>
      </c>
      <c r="AJ371" s="50"/>
      <c r="AK371" s="85">
        <f t="shared" si="306"/>
        <v>0</v>
      </c>
      <c r="AL371" s="82" t="str">
        <f t="shared" si="276"/>
        <v/>
      </c>
      <c r="AM371" s="50"/>
      <c r="AN371" s="85">
        <f t="shared" si="307"/>
        <v>0</v>
      </c>
      <c r="AO371" s="82" t="str">
        <f t="shared" si="277"/>
        <v/>
      </c>
      <c r="AP371" s="48">
        <f t="shared" si="278"/>
        <v>0</v>
      </c>
      <c r="AQ371" s="85">
        <f t="shared" si="308"/>
        <v>0</v>
      </c>
      <c r="AR371" s="82" t="str">
        <f t="shared" si="279"/>
        <v/>
      </c>
      <c r="AS371" s="48">
        <f t="shared" si="280"/>
        <v>14</v>
      </c>
      <c r="AT371" s="85">
        <f t="shared" si="309"/>
        <v>1987.44</v>
      </c>
      <c r="AU371" s="82">
        <f t="shared" si="281"/>
        <v>1</v>
      </c>
    </row>
    <row r="372" spans="1:47" ht="45">
      <c r="A372" s="16"/>
      <c r="B372" s="97" t="s">
        <v>1398</v>
      </c>
      <c r="C372" s="167" t="s">
        <v>1399</v>
      </c>
      <c r="D372" s="86" t="s">
        <v>1400</v>
      </c>
      <c r="E372" s="97" t="s">
        <v>28</v>
      </c>
      <c r="F372" s="172">
        <v>178.7</v>
      </c>
      <c r="G372" s="97">
        <v>7</v>
      </c>
      <c r="H372" s="85">
        <f t="shared" si="282"/>
        <v>1250.8999999999999</v>
      </c>
      <c r="I372" s="50">
        <f t="shared" si="296"/>
        <v>0</v>
      </c>
      <c r="J372" s="85">
        <f t="shared" si="297"/>
        <v>0</v>
      </c>
      <c r="K372" s="82" t="str">
        <f t="shared" si="267"/>
        <v/>
      </c>
      <c r="L372" s="50"/>
      <c r="M372" s="85">
        <f t="shared" si="298"/>
        <v>0</v>
      </c>
      <c r="N372" s="82" t="str">
        <f t="shared" si="268"/>
        <v/>
      </c>
      <c r="O372" s="50"/>
      <c r="P372" s="85">
        <f t="shared" si="299"/>
        <v>0</v>
      </c>
      <c r="Q372" s="82" t="str">
        <f t="shared" si="269"/>
        <v/>
      </c>
      <c r="R372" s="50"/>
      <c r="S372" s="85">
        <f t="shared" si="300"/>
        <v>0</v>
      </c>
      <c r="T372" s="82" t="str">
        <f t="shared" si="270"/>
        <v/>
      </c>
      <c r="U372" s="50"/>
      <c r="V372" s="85">
        <f t="shared" si="301"/>
        <v>0</v>
      </c>
      <c r="W372" s="82" t="str">
        <f t="shared" si="271"/>
        <v/>
      </c>
      <c r="X372" s="50"/>
      <c r="Y372" s="85">
        <f t="shared" si="302"/>
        <v>0</v>
      </c>
      <c r="Z372" s="82" t="str">
        <f t="shared" si="272"/>
        <v/>
      </c>
      <c r="AA372" s="50"/>
      <c r="AB372" s="85">
        <f t="shared" si="303"/>
        <v>0</v>
      </c>
      <c r="AC372" s="82" t="str">
        <f t="shared" si="273"/>
        <v/>
      </c>
      <c r="AD372" s="50"/>
      <c r="AE372" s="85">
        <f t="shared" si="304"/>
        <v>0</v>
      </c>
      <c r="AF372" s="82" t="str">
        <f t="shared" si="274"/>
        <v/>
      </c>
      <c r="AG372" s="50"/>
      <c r="AH372" s="85">
        <f t="shared" si="305"/>
        <v>0</v>
      </c>
      <c r="AI372" s="82" t="str">
        <f t="shared" si="275"/>
        <v/>
      </c>
      <c r="AJ372" s="50"/>
      <c r="AK372" s="85">
        <f t="shared" si="306"/>
        <v>0</v>
      </c>
      <c r="AL372" s="82" t="str">
        <f t="shared" si="276"/>
        <v/>
      </c>
      <c r="AM372" s="50"/>
      <c r="AN372" s="85">
        <f t="shared" si="307"/>
        <v>0</v>
      </c>
      <c r="AO372" s="82" t="str">
        <f t="shared" si="277"/>
        <v/>
      </c>
      <c r="AP372" s="48">
        <f t="shared" si="278"/>
        <v>0</v>
      </c>
      <c r="AQ372" s="85">
        <f t="shared" si="308"/>
        <v>0</v>
      </c>
      <c r="AR372" s="82" t="str">
        <f t="shared" si="279"/>
        <v/>
      </c>
      <c r="AS372" s="48">
        <f t="shared" si="280"/>
        <v>7</v>
      </c>
      <c r="AT372" s="85">
        <f t="shared" si="309"/>
        <v>1250.8999999999999</v>
      </c>
      <c r="AU372" s="82">
        <f t="shared" si="281"/>
        <v>1</v>
      </c>
    </row>
    <row r="373" spans="1:47" ht="60">
      <c r="A373" s="16"/>
      <c r="B373" s="97" t="s">
        <v>1401</v>
      </c>
      <c r="C373" s="167" t="s">
        <v>1402</v>
      </c>
      <c r="D373" s="86" t="s">
        <v>1403</v>
      </c>
      <c r="E373" s="97" t="s">
        <v>28</v>
      </c>
      <c r="F373" s="172">
        <v>6.78</v>
      </c>
      <c r="G373" s="97">
        <v>8</v>
      </c>
      <c r="H373" s="85">
        <f t="shared" si="282"/>
        <v>54.24</v>
      </c>
      <c r="I373" s="50">
        <f t="shared" si="296"/>
        <v>0</v>
      </c>
      <c r="J373" s="85">
        <f t="shared" si="297"/>
        <v>0</v>
      </c>
      <c r="K373" s="82" t="str">
        <f t="shared" si="267"/>
        <v/>
      </c>
      <c r="L373" s="50"/>
      <c r="M373" s="85">
        <f t="shared" si="298"/>
        <v>0</v>
      </c>
      <c r="N373" s="82" t="str">
        <f t="shared" si="268"/>
        <v/>
      </c>
      <c r="O373" s="50"/>
      <c r="P373" s="85">
        <f t="shared" si="299"/>
        <v>0</v>
      </c>
      <c r="Q373" s="82" t="str">
        <f t="shared" si="269"/>
        <v/>
      </c>
      <c r="R373" s="50"/>
      <c r="S373" s="85">
        <f t="shared" si="300"/>
        <v>0</v>
      </c>
      <c r="T373" s="82" t="str">
        <f t="shared" si="270"/>
        <v/>
      </c>
      <c r="U373" s="50"/>
      <c r="V373" s="85">
        <f t="shared" si="301"/>
        <v>0</v>
      </c>
      <c r="W373" s="82" t="str">
        <f t="shared" si="271"/>
        <v/>
      </c>
      <c r="X373" s="50"/>
      <c r="Y373" s="85">
        <f t="shared" si="302"/>
        <v>0</v>
      </c>
      <c r="Z373" s="82" t="str">
        <f t="shared" si="272"/>
        <v/>
      </c>
      <c r="AA373" s="50"/>
      <c r="AB373" s="85">
        <f t="shared" si="303"/>
        <v>0</v>
      </c>
      <c r="AC373" s="82" t="str">
        <f t="shared" si="273"/>
        <v/>
      </c>
      <c r="AD373" s="50"/>
      <c r="AE373" s="85">
        <f t="shared" si="304"/>
        <v>0</v>
      </c>
      <c r="AF373" s="82" t="str">
        <f t="shared" si="274"/>
        <v/>
      </c>
      <c r="AG373" s="50"/>
      <c r="AH373" s="85">
        <f t="shared" si="305"/>
        <v>0</v>
      </c>
      <c r="AI373" s="82" t="str">
        <f t="shared" si="275"/>
        <v/>
      </c>
      <c r="AJ373" s="50"/>
      <c r="AK373" s="85">
        <f t="shared" si="306"/>
        <v>0</v>
      </c>
      <c r="AL373" s="82" t="str">
        <f t="shared" si="276"/>
        <v/>
      </c>
      <c r="AM373" s="50"/>
      <c r="AN373" s="85">
        <f t="shared" si="307"/>
        <v>0</v>
      </c>
      <c r="AO373" s="82" t="str">
        <f t="shared" si="277"/>
        <v/>
      </c>
      <c r="AP373" s="48">
        <f t="shared" si="278"/>
        <v>0</v>
      </c>
      <c r="AQ373" s="85">
        <f t="shared" si="308"/>
        <v>0</v>
      </c>
      <c r="AR373" s="82" t="str">
        <f t="shared" si="279"/>
        <v/>
      </c>
      <c r="AS373" s="48">
        <f t="shared" si="280"/>
        <v>8</v>
      </c>
      <c r="AT373" s="85">
        <f t="shared" si="309"/>
        <v>54.24</v>
      </c>
      <c r="AU373" s="82">
        <f t="shared" si="281"/>
        <v>1</v>
      </c>
    </row>
    <row r="374" spans="1:47" ht="45">
      <c r="A374" s="16"/>
      <c r="B374" s="97" t="s">
        <v>1404</v>
      </c>
      <c r="C374" s="167" t="s">
        <v>1405</v>
      </c>
      <c r="D374" s="86" t="s">
        <v>1406</v>
      </c>
      <c r="E374" s="97" t="s">
        <v>28</v>
      </c>
      <c r="F374" s="172">
        <v>15.61</v>
      </c>
      <c r="G374" s="97">
        <v>34</v>
      </c>
      <c r="H374" s="85">
        <f t="shared" si="282"/>
        <v>530.74</v>
      </c>
      <c r="I374" s="50">
        <f t="shared" si="296"/>
        <v>0</v>
      </c>
      <c r="J374" s="85">
        <f t="shared" si="297"/>
        <v>0</v>
      </c>
      <c r="K374" s="82" t="str">
        <f t="shared" si="267"/>
        <v/>
      </c>
      <c r="L374" s="50"/>
      <c r="M374" s="85">
        <f t="shared" si="298"/>
        <v>0</v>
      </c>
      <c r="N374" s="82" t="str">
        <f t="shared" si="268"/>
        <v/>
      </c>
      <c r="O374" s="50"/>
      <c r="P374" s="85">
        <f t="shared" si="299"/>
        <v>0</v>
      </c>
      <c r="Q374" s="82" t="str">
        <f t="shared" si="269"/>
        <v/>
      </c>
      <c r="R374" s="50"/>
      <c r="S374" s="85">
        <f t="shared" si="300"/>
        <v>0</v>
      </c>
      <c r="T374" s="82" t="str">
        <f t="shared" si="270"/>
        <v/>
      </c>
      <c r="U374" s="50"/>
      <c r="V374" s="85">
        <f t="shared" si="301"/>
        <v>0</v>
      </c>
      <c r="W374" s="82" t="str">
        <f t="shared" si="271"/>
        <v/>
      </c>
      <c r="X374" s="50"/>
      <c r="Y374" s="85">
        <f t="shared" si="302"/>
        <v>0</v>
      </c>
      <c r="Z374" s="82" t="str">
        <f t="shared" si="272"/>
        <v/>
      </c>
      <c r="AA374" s="50"/>
      <c r="AB374" s="85">
        <f t="shared" si="303"/>
        <v>0</v>
      </c>
      <c r="AC374" s="82" t="str">
        <f t="shared" si="273"/>
        <v/>
      </c>
      <c r="AD374" s="50"/>
      <c r="AE374" s="85">
        <f t="shared" si="304"/>
        <v>0</v>
      </c>
      <c r="AF374" s="82" t="str">
        <f t="shared" si="274"/>
        <v/>
      </c>
      <c r="AG374" s="50"/>
      <c r="AH374" s="85">
        <f t="shared" si="305"/>
        <v>0</v>
      </c>
      <c r="AI374" s="82" t="str">
        <f t="shared" si="275"/>
        <v/>
      </c>
      <c r="AJ374" s="50"/>
      <c r="AK374" s="85">
        <f t="shared" si="306"/>
        <v>0</v>
      </c>
      <c r="AL374" s="82" t="str">
        <f t="shared" si="276"/>
        <v/>
      </c>
      <c r="AM374" s="50"/>
      <c r="AN374" s="85">
        <f t="shared" si="307"/>
        <v>0</v>
      </c>
      <c r="AO374" s="82" t="str">
        <f t="shared" si="277"/>
        <v/>
      </c>
      <c r="AP374" s="48">
        <f t="shared" si="278"/>
        <v>0</v>
      </c>
      <c r="AQ374" s="85">
        <f t="shared" si="308"/>
        <v>0</v>
      </c>
      <c r="AR374" s="82" t="str">
        <f t="shared" si="279"/>
        <v/>
      </c>
      <c r="AS374" s="48">
        <f t="shared" si="280"/>
        <v>34</v>
      </c>
      <c r="AT374" s="85">
        <f t="shared" si="309"/>
        <v>530.74</v>
      </c>
      <c r="AU374" s="82">
        <f t="shared" si="281"/>
        <v>1</v>
      </c>
    </row>
    <row r="375" spans="1:47" ht="45">
      <c r="A375" s="16"/>
      <c r="B375" s="97" t="s">
        <v>1407</v>
      </c>
      <c r="C375" s="167" t="s">
        <v>1408</v>
      </c>
      <c r="D375" s="86" t="s">
        <v>1409</v>
      </c>
      <c r="E375" s="97" t="s">
        <v>44</v>
      </c>
      <c r="F375" s="172">
        <v>80.84</v>
      </c>
      <c r="G375" s="97">
        <v>44</v>
      </c>
      <c r="H375" s="85">
        <f t="shared" si="282"/>
        <v>3556.96</v>
      </c>
      <c r="I375" s="50">
        <f t="shared" si="296"/>
        <v>0</v>
      </c>
      <c r="J375" s="85">
        <f t="shared" si="297"/>
        <v>0</v>
      </c>
      <c r="K375" s="82" t="str">
        <f t="shared" si="267"/>
        <v/>
      </c>
      <c r="L375" s="50"/>
      <c r="M375" s="85">
        <f t="shared" si="298"/>
        <v>0</v>
      </c>
      <c r="N375" s="82" t="str">
        <f t="shared" si="268"/>
        <v/>
      </c>
      <c r="O375" s="50"/>
      <c r="P375" s="85">
        <f t="shared" si="299"/>
        <v>0</v>
      </c>
      <c r="Q375" s="82" t="str">
        <f t="shared" si="269"/>
        <v/>
      </c>
      <c r="R375" s="50"/>
      <c r="S375" s="85">
        <f t="shared" si="300"/>
        <v>0</v>
      </c>
      <c r="T375" s="82" t="str">
        <f t="shared" si="270"/>
        <v/>
      </c>
      <c r="U375" s="50"/>
      <c r="V375" s="85">
        <f t="shared" si="301"/>
        <v>0</v>
      </c>
      <c r="W375" s="82" t="str">
        <f t="shared" si="271"/>
        <v/>
      </c>
      <c r="X375" s="50"/>
      <c r="Y375" s="85">
        <f t="shared" si="302"/>
        <v>0</v>
      </c>
      <c r="Z375" s="82" t="str">
        <f t="shared" si="272"/>
        <v/>
      </c>
      <c r="AA375" s="50"/>
      <c r="AB375" s="85">
        <f t="shared" si="303"/>
        <v>0</v>
      </c>
      <c r="AC375" s="82" t="str">
        <f t="shared" si="273"/>
        <v/>
      </c>
      <c r="AD375" s="50"/>
      <c r="AE375" s="85">
        <f t="shared" si="304"/>
        <v>0</v>
      </c>
      <c r="AF375" s="82" t="str">
        <f t="shared" si="274"/>
        <v/>
      </c>
      <c r="AG375" s="50"/>
      <c r="AH375" s="85">
        <f t="shared" si="305"/>
        <v>0</v>
      </c>
      <c r="AI375" s="82" t="str">
        <f t="shared" si="275"/>
        <v/>
      </c>
      <c r="AJ375" s="50"/>
      <c r="AK375" s="85">
        <f t="shared" si="306"/>
        <v>0</v>
      </c>
      <c r="AL375" s="82" t="str">
        <f t="shared" si="276"/>
        <v/>
      </c>
      <c r="AM375" s="50"/>
      <c r="AN375" s="85">
        <f t="shared" si="307"/>
        <v>0</v>
      </c>
      <c r="AO375" s="82" t="str">
        <f t="shared" si="277"/>
        <v/>
      </c>
      <c r="AP375" s="48">
        <f t="shared" si="278"/>
        <v>0</v>
      </c>
      <c r="AQ375" s="85">
        <f t="shared" si="308"/>
        <v>0</v>
      </c>
      <c r="AR375" s="82" t="str">
        <f t="shared" si="279"/>
        <v/>
      </c>
      <c r="AS375" s="48">
        <f t="shared" si="280"/>
        <v>44</v>
      </c>
      <c r="AT375" s="85">
        <f t="shared" si="309"/>
        <v>3556.96</v>
      </c>
      <c r="AU375" s="82">
        <f t="shared" si="281"/>
        <v>1</v>
      </c>
    </row>
    <row r="376" spans="1:47">
      <c r="A376" s="16"/>
      <c r="B376" s="97" t="s">
        <v>1410</v>
      </c>
      <c r="C376" s="167" t="s">
        <v>1411</v>
      </c>
      <c r="D376" s="86" t="s">
        <v>1412</v>
      </c>
      <c r="E376" s="97" t="s">
        <v>28</v>
      </c>
      <c r="F376" s="172">
        <v>15.43</v>
      </c>
      <c r="G376" s="97">
        <v>14</v>
      </c>
      <c r="H376" s="85">
        <f t="shared" si="282"/>
        <v>216.01999999999998</v>
      </c>
      <c r="I376" s="50">
        <f t="shared" si="296"/>
        <v>0</v>
      </c>
      <c r="J376" s="85">
        <f t="shared" si="297"/>
        <v>0</v>
      </c>
      <c r="K376" s="82" t="str">
        <f t="shared" si="267"/>
        <v/>
      </c>
      <c r="L376" s="50"/>
      <c r="M376" s="85">
        <f t="shared" si="298"/>
        <v>0</v>
      </c>
      <c r="N376" s="82" t="str">
        <f t="shared" si="268"/>
        <v/>
      </c>
      <c r="O376" s="50"/>
      <c r="P376" s="85">
        <f t="shared" si="299"/>
        <v>0</v>
      </c>
      <c r="Q376" s="82" t="str">
        <f t="shared" si="269"/>
        <v/>
      </c>
      <c r="R376" s="50"/>
      <c r="S376" s="85">
        <f t="shared" si="300"/>
        <v>0</v>
      </c>
      <c r="T376" s="82" t="str">
        <f t="shared" si="270"/>
        <v/>
      </c>
      <c r="U376" s="50"/>
      <c r="V376" s="85">
        <f t="shared" si="301"/>
        <v>0</v>
      </c>
      <c r="W376" s="82" t="str">
        <f t="shared" si="271"/>
        <v/>
      </c>
      <c r="X376" s="50"/>
      <c r="Y376" s="85">
        <f t="shared" si="302"/>
        <v>0</v>
      </c>
      <c r="Z376" s="82" t="str">
        <f t="shared" si="272"/>
        <v/>
      </c>
      <c r="AA376" s="50"/>
      <c r="AB376" s="85">
        <f t="shared" si="303"/>
        <v>0</v>
      </c>
      <c r="AC376" s="82" t="str">
        <f t="shared" si="273"/>
        <v/>
      </c>
      <c r="AD376" s="50"/>
      <c r="AE376" s="85">
        <f t="shared" si="304"/>
        <v>0</v>
      </c>
      <c r="AF376" s="82" t="str">
        <f t="shared" si="274"/>
        <v/>
      </c>
      <c r="AG376" s="50"/>
      <c r="AH376" s="85">
        <f t="shared" si="305"/>
        <v>0</v>
      </c>
      <c r="AI376" s="82" t="str">
        <f t="shared" si="275"/>
        <v/>
      </c>
      <c r="AJ376" s="50"/>
      <c r="AK376" s="85">
        <f t="shared" si="306"/>
        <v>0</v>
      </c>
      <c r="AL376" s="82" t="str">
        <f t="shared" si="276"/>
        <v/>
      </c>
      <c r="AM376" s="50"/>
      <c r="AN376" s="85">
        <f t="shared" si="307"/>
        <v>0</v>
      </c>
      <c r="AO376" s="82" t="str">
        <f t="shared" si="277"/>
        <v/>
      </c>
      <c r="AP376" s="48">
        <f t="shared" si="278"/>
        <v>0</v>
      </c>
      <c r="AQ376" s="85">
        <f t="shared" si="308"/>
        <v>0</v>
      </c>
      <c r="AR376" s="82" t="str">
        <f t="shared" si="279"/>
        <v/>
      </c>
      <c r="AS376" s="48">
        <f t="shared" si="280"/>
        <v>14</v>
      </c>
      <c r="AT376" s="85">
        <f t="shared" si="309"/>
        <v>216.01999999999998</v>
      </c>
      <c r="AU376" s="82">
        <f t="shared" si="281"/>
        <v>1</v>
      </c>
    </row>
    <row r="377" spans="1:47" ht="60">
      <c r="A377" s="16"/>
      <c r="B377" s="97" t="s">
        <v>1413</v>
      </c>
      <c r="C377" s="167" t="s">
        <v>1414</v>
      </c>
      <c r="D377" s="86" t="s">
        <v>1415</v>
      </c>
      <c r="E377" s="97" t="s">
        <v>44</v>
      </c>
      <c r="F377" s="172">
        <v>199.1</v>
      </c>
      <c r="G377" s="97">
        <v>213</v>
      </c>
      <c r="H377" s="85">
        <f t="shared" si="282"/>
        <v>42408.299999999996</v>
      </c>
      <c r="I377" s="50">
        <f t="shared" si="296"/>
        <v>0</v>
      </c>
      <c r="J377" s="85">
        <f t="shared" si="297"/>
        <v>0</v>
      </c>
      <c r="K377" s="82" t="str">
        <f t="shared" si="267"/>
        <v/>
      </c>
      <c r="L377" s="50"/>
      <c r="M377" s="85">
        <f t="shared" si="298"/>
        <v>0</v>
      </c>
      <c r="N377" s="82" t="str">
        <f t="shared" si="268"/>
        <v/>
      </c>
      <c r="O377" s="50"/>
      <c r="P377" s="85">
        <f t="shared" si="299"/>
        <v>0</v>
      </c>
      <c r="Q377" s="82" t="str">
        <f t="shared" si="269"/>
        <v/>
      </c>
      <c r="R377" s="50"/>
      <c r="S377" s="85">
        <f t="shared" si="300"/>
        <v>0</v>
      </c>
      <c r="T377" s="82" t="str">
        <f t="shared" si="270"/>
        <v/>
      </c>
      <c r="U377" s="50"/>
      <c r="V377" s="85">
        <f t="shared" si="301"/>
        <v>0</v>
      </c>
      <c r="W377" s="82" t="str">
        <f t="shared" si="271"/>
        <v/>
      </c>
      <c r="X377" s="50"/>
      <c r="Y377" s="85">
        <f t="shared" si="302"/>
        <v>0</v>
      </c>
      <c r="Z377" s="82" t="str">
        <f t="shared" si="272"/>
        <v/>
      </c>
      <c r="AA377" s="50"/>
      <c r="AB377" s="85">
        <f t="shared" si="303"/>
        <v>0</v>
      </c>
      <c r="AC377" s="82" t="str">
        <f t="shared" si="273"/>
        <v/>
      </c>
      <c r="AD377" s="50"/>
      <c r="AE377" s="85">
        <f t="shared" si="304"/>
        <v>0</v>
      </c>
      <c r="AF377" s="82" t="str">
        <f t="shared" si="274"/>
        <v/>
      </c>
      <c r="AG377" s="50"/>
      <c r="AH377" s="85">
        <f t="shared" si="305"/>
        <v>0</v>
      </c>
      <c r="AI377" s="82" t="str">
        <f t="shared" si="275"/>
        <v/>
      </c>
      <c r="AJ377" s="50"/>
      <c r="AK377" s="85">
        <f t="shared" si="306"/>
        <v>0</v>
      </c>
      <c r="AL377" s="82" t="str">
        <f t="shared" si="276"/>
        <v/>
      </c>
      <c r="AM377" s="50"/>
      <c r="AN377" s="85">
        <f t="shared" si="307"/>
        <v>0</v>
      </c>
      <c r="AO377" s="82" t="str">
        <f t="shared" si="277"/>
        <v/>
      </c>
      <c r="AP377" s="48">
        <f t="shared" si="278"/>
        <v>0</v>
      </c>
      <c r="AQ377" s="85">
        <f t="shared" si="308"/>
        <v>0</v>
      </c>
      <c r="AR377" s="82" t="str">
        <f t="shared" si="279"/>
        <v/>
      </c>
      <c r="AS377" s="48">
        <f t="shared" si="280"/>
        <v>213</v>
      </c>
      <c r="AT377" s="85">
        <f t="shared" si="309"/>
        <v>42408.299999999996</v>
      </c>
      <c r="AU377" s="82">
        <f t="shared" si="281"/>
        <v>1</v>
      </c>
    </row>
    <row r="378" spans="1:47" ht="30">
      <c r="A378" s="16"/>
      <c r="B378" s="97" t="s">
        <v>1416</v>
      </c>
      <c r="C378" s="167" t="s">
        <v>1417</v>
      </c>
      <c r="D378" s="86" t="s">
        <v>1418</v>
      </c>
      <c r="E378" s="97" t="s">
        <v>28</v>
      </c>
      <c r="F378" s="172">
        <v>73.739999999999995</v>
      </c>
      <c r="G378" s="97">
        <v>32</v>
      </c>
      <c r="H378" s="85">
        <f t="shared" si="282"/>
        <v>2359.6799999999998</v>
      </c>
      <c r="I378" s="50">
        <f t="shared" si="296"/>
        <v>0</v>
      </c>
      <c r="J378" s="85">
        <f t="shared" si="297"/>
        <v>0</v>
      </c>
      <c r="K378" s="82" t="str">
        <f t="shared" si="267"/>
        <v/>
      </c>
      <c r="L378" s="50"/>
      <c r="M378" s="85">
        <f t="shared" si="298"/>
        <v>0</v>
      </c>
      <c r="N378" s="82" t="str">
        <f t="shared" si="268"/>
        <v/>
      </c>
      <c r="O378" s="50"/>
      <c r="P378" s="85">
        <f t="shared" si="299"/>
        <v>0</v>
      </c>
      <c r="Q378" s="82" t="str">
        <f t="shared" si="269"/>
        <v/>
      </c>
      <c r="R378" s="50"/>
      <c r="S378" s="85">
        <f t="shared" si="300"/>
        <v>0</v>
      </c>
      <c r="T378" s="82" t="str">
        <f t="shared" si="270"/>
        <v/>
      </c>
      <c r="U378" s="50"/>
      <c r="V378" s="85">
        <f t="shared" si="301"/>
        <v>0</v>
      </c>
      <c r="W378" s="82" t="str">
        <f t="shared" si="271"/>
        <v/>
      </c>
      <c r="X378" s="50"/>
      <c r="Y378" s="85">
        <f t="shared" si="302"/>
        <v>0</v>
      </c>
      <c r="Z378" s="82" t="str">
        <f t="shared" si="272"/>
        <v/>
      </c>
      <c r="AA378" s="50"/>
      <c r="AB378" s="85">
        <f t="shared" si="303"/>
        <v>0</v>
      </c>
      <c r="AC378" s="82" t="str">
        <f t="shared" si="273"/>
        <v/>
      </c>
      <c r="AD378" s="50"/>
      <c r="AE378" s="85">
        <f t="shared" si="304"/>
        <v>0</v>
      </c>
      <c r="AF378" s="82" t="str">
        <f t="shared" si="274"/>
        <v/>
      </c>
      <c r="AG378" s="50"/>
      <c r="AH378" s="85">
        <f t="shared" si="305"/>
        <v>0</v>
      </c>
      <c r="AI378" s="82" t="str">
        <f t="shared" si="275"/>
        <v/>
      </c>
      <c r="AJ378" s="50"/>
      <c r="AK378" s="85">
        <f t="shared" si="306"/>
        <v>0</v>
      </c>
      <c r="AL378" s="82" t="str">
        <f t="shared" si="276"/>
        <v/>
      </c>
      <c r="AM378" s="50"/>
      <c r="AN378" s="85">
        <f t="shared" si="307"/>
        <v>0</v>
      </c>
      <c r="AO378" s="82" t="str">
        <f t="shared" si="277"/>
        <v/>
      </c>
      <c r="AP378" s="48">
        <f t="shared" si="278"/>
        <v>0</v>
      </c>
      <c r="AQ378" s="85">
        <f t="shared" si="308"/>
        <v>0</v>
      </c>
      <c r="AR378" s="82" t="str">
        <f t="shared" si="279"/>
        <v/>
      </c>
      <c r="AS378" s="48">
        <f t="shared" si="280"/>
        <v>32</v>
      </c>
      <c r="AT378" s="85">
        <f t="shared" si="309"/>
        <v>2359.6799999999998</v>
      </c>
      <c r="AU378" s="82">
        <f t="shared" si="281"/>
        <v>1</v>
      </c>
    </row>
    <row r="379" spans="1:47" ht="30">
      <c r="A379" s="16"/>
      <c r="B379" s="97" t="s">
        <v>1419</v>
      </c>
      <c r="C379" s="167" t="s">
        <v>1420</v>
      </c>
      <c r="D379" s="86" t="s">
        <v>1421</v>
      </c>
      <c r="E379" s="97" t="s">
        <v>28</v>
      </c>
      <c r="F379" s="172">
        <v>80.34</v>
      </c>
      <c r="G379" s="97">
        <v>9</v>
      </c>
      <c r="H379" s="85">
        <f t="shared" si="282"/>
        <v>723.06000000000006</v>
      </c>
      <c r="I379" s="50">
        <f t="shared" si="296"/>
        <v>0</v>
      </c>
      <c r="J379" s="85">
        <f t="shared" si="297"/>
        <v>0</v>
      </c>
      <c r="K379" s="82" t="str">
        <f t="shared" si="267"/>
        <v/>
      </c>
      <c r="L379" s="50"/>
      <c r="M379" s="85">
        <f t="shared" si="298"/>
        <v>0</v>
      </c>
      <c r="N379" s="82" t="str">
        <f t="shared" si="268"/>
        <v/>
      </c>
      <c r="O379" s="50"/>
      <c r="P379" s="85">
        <f t="shared" si="299"/>
        <v>0</v>
      </c>
      <c r="Q379" s="82" t="str">
        <f t="shared" si="269"/>
        <v/>
      </c>
      <c r="R379" s="50"/>
      <c r="S379" s="85">
        <f t="shared" si="300"/>
        <v>0</v>
      </c>
      <c r="T379" s="82" t="str">
        <f t="shared" si="270"/>
        <v/>
      </c>
      <c r="U379" s="50"/>
      <c r="V379" s="85">
        <f t="shared" si="301"/>
        <v>0</v>
      </c>
      <c r="W379" s="82" t="str">
        <f t="shared" si="271"/>
        <v/>
      </c>
      <c r="X379" s="50"/>
      <c r="Y379" s="85">
        <f t="shared" si="302"/>
        <v>0</v>
      </c>
      <c r="Z379" s="82" t="str">
        <f t="shared" si="272"/>
        <v/>
      </c>
      <c r="AA379" s="50"/>
      <c r="AB379" s="85">
        <f t="shared" si="303"/>
        <v>0</v>
      </c>
      <c r="AC379" s="82" t="str">
        <f t="shared" si="273"/>
        <v/>
      </c>
      <c r="AD379" s="50"/>
      <c r="AE379" s="85">
        <f t="shared" si="304"/>
        <v>0</v>
      </c>
      <c r="AF379" s="82" t="str">
        <f t="shared" si="274"/>
        <v/>
      </c>
      <c r="AG379" s="50"/>
      <c r="AH379" s="85">
        <f t="shared" si="305"/>
        <v>0</v>
      </c>
      <c r="AI379" s="82" t="str">
        <f t="shared" si="275"/>
        <v/>
      </c>
      <c r="AJ379" s="50"/>
      <c r="AK379" s="85">
        <f t="shared" si="306"/>
        <v>0</v>
      </c>
      <c r="AL379" s="82" t="str">
        <f t="shared" si="276"/>
        <v/>
      </c>
      <c r="AM379" s="50"/>
      <c r="AN379" s="85">
        <f t="shared" si="307"/>
        <v>0</v>
      </c>
      <c r="AO379" s="82" t="str">
        <f t="shared" si="277"/>
        <v/>
      </c>
      <c r="AP379" s="48">
        <f t="shared" si="278"/>
        <v>0</v>
      </c>
      <c r="AQ379" s="85">
        <f t="shared" si="308"/>
        <v>0</v>
      </c>
      <c r="AR379" s="82" t="str">
        <f t="shared" si="279"/>
        <v/>
      </c>
      <c r="AS379" s="48">
        <f t="shared" si="280"/>
        <v>9</v>
      </c>
      <c r="AT379" s="85">
        <f t="shared" si="309"/>
        <v>723.06000000000006</v>
      </c>
      <c r="AU379" s="82">
        <f t="shared" si="281"/>
        <v>1</v>
      </c>
    </row>
    <row r="380" spans="1:47" ht="30">
      <c r="A380" s="16"/>
      <c r="B380" s="97" t="s">
        <v>1422</v>
      </c>
      <c r="C380" s="167" t="s">
        <v>1423</v>
      </c>
      <c r="D380" s="86" t="s">
        <v>1424</v>
      </c>
      <c r="E380" s="97" t="s">
        <v>28</v>
      </c>
      <c r="F380" s="172">
        <v>80.34</v>
      </c>
      <c r="G380" s="97">
        <v>16</v>
      </c>
      <c r="H380" s="85">
        <f t="shared" si="282"/>
        <v>1285.44</v>
      </c>
      <c r="I380" s="50">
        <f t="shared" si="296"/>
        <v>0</v>
      </c>
      <c r="J380" s="85">
        <f t="shared" si="297"/>
        <v>0</v>
      </c>
      <c r="K380" s="82" t="str">
        <f t="shared" si="267"/>
        <v/>
      </c>
      <c r="L380" s="50"/>
      <c r="M380" s="85">
        <f t="shared" si="298"/>
        <v>0</v>
      </c>
      <c r="N380" s="82" t="str">
        <f t="shared" si="268"/>
        <v/>
      </c>
      <c r="O380" s="50"/>
      <c r="P380" s="85">
        <f t="shared" si="299"/>
        <v>0</v>
      </c>
      <c r="Q380" s="82" t="str">
        <f t="shared" si="269"/>
        <v/>
      </c>
      <c r="R380" s="50"/>
      <c r="S380" s="85">
        <f t="shared" si="300"/>
        <v>0</v>
      </c>
      <c r="T380" s="82" t="str">
        <f t="shared" si="270"/>
        <v/>
      </c>
      <c r="U380" s="50"/>
      <c r="V380" s="85">
        <f t="shared" si="301"/>
        <v>0</v>
      </c>
      <c r="W380" s="82" t="str">
        <f t="shared" si="271"/>
        <v/>
      </c>
      <c r="X380" s="50"/>
      <c r="Y380" s="85">
        <f t="shared" si="302"/>
        <v>0</v>
      </c>
      <c r="Z380" s="82" t="str">
        <f t="shared" si="272"/>
        <v/>
      </c>
      <c r="AA380" s="50"/>
      <c r="AB380" s="85">
        <f t="shared" si="303"/>
        <v>0</v>
      </c>
      <c r="AC380" s="82" t="str">
        <f t="shared" si="273"/>
        <v/>
      </c>
      <c r="AD380" s="50"/>
      <c r="AE380" s="85">
        <f t="shared" si="304"/>
        <v>0</v>
      </c>
      <c r="AF380" s="82" t="str">
        <f t="shared" si="274"/>
        <v/>
      </c>
      <c r="AG380" s="50"/>
      <c r="AH380" s="85">
        <f t="shared" si="305"/>
        <v>0</v>
      </c>
      <c r="AI380" s="82" t="str">
        <f t="shared" si="275"/>
        <v/>
      </c>
      <c r="AJ380" s="50"/>
      <c r="AK380" s="85">
        <f t="shared" si="306"/>
        <v>0</v>
      </c>
      <c r="AL380" s="82" t="str">
        <f t="shared" si="276"/>
        <v/>
      </c>
      <c r="AM380" s="50"/>
      <c r="AN380" s="85">
        <f t="shared" si="307"/>
        <v>0</v>
      </c>
      <c r="AO380" s="82" t="str">
        <f t="shared" si="277"/>
        <v/>
      </c>
      <c r="AP380" s="48">
        <f t="shared" si="278"/>
        <v>0</v>
      </c>
      <c r="AQ380" s="85">
        <f t="shared" si="308"/>
        <v>0</v>
      </c>
      <c r="AR380" s="82" t="str">
        <f t="shared" si="279"/>
        <v/>
      </c>
      <c r="AS380" s="48">
        <f t="shared" si="280"/>
        <v>16</v>
      </c>
      <c r="AT380" s="85">
        <f t="shared" si="309"/>
        <v>1285.44</v>
      </c>
      <c r="AU380" s="82">
        <f t="shared" si="281"/>
        <v>1</v>
      </c>
    </row>
    <row r="381" spans="1:47" ht="30">
      <c r="A381" s="16"/>
      <c r="B381" s="97" t="s">
        <v>1425</v>
      </c>
      <c r="C381" s="167" t="s">
        <v>1426</v>
      </c>
      <c r="D381" s="86" t="s">
        <v>1427</v>
      </c>
      <c r="E381" s="97" t="s">
        <v>28</v>
      </c>
      <c r="F381" s="172">
        <v>21.84</v>
      </c>
      <c r="G381" s="97">
        <v>58</v>
      </c>
      <c r="H381" s="85">
        <f t="shared" si="282"/>
        <v>1266.72</v>
      </c>
      <c r="I381" s="50">
        <f t="shared" si="296"/>
        <v>0</v>
      </c>
      <c r="J381" s="85">
        <f t="shared" si="297"/>
        <v>0</v>
      </c>
      <c r="K381" s="82" t="str">
        <f t="shared" si="267"/>
        <v/>
      </c>
      <c r="L381" s="50"/>
      <c r="M381" s="85">
        <f t="shared" si="298"/>
        <v>0</v>
      </c>
      <c r="N381" s="82" t="str">
        <f t="shared" si="268"/>
        <v/>
      </c>
      <c r="O381" s="50"/>
      <c r="P381" s="85">
        <f t="shared" si="299"/>
        <v>0</v>
      </c>
      <c r="Q381" s="82" t="str">
        <f t="shared" si="269"/>
        <v/>
      </c>
      <c r="R381" s="50"/>
      <c r="S381" s="85">
        <f t="shared" si="300"/>
        <v>0</v>
      </c>
      <c r="T381" s="82" t="str">
        <f t="shared" si="270"/>
        <v/>
      </c>
      <c r="U381" s="50"/>
      <c r="V381" s="85">
        <f t="shared" si="301"/>
        <v>0</v>
      </c>
      <c r="W381" s="82" t="str">
        <f t="shared" si="271"/>
        <v/>
      </c>
      <c r="X381" s="50"/>
      <c r="Y381" s="85">
        <f t="shared" si="302"/>
        <v>0</v>
      </c>
      <c r="Z381" s="82" t="str">
        <f t="shared" si="272"/>
        <v/>
      </c>
      <c r="AA381" s="50"/>
      <c r="AB381" s="85">
        <f t="shared" si="303"/>
        <v>0</v>
      </c>
      <c r="AC381" s="82" t="str">
        <f t="shared" si="273"/>
        <v/>
      </c>
      <c r="AD381" s="50"/>
      <c r="AE381" s="85">
        <f t="shared" si="304"/>
        <v>0</v>
      </c>
      <c r="AF381" s="82" t="str">
        <f t="shared" si="274"/>
        <v/>
      </c>
      <c r="AG381" s="50"/>
      <c r="AH381" s="85">
        <f t="shared" si="305"/>
        <v>0</v>
      </c>
      <c r="AI381" s="82" t="str">
        <f t="shared" si="275"/>
        <v/>
      </c>
      <c r="AJ381" s="50"/>
      <c r="AK381" s="85">
        <f t="shared" si="306"/>
        <v>0</v>
      </c>
      <c r="AL381" s="82" t="str">
        <f t="shared" si="276"/>
        <v/>
      </c>
      <c r="AM381" s="50"/>
      <c r="AN381" s="85">
        <f t="shared" si="307"/>
        <v>0</v>
      </c>
      <c r="AO381" s="82" t="str">
        <f t="shared" si="277"/>
        <v/>
      </c>
      <c r="AP381" s="48">
        <f t="shared" si="278"/>
        <v>0</v>
      </c>
      <c r="AQ381" s="85">
        <f t="shared" si="308"/>
        <v>0</v>
      </c>
      <c r="AR381" s="82" t="str">
        <f t="shared" si="279"/>
        <v/>
      </c>
      <c r="AS381" s="48">
        <f t="shared" si="280"/>
        <v>58</v>
      </c>
      <c r="AT381" s="85">
        <f t="shared" si="309"/>
        <v>1266.72</v>
      </c>
      <c r="AU381" s="82">
        <f t="shared" si="281"/>
        <v>1</v>
      </c>
    </row>
    <row r="382" spans="1:47" ht="30">
      <c r="A382" s="16"/>
      <c r="B382" s="97" t="s">
        <v>1428</v>
      </c>
      <c r="C382" s="167" t="s">
        <v>1429</v>
      </c>
      <c r="D382" s="86" t="s">
        <v>1430</v>
      </c>
      <c r="E382" s="97" t="s">
        <v>28</v>
      </c>
      <c r="F382" s="172">
        <v>33.35</v>
      </c>
      <c r="G382" s="97">
        <v>21</v>
      </c>
      <c r="H382" s="85">
        <f t="shared" si="282"/>
        <v>700.35</v>
      </c>
      <c r="I382" s="50">
        <f t="shared" si="296"/>
        <v>0</v>
      </c>
      <c r="J382" s="85">
        <f t="shared" si="297"/>
        <v>0</v>
      </c>
      <c r="K382" s="82" t="str">
        <f t="shared" si="267"/>
        <v/>
      </c>
      <c r="L382" s="50"/>
      <c r="M382" s="85">
        <f t="shared" si="298"/>
        <v>0</v>
      </c>
      <c r="N382" s="82" t="str">
        <f t="shared" si="268"/>
        <v/>
      </c>
      <c r="O382" s="50"/>
      <c r="P382" s="85">
        <f t="shared" si="299"/>
        <v>0</v>
      </c>
      <c r="Q382" s="82" t="str">
        <f t="shared" si="269"/>
        <v/>
      </c>
      <c r="R382" s="50"/>
      <c r="S382" s="85">
        <f t="shared" si="300"/>
        <v>0</v>
      </c>
      <c r="T382" s="82" t="str">
        <f t="shared" si="270"/>
        <v/>
      </c>
      <c r="U382" s="50"/>
      <c r="V382" s="85">
        <f t="shared" si="301"/>
        <v>0</v>
      </c>
      <c r="W382" s="82" t="str">
        <f t="shared" si="271"/>
        <v/>
      </c>
      <c r="X382" s="50"/>
      <c r="Y382" s="85">
        <f t="shared" si="302"/>
        <v>0</v>
      </c>
      <c r="Z382" s="82" t="str">
        <f t="shared" si="272"/>
        <v/>
      </c>
      <c r="AA382" s="50"/>
      <c r="AB382" s="85">
        <f t="shared" si="303"/>
        <v>0</v>
      </c>
      <c r="AC382" s="82" t="str">
        <f t="shared" si="273"/>
        <v/>
      </c>
      <c r="AD382" s="50"/>
      <c r="AE382" s="85">
        <f t="shared" si="304"/>
        <v>0</v>
      </c>
      <c r="AF382" s="82" t="str">
        <f t="shared" si="274"/>
        <v/>
      </c>
      <c r="AG382" s="50"/>
      <c r="AH382" s="85">
        <f t="shared" si="305"/>
        <v>0</v>
      </c>
      <c r="AI382" s="82" t="str">
        <f t="shared" si="275"/>
        <v/>
      </c>
      <c r="AJ382" s="50"/>
      <c r="AK382" s="85">
        <f t="shared" si="306"/>
        <v>0</v>
      </c>
      <c r="AL382" s="82" t="str">
        <f t="shared" si="276"/>
        <v/>
      </c>
      <c r="AM382" s="50"/>
      <c r="AN382" s="85">
        <f t="shared" si="307"/>
        <v>0</v>
      </c>
      <c r="AO382" s="82" t="str">
        <f t="shared" si="277"/>
        <v/>
      </c>
      <c r="AP382" s="48">
        <f t="shared" si="278"/>
        <v>0</v>
      </c>
      <c r="AQ382" s="85">
        <f t="shared" si="308"/>
        <v>0</v>
      </c>
      <c r="AR382" s="82" t="str">
        <f t="shared" si="279"/>
        <v/>
      </c>
      <c r="AS382" s="48">
        <f t="shared" si="280"/>
        <v>21</v>
      </c>
      <c r="AT382" s="85">
        <f t="shared" si="309"/>
        <v>700.35</v>
      </c>
      <c r="AU382" s="82">
        <f t="shared" si="281"/>
        <v>1</v>
      </c>
    </row>
    <row r="383" spans="1:47" ht="75">
      <c r="A383" s="16"/>
      <c r="B383" s="97" t="s">
        <v>1431</v>
      </c>
      <c r="C383" s="167" t="s">
        <v>1432</v>
      </c>
      <c r="D383" s="86" t="s">
        <v>1433</v>
      </c>
      <c r="E383" s="97" t="s">
        <v>28</v>
      </c>
      <c r="F383" s="172">
        <v>27.53</v>
      </c>
      <c r="G383" s="97">
        <v>324</v>
      </c>
      <c r="H383" s="85">
        <f t="shared" si="282"/>
        <v>8919.7200000000012</v>
      </c>
      <c r="I383" s="50">
        <f t="shared" si="296"/>
        <v>0</v>
      </c>
      <c r="J383" s="85">
        <f t="shared" si="297"/>
        <v>0</v>
      </c>
      <c r="K383" s="82" t="str">
        <f t="shared" si="267"/>
        <v/>
      </c>
      <c r="L383" s="50"/>
      <c r="M383" s="85">
        <f t="shared" si="298"/>
        <v>0</v>
      </c>
      <c r="N383" s="82" t="str">
        <f t="shared" si="268"/>
        <v/>
      </c>
      <c r="O383" s="50"/>
      <c r="P383" s="85">
        <f t="shared" si="299"/>
        <v>0</v>
      </c>
      <c r="Q383" s="82" t="str">
        <f t="shared" si="269"/>
        <v/>
      </c>
      <c r="R383" s="50"/>
      <c r="S383" s="85">
        <f t="shared" si="300"/>
        <v>0</v>
      </c>
      <c r="T383" s="82" t="str">
        <f t="shared" si="270"/>
        <v/>
      </c>
      <c r="U383" s="50"/>
      <c r="V383" s="85">
        <f t="shared" si="301"/>
        <v>0</v>
      </c>
      <c r="W383" s="82" t="str">
        <f t="shared" si="271"/>
        <v/>
      </c>
      <c r="X383" s="50"/>
      <c r="Y383" s="85">
        <f t="shared" si="302"/>
        <v>0</v>
      </c>
      <c r="Z383" s="82" t="str">
        <f t="shared" si="272"/>
        <v/>
      </c>
      <c r="AA383" s="50"/>
      <c r="AB383" s="85">
        <f t="shared" si="303"/>
        <v>0</v>
      </c>
      <c r="AC383" s="82" t="str">
        <f t="shared" si="273"/>
        <v/>
      </c>
      <c r="AD383" s="50"/>
      <c r="AE383" s="85">
        <f t="shared" si="304"/>
        <v>0</v>
      </c>
      <c r="AF383" s="82" t="str">
        <f t="shared" si="274"/>
        <v/>
      </c>
      <c r="AG383" s="50"/>
      <c r="AH383" s="85">
        <f t="shared" si="305"/>
        <v>0</v>
      </c>
      <c r="AI383" s="82" t="str">
        <f t="shared" si="275"/>
        <v/>
      </c>
      <c r="AJ383" s="50"/>
      <c r="AK383" s="85">
        <f t="shared" si="306"/>
        <v>0</v>
      </c>
      <c r="AL383" s="82" t="str">
        <f t="shared" si="276"/>
        <v/>
      </c>
      <c r="AM383" s="50"/>
      <c r="AN383" s="85">
        <f t="shared" si="307"/>
        <v>0</v>
      </c>
      <c r="AO383" s="82" t="str">
        <f t="shared" si="277"/>
        <v/>
      </c>
      <c r="AP383" s="48">
        <f t="shared" si="278"/>
        <v>0</v>
      </c>
      <c r="AQ383" s="85">
        <f t="shared" si="308"/>
        <v>0</v>
      </c>
      <c r="AR383" s="82" t="str">
        <f t="shared" si="279"/>
        <v/>
      </c>
      <c r="AS383" s="48">
        <f t="shared" si="280"/>
        <v>324</v>
      </c>
      <c r="AT383" s="85">
        <f t="shared" si="309"/>
        <v>8919.7200000000012</v>
      </c>
      <c r="AU383" s="82">
        <f t="shared" si="281"/>
        <v>1</v>
      </c>
    </row>
    <row r="384" spans="1:47" s="161" customFormat="1">
      <c r="A384" s="94"/>
      <c r="B384" s="116" t="s">
        <v>1434</v>
      </c>
      <c r="C384" s="1945" t="s">
        <v>1435</v>
      </c>
      <c r="D384" s="1946"/>
      <c r="E384" s="1946"/>
      <c r="F384" s="1946"/>
      <c r="G384" s="1947"/>
      <c r="H384" s="159">
        <f>SUM(H385:H394)</f>
        <v>8235.06</v>
      </c>
      <c r="I384" s="50">
        <f t="shared" si="296"/>
        <v>0</v>
      </c>
      <c r="J384" s="159">
        <f>SUM(J385:J394)</f>
        <v>0</v>
      </c>
      <c r="K384" s="102">
        <f>J384/$H384</f>
        <v>0</v>
      </c>
      <c r="L384" s="101"/>
      <c r="M384" s="159">
        <f>SUM(M385:M394)</f>
        <v>0</v>
      </c>
      <c r="N384" s="102">
        <f>M384/$H384</f>
        <v>0</v>
      </c>
      <c r="O384" s="101"/>
      <c r="P384" s="159">
        <f>SUM(P385:P394)</f>
        <v>0</v>
      </c>
      <c r="Q384" s="102">
        <f>P384/$H384</f>
        <v>0</v>
      </c>
      <c r="R384" s="101"/>
      <c r="S384" s="159">
        <f>SUM(S385:S394)</f>
        <v>0</v>
      </c>
      <c r="T384" s="102">
        <f>S384/$H384</f>
        <v>0</v>
      </c>
      <c r="U384" s="101"/>
      <c r="V384" s="159">
        <f>SUM(V385:V394)</f>
        <v>0</v>
      </c>
      <c r="W384" s="102">
        <f>V384/$H384</f>
        <v>0</v>
      </c>
      <c r="X384" s="101"/>
      <c r="Y384" s="159">
        <f>SUM(Y385:Y394)</f>
        <v>0</v>
      </c>
      <c r="Z384" s="102">
        <f>Y384/$H384</f>
        <v>0</v>
      </c>
      <c r="AA384" s="101"/>
      <c r="AB384" s="159">
        <f>SUM(AB385:AB394)</f>
        <v>0</v>
      </c>
      <c r="AC384" s="102">
        <f>AB384/$H384</f>
        <v>0</v>
      </c>
      <c r="AD384" s="101"/>
      <c r="AE384" s="159">
        <f>SUM(AE385:AE394)</f>
        <v>0</v>
      </c>
      <c r="AF384" s="102">
        <f>AE384/$H384</f>
        <v>0</v>
      </c>
      <c r="AG384" s="101"/>
      <c r="AH384" s="159">
        <f>SUM(AH385:AH394)</f>
        <v>0</v>
      </c>
      <c r="AI384" s="102">
        <f>AH384/$H384</f>
        <v>0</v>
      </c>
      <c r="AJ384" s="101"/>
      <c r="AK384" s="159">
        <f>SUM(AK385:AK394)</f>
        <v>0</v>
      </c>
      <c r="AL384" s="102">
        <f>AK384/$H384</f>
        <v>0</v>
      </c>
      <c r="AM384" s="101"/>
      <c r="AN384" s="159">
        <f>SUM(AN385:AN394)</f>
        <v>0</v>
      </c>
      <c r="AO384" s="102">
        <f>AN384/$H384</f>
        <v>0</v>
      </c>
      <c r="AP384" s="160">
        <f t="shared" si="278"/>
        <v>0</v>
      </c>
      <c r="AQ384" s="159">
        <f>SUM(AQ385:AQ394)</f>
        <v>0</v>
      </c>
      <c r="AR384" s="102">
        <f>AQ384/$H384</f>
        <v>0</v>
      </c>
      <c r="AS384" s="160">
        <f t="shared" si="280"/>
        <v>0</v>
      </c>
      <c r="AT384" s="159">
        <f>SUM(AT385:AT394)</f>
        <v>8235.06</v>
      </c>
      <c r="AU384" s="102">
        <f>AT384/$H384</f>
        <v>1</v>
      </c>
    </row>
    <row r="385" spans="1:56" ht="30">
      <c r="A385" s="16"/>
      <c r="B385" s="97" t="s">
        <v>1436</v>
      </c>
      <c r="C385" s="167" t="s">
        <v>1437</v>
      </c>
      <c r="D385" s="86" t="s">
        <v>1438</v>
      </c>
      <c r="E385" s="97" t="s">
        <v>28</v>
      </c>
      <c r="F385" s="172">
        <v>10.52</v>
      </c>
      <c r="G385" s="97">
        <v>154</v>
      </c>
      <c r="H385" s="85">
        <f t="shared" si="282"/>
        <v>1620.08</v>
      </c>
      <c r="I385" s="50">
        <f t="shared" si="296"/>
        <v>0</v>
      </c>
      <c r="J385" s="85">
        <f t="shared" ref="J385:J394" si="310">I385*$F385</f>
        <v>0</v>
      </c>
      <c r="K385" s="82" t="str">
        <f>IF(I385=0,"",I385/$G385)</f>
        <v/>
      </c>
      <c r="L385" s="50"/>
      <c r="M385" s="85">
        <f t="shared" ref="M385:M394" si="311">L385*$F385</f>
        <v>0</v>
      </c>
      <c r="N385" s="82" t="str">
        <f>IF(L385=0,"",L385/$G385)</f>
        <v/>
      </c>
      <c r="O385" s="50"/>
      <c r="P385" s="85">
        <f t="shared" ref="P385:P394" si="312">O385*$F385</f>
        <v>0</v>
      </c>
      <c r="Q385" s="82" t="str">
        <f>IF(O385=0,"",O385/$G385)</f>
        <v/>
      </c>
      <c r="R385" s="50"/>
      <c r="S385" s="85">
        <f t="shared" ref="S385:S394" si="313">R385*$F385</f>
        <v>0</v>
      </c>
      <c r="T385" s="82" t="str">
        <f>IF(R385=0,"",R385/$G385)</f>
        <v/>
      </c>
      <c r="U385" s="50"/>
      <c r="V385" s="85">
        <f t="shared" ref="V385:V394" si="314">U385*$F385</f>
        <v>0</v>
      </c>
      <c r="W385" s="82" t="str">
        <f>IF(U385=0,"",U385/$G385)</f>
        <v/>
      </c>
      <c r="X385" s="50"/>
      <c r="Y385" s="85">
        <f t="shared" ref="Y385:Y394" si="315">X385*$F385</f>
        <v>0</v>
      </c>
      <c r="Z385" s="82" t="str">
        <f>IF(X385=0,"",X385/$G385)</f>
        <v/>
      </c>
      <c r="AA385" s="50"/>
      <c r="AB385" s="85">
        <f t="shared" ref="AB385:AB394" si="316">AA385*$F385</f>
        <v>0</v>
      </c>
      <c r="AC385" s="82" t="str">
        <f>IF(AA385=0,"",AA385/$G385)</f>
        <v/>
      </c>
      <c r="AD385" s="50"/>
      <c r="AE385" s="85">
        <f t="shared" ref="AE385:AE394" si="317">AD385*$F385</f>
        <v>0</v>
      </c>
      <c r="AF385" s="82" t="str">
        <f>IF(AD385=0,"",AD385/$G385)</f>
        <v/>
      </c>
      <c r="AG385" s="50"/>
      <c r="AH385" s="85">
        <f t="shared" ref="AH385:AH394" si="318">AG385*$F385</f>
        <v>0</v>
      </c>
      <c r="AI385" s="82" t="str">
        <f>IF(AG385=0,"",AG385/$G385)</f>
        <v/>
      </c>
      <c r="AJ385" s="50"/>
      <c r="AK385" s="85">
        <f t="shared" ref="AK385:AK394" si="319">AJ385*$F385</f>
        <v>0</v>
      </c>
      <c r="AL385" s="82" t="str">
        <f>IF(AJ385=0,"",AJ385/$G385)</f>
        <v/>
      </c>
      <c r="AM385" s="50"/>
      <c r="AN385" s="85">
        <f t="shared" ref="AN385:AN394" si="320">AM385*$F385</f>
        <v>0</v>
      </c>
      <c r="AO385" s="82" t="str">
        <f>IF(AM385=0,"",AM385/$G385)</f>
        <v/>
      </c>
      <c r="AP385" s="48">
        <f>AM385+AJ385+AG385+AD385+AA385+X385+U385+R385+O385+L385</f>
        <v>0</v>
      </c>
      <c r="AQ385" s="85">
        <f t="shared" ref="AQ385:AQ394" si="321">AP385*$F385</f>
        <v>0</v>
      </c>
      <c r="AR385" s="82" t="str">
        <f>IF(AP385=0,"",AP385/$G385)</f>
        <v/>
      </c>
      <c r="AS385" s="48">
        <f>G385-AP385</f>
        <v>154</v>
      </c>
      <c r="AT385" s="85">
        <f t="shared" ref="AT385:AT394" si="322">AS385*$F385</f>
        <v>1620.08</v>
      </c>
      <c r="AU385" s="82">
        <f>IF(AS385=0,"",AS385/$G385)</f>
        <v>1</v>
      </c>
    </row>
    <row r="386" spans="1:56" ht="30">
      <c r="A386" s="16"/>
      <c r="B386" s="97" t="s">
        <v>1439</v>
      </c>
      <c r="C386" s="167" t="s">
        <v>1440</v>
      </c>
      <c r="D386" s="86" t="s">
        <v>1441</v>
      </c>
      <c r="E386" s="97" t="s">
        <v>28</v>
      </c>
      <c r="F386" s="172">
        <v>15.49</v>
      </c>
      <c r="G386" s="97">
        <v>9</v>
      </c>
      <c r="H386" s="85">
        <f t="shared" si="282"/>
        <v>139.41</v>
      </c>
      <c r="I386" s="50">
        <f t="shared" si="296"/>
        <v>0</v>
      </c>
      <c r="J386" s="85">
        <f t="shared" si="310"/>
        <v>0</v>
      </c>
      <c r="K386" s="82" t="str">
        <f t="shared" ref="K386:K449" si="323">IF(I386=0,"",I386/$G386)</f>
        <v/>
      </c>
      <c r="L386" s="50"/>
      <c r="M386" s="85">
        <f t="shared" si="311"/>
        <v>0</v>
      </c>
      <c r="N386" s="82" t="str">
        <f t="shared" ref="N386:N449" si="324">IF(L386=0,"",L386/$G386)</f>
        <v/>
      </c>
      <c r="O386" s="50"/>
      <c r="P386" s="85">
        <f t="shared" si="312"/>
        <v>0</v>
      </c>
      <c r="Q386" s="82" t="str">
        <f t="shared" ref="Q386:Q449" si="325">IF(O386=0,"",O386/$G386)</f>
        <v/>
      </c>
      <c r="R386" s="50"/>
      <c r="S386" s="85">
        <f t="shared" si="313"/>
        <v>0</v>
      </c>
      <c r="T386" s="82" t="str">
        <f t="shared" ref="T386:T449" si="326">IF(R386=0,"",R386/$G386)</f>
        <v/>
      </c>
      <c r="U386" s="50"/>
      <c r="V386" s="85">
        <f t="shared" si="314"/>
        <v>0</v>
      </c>
      <c r="W386" s="82" t="str">
        <f t="shared" ref="W386:W449" si="327">IF(U386=0,"",U386/$G386)</f>
        <v/>
      </c>
      <c r="X386" s="50"/>
      <c r="Y386" s="85">
        <f t="shared" si="315"/>
        <v>0</v>
      </c>
      <c r="Z386" s="82" t="str">
        <f t="shared" ref="Z386:Z449" si="328">IF(X386=0,"",X386/$G386)</f>
        <v/>
      </c>
      <c r="AA386" s="50"/>
      <c r="AB386" s="85">
        <f t="shared" si="316"/>
        <v>0</v>
      </c>
      <c r="AC386" s="82" t="str">
        <f t="shared" ref="AC386:AC449" si="329">IF(AA386=0,"",AA386/$G386)</f>
        <v/>
      </c>
      <c r="AD386" s="50"/>
      <c r="AE386" s="85">
        <f t="shared" si="317"/>
        <v>0</v>
      </c>
      <c r="AF386" s="82" t="str">
        <f t="shared" ref="AF386:AF449" si="330">IF(AD386=0,"",AD386/$G386)</f>
        <v/>
      </c>
      <c r="AG386" s="50"/>
      <c r="AH386" s="85">
        <f t="shared" si="318"/>
        <v>0</v>
      </c>
      <c r="AI386" s="82" t="str">
        <f t="shared" ref="AI386:AI449" si="331">IF(AG386=0,"",AG386/$G386)</f>
        <v/>
      </c>
      <c r="AJ386" s="50"/>
      <c r="AK386" s="85">
        <f t="shared" si="319"/>
        <v>0</v>
      </c>
      <c r="AL386" s="82" t="str">
        <f t="shared" ref="AL386:AL449" si="332">IF(AJ386=0,"",AJ386/$G386)</f>
        <v/>
      </c>
      <c r="AM386" s="50"/>
      <c r="AN386" s="85">
        <f t="shared" si="320"/>
        <v>0</v>
      </c>
      <c r="AO386" s="82" t="str">
        <f t="shared" ref="AO386:AO449" si="333">IF(AM386=0,"",AM386/$G386)</f>
        <v/>
      </c>
      <c r="AP386" s="48">
        <f t="shared" ref="AP386:AP449" si="334">AM386+AJ386+AG386+AD386+AA386+X386+U386+R386+O386+L386</f>
        <v>0</v>
      </c>
      <c r="AQ386" s="85">
        <f t="shared" si="321"/>
        <v>0</v>
      </c>
      <c r="AR386" s="82" t="str">
        <f t="shared" ref="AR386:AR449" si="335">IF(AP386=0,"",AP386/$G386)</f>
        <v/>
      </c>
      <c r="AS386" s="48">
        <f t="shared" ref="AS386:AS449" si="336">G386-AP386</f>
        <v>9</v>
      </c>
      <c r="AT386" s="85">
        <f t="shared" si="322"/>
        <v>139.41</v>
      </c>
      <c r="AU386" s="82">
        <f t="shared" ref="AU386:AU449" si="337">IF(AS386=0,"",AS386/$G386)</f>
        <v>1</v>
      </c>
    </row>
    <row r="387" spans="1:56" ht="30">
      <c r="A387" s="16"/>
      <c r="B387" s="97" t="s">
        <v>1442</v>
      </c>
      <c r="C387" s="167" t="s">
        <v>1443</v>
      </c>
      <c r="D387" s="86" t="s">
        <v>1444</v>
      </c>
      <c r="E387" s="97" t="s">
        <v>28</v>
      </c>
      <c r="F387" s="172">
        <v>37.340000000000003</v>
      </c>
      <c r="G387" s="97">
        <v>1</v>
      </c>
      <c r="H387" s="85">
        <f t="shared" si="282"/>
        <v>37.340000000000003</v>
      </c>
      <c r="I387" s="50">
        <f t="shared" si="296"/>
        <v>0</v>
      </c>
      <c r="J387" s="85">
        <f t="shared" si="310"/>
        <v>0</v>
      </c>
      <c r="K387" s="82" t="str">
        <f t="shared" si="323"/>
        <v/>
      </c>
      <c r="L387" s="50"/>
      <c r="M387" s="85">
        <f t="shared" si="311"/>
        <v>0</v>
      </c>
      <c r="N387" s="82" t="str">
        <f t="shared" si="324"/>
        <v/>
      </c>
      <c r="O387" s="50"/>
      <c r="P387" s="85">
        <f t="shared" si="312"/>
        <v>0</v>
      </c>
      <c r="Q387" s="82" t="str">
        <f t="shared" si="325"/>
        <v/>
      </c>
      <c r="R387" s="50"/>
      <c r="S387" s="85">
        <f t="shared" si="313"/>
        <v>0</v>
      </c>
      <c r="T387" s="82" t="str">
        <f t="shared" si="326"/>
        <v/>
      </c>
      <c r="U387" s="50"/>
      <c r="V387" s="85">
        <f t="shared" si="314"/>
        <v>0</v>
      </c>
      <c r="W387" s="82" t="str">
        <f t="shared" si="327"/>
        <v/>
      </c>
      <c r="X387" s="50"/>
      <c r="Y387" s="85">
        <f t="shared" si="315"/>
        <v>0</v>
      </c>
      <c r="Z387" s="82" t="str">
        <f t="shared" si="328"/>
        <v/>
      </c>
      <c r="AA387" s="50"/>
      <c r="AB387" s="85">
        <f t="shared" si="316"/>
        <v>0</v>
      </c>
      <c r="AC387" s="82" t="str">
        <f t="shared" si="329"/>
        <v/>
      </c>
      <c r="AD387" s="50"/>
      <c r="AE387" s="85">
        <f t="shared" si="317"/>
        <v>0</v>
      </c>
      <c r="AF387" s="82" t="str">
        <f t="shared" si="330"/>
        <v/>
      </c>
      <c r="AG387" s="50"/>
      <c r="AH387" s="85">
        <f t="shared" si="318"/>
        <v>0</v>
      </c>
      <c r="AI387" s="82" t="str">
        <f t="shared" si="331"/>
        <v/>
      </c>
      <c r="AJ387" s="50"/>
      <c r="AK387" s="85">
        <f t="shared" si="319"/>
        <v>0</v>
      </c>
      <c r="AL387" s="82" t="str">
        <f t="shared" si="332"/>
        <v/>
      </c>
      <c r="AM387" s="50"/>
      <c r="AN387" s="85">
        <f t="shared" si="320"/>
        <v>0</v>
      </c>
      <c r="AO387" s="82" t="str">
        <f t="shared" si="333"/>
        <v/>
      </c>
      <c r="AP387" s="48">
        <f t="shared" si="334"/>
        <v>0</v>
      </c>
      <c r="AQ387" s="85">
        <f t="shared" si="321"/>
        <v>0</v>
      </c>
      <c r="AR387" s="82" t="str">
        <f t="shared" si="335"/>
        <v/>
      </c>
      <c r="AS387" s="48">
        <f t="shared" si="336"/>
        <v>1</v>
      </c>
      <c r="AT387" s="85">
        <f t="shared" si="322"/>
        <v>37.340000000000003</v>
      </c>
      <c r="AU387" s="82">
        <f t="shared" si="337"/>
        <v>1</v>
      </c>
    </row>
    <row r="388" spans="1:56" ht="30">
      <c r="A388" s="16"/>
      <c r="B388" s="97" t="s">
        <v>1445</v>
      </c>
      <c r="C388" s="167" t="s">
        <v>1446</v>
      </c>
      <c r="D388" s="86" t="s">
        <v>1447</v>
      </c>
      <c r="E388" s="97" t="s">
        <v>28</v>
      </c>
      <c r="F388" s="172">
        <v>56.34</v>
      </c>
      <c r="G388" s="97">
        <v>2</v>
      </c>
      <c r="H388" s="85">
        <f t="shared" si="282"/>
        <v>112.68</v>
      </c>
      <c r="I388" s="50">
        <f t="shared" si="296"/>
        <v>0</v>
      </c>
      <c r="J388" s="85">
        <f t="shared" si="310"/>
        <v>0</v>
      </c>
      <c r="K388" s="82" t="str">
        <f t="shared" si="323"/>
        <v/>
      </c>
      <c r="L388" s="50"/>
      <c r="M388" s="85">
        <f t="shared" si="311"/>
        <v>0</v>
      </c>
      <c r="N388" s="82" t="str">
        <f t="shared" si="324"/>
        <v/>
      </c>
      <c r="O388" s="50"/>
      <c r="P388" s="85">
        <f t="shared" si="312"/>
        <v>0</v>
      </c>
      <c r="Q388" s="82" t="str">
        <f t="shared" si="325"/>
        <v/>
      </c>
      <c r="R388" s="50"/>
      <c r="S388" s="85">
        <f t="shared" si="313"/>
        <v>0</v>
      </c>
      <c r="T388" s="82" t="str">
        <f t="shared" si="326"/>
        <v/>
      </c>
      <c r="U388" s="50"/>
      <c r="V388" s="85">
        <f t="shared" si="314"/>
        <v>0</v>
      </c>
      <c r="W388" s="82" t="str">
        <f t="shared" si="327"/>
        <v/>
      </c>
      <c r="X388" s="50"/>
      <c r="Y388" s="85">
        <f t="shared" si="315"/>
        <v>0</v>
      </c>
      <c r="Z388" s="82" t="str">
        <f t="shared" si="328"/>
        <v/>
      </c>
      <c r="AA388" s="50"/>
      <c r="AB388" s="85">
        <f t="shared" si="316"/>
        <v>0</v>
      </c>
      <c r="AC388" s="82" t="str">
        <f t="shared" si="329"/>
        <v/>
      </c>
      <c r="AD388" s="50"/>
      <c r="AE388" s="85">
        <f t="shared" si="317"/>
        <v>0</v>
      </c>
      <c r="AF388" s="82" t="str">
        <f t="shared" si="330"/>
        <v/>
      </c>
      <c r="AG388" s="50"/>
      <c r="AH388" s="85">
        <f t="shared" si="318"/>
        <v>0</v>
      </c>
      <c r="AI388" s="82" t="str">
        <f t="shared" si="331"/>
        <v/>
      </c>
      <c r="AJ388" s="50"/>
      <c r="AK388" s="85">
        <f t="shared" si="319"/>
        <v>0</v>
      </c>
      <c r="AL388" s="82" t="str">
        <f t="shared" si="332"/>
        <v/>
      </c>
      <c r="AM388" s="50"/>
      <c r="AN388" s="85">
        <f t="shared" si="320"/>
        <v>0</v>
      </c>
      <c r="AO388" s="82" t="str">
        <f t="shared" si="333"/>
        <v/>
      </c>
      <c r="AP388" s="48">
        <f t="shared" si="334"/>
        <v>0</v>
      </c>
      <c r="AQ388" s="85">
        <f t="shared" si="321"/>
        <v>0</v>
      </c>
      <c r="AR388" s="82" t="str">
        <f t="shared" si="335"/>
        <v/>
      </c>
      <c r="AS388" s="48">
        <f t="shared" si="336"/>
        <v>2</v>
      </c>
      <c r="AT388" s="85">
        <f t="shared" si="322"/>
        <v>112.68</v>
      </c>
      <c r="AU388" s="82">
        <f t="shared" si="337"/>
        <v>1</v>
      </c>
    </row>
    <row r="389" spans="1:56" ht="30">
      <c r="A389" s="16"/>
      <c r="B389" s="97" t="s">
        <v>1448</v>
      </c>
      <c r="C389" s="167" t="s">
        <v>1449</v>
      </c>
      <c r="D389" s="86" t="s">
        <v>1450</v>
      </c>
      <c r="E389" s="97" t="s">
        <v>28</v>
      </c>
      <c r="F389" s="172">
        <v>12.33</v>
      </c>
      <c r="G389" s="97">
        <v>156</v>
      </c>
      <c r="H389" s="85">
        <f t="shared" si="282"/>
        <v>1923.48</v>
      </c>
      <c r="I389" s="50">
        <f t="shared" si="296"/>
        <v>0</v>
      </c>
      <c r="J389" s="85">
        <f t="shared" si="310"/>
        <v>0</v>
      </c>
      <c r="K389" s="82" t="str">
        <f t="shared" si="323"/>
        <v/>
      </c>
      <c r="L389" s="50"/>
      <c r="M389" s="85">
        <f t="shared" si="311"/>
        <v>0</v>
      </c>
      <c r="N389" s="82" t="str">
        <f t="shared" si="324"/>
        <v/>
      </c>
      <c r="O389" s="50"/>
      <c r="P389" s="85">
        <f t="shared" si="312"/>
        <v>0</v>
      </c>
      <c r="Q389" s="82" t="str">
        <f t="shared" si="325"/>
        <v/>
      </c>
      <c r="R389" s="50"/>
      <c r="S389" s="85">
        <f t="shared" si="313"/>
        <v>0</v>
      </c>
      <c r="T389" s="82" t="str">
        <f t="shared" si="326"/>
        <v/>
      </c>
      <c r="U389" s="50"/>
      <c r="V389" s="85">
        <f t="shared" si="314"/>
        <v>0</v>
      </c>
      <c r="W389" s="82" t="str">
        <f t="shared" si="327"/>
        <v/>
      </c>
      <c r="X389" s="50"/>
      <c r="Y389" s="85">
        <f t="shared" si="315"/>
        <v>0</v>
      </c>
      <c r="Z389" s="82" t="str">
        <f t="shared" si="328"/>
        <v/>
      </c>
      <c r="AA389" s="50"/>
      <c r="AB389" s="85">
        <f t="shared" si="316"/>
        <v>0</v>
      </c>
      <c r="AC389" s="82" t="str">
        <f t="shared" si="329"/>
        <v/>
      </c>
      <c r="AD389" s="50"/>
      <c r="AE389" s="85">
        <f t="shared" si="317"/>
        <v>0</v>
      </c>
      <c r="AF389" s="82" t="str">
        <f t="shared" si="330"/>
        <v/>
      </c>
      <c r="AG389" s="50"/>
      <c r="AH389" s="85">
        <f t="shared" si="318"/>
        <v>0</v>
      </c>
      <c r="AI389" s="82" t="str">
        <f t="shared" si="331"/>
        <v/>
      </c>
      <c r="AJ389" s="50"/>
      <c r="AK389" s="85">
        <f t="shared" si="319"/>
        <v>0</v>
      </c>
      <c r="AL389" s="82" t="str">
        <f t="shared" si="332"/>
        <v/>
      </c>
      <c r="AM389" s="50"/>
      <c r="AN389" s="85">
        <f t="shared" si="320"/>
        <v>0</v>
      </c>
      <c r="AO389" s="82" t="str">
        <f t="shared" si="333"/>
        <v/>
      </c>
      <c r="AP389" s="48">
        <f t="shared" si="334"/>
        <v>0</v>
      </c>
      <c r="AQ389" s="85">
        <f t="shared" si="321"/>
        <v>0</v>
      </c>
      <c r="AR389" s="82" t="str">
        <f t="shared" si="335"/>
        <v/>
      </c>
      <c r="AS389" s="48">
        <f t="shared" si="336"/>
        <v>156</v>
      </c>
      <c r="AT389" s="85">
        <f t="shared" si="322"/>
        <v>1923.48</v>
      </c>
      <c r="AU389" s="82">
        <f t="shared" si="337"/>
        <v>1</v>
      </c>
    </row>
    <row r="390" spans="1:56" ht="30">
      <c r="A390" s="16"/>
      <c r="B390" s="97" t="s">
        <v>1451</v>
      </c>
      <c r="C390" s="167" t="s">
        <v>1452</v>
      </c>
      <c r="D390" s="86" t="s">
        <v>1453</v>
      </c>
      <c r="E390" s="97" t="s">
        <v>28</v>
      </c>
      <c r="F390" s="172">
        <v>580.75</v>
      </c>
      <c r="G390" s="97">
        <v>1</v>
      </c>
      <c r="H390" s="85">
        <f t="shared" si="282"/>
        <v>580.75</v>
      </c>
      <c r="I390" s="50">
        <f t="shared" si="296"/>
        <v>0</v>
      </c>
      <c r="J390" s="85">
        <f t="shared" si="310"/>
        <v>0</v>
      </c>
      <c r="K390" s="82" t="str">
        <f t="shared" si="323"/>
        <v/>
      </c>
      <c r="L390" s="50"/>
      <c r="M390" s="85">
        <f t="shared" si="311"/>
        <v>0</v>
      </c>
      <c r="N390" s="82" t="str">
        <f t="shared" si="324"/>
        <v/>
      </c>
      <c r="O390" s="50"/>
      <c r="P390" s="85">
        <f t="shared" si="312"/>
        <v>0</v>
      </c>
      <c r="Q390" s="82" t="str">
        <f t="shared" si="325"/>
        <v/>
      </c>
      <c r="R390" s="50"/>
      <c r="S390" s="85">
        <f t="shared" si="313"/>
        <v>0</v>
      </c>
      <c r="T390" s="82" t="str">
        <f t="shared" si="326"/>
        <v/>
      </c>
      <c r="U390" s="50"/>
      <c r="V390" s="85">
        <f t="shared" si="314"/>
        <v>0</v>
      </c>
      <c r="W390" s="82" t="str">
        <f t="shared" si="327"/>
        <v/>
      </c>
      <c r="X390" s="50"/>
      <c r="Y390" s="85">
        <f t="shared" si="315"/>
        <v>0</v>
      </c>
      <c r="Z390" s="82" t="str">
        <f t="shared" si="328"/>
        <v/>
      </c>
      <c r="AA390" s="50"/>
      <c r="AB390" s="85">
        <f t="shared" si="316"/>
        <v>0</v>
      </c>
      <c r="AC390" s="82" t="str">
        <f t="shared" si="329"/>
        <v/>
      </c>
      <c r="AD390" s="50"/>
      <c r="AE390" s="85">
        <f t="shared" si="317"/>
        <v>0</v>
      </c>
      <c r="AF390" s="82" t="str">
        <f t="shared" si="330"/>
        <v/>
      </c>
      <c r="AG390" s="50"/>
      <c r="AH390" s="85">
        <f t="shared" si="318"/>
        <v>0</v>
      </c>
      <c r="AI390" s="82" t="str">
        <f t="shared" si="331"/>
        <v/>
      </c>
      <c r="AJ390" s="50"/>
      <c r="AK390" s="85">
        <f t="shared" si="319"/>
        <v>0</v>
      </c>
      <c r="AL390" s="82" t="str">
        <f t="shared" si="332"/>
        <v/>
      </c>
      <c r="AM390" s="50"/>
      <c r="AN390" s="85">
        <f t="shared" si="320"/>
        <v>0</v>
      </c>
      <c r="AO390" s="82" t="str">
        <f t="shared" si="333"/>
        <v/>
      </c>
      <c r="AP390" s="48">
        <f t="shared" si="334"/>
        <v>0</v>
      </c>
      <c r="AQ390" s="85">
        <f t="shared" si="321"/>
        <v>0</v>
      </c>
      <c r="AR390" s="82" t="str">
        <f t="shared" si="335"/>
        <v/>
      </c>
      <c r="AS390" s="48">
        <f t="shared" si="336"/>
        <v>1</v>
      </c>
      <c r="AT390" s="85">
        <f t="shared" si="322"/>
        <v>580.75</v>
      </c>
      <c r="AU390" s="82">
        <f t="shared" si="337"/>
        <v>1</v>
      </c>
    </row>
    <row r="391" spans="1:56" ht="45">
      <c r="A391" s="16"/>
      <c r="B391" s="97" t="s">
        <v>1454</v>
      </c>
      <c r="C391" s="167" t="s">
        <v>1455</v>
      </c>
      <c r="D391" s="86" t="s">
        <v>1456</v>
      </c>
      <c r="E391" s="97" t="s">
        <v>28</v>
      </c>
      <c r="F391" s="172">
        <v>25.84</v>
      </c>
      <c r="G391" s="97">
        <v>1</v>
      </c>
      <c r="H391" s="85">
        <f t="shared" si="282"/>
        <v>25.84</v>
      </c>
      <c r="I391" s="50">
        <f t="shared" si="296"/>
        <v>0</v>
      </c>
      <c r="J391" s="85">
        <f t="shared" si="310"/>
        <v>0</v>
      </c>
      <c r="K391" s="82" t="str">
        <f t="shared" si="323"/>
        <v/>
      </c>
      <c r="L391" s="50"/>
      <c r="M391" s="85">
        <f t="shared" si="311"/>
        <v>0</v>
      </c>
      <c r="N391" s="82" t="str">
        <f t="shared" si="324"/>
        <v/>
      </c>
      <c r="O391" s="50"/>
      <c r="P391" s="85">
        <f t="shared" si="312"/>
        <v>0</v>
      </c>
      <c r="Q391" s="82" t="str">
        <f t="shared" si="325"/>
        <v/>
      </c>
      <c r="R391" s="50"/>
      <c r="S391" s="85">
        <f t="shared" si="313"/>
        <v>0</v>
      </c>
      <c r="T391" s="82" t="str">
        <f t="shared" si="326"/>
        <v/>
      </c>
      <c r="U391" s="50"/>
      <c r="V391" s="85">
        <f t="shared" si="314"/>
        <v>0</v>
      </c>
      <c r="W391" s="82" t="str">
        <f t="shared" si="327"/>
        <v/>
      </c>
      <c r="X391" s="50"/>
      <c r="Y391" s="85">
        <f t="shared" si="315"/>
        <v>0</v>
      </c>
      <c r="Z391" s="82" t="str">
        <f t="shared" si="328"/>
        <v/>
      </c>
      <c r="AA391" s="50"/>
      <c r="AB391" s="85">
        <f t="shared" si="316"/>
        <v>0</v>
      </c>
      <c r="AC391" s="82" t="str">
        <f t="shared" si="329"/>
        <v/>
      </c>
      <c r="AD391" s="50"/>
      <c r="AE391" s="85">
        <f t="shared" si="317"/>
        <v>0</v>
      </c>
      <c r="AF391" s="82" t="str">
        <f t="shared" si="330"/>
        <v/>
      </c>
      <c r="AG391" s="50"/>
      <c r="AH391" s="85">
        <f t="shared" si="318"/>
        <v>0</v>
      </c>
      <c r="AI391" s="82" t="str">
        <f t="shared" si="331"/>
        <v/>
      </c>
      <c r="AJ391" s="50"/>
      <c r="AK391" s="85">
        <f t="shared" si="319"/>
        <v>0</v>
      </c>
      <c r="AL391" s="82" t="str">
        <f t="shared" si="332"/>
        <v/>
      </c>
      <c r="AM391" s="50"/>
      <c r="AN391" s="85">
        <f t="shared" si="320"/>
        <v>0</v>
      </c>
      <c r="AO391" s="82" t="str">
        <f t="shared" si="333"/>
        <v/>
      </c>
      <c r="AP391" s="48">
        <f t="shared" si="334"/>
        <v>0</v>
      </c>
      <c r="AQ391" s="85">
        <f t="shared" si="321"/>
        <v>0</v>
      </c>
      <c r="AR391" s="82" t="str">
        <f t="shared" si="335"/>
        <v/>
      </c>
      <c r="AS391" s="48">
        <f t="shared" si="336"/>
        <v>1</v>
      </c>
      <c r="AT391" s="85">
        <f t="shared" si="322"/>
        <v>25.84</v>
      </c>
      <c r="AU391" s="82">
        <f t="shared" si="337"/>
        <v>1</v>
      </c>
    </row>
    <row r="392" spans="1:56" ht="30">
      <c r="A392" s="16"/>
      <c r="B392" s="97" t="s">
        <v>1457</v>
      </c>
      <c r="C392" s="167" t="s">
        <v>1458</v>
      </c>
      <c r="D392" s="86" t="s">
        <v>1459</v>
      </c>
      <c r="E392" s="97" t="s">
        <v>28</v>
      </c>
      <c r="F392" s="172">
        <v>91.89</v>
      </c>
      <c r="G392" s="97">
        <v>36</v>
      </c>
      <c r="H392" s="85">
        <f t="shared" ref="H392:H462" si="338">G392*$F392</f>
        <v>3308.04</v>
      </c>
      <c r="I392" s="50">
        <f t="shared" si="296"/>
        <v>0</v>
      </c>
      <c r="J392" s="85">
        <f t="shared" si="310"/>
        <v>0</v>
      </c>
      <c r="K392" s="82" t="str">
        <f t="shared" si="323"/>
        <v/>
      </c>
      <c r="L392" s="50"/>
      <c r="M392" s="85">
        <f t="shared" si="311"/>
        <v>0</v>
      </c>
      <c r="N392" s="82" t="str">
        <f t="shared" si="324"/>
        <v/>
      </c>
      <c r="O392" s="50"/>
      <c r="P392" s="85">
        <f t="shared" si="312"/>
        <v>0</v>
      </c>
      <c r="Q392" s="82" t="str">
        <f t="shared" si="325"/>
        <v/>
      </c>
      <c r="R392" s="50"/>
      <c r="S392" s="85">
        <f t="shared" si="313"/>
        <v>0</v>
      </c>
      <c r="T392" s="82" t="str">
        <f t="shared" si="326"/>
        <v/>
      </c>
      <c r="U392" s="50"/>
      <c r="V392" s="85">
        <f t="shared" si="314"/>
        <v>0</v>
      </c>
      <c r="W392" s="82" t="str">
        <f t="shared" si="327"/>
        <v/>
      </c>
      <c r="X392" s="50"/>
      <c r="Y392" s="85">
        <f t="shared" si="315"/>
        <v>0</v>
      </c>
      <c r="Z392" s="82" t="str">
        <f t="shared" si="328"/>
        <v/>
      </c>
      <c r="AA392" s="50"/>
      <c r="AB392" s="85">
        <f t="shared" si="316"/>
        <v>0</v>
      </c>
      <c r="AC392" s="82" t="str">
        <f t="shared" si="329"/>
        <v/>
      </c>
      <c r="AD392" s="50"/>
      <c r="AE392" s="85">
        <f t="shared" si="317"/>
        <v>0</v>
      </c>
      <c r="AF392" s="82" t="str">
        <f t="shared" si="330"/>
        <v/>
      </c>
      <c r="AG392" s="50"/>
      <c r="AH392" s="85">
        <f t="shared" si="318"/>
        <v>0</v>
      </c>
      <c r="AI392" s="82" t="str">
        <f t="shared" si="331"/>
        <v/>
      </c>
      <c r="AJ392" s="50"/>
      <c r="AK392" s="85">
        <f t="shared" si="319"/>
        <v>0</v>
      </c>
      <c r="AL392" s="82" t="str">
        <f t="shared" si="332"/>
        <v/>
      </c>
      <c r="AM392" s="50"/>
      <c r="AN392" s="85">
        <f t="shared" si="320"/>
        <v>0</v>
      </c>
      <c r="AO392" s="82" t="str">
        <f t="shared" si="333"/>
        <v/>
      </c>
      <c r="AP392" s="48">
        <f t="shared" si="334"/>
        <v>0</v>
      </c>
      <c r="AQ392" s="85">
        <f t="shared" si="321"/>
        <v>0</v>
      </c>
      <c r="AR392" s="82" t="str">
        <f t="shared" si="335"/>
        <v/>
      </c>
      <c r="AS392" s="48">
        <f t="shared" si="336"/>
        <v>36</v>
      </c>
      <c r="AT392" s="85">
        <f t="shared" si="322"/>
        <v>3308.04</v>
      </c>
      <c r="AU392" s="82">
        <f t="shared" si="337"/>
        <v>1</v>
      </c>
    </row>
    <row r="393" spans="1:56" ht="45">
      <c r="A393" s="16"/>
      <c r="B393" s="97" t="s">
        <v>1460</v>
      </c>
      <c r="C393" s="167" t="s">
        <v>1461</v>
      </c>
      <c r="D393" s="86" t="s">
        <v>1462</v>
      </c>
      <c r="E393" s="97" t="s">
        <v>28</v>
      </c>
      <c r="F393" s="172">
        <v>29.84</v>
      </c>
      <c r="G393" s="97">
        <v>6</v>
      </c>
      <c r="H393" s="85">
        <f t="shared" si="338"/>
        <v>179.04</v>
      </c>
      <c r="I393" s="50">
        <f t="shared" si="296"/>
        <v>0</v>
      </c>
      <c r="J393" s="85">
        <f t="shared" si="310"/>
        <v>0</v>
      </c>
      <c r="K393" s="82" t="str">
        <f t="shared" si="323"/>
        <v/>
      </c>
      <c r="L393" s="50"/>
      <c r="M393" s="85">
        <f t="shared" si="311"/>
        <v>0</v>
      </c>
      <c r="N393" s="82" t="str">
        <f t="shared" si="324"/>
        <v/>
      </c>
      <c r="O393" s="50"/>
      <c r="P393" s="85">
        <f t="shared" si="312"/>
        <v>0</v>
      </c>
      <c r="Q393" s="82" t="str">
        <f t="shared" si="325"/>
        <v/>
      </c>
      <c r="R393" s="50"/>
      <c r="S393" s="85">
        <f t="shared" si="313"/>
        <v>0</v>
      </c>
      <c r="T393" s="82" t="str">
        <f t="shared" si="326"/>
        <v/>
      </c>
      <c r="U393" s="50"/>
      <c r="V393" s="85">
        <f t="shared" si="314"/>
        <v>0</v>
      </c>
      <c r="W393" s="82" t="str">
        <f t="shared" si="327"/>
        <v/>
      </c>
      <c r="X393" s="50"/>
      <c r="Y393" s="85">
        <f t="shared" si="315"/>
        <v>0</v>
      </c>
      <c r="Z393" s="82" t="str">
        <f t="shared" si="328"/>
        <v/>
      </c>
      <c r="AA393" s="50"/>
      <c r="AB393" s="85">
        <f t="shared" si="316"/>
        <v>0</v>
      </c>
      <c r="AC393" s="82" t="str">
        <f t="shared" si="329"/>
        <v/>
      </c>
      <c r="AD393" s="50"/>
      <c r="AE393" s="85">
        <f t="shared" si="317"/>
        <v>0</v>
      </c>
      <c r="AF393" s="82" t="str">
        <f t="shared" si="330"/>
        <v/>
      </c>
      <c r="AG393" s="50"/>
      <c r="AH393" s="85">
        <f t="shared" si="318"/>
        <v>0</v>
      </c>
      <c r="AI393" s="82" t="str">
        <f t="shared" si="331"/>
        <v/>
      </c>
      <c r="AJ393" s="50"/>
      <c r="AK393" s="85">
        <f t="shared" si="319"/>
        <v>0</v>
      </c>
      <c r="AL393" s="82" t="str">
        <f t="shared" si="332"/>
        <v/>
      </c>
      <c r="AM393" s="50"/>
      <c r="AN393" s="85">
        <f t="shared" si="320"/>
        <v>0</v>
      </c>
      <c r="AO393" s="82" t="str">
        <f t="shared" si="333"/>
        <v/>
      </c>
      <c r="AP393" s="48">
        <f t="shared" si="334"/>
        <v>0</v>
      </c>
      <c r="AQ393" s="85">
        <f t="shared" si="321"/>
        <v>0</v>
      </c>
      <c r="AR393" s="82" t="str">
        <f t="shared" si="335"/>
        <v/>
      </c>
      <c r="AS393" s="48">
        <f t="shared" si="336"/>
        <v>6</v>
      </c>
      <c r="AT393" s="85">
        <f t="shared" si="322"/>
        <v>179.04</v>
      </c>
      <c r="AU393" s="82">
        <f t="shared" si="337"/>
        <v>1</v>
      </c>
    </row>
    <row r="394" spans="1:56" ht="60">
      <c r="A394" s="16"/>
      <c r="B394" s="97" t="s">
        <v>1463</v>
      </c>
      <c r="C394" s="167" t="s">
        <v>1464</v>
      </c>
      <c r="D394" s="86" t="s">
        <v>1465</v>
      </c>
      <c r="E394" s="97" t="s">
        <v>28</v>
      </c>
      <c r="F394" s="172">
        <v>30.84</v>
      </c>
      <c r="G394" s="97">
        <v>10</v>
      </c>
      <c r="H394" s="85">
        <f t="shared" si="338"/>
        <v>308.39999999999998</v>
      </c>
      <c r="I394" s="50">
        <f t="shared" si="296"/>
        <v>0</v>
      </c>
      <c r="J394" s="85">
        <f t="shared" si="310"/>
        <v>0</v>
      </c>
      <c r="K394" s="82" t="str">
        <f t="shared" si="323"/>
        <v/>
      </c>
      <c r="L394" s="50"/>
      <c r="M394" s="85">
        <f t="shared" si="311"/>
        <v>0</v>
      </c>
      <c r="N394" s="82" t="str">
        <f t="shared" si="324"/>
        <v/>
      </c>
      <c r="O394" s="50"/>
      <c r="P394" s="85">
        <f t="shared" si="312"/>
        <v>0</v>
      </c>
      <c r="Q394" s="82" t="str">
        <f t="shared" si="325"/>
        <v/>
      </c>
      <c r="R394" s="50"/>
      <c r="S394" s="85">
        <f t="shared" si="313"/>
        <v>0</v>
      </c>
      <c r="T394" s="82" t="str">
        <f t="shared" si="326"/>
        <v/>
      </c>
      <c r="U394" s="50"/>
      <c r="V394" s="85">
        <f t="shared" si="314"/>
        <v>0</v>
      </c>
      <c r="W394" s="82" t="str">
        <f t="shared" si="327"/>
        <v/>
      </c>
      <c r="X394" s="50"/>
      <c r="Y394" s="85">
        <f t="shared" si="315"/>
        <v>0</v>
      </c>
      <c r="Z394" s="82" t="str">
        <f t="shared" si="328"/>
        <v/>
      </c>
      <c r="AA394" s="50"/>
      <c r="AB394" s="85">
        <f t="shared" si="316"/>
        <v>0</v>
      </c>
      <c r="AC394" s="82" t="str">
        <f t="shared" si="329"/>
        <v/>
      </c>
      <c r="AD394" s="50"/>
      <c r="AE394" s="85">
        <f t="shared" si="317"/>
        <v>0</v>
      </c>
      <c r="AF394" s="82" t="str">
        <f t="shared" si="330"/>
        <v/>
      </c>
      <c r="AG394" s="50"/>
      <c r="AH394" s="85">
        <f t="shared" si="318"/>
        <v>0</v>
      </c>
      <c r="AI394" s="82" t="str">
        <f t="shared" si="331"/>
        <v/>
      </c>
      <c r="AJ394" s="50"/>
      <c r="AK394" s="85">
        <f t="shared" si="319"/>
        <v>0</v>
      </c>
      <c r="AL394" s="82" t="str">
        <f t="shared" si="332"/>
        <v/>
      </c>
      <c r="AM394" s="50"/>
      <c r="AN394" s="85">
        <f t="shared" si="320"/>
        <v>0</v>
      </c>
      <c r="AO394" s="82" t="str">
        <f t="shared" si="333"/>
        <v/>
      </c>
      <c r="AP394" s="48">
        <f t="shared" si="334"/>
        <v>0</v>
      </c>
      <c r="AQ394" s="85">
        <f t="shared" si="321"/>
        <v>0</v>
      </c>
      <c r="AR394" s="82" t="str">
        <f t="shared" si="335"/>
        <v/>
      </c>
      <c r="AS394" s="48">
        <f t="shared" si="336"/>
        <v>10</v>
      </c>
      <c r="AT394" s="85">
        <f t="shared" si="322"/>
        <v>308.39999999999998</v>
      </c>
      <c r="AU394" s="82">
        <f t="shared" si="337"/>
        <v>1</v>
      </c>
    </row>
    <row r="395" spans="1:56" s="161" customFormat="1" ht="30" customHeight="1">
      <c r="A395" s="94"/>
      <c r="B395" s="116" t="s">
        <v>1466</v>
      </c>
      <c r="C395" s="1945" t="s">
        <v>1467</v>
      </c>
      <c r="D395" s="1946"/>
      <c r="E395" s="1946"/>
      <c r="F395" s="1946"/>
      <c r="G395" s="1947"/>
      <c r="H395" s="159">
        <f>SUM(H396:H414)</f>
        <v>36330.57</v>
      </c>
      <c r="I395" s="50">
        <f t="shared" si="296"/>
        <v>0</v>
      </c>
      <c r="J395" s="159">
        <f>SUM(J396:J414)</f>
        <v>0</v>
      </c>
      <c r="K395" s="102">
        <f>J395/$H395</f>
        <v>0</v>
      </c>
      <c r="L395" s="101"/>
      <c r="M395" s="159">
        <f>SUM(M396:M414)</f>
        <v>0</v>
      </c>
      <c r="N395" s="102">
        <f>M395/$H395</f>
        <v>0</v>
      </c>
      <c r="O395" s="101"/>
      <c r="P395" s="159">
        <f>SUM(P396:P414)</f>
        <v>0</v>
      </c>
      <c r="Q395" s="102">
        <f>P395/$H395</f>
        <v>0</v>
      </c>
      <c r="R395" s="101"/>
      <c r="S395" s="159">
        <f>SUM(S396:S414)</f>
        <v>0</v>
      </c>
      <c r="T395" s="102">
        <f>S395/$H395</f>
        <v>0</v>
      </c>
      <c r="U395" s="101"/>
      <c r="V395" s="159">
        <f>SUM(V396:V414)</f>
        <v>0</v>
      </c>
      <c r="W395" s="102">
        <f>V395/$H395</f>
        <v>0</v>
      </c>
      <c r="X395" s="101"/>
      <c r="Y395" s="159">
        <f>SUM(Y396:Y414)</f>
        <v>0</v>
      </c>
      <c r="Z395" s="102">
        <f>Y395/$H395</f>
        <v>0</v>
      </c>
      <c r="AA395" s="101"/>
      <c r="AB395" s="159">
        <f>SUM(AB396:AB414)</f>
        <v>0</v>
      </c>
      <c r="AC395" s="102">
        <f>AB395/$H395</f>
        <v>0</v>
      </c>
      <c r="AD395" s="101"/>
      <c r="AE395" s="159">
        <f>SUM(AE396:AE414)</f>
        <v>0</v>
      </c>
      <c r="AF395" s="102">
        <f>AE395/$H395</f>
        <v>0</v>
      </c>
      <c r="AG395" s="101"/>
      <c r="AH395" s="159">
        <f>SUM(AH396:AH414)</f>
        <v>0</v>
      </c>
      <c r="AI395" s="102">
        <f>AH395/$H395</f>
        <v>0</v>
      </c>
      <c r="AJ395" s="101"/>
      <c r="AK395" s="159">
        <f>SUM(AK396:AK414)</f>
        <v>0</v>
      </c>
      <c r="AL395" s="102">
        <f>AK395/$H395</f>
        <v>0</v>
      </c>
      <c r="AM395" s="101"/>
      <c r="AN395" s="159">
        <f>SUM(AN396:AN414)</f>
        <v>0</v>
      </c>
      <c r="AO395" s="102">
        <f>AN395/$H395</f>
        <v>0</v>
      </c>
      <c r="AP395" s="160">
        <f t="shared" si="334"/>
        <v>0</v>
      </c>
      <c r="AQ395" s="159">
        <f>SUM(AQ396:AQ414)</f>
        <v>0</v>
      </c>
      <c r="AR395" s="102">
        <f>AQ395/$H395</f>
        <v>0</v>
      </c>
      <c r="AS395" s="160">
        <f t="shared" si="336"/>
        <v>0</v>
      </c>
      <c r="AT395" s="159">
        <f>SUM(AT396:AT414)</f>
        <v>36330.57</v>
      </c>
      <c r="AU395" s="102">
        <f>AT395/$H395</f>
        <v>1</v>
      </c>
    </row>
    <row r="396" spans="1:56" ht="30">
      <c r="A396" s="16"/>
      <c r="B396" s="97" t="s">
        <v>1468</v>
      </c>
      <c r="C396" s="167" t="s">
        <v>358</v>
      </c>
      <c r="D396" s="86" t="s">
        <v>359</v>
      </c>
      <c r="E396" s="97" t="s">
        <v>28</v>
      </c>
      <c r="F396" s="172">
        <v>41.37</v>
      </c>
      <c r="G396" s="97">
        <v>16</v>
      </c>
      <c r="H396" s="85">
        <f t="shared" si="338"/>
        <v>661.92</v>
      </c>
      <c r="I396" s="50">
        <f t="shared" si="296"/>
        <v>0</v>
      </c>
      <c r="J396" s="85">
        <f t="shared" ref="J396:J414" si="339">I396*$F396</f>
        <v>0</v>
      </c>
      <c r="K396" s="82" t="str">
        <f t="shared" si="323"/>
        <v/>
      </c>
      <c r="L396" s="50"/>
      <c r="M396" s="85">
        <f t="shared" ref="M396:M414" si="340">L396*$F396</f>
        <v>0</v>
      </c>
      <c r="N396" s="82" t="str">
        <f t="shared" si="324"/>
        <v/>
      </c>
      <c r="O396" s="50"/>
      <c r="P396" s="85">
        <f t="shared" ref="P396:P414" si="341">O396*$F396</f>
        <v>0</v>
      </c>
      <c r="Q396" s="82" t="str">
        <f t="shared" si="325"/>
        <v/>
      </c>
      <c r="R396" s="50"/>
      <c r="S396" s="85">
        <f t="shared" ref="S396:S414" si="342">R396*$F396</f>
        <v>0</v>
      </c>
      <c r="T396" s="82" t="str">
        <f t="shared" si="326"/>
        <v/>
      </c>
      <c r="U396" s="50"/>
      <c r="V396" s="85">
        <f t="shared" ref="V396:V414" si="343">U396*$F396</f>
        <v>0</v>
      </c>
      <c r="W396" s="82" t="str">
        <f t="shared" si="327"/>
        <v/>
      </c>
      <c r="X396" s="50"/>
      <c r="Y396" s="85">
        <f t="shared" ref="Y396:Y414" si="344">X396*$F396</f>
        <v>0</v>
      </c>
      <c r="Z396" s="82" t="str">
        <f t="shared" si="328"/>
        <v/>
      </c>
      <c r="AA396" s="50"/>
      <c r="AB396" s="85">
        <f t="shared" ref="AB396:AB414" si="345">AA396*$F396</f>
        <v>0</v>
      </c>
      <c r="AC396" s="82" t="str">
        <f t="shared" si="329"/>
        <v/>
      </c>
      <c r="AD396" s="50"/>
      <c r="AE396" s="85">
        <f t="shared" ref="AE396:AE414" si="346">AD396*$F396</f>
        <v>0</v>
      </c>
      <c r="AF396" s="82" t="str">
        <f t="shared" si="330"/>
        <v/>
      </c>
      <c r="AG396" s="50"/>
      <c r="AH396" s="85">
        <f t="shared" ref="AH396:AH414" si="347">AG396*$F396</f>
        <v>0</v>
      </c>
      <c r="AI396" s="82" t="str">
        <f t="shared" si="331"/>
        <v/>
      </c>
      <c r="AJ396" s="50"/>
      <c r="AK396" s="85">
        <f t="shared" ref="AK396:AK414" si="348">AJ396*$F396</f>
        <v>0</v>
      </c>
      <c r="AL396" s="82" t="str">
        <f t="shared" si="332"/>
        <v/>
      </c>
      <c r="AM396" s="50"/>
      <c r="AN396" s="85">
        <f t="shared" ref="AN396:AN414" si="349">AM396*$F396</f>
        <v>0</v>
      </c>
      <c r="AO396" s="82" t="str">
        <f t="shared" si="333"/>
        <v/>
      </c>
      <c r="AP396" s="48">
        <f t="shared" si="334"/>
        <v>0</v>
      </c>
      <c r="AQ396" s="85">
        <f t="shared" ref="AQ396:AQ414" si="350">AP396*$F396</f>
        <v>0</v>
      </c>
      <c r="AR396" s="82" t="str">
        <f t="shared" si="335"/>
        <v/>
      </c>
      <c r="AS396" s="48">
        <f t="shared" si="336"/>
        <v>16</v>
      </c>
      <c r="AT396" s="85">
        <f t="shared" ref="AT396:AT414" si="351">AS396*$F396</f>
        <v>661.92</v>
      </c>
      <c r="AU396" s="82">
        <f t="shared" si="337"/>
        <v>1</v>
      </c>
    </row>
    <row r="397" spans="1:56" ht="30">
      <c r="A397" s="16"/>
      <c r="B397" s="97" t="s">
        <v>1469</v>
      </c>
      <c r="C397" s="167" t="s">
        <v>1470</v>
      </c>
      <c r="D397" s="86" t="s">
        <v>1471</v>
      </c>
      <c r="E397" s="97" t="s">
        <v>28</v>
      </c>
      <c r="F397" s="172">
        <v>70.55</v>
      </c>
      <c r="G397" s="97">
        <v>18</v>
      </c>
      <c r="H397" s="85">
        <f t="shared" si="338"/>
        <v>1269.8999999999999</v>
      </c>
      <c r="I397" s="50">
        <f t="shared" si="296"/>
        <v>0</v>
      </c>
      <c r="J397" s="85">
        <f t="shared" si="339"/>
        <v>0</v>
      </c>
      <c r="K397" s="82" t="str">
        <f t="shared" si="323"/>
        <v/>
      </c>
      <c r="L397" s="50"/>
      <c r="M397" s="85">
        <f t="shared" si="340"/>
        <v>0</v>
      </c>
      <c r="N397" s="82" t="str">
        <f t="shared" si="324"/>
        <v/>
      </c>
      <c r="O397" s="50"/>
      <c r="P397" s="85">
        <f t="shared" si="341"/>
        <v>0</v>
      </c>
      <c r="Q397" s="82" t="str">
        <f t="shared" si="325"/>
        <v/>
      </c>
      <c r="R397" s="50"/>
      <c r="S397" s="85">
        <f t="shared" si="342"/>
        <v>0</v>
      </c>
      <c r="T397" s="82" t="str">
        <f t="shared" si="326"/>
        <v/>
      </c>
      <c r="U397" s="50"/>
      <c r="V397" s="85">
        <f t="shared" si="343"/>
        <v>0</v>
      </c>
      <c r="W397" s="82" t="str">
        <f t="shared" si="327"/>
        <v/>
      </c>
      <c r="X397" s="50"/>
      <c r="Y397" s="85">
        <f t="shared" si="344"/>
        <v>0</v>
      </c>
      <c r="Z397" s="82" t="str">
        <f t="shared" si="328"/>
        <v/>
      </c>
      <c r="AA397" s="50"/>
      <c r="AB397" s="85">
        <f t="shared" si="345"/>
        <v>0</v>
      </c>
      <c r="AC397" s="82" t="str">
        <f t="shared" si="329"/>
        <v/>
      </c>
      <c r="AD397" s="50"/>
      <c r="AE397" s="85">
        <f t="shared" si="346"/>
        <v>0</v>
      </c>
      <c r="AF397" s="82" t="str">
        <f t="shared" si="330"/>
        <v/>
      </c>
      <c r="AG397" s="50"/>
      <c r="AH397" s="85">
        <f t="shared" si="347"/>
        <v>0</v>
      </c>
      <c r="AI397" s="82" t="str">
        <f t="shared" si="331"/>
        <v/>
      </c>
      <c r="AJ397" s="50"/>
      <c r="AK397" s="85">
        <f t="shared" si="348"/>
        <v>0</v>
      </c>
      <c r="AL397" s="82" t="str">
        <f t="shared" si="332"/>
        <v/>
      </c>
      <c r="AM397" s="50"/>
      <c r="AN397" s="85">
        <f t="shared" si="349"/>
        <v>0</v>
      </c>
      <c r="AO397" s="82" t="str">
        <f t="shared" si="333"/>
        <v/>
      </c>
      <c r="AP397" s="48">
        <f t="shared" si="334"/>
        <v>0</v>
      </c>
      <c r="AQ397" s="85">
        <f t="shared" si="350"/>
        <v>0</v>
      </c>
      <c r="AR397" s="82" t="str">
        <f t="shared" si="335"/>
        <v/>
      </c>
      <c r="AS397" s="48">
        <f t="shared" si="336"/>
        <v>18</v>
      </c>
      <c r="AT397" s="85">
        <f t="shared" si="351"/>
        <v>1269.8999999999999</v>
      </c>
      <c r="AU397" s="82">
        <f t="shared" si="337"/>
        <v>1</v>
      </c>
      <c r="AW397" s="51"/>
      <c r="AX397" s="51"/>
      <c r="AY397" s="51"/>
      <c r="AZ397" s="1927"/>
      <c r="BA397" s="1927"/>
      <c r="BB397" s="1927"/>
      <c r="BC397" s="1927"/>
      <c r="BD397" s="1927"/>
    </row>
    <row r="398" spans="1:56" ht="30">
      <c r="A398" s="16"/>
      <c r="B398" s="97" t="s">
        <v>1472</v>
      </c>
      <c r="C398" s="167" t="s">
        <v>1473</v>
      </c>
      <c r="D398" s="86" t="s">
        <v>1474</v>
      </c>
      <c r="E398" s="97" t="s">
        <v>28</v>
      </c>
      <c r="F398" s="172">
        <v>50.37</v>
      </c>
      <c r="G398" s="97">
        <v>12</v>
      </c>
      <c r="H398" s="85">
        <f t="shared" si="338"/>
        <v>604.43999999999994</v>
      </c>
      <c r="I398" s="50">
        <f t="shared" si="296"/>
        <v>0</v>
      </c>
      <c r="J398" s="85">
        <f t="shared" si="339"/>
        <v>0</v>
      </c>
      <c r="K398" s="82" t="str">
        <f t="shared" si="323"/>
        <v/>
      </c>
      <c r="L398" s="50"/>
      <c r="M398" s="85">
        <f t="shared" si="340"/>
        <v>0</v>
      </c>
      <c r="N398" s="82" t="str">
        <f t="shared" si="324"/>
        <v/>
      </c>
      <c r="O398" s="50"/>
      <c r="P398" s="85">
        <f t="shared" si="341"/>
        <v>0</v>
      </c>
      <c r="Q398" s="82" t="str">
        <f t="shared" si="325"/>
        <v/>
      </c>
      <c r="R398" s="50"/>
      <c r="S398" s="85">
        <f t="shared" si="342"/>
        <v>0</v>
      </c>
      <c r="T398" s="82" t="str">
        <f t="shared" si="326"/>
        <v/>
      </c>
      <c r="U398" s="50"/>
      <c r="V398" s="85">
        <f t="shared" si="343"/>
        <v>0</v>
      </c>
      <c r="W398" s="82" t="str">
        <f t="shared" si="327"/>
        <v/>
      </c>
      <c r="X398" s="50"/>
      <c r="Y398" s="85">
        <f t="shared" si="344"/>
        <v>0</v>
      </c>
      <c r="Z398" s="82" t="str">
        <f t="shared" si="328"/>
        <v/>
      </c>
      <c r="AA398" s="50"/>
      <c r="AB398" s="85">
        <f t="shared" si="345"/>
        <v>0</v>
      </c>
      <c r="AC398" s="82" t="str">
        <f t="shared" si="329"/>
        <v/>
      </c>
      <c r="AD398" s="50"/>
      <c r="AE398" s="85">
        <f t="shared" si="346"/>
        <v>0</v>
      </c>
      <c r="AF398" s="82" t="str">
        <f t="shared" si="330"/>
        <v/>
      </c>
      <c r="AG398" s="50"/>
      <c r="AH398" s="85">
        <f t="shared" si="347"/>
        <v>0</v>
      </c>
      <c r="AI398" s="82" t="str">
        <f t="shared" si="331"/>
        <v/>
      </c>
      <c r="AJ398" s="50"/>
      <c r="AK398" s="85">
        <f t="shared" si="348"/>
        <v>0</v>
      </c>
      <c r="AL398" s="82" t="str">
        <f t="shared" si="332"/>
        <v/>
      </c>
      <c r="AM398" s="50"/>
      <c r="AN398" s="85">
        <f t="shared" si="349"/>
        <v>0</v>
      </c>
      <c r="AO398" s="82" t="str">
        <f t="shared" si="333"/>
        <v/>
      </c>
      <c r="AP398" s="48">
        <f t="shared" si="334"/>
        <v>0</v>
      </c>
      <c r="AQ398" s="85">
        <f t="shared" si="350"/>
        <v>0</v>
      </c>
      <c r="AR398" s="82" t="str">
        <f t="shared" si="335"/>
        <v/>
      </c>
      <c r="AS398" s="48">
        <f t="shared" si="336"/>
        <v>12</v>
      </c>
      <c r="AT398" s="85">
        <f t="shared" si="351"/>
        <v>604.43999999999994</v>
      </c>
      <c r="AU398" s="82">
        <f t="shared" si="337"/>
        <v>1</v>
      </c>
      <c r="AW398" s="51"/>
      <c r="AX398" s="51"/>
      <c r="AY398" s="51"/>
      <c r="AZ398" s="1927"/>
      <c r="BA398" s="1927"/>
      <c r="BB398" s="1927"/>
      <c r="BC398" s="1927"/>
      <c r="BD398" s="1927"/>
    </row>
    <row r="399" spans="1:56" ht="30">
      <c r="A399" s="16"/>
      <c r="B399" s="97" t="s">
        <v>1475</v>
      </c>
      <c r="C399" s="167" t="s">
        <v>1476</v>
      </c>
      <c r="D399" s="86" t="s">
        <v>1477</v>
      </c>
      <c r="E399" s="97" t="s">
        <v>28</v>
      </c>
      <c r="F399" s="172">
        <v>43.9</v>
      </c>
      <c r="G399" s="97">
        <v>4</v>
      </c>
      <c r="H399" s="85">
        <f t="shared" si="338"/>
        <v>175.6</v>
      </c>
      <c r="I399" s="50">
        <f t="shared" si="296"/>
        <v>0</v>
      </c>
      <c r="J399" s="85">
        <f t="shared" si="339"/>
        <v>0</v>
      </c>
      <c r="K399" s="82" t="str">
        <f t="shared" si="323"/>
        <v/>
      </c>
      <c r="L399" s="50"/>
      <c r="M399" s="85">
        <f t="shared" si="340"/>
        <v>0</v>
      </c>
      <c r="N399" s="82" t="str">
        <f t="shared" si="324"/>
        <v/>
      </c>
      <c r="O399" s="50"/>
      <c r="P399" s="85">
        <f t="shared" si="341"/>
        <v>0</v>
      </c>
      <c r="Q399" s="82" t="str">
        <f t="shared" si="325"/>
        <v/>
      </c>
      <c r="R399" s="50"/>
      <c r="S399" s="85">
        <f t="shared" si="342"/>
        <v>0</v>
      </c>
      <c r="T399" s="82" t="str">
        <f t="shared" si="326"/>
        <v/>
      </c>
      <c r="U399" s="50"/>
      <c r="V399" s="85">
        <f t="shared" si="343"/>
        <v>0</v>
      </c>
      <c r="W399" s="82" t="str">
        <f t="shared" si="327"/>
        <v/>
      </c>
      <c r="X399" s="50"/>
      <c r="Y399" s="85">
        <f t="shared" si="344"/>
        <v>0</v>
      </c>
      <c r="Z399" s="82" t="str">
        <f t="shared" si="328"/>
        <v/>
      </c>
      <c r="AA399" s="50"/>
      <c r="AB399" s="85">
        <f t="shared" si="345"/>
        <v>0</v>
      </c>
      <c r="AC399" s="82" t="str">
        <f t="shared" si="329"/>
        <v/>
      </c>
      <c r="AD399" s="50"/>
      <c r="AE399" s="85">
        <f t="shared" si="346"/>
        <v>0</v>
      </c>
      <c r="AF399" s="82" t="str">
        <f t="shared" si="330"/>
        <v/>
      </c>
      <c r="AG399" s="50"/>
      <c r="AH399" s="85">
        <f t="shared" si="347"/>
        <v>0</v>
      </c>
      <c r="AI399" s="82" t="str">
        <f t="shared" si="331"/>
        <v/>
      </c>
      <c r="AJ399" s="50"/>
      <c r="AK399" s="85">
        <f t="shared" si="348"/>
        <v>0</v>
      </c>
      <c r="AL399" s="82" t="str">
        <f t="shared" si="332"/>
        <v/>
      </c>
      <c r="AM399" s="50"/>
      <c r="AN399" s="85">
        <f t="shared" si="349"/>
        <v>0</v>
      </c>
      <c r="AO399" s="82" t="str">
        <f t="shared" si="333"/>
        <v/>
      </c>
      <c r="AP399" s="48">
        <f t="shared" si="334"/>
        <v>0</v>
      </c>
      <c r="AQ399" s="85">
        <f t="shared" si="350"/>
        <v>0</v>
      </c>
      <c r="AR399" s="82" t="str">
        <f t="shared" si="335"/>
        <v/>
      </c>
      <c r="AS399" s="48">
        <f t="shared" si="336"/>
        <v>4</v>
      </c>
      <c r="AT399" s="85">
        <f t="shared" si="351"/>
        <v>175.6</v>
      </c>
      <c r="AU399" s="82">
        <f t="shared" si="337"/>
        <v>1</v>
      </c>
      <c r="AW399" s="51"/>
      <c r="AX399" s="51"/>
      <c r="AY399" s="51"/>
      <c r="AZ399" s="1927"/>
      <c r="BA399" s="1927"/>
      <c r="BB399" s="1927"/>
      <c r="BC399" s="1927"/>
      <c r="BD399" s="1927"/>
    </row>
    <row r="400" spans="1:56" ht="30">
      <c r="A400" s="16"/>
      <c r="B400" s="97" t="s">
        <v>1478</v>
      </c>
      <c r="C400" s="167" t="s">
        <v>1479</v>
      </c>
      <c r="D400" s="86" t="s">
        <v>1480</v>
      </c>
      <c r="E400" s="97" t="s">
        <v>28</v>
      </c>
      <c r="F400" s="172">
        <v>55.4</v>
      </c>
      <c r="G400" s="97">
        <v>1</v>
      </c>
      <c r="H400" s="85">
        <f t="shared" si="338"/>
        <v>55.4</v>
      </c>
      <c r="I400" s="50">
        <f t="shared" si="296"/>
        <v>0</v>
      </c>
      <c r="J400" s="85">
        <f t="shared" si="339"/>
        <v>0</v>
      </c>
      <c r="K400" s="82" t="str">
        <f t="shared" si="323"/>
        <v/>
      </c>
      <c r="L400" s="50"/>
      <c r="M400" s="85">
        <f t="shared" si="340"/>
        <v>0</v>
      </c>
      <c r="N400" s="82" t="str">
        <f t="shared" si="324"/>
        <v/>
      </c>
      <c r="O400" s="50"/>
      <c r="P400" s="85">
        <f t="shared" si="341"/>
        <v>0</v>
      </c>
      <c r="Q400" s="82" t="str">
        <f t="shared" si="325"/>
        <v/>
      </c>
      <c r="R400" s="50"/>
      <c r="S400" s="85">
        <f t="shared" si="342"/>
        <v>0</v>
      </c>
      <c r="T400" s="82" t="str">
        <f t="shared" si="326"/>
        <v/>
      </c>
      <c r="U400" s="50"/>
      <c r="V400" s="85">
        <f t="shared" si="343"/>
        <v>0</v>
      </c>
      <c r="W400" s="82" t="str">
        <f t="shared" si="327"/>
        <v/>
      </c>
      <c r="X400" s="50"/>
      <c r="Y400" s="85">
        <f t="shared" si="344"/>
        <v>0</v>
      </c>
      <c r="Z400" s="82" t="str">
        <f t="shared" si="328"/>
        <v/>
      </c>
      <c r="AA400" s="50"/>
      <c r="AB400" s="85">
        <f t="shared" si="345"/>
        <v>0</v>
      </c>
      <c r="AC400" s="82" t="str">
        <f t="shared" si="329"/>
        <v/>
      </c>
      <c r="AD400" s="50"/>
      <c r="AE400" s="85">
        <f t="shared" si="346"/>
        <v>0</v>
      </c>
      <c r="AF400" s="82" t="str">
        <f t="shared" si="330"/>
        <v/>
      </c>
      <c r="AG400" s="50"/>
      <c r="AH400" s="85">
        <f t="shared" si="347"/>
        <v>0</v>
      </c>
      <c r="AI400" s="82" t="str">
        <f t="shared" si="331"/>
        <v/>
      </c>
      <c r="AJ400" s="50"/>
      <c r="AK400" s="85">
        <f t="shared" si="348"/>
        <v>0</v>
      </c>
      <c r="AL400" s="82" t="str">
        <f t="shared" si="332"/>
        <v/>
      </c>
      <c r="AM400" s="50"/>
      <c r="AN400" s="85">
        <f t="shared" si="349"/>
        <v>0</v>
      </c>
      <c r="AO400" s="82" t="str">
        <f t="shared" si="333"/>
        <v/>
      </c>
      <c r="AP400" s="48">
        <f t="shared" si="334"/>
        <v>0</v>
      </c>
      <c r="AQ400" s="85">
        <f t="shared" si="350"/>
        <v>0</v>
      </c>
      <c r="AR400" s="82" t="str">
        <f t="shared" si="335"/>
        <v/>
      </c>
      <c r="AS400" s="48">
        <f t="shared" si="336"/>
        <v>1</v>
      </c>
      <c r="AT400" s="85">
        <f t="shared" si="351"/>
        <v>55.4</v>
      </c>
      <c r="AU400" s="82">
        <f t="shared" si="337"/>
        <v>1</v>
      </c>
      <c r="AW400" s="51"/>
      <c r="AX400" s="51"/>
      <c r="AY400" s="51"/>
      <c r="AZ400" s="1927"/>
      <c r="BA400" s="1927"/>
      <c r="BB400" s="1927"/>
      <c r="BC400" s="1927"/>
      <c r="BD400" s="1927"/>
    </row>
    <row r="401" spans="1:56" ht="30">
      <c r="A401" s="16"/>
      <c r="B401" s="97" t="s">
        <v>1481</v>
      </c>
      <c r="C401" s="167" t="s">
        <v>1482</v>
      </c>
      <c r="D401" s="86" t="s">
        <v>1483</v>
      </c>
      <c r="E401" s="97" t="s">
        <v>28</v>
      </c>
      <c r="F401" s="172">
        <v>84.13</v>
      </c>
      <c r="G401" s="97">
        <v>2</v>
      </c>
      <c r="H401" s="85">
        <f t="shared" si="338"/>
        <v>168.26</v>
      </c>
      <c r="I401" s="50">
        <f t="shared" si="296"/>
        <v>0</v>
      </c>
      <c r="J401" s="85">
        <f t="shared" si="339"/>
        <v>0</v>
      </c>
      <c r="K401" s="82" t="str">
        <f t="shared" si="323"/>
        <v/>
      </c>
      <c r="L401" s="50"/>
      <c r="M401" s="85">
        <f t="shared" si="340"/>
        <v>0</v>
      </c>
      <c r="N401" s="82" t="str">
        <f t="shared" si="324"/>
        <v/>
      </c>
      <c r="O401" s="50"/>
      <c r="P401" s="85">
        <f t="shared" si="341"/>
        <v>0</v>
      </c>
      <c r="Q401" s="82" t="str">
        <f t="shared" si="325"/>
        <v/>
      </c>
      <c r="R401" s="50"/>
      <c r="S401" s="85">
        <f t="shared" si="342"/>
        <v>0</v>
      </c>
      <c r="T401" s="82" t="str">
        <f t="shared" si="326"/>
        <v/>
      </c>
      <c r="U401" s="50"/>
      <c r="V401" s="85">
        <f t="shared" si="343"/>
        <v>0</v>
      </c>
      <c r="W401" s="82" t="str">
        <f t="shared" si="327"/>
        <v/>
      </c>
      <c r="X401" s="50"/>
      <c r="Y401" s="85">
        <f t="shared" si="344"/>
        <v>0</v>
      </c>
      <c r="Z401" s="82" t="str">
        <f t="shared" si="328"/>
        <v/>
      </c>
      <c r="AA401" s="50"/>
      <c r="AB401" s="85">
        <f t="shared" si="345"/>
        <v>0</v>
      </c>
      <c r="AC401" s="82" t="str">
        <f t="shared" si="329"/>
        <v/>
      </c>
      <c r="AD401" s="50"/>
      <c r="AE401" s="85">
        <f t="shared" si="346"/>
        <v>0</v>
      </c>
      <c r="AF401" s="82" t="str">
        <f t="shared" si="330"/>
        <v/>
      </c>
      <c r="AG401" s="50"/>
      <c r="AH401" s="85">
        <f t="shared" si="347"/>
        <v>0</v>
      </c>
      <c r="AI401" s="82" t="str">
        <f t="shared" si="331"/>
        <v/>
      </c>
      <c r="AJ401" s="50"/>
      <c r="AK401" s="85">
        <f t="shared" si="348"/>
        <v>0</v>
      </c>
      <c r="AL401" s="82" t="str">
        <f t="shared" si="332"/>
        <v/>
      </c>
      <c r="AM401" s="50"/>
      <c r="AN401" s="85">
        <f t="shared" si="349"/>
        <v>0</v>
      </c>
      <c r="AO401" s="82" t="str">
        <f t="shared" si="333"/>
        <v/>
      </c>
      <c r="AP401" s="48">
        <f t="shared" si="334"/>
        <v>0</v>
      </c>
      <c r="AQ401" s="85">
        <f t="shared" si="350"/>
        <v>0</v>
      </c>
      <c r="AR401" s="82" t="str">
        <f t="shared" si="335"/>
        <v/>
      </c>
      <c r="AS401" s="48">
        <f t="shared" si="336"/>
        <v>2</v>
      </c>
      <c r="AT401" s="85">
        <f t="shared" si="351"/>
        <v>168.26</v>
      </c>
      <c r="AU401" s="82">
        <f t="shared" si="337"/>
        <v>1</v>
      </c>
      <c r="AW401" s="51"/>
      <c r="AX401" s="51"/>
      <c r="AY401" s="51"/>
      <c r="AZ401" s="1940"/>
      <c r="BA401" s="1940"/>
      <c r="BB401" s="1940"/>
      <c r="BC401" s="1940"/>
      <c r="BD401" s="1940"/>
    </row>
    <row r="402" spans="1:56" ht="30">
      <c r="A402" s="16"/>
      <c r="B402" s="97" t="s">
        <v>1484</v>
      </c>
      <c r="C402" s="167" t="s">
        <v>1485</v>
      </c>
      <c r="D402" s="86" t="s">
        <v>1486</v>
      </c>
      <c r="E402" s="97" t="s">
        <v>28</v>
      </c>
      <c r="F402" s="172">
        <v>95.48</v>
      </c>
      <c r="G402" s="97">
        <v>2</v>
      </c>
      <c r="H402" s="85">
        <f t="shared" si="338"/>
        <v>190.96</v>
      </c>
      <c r="I402" s="50">
        <f t="shared" si="296"/>
        <v>0</v>
      </c>
      <c r="J402" s="85">
        <f t="shared" si="339"/>
        <v>0</v>
      </c>
      <c r="K402" s="82" t="str">
        <f t="shared" si="323"/>
        <v/>
      </c>
      <c r="L402" s="50"/>
      <c r="M402" s="85">
        <f t="shared" si="340"/>
        <v>0</v>
      </c>
      <c r="N402" s="82" t="str">
        <f t="shared" si="324"/>
        <v/>
      </c>
      <c r="O402" s="50"/>
      <c r="P402" s="85">
        <f t="shared" si="341"/>
        <v>0</v>
      </c>
      <c r="Q402" s="82" t="str">
        <f t="shared" si="325"/>
        <v/>
      </c>
      <c r="R402" s="50"/>
      <c r="S402" s="85">
        <f t="shared" si="342"/>
        <v>0</v>
      </c>
      <c r="T402" s="82" t="str">
        <f t="shared" si="326"/>
        <v/>
      </c>
      <c r="U402" s="50"/>
      <c r="V402" s="85">
        <f t="shared" si="343"/>
        <v>0</v>
      </c>
      <c r="W402" s="82" t="str">
        <f t="shared" si="327"/>
        <v/>
      </c>
      <c r="X402" s="50"/>
      <c r="Y402" s="85">
        <f t="shared" si="344"/>
        <v>0</v>
      </c>
      <c r="Z402" s="82" t="str">
        <f t="shared" si="328"/>
        <v/>
      </c>
      <c r="AA402" s="50"/>
      <c r="AB402" s="85">
        <f t="shared" si="345"/>
        <v>0</v>
      </c>
      <c r="AC402" s="82" t="str">
        <f t="shared" si="329"/>
        <v/>
      </c>
      <c r="AD402" s="50"/>
      <c r="AE402" s="85">
        <f t="shared" si="346"/>
        <v>0</v>
      </c>
      <c r="AF402" s="82" t="str">
        <f t="shared" si="330"/>
        <v/>
      </c>
      <c r="AG402" s="50"/>
      <c r="AH402" s="85">
        <f t="shared" si="347"/>
        <v>0</v>
      </c>
      <c r="AI402" s="82" t="str">
        <f t="shared" si="331"/>
        <v/>
      </c>
      <c r="AJ402" s="50"/>
      <c r="AK402" s="85">
        <f t="shared" si="348"/>
        <v>0</v>
      </c>
      <c r="AL402" s="82" t="str">
        <f t="shared" si="332"/>
        <v/>
      </c>
      <c r="AM402" s="50"/>
      <c r="AN402" s="85">
        <f t="shared" si="349"/>
        <v>0</v>
      </c>
      <c r="AO402" s="82" t="str">
        <f t="shared" si="333"/>
        <v/>
      </c>
      <c r="AP402" s="48">
        <f t="shared" si="334"/>
        <v>0</v>
      </c>
      <c r="AQ402" s="85">
        <f t="shared" si="350"/>
        <v>0</v>
      </c>
      <c r="AR402" s="82" t="str">
        <f t="shared" si="335"/>
        <v/>
      </c>
      <c r="AS402" s="48">
        <f t="shared" si="336"/>
        <v>2</v>
      </c>
      <c r="AT402" s="85">
        <f t="shared" si="351"/>
        <v>190.96</v>
      </c>
      <c r="AU402" s="82">
        <f t="shared" si="337"/>
        <v>1</v>
      </c>
      <c r="AW402" s="2"/>
      <c r="AX402" s="3"/>
      <c r="AY402" s="3"/>
      <c r="AZ402" s="4"/>
      <c r="BA402" s="3"/>
      <c r="BB402" s="1"/>
      <c r="BC402" s="5"/>
      <c r="BD402" s="1"/>
    </row>
    <row r="403" spans="1:56" ht="45">
      <c r="A403" s="16"/>
      <c r="B403" s="97" t="s">
        <v>1487</v>
      </c>
      <c r="C403" s="167" t="s">
        <v>352</v>
      </c>
      <c r="D403" s="86" t="s">
        <v>353</v>
      </c>
      <c r="E403" s="97" t="s">
        <v>28</v>
      </c>
      <c r="F403" s="172">
        <v>46.69</v>
      </c>
      <c r="G403" s="97">
        <v>64</v>
      </c>
      <c r="H403" s="85">
        <f t="shared" si="338"/>
        <v>2988.16</v>
      </c>
      <c r="I403" s="50">
        <f t="shared" ref="I403:I466" si="352">L403+O403</f>
        <v>0</v>
      </c>
      <c r="J403" s="85">
        <f t="shared" si="339"/>
        <v>0</v>
      </c>
      <c r="K403" s="82" t="str">
        <f t="shared" si="323"/>
        <v/>
      </c>
      <c r="L403" s="50"/>
      <c r="M403" s="85">
        <f t="shared" si="340"/>
        <v>0</v>
      </c>
      <c r="N403" s="82" t="str">
        <f t="shared" si="324"/>
        <v/>
      </c>
      <c r="O403" s="50"/>
      <c r="P403" s="85">
        <f t="shared" si="341"/>
        <v>0</v>
      </c>
      <c r="Q403" s="82" t="str">
        <f t="shared" si="325"/>
        <v/>
      </c>
      <c r="R403" s="50"/>
      <c r="S403" s="85">
        <f t="shared" si="342"/>
        <v>0</v>
      </c>
      <c r="T403" s="82" t="str">
        <f t="shared" si="326"/>
        <v/>
      </c>
      <c r="U403" s="50"/>
      <c r="V403" s="85">
        <f t="shared" si="343"/>
        <v>0</v>
      </c>
      <c r="W403" s="82" t="str">
        <f t="shared" si="327"/>
        <v/>
      </c>
      <c r="X403" s="50"/>
      <c r="Y403" s="85">
        <f t="shared" si="344"/>
        <v>0</v>
      </c>
      <c r="Z403" s="82" t="str">
        <f t="shared" si="328"/>
        <v/>
      </c>
      <c r="AA403" s="50"/>
      <c r="AB403" s="85">
        <f t="shared" si="345"/>
        <v>0</v>
      </c>
      <c r="AC403" s="82" t="str">
        <f t="shared" si="329"/>
        <v/>
      </c>
      <c r="AD403" s="50"/>
      <c r="AE403" s="85">
        <f t="shared" si="346"/>
        <v>0</v>
      </c>
      <c r="AF403" s="82" t="str">
        <f t="shared" si="330"/>
        <v/>
      </c>
      <c r="AG403" s="50"/>
      <c r="AH403" s="85">
        <f t="shared" si="347"/>
        <v>0</v>
      </c>
      <c r="AI403" s="82" t="str">
        <f t="shared" si="331"/>
        <v/>
      </c>
      <c r="AJ403" s="50"/>
      <c r="AK403" s="85">
        <f t="shared" si="348"/>
        <v>0</v>
      </c>
      <c r="AL403" s="82" t="str">
        <f t="shared" si="332"/>
        <v/>
      </c>
      <c r="AM403" s="50"/>
      <c r="AN403" s="85">
        <f t="shared" si="349"/>
        <v>0</v>
      </c>
      <c r="AO403" s="82" t="str">
        <f t="shared" si="333"/>
        <v/>
      </c>
      <c r="AP403" s="48">
        <f t="shared" si="334"/>
        <v>0</v>
      </c>
      <c r="AQ403" s="85">
        <f t="shared" si="350"/>
        <v>0</v>
      </c>
      <c r="AR403" s="82" t="str">
        <f t="shared" si="335"/>
        <v/>
      </c>
      <c r="AS403" s="48">
        <f t="shared" si="336"/>
        <v>64</v>
      </c>
      <c r="AT403" s="85">
        <f t="shared" si="351"/>
        <v>2988.16</v>
      </c>
      <c r="AU403" s="82">
        <f t="shared" si="337"/>
        <v>1</v>
      </c>
    </row>
    <row r="404" spans="1:56" ht="45">
      <c r="A404" s="16"/>
      <c r="B404" s="97" t="s">
        <v>1488</v>
      </c>
      <c r="C404" s="167" t="s">
        <v>1489</v>
      </c>
      <c r="D404" s="86" t="s">
        <v>1490</v>
      </c>
      <c r="E404" s="97" t="s">
        <v>28</v>
      </c>
      <c r="F404" s="172">
        <v>84.21</v>
      </c>
      <c r="G404" s="97">
        <v>21</v>
      </c>
      <c r="H404" s="85">
        <f t="shared" si="338"/>
        <v>1768.4099999999999</v>
      </c>
      <c r="I404" s="50">
        <f t="shared" si="352"/>
        <v>0</v>
      </c>
      <c r="J404" s="85">
        <f t="shared" si="339"/>
        <v>0</v>
      </c>
      <c r="K404" s="82" t="str">
        <f t="shared" si="323"/>
        <v/>
      </c>
      <c r="L404" s="50"/>
      <c r="M404" s="85">
        <f t="shared" si="340"/>
        <v>0</v>
      </c>
      <c r="N404" s="82" t="str">
        <f t="shared" si="324"/>
        <v/>
      </c>
      <c r="O404" s="50"/>
      <c r="P404" s="85">
        <f t="shared" si="341"/>
        <v>0</v>
      </c>
      <c r="Q404" s="82" t="str">
        <f t="shared" si="325"/>
        <v/>
      </c>
      <c r="R404" s="50"/>
      <c r="S404" s="85">
        <f t="shared" si="342"/>
        <v>0</v>
      </c>
      <c r="T404" s="82" t="str">
        <f t="shared" si="326"/>
        <v/>
      </c>
      <c r="U404" s="50"/>
      <c r="V404" s="85">
        <f t="shared" si="343"/>
        <v>0</v>
      </c>
      <c r="W404" s="82" t="str">
        <f t="shared" si="327"/>
        <v/>
      </c>
      <c r="X404" s="50"/>
      <c r="Y404" s="85">
        <f t="shared" si="344"/>
        <v>0</v>
      </c>
      <c r="Z404" s="82" t="str">
        <f t="shared" si="328"/>
        <v/>
      </c>
      <c r="AA404" s="50"/>
      <c r="AB404" s="85">
        <f t="shared" si="345"/>
        <v>0</v>
      </c>
      <c r="AC404" s="82" t="str">
        <f t="shared" si="329"/>
        <v/>
      </c>
      <c r="AD404" s="50"/>
      <c r="AE404" s="85">
        <f t="shared" si="346"/>
        <v>0</v>
      </c>
      <c r="AF404" s="82" t="str">
        <f t="shared" si="330"/>
        <v/>
      </c>
      <c r="AG404" s="50"/>
      <c r="AH404" s="85">
        <f t="shared" si="347"/>
        <v>0</v>
      </c>
      <c r="AI404" s="82" t="str">
        <f t="shared" si="331"/>
        <v/>
      </c>
      <c r="AJ404" s="50"/>
      <c r="AK404" s="85">
        <f t="shared" si="348"/>
        <v>0</v>
      </c>
      <c r="AL404" s="82" t="str">
        <f t="shared" si="332"/>
        <v/>
      </c>
      <c r="AM404" s="50"/>
      <c r="AN404" s="85">
        <f t="shared" si="349"/>
        <v>0</v>
      </c>
      <c r="AO404" s="82" t="str">
        <f t="shared" si="333"/>
        <v/>
      </c>
      <c r="AP404" s="48">
        <f t="shared" si="334"/>
        <v>0</v>
      </c>
      <c r="AQ404" s="85">
        <f t="shared" si="350"/>
        <v>0</v>
      </c>
      <c r="AR404" s="82" t="str">
        <f t="shared" si="335"/>
        <v/>
      </c>
      <c r="AS404" s="48">
        <f t="shared" si="336"/>
        <v>21</v>
      </c>
      <c r="AT404" s="85">
        <f t="shared" si="351"/>
        <v>1768.4099999999999</v>
      </c>
      <c r="AU404" s="82">
        <f t="shared" si="337"/>
        <v>1</v>
      </c>
    </row>
    <row r="405" spans="1:56" ht="45">
      <c r="A405" s="16"/>
      <c r="B405" s="97" t="s">
        <v>1491</v>
      </c>
      <c r="C405" s="167" t="s">
        <v>355</v>
      </c>
      <c r="D405" s="86" t="s">
        <v>356</v>
      </c>
      <c r="E405" s="97" t="s">
        <v>28</v>
      </c>
      <c r="F405" s="172">
        <v>54.88</v>
      </c>
      <c r="G405" s="97">
        <v>20</v>
      </c>
      <c r="H405" s="85">
        <f t="shared" si="338"/>
        <v>1097.6000000000001</v>
      </c>
      <c r="I405" s="50">
        <f t="shared" si="352"/>
        <v>0</v>
      </c>
      <c r="J405" s="85">
        <f t="shared" si="339"/>
        <v>0</v>
      </c>
      <c r="K405" s="82" t="str">
        <f t="shared" si="323"/>
        <v/>
      </c>
      <c r="L405" s="50"/>
      <c r="M405" s="85">
        <f t="shared" si="340"/>
        <v>0</v>
      </c>
      <c r="N405" s="82" t="str">
        <f t="shared" si="324"/>
        <v/>
      </c>
      <c r="O405" s="50"/>
      <c r="P405" s="85">
        <f t="shared" si="341"/>
        <v>0</v>
      </c>
      <c r="Q405" s="82" t="str">
        <f t="shared" si="325"/>
        <v/>
      </c>
      <c r="R405" s="50"/>
      <c r="S405" s="85">
        <f t="shared" si="342"/>
        <v>0</v>
      </c>
      <c r="T405" s="82" t="str">
        <f t="shared" si="326"/>
        <v/>
      </c>
      <c r="U405" s="50"/>
      <c r="V405" s="85">
        <f t="shared" si="343"/>
        <v>0</v>
      </c>
      <c r="W405" s="82" t="str">
        <f t="shared" si="327"/>
        <v/>
      </c>
      <c r="X405" s="50"/>
      <c r="Y405" s="85">
        <f t="shared" si="344"/>
        <v>0</v>
      </c>
      <c r="Z405" s="82" t="str">
        <f t="shared" si="328"/>
        <v/>
      </c>
      <c r="AA405" s="50"/>
      <c r="AB405" s="85">
        <f t="shared" si="345"/>
        <v>0</v>
      </c>
      <c r="AC405" s="82" t="str">
        <f t="shared" si="329"/>
        <v/>
      </c>
      <c r="AD405" s="50"/>
      <c r="AE405" s="85">
        <f t="shared" si="346"/>
        <v>0</v>
      </c>
      <c r="AF405" s="82" t="str">
        <f t="shared" si="330"/>
        <v/>
      </c>
      <c r="AG405" s="50"/>
      <c r="AH405" s="85">
        <f t="shared" si="347"/>
        <v>0</v>
      </c>
      <c r="AI405" s="82" t="str">
        <f t="shared" si="331"/>
        <v/>
      </c>
      <c r="AJ405" s="50"/>
      <c r="AK405" s="85">
        <f t="shared" si="348"/>
        <v>0</v>
      </c>
      <c r="AL405" s="82" t="str">
        <f t="shared" si="332"/>
        <v/>
      </c>
      <c r="AM405" s="50"/>
      <c r="AN405" s="85">
        <f t="shared" si="349"/>
        <v>0</v>
      </c>
      <c r="AO405" s="82" t="str">
        <f t="shared" si="333"/>
        <v/>
      </c>
      <c r="AP405" s="48">
        <f t="shared" si="334"/>
        <v>0</v>
      </c>
      <c r="AQ405" s="85">
        <f t="shared" si="350"/>
        <v>0</v>
      </c>
      <c r="AR405" s="82" t="str">
        <f t="shared" si="335"/>
        <v/>
      </c>
      <c r="AS405" s="48">
        <f t="shared" si="336"/>
        <v>20</v>
      </c>
      <c r="AT405" s="85">
        <f t="shared" si="351"/>
        <v>1097.6000000000001</v>
      </c>
      <c r="AU405" s="82">
        <f t="shared" si="337"/>
        <v>1</v>
      </c>
    </row>
    <row r="406" spans="1:56" ht="30">
      <c r="A406" s="16"/>
      <c r="B406" s="97" t="s">
        <v>1492</v>
      </c>
      <c r="C406" s="167" t="s">
        <v>1493</v>
      </c>
      <c r="D406" s="86" t="s">
        <v>1494</v>
      </c>
      <c r="E406" s="97" t="s">
        <v>28</v>
      </c>
      <c r="F406" s="172">
        <v>99.72</v>
      </c>
      <c r="G406" s="97">
        <v>1</v>
      </c>
      <c r="H406" s="85">
        <f t="shared" si="338"/>
        <v>99.72</v>
      </c>
      <c r="I406" s="50">
        <f t="shared" si="352"/>
        <v>0</v>
      </c>
      <c r="J406" s="85">
        <f t="shared" si="339"/>
        <v>0</v>
      </c>
      <c r="K406" s="82" t="str">
        <f t="shared" si="323"/>
        <v/>
      </c>
      <c r="L406" s="50"/>
      <c r="M406" s="85">
        <f t="shared" si="340"/>
        <v>0</v>
      </c>
      <c r="N406" s="82" t="str">
        <f t="shared" si="324"/>
        <v/>
      </c>
      <c r="O406" s="50"/>
      <c r="P406" s="85">
        <f t="shared" si="341"/>
        <v>0</v>
      </c>
      <c r="Q406" s="82" t="str">
        <f t="shared" si="325"/>
        <v/>
      </c>
      <c r="R406" s="50"/>
      <c r="S406" s="85">
        <f t="shared" si="342"/>
        <v>0</v>
      </c>
      <c r="T406" s="82" t="str">
        <f t="shared" si="326"/>
        <v/>
      </c>
      <c r="U406" s="50"/>
      <c r="V406" s="85">
        <f t="shared" si="343"/>
        <v>0</v>
      </c>
      <c r="W406" s="82" t="str">
        <f t="shared" si="327"/>
        <v/>
      </c>
      <c r="X406" s="50"/>
      <c r="Y406" s="85">
        <f t="shared" si="344"/>
        <v>0</v>
      </c>
      <c r="Z406" s="82" t="str">
        <f t="shared" si="328"/>
        <v/>
      </c>
      <c r="AA406" s="50"/>
      <c r="AB406" s="85">
        <f t="shared" si="345"/>
        <v>0</v>
      </c>
      <c r="AC406" s="82" t="str">
        <f t="shared" si="329"/>
        <v/>
      </c>
      <c r="AD406" s="50"/>
      <c r="AE406" s="85">
        <f t="shared" si="346"/>
        <v>0</v>
      </c>
      <c r="AF406" s="82" t="str">
        <f t="shared" si="330"/>
        <v/>
      </c>
      <c r="AG406" s="50"/>
      <c r="AH406" s="85">
        <f t="shared" si="347"/>
        <v>0</v>
      </c>
      <c r="AI406" s="82" t="str">
        <f t="shared" si="331"/>
        <v/>
      </c>
      <c r="AJ406" s="50"/>
      <c r="AK406" s="85">
        <f t="shared" si="348"/>
        <v>0</v>
      </c>
      <c r="AL406" s="82" t="str">
        <f t="shared" si="332"/>
        <v/>
      </c>
      <c r="AM406" s="50"/>
      <c r="AN406" s="85">
        <f t="shared" si="349"/>
        <v>0</v>
      </c>
      <c r="AO406" s="82" t="str">
        <f t="shared" si="333"/>
        <v/>
      </c>
      <c r="AP406" s="48">
        <f t="shared" si="334"/>
        <v>0</v>
      </c>
      <c r="AQ406" s="85">
        <f t="shared" si="350"/>
        <v>0</v>
      </c>
      <c r="AR406" s="82" t="str">
        <f t="shared" si="335"/>
        <v/>
      </c>
      <c r="AS406" s="48">
        <f t="shared" si="336"/>
        <v>1</v>
      </c>
      <c r="AT406" s="85">
        <f t="shared" si="351"/>
        <v>99.72</v>
      </c>
      <c r="AU406" s="82">
        <f t="shared" si="337"/>
        <v>1</v>
      </c>
    </row>
    <row r="407" spans="1:56" ht="45">
      <c r="A407" s="16"/>
      <c r="B407" s="97" t="s">
        <v>1495</v>
      </c>
      <c r="C407" s="167" t="s">
        <v>1496</v>
      </c>
      <c r="D407" s="86" t="s">
        <v>1497</v>
      </c>
      <c r="E407" s="97" t="s">
        <v>28</v>
      </c>
      <c r="F407" s="172">
        <v>195.44</v>
      </c>
      <c r="G407" s="97">
        <v>4</v>
      </c>
      <c r="H407" s="85">
        <f t="shared" si="338"/>
        <v>781.76</v>
      </c>
      <c r="I407" s="50">
        <f t="shared" si="352"/>
        <v>0</v>
      </c>
      <c r="J407" s="85">
        <f t="shared" si="339"/>
        <v>0</v>
      </c>
      <c r="K407" s="82" t="str">
        <f t="shared" si="323"/>
        <v/>
      </c>
      <c r="L407" s="50"/>
      <c r="M407" s="85">
        <f t="shared" si="340"/>
        <v>0</v>
      </c>
      <c r="N407" s="82" t="str">
        <f t="shared" si="324"/>
        <v/>
      </c>
      <c r="O407" s="50"/>
      <c r="P407" s="85">
        <f t="shared" si="341"/>
        <v>0</v>
      </c>
      <c r="Q407" s="82" t="str">
        <f t="shared" si="325"/>
        <v/>
      </c>
      <c r="R407" s="50"/>
      <c r="S407" s="85">
        <f t="shared" si="342"/>
        <v>0</v>
      </c>
      <c r="T407" s="82" t="str">
        <f t="shared" si="326"/>
        <v/>
      </c>
      <c r="U407" s="50"/>
      <c r="V407" s="85">
        <f t="shared" si="343"/>
        <v>0</v>
      </c>
      <c r="W407" s="82" t="str">
        <f t="shared" si="327"/>
        <v/>
      </c>
      <c r="X407" s="50"/>
      <c r="Y407" s="85">
        <f t="shared" si="344"/>
        <v>0</v>
      </c>
      <c r="Z407" s="82" t="str">
        <f t="shared" si="328"/>
        <v/>
      </c>
      <c r="AA407" s="50"/>
      <c r="AB407" s="85">
        <f t="shared" si="345"/>
        <v>0</v>
      </c>
      <c r="AC407" s="82" t="str">
        <f t="shared" si="329"/>
        <v/>
      </c>
      <c r="AD407" s="50"/>
      <c r="AE407" s="85">
        <f t="shared" si="346"/>
        <v>0</v>
      </c>
      <c r="AF407" s="82" t="str">
        <f t="shared" si="330"/>
        <v/>
      </c>
      <c r="AG407" s="50"/>
      <c r="AH407" s="85">
        <f t="shared" si="347"/>
        <v>0</v>
      </c>
      <c r="AI407" s="82" t="str">
        <f t="shared" si="331"/>
        <v/>
      </c>
      <c r="AJ407" s="50"/>
      <c r="AK407" s="85">
        <f t="shared" si="348"/>
        <v>0</v>
      </c>
      <c r="AL407" s="82" t="str">
        <f t="shared" si="332"/>
        <v/>
      </c>
      <c r="AM407" s="50"/>
      <c r="AN407" s="85">
        <f t="shared" si="349"/>
        <v>0</v>
      </c>
      <c r="AO407" s="82" t="str">
        <f t="shared" si="333"/>
        <v/>
      </c>
      <c r="AP407" s="48">
        <f t="shared" si="334"/>
        <v>0</v>
      </c>
      <c r="AQ407" s="85">
        <f t="shared" si="350"/>
        <v>0</v>
      </c>
      <c r="AR407" s="82" t="str">
        <f t="shared" si="335"/>
        <v/>
      </c>
      <c r="AS407" s="48">
        <f t="shared" si="336"/>
        <v>4</v>
      </c>
      <c r="AT407" s="85">
        <f t="shared" si="351"/>
        <v>781.76</v>
      </c>
      <c r="AU407" s="82">
        <f t="shared" si="337"/>
        <v>1</v>
      </c>
    </row>
    <row r="408" spans="1:56" ht="45">
      <c r="A408" s="16"/>
      <c r="B408" s="97" t="s">
        <v>1498</v>
      </c>
      <c r="C408" s="167" t="s">
        <v>1499</v>
      </c>
      <c r="D408" s="86" t="s">
        <v>1500</v>
      </c>
      <c r="E408" s="97" t="s">
        <v>28</v>
      </c>
      <c r="F408" s="172">
        <v>245.18</v>
      </c>
      <c r="G408" s="97">
        <v>16</v>
      </c>
      <c r="H408" s="85">
        <f t="shared" si="338"/>
        <v>3922.88</v>
      </c>
      <c r="I408" s="50">
        <f t="shared" si="352"/>
        <v>0</v>
      </c>
      <c r="J408" s="85">
        <f t="shared" si="339"/>
        <v>0</v>
      </c>
      <c r="K408" s="82" t="str">
        <f t="shared" si="323"/>
        <v/>
      </c>
      <c r="L408" s="50"/>
      <c r="M408" s="85">
        <f t="shared" si="340"/>
        <v>0</v>
      </c>
      <c r="N408" s="82" t="str">
        <f t="shared" si="324"/>
        <v/>
      </c>
      <c r="O408" s="50"/>
      <c r="P408" s="85">
        <f t="shared" si="341"/>
        <v>0</v>
      </c>
      <c r="Q408" s="82" t="str">
        <f t="shared" si="325"/>
        <v/>
      </c>
      <c r="R408" s="50"/>
      <c r="S408" s="85">
        <f t="shared" si="342"/>
        <v>0</v>
      </c>
      <c r="T408" s="82" t="str">
        <f t="shared" si="326"/>
        <v/>
      </c>
      <c r="U408" s="50"/>
      <c r="V408" s="85">
        <f t="shared" si="343"/>
        <v>0</v>
      </c>
      <c r="W408" s="82" t="str">
        <f t="shared" si="327"/>
        <v/>
      </c>
      <c r="X408" s="50"/>
      <c r="Y408" s="85">
        <f t="shared" si="344"/>
        <v>0</v>
      </c>
      <c r="Z408" s="82" t="str">
        <f t="shared" si="328"/>
        <v/>
      </c>
      <c r="AA408" s="50"/>
      <c r="AB408" s="85">
        <f t="shared" si="345"/>
        <v>0</v>
      </c>
      <c r="AC408" s="82" t="str">
        <f t="shared" si="329"/>
        <v/>
      </c>
      <c r="AD408" s="50"/>
      <c r="AE408" s="85">
        <f t="shared" si="346"/>
        <v>0</v>
      </c>
      <c r="AF408" s="82" t="str">
        <f t="shared" si="330"/>
        <v/>
      </c>
      <c r="AG408" s="50"/>
      <c r="AH408" s="85">
        <f t="shared" si="347"/>
        <v>0</v>
      </c>
      <c r="AI408" s="82" t="str">
        <f t="shared" si="331"/>
        <v/>
      </c>
      <c r="AJ408" s="50"/>
      <c r="AK408" s="85">
        <f t="shared" si="348"/>
        <v>0</v>
      </c>
      <c r="AL408" s="82" t="str">
        <f t="shared" si="332"/>
        <v/>
      </c>
      <c r="AM408" s="50"/>
      <c r="AN408" s="85">
        <f t="shared" si="349"/>
        <v>0</v>
      </c>
      <c r="AO408" s="82" t="str">
        <f t="shared" si="333"/>
        <v/>
      </c>
      <c r="AP408" s="48">
        <f t="shared" si="334"/>
        <v>0</v>
      </c>
      <c r="AQ408" s="85">
        <f t="shared" si="350"/>
        <v>0</v>
      </c>
      <c r="AR408" s="82" t="str">
        <f t="shared" si="335"/>
        <v/>
      </c>
      <c r="AS408" s="48">
        <f t="shared" si="336"/>
        <v>16</v>
      </c>
      <c r="AT408" s="85">
        <f t="shared" si="351"/>
        <v>3922.88</v>
      </c>
      <c r="AU408" s="82">
        <f t="shared" si="337"/>
        <v>1</v>
      </c>
    </row>
    <row r="409" spans="1:56" ht="30">
      <c r="A409" s="16"/>
      <c r="B409" s="97" t="s">
        <v>1501</v>
      </c>
      <c r="C409" s="167" t="s">
        <v>1502</v>
      </c>
      <c r="D409" s="86" t="s">
        <v>1503</v>
      </c>
      <c r="E409" s="97" t="s">
        <v>28</v>
      </c>
      <c r="F409" s="172">
        <v>36.81</v>
      </c>
      <c r="G409" s="97">
        <v>1</v>
      </c>
      <c r="H409" s="85">
        <f t="shared" si="338"/>
        <v>36.81</v>
      </c>
      <c r="I409" s="50">
        <f t="shared" si="352"/>
        <v>0</v>
      </c>
      <c r="J409" s="85">
        <f t="shared" si="339"/>
        <v>0</v>
      </c>
      <c r="K409" s="82" t="str">
        <f t="shared" si="323"/>
        <v/>
      </c>
      <c r="L409" s="50"/>
      <c r="M409" s="85">
        <f t="shared" si="340"/>
        <v>0</v>
      </c>
      <c r="N409" s="82" t="str">
        <f t="shared" si="324"/>
        <v/>
      </c>
      <c r="O409" s="50"/>
      <c r="P409" s="85">
        <f t="shared" si="341"/>
        <v>0</v>
      </c>
      <c r="Q409" s="82" t="str">
        <f t="shared" si="325"/>
        <v/>
      </c>
      <c r="R409" s="50"/>
      <c r="S409" s="85">
        <f t="shared" si="342"/>
        <v>0</v>
      </c>
      <c r="T409" s="82" t="str">
        <f t="shared" si="326"/>
        <v/>
      </c>
      <c r="U409" s="50"/>
      <c r="V409" s="85">
        <f t="shared" si="343"/>
        <v>0</v>
      </c>
      <c r="W409" s="82" t="str">
        <f t="shared" si="327"/>
        <v/>
      </c>
      <c r="X409" s="50"/>
      <c r="Y409" s="85">
        <f t="shared" si="344"/>
        <v>0</v>
      </c>
      <c r="Z409" s="82" t="str">
        <f t="shared" si="328"/>
        <v/>
      </c>
      <c r="AA409" s="50"/>
      <c r="AB409" s="85">
        <f t="shared" si="345"/>
        <v>0</v>
      </c>
      <c r="AC409" s="82" t="str">
        <f t="shared" si="329"/>
        <v/>
      </c>
      <c r="AD409" s="50"/>
      <c r="AE409" s="85">
        <f t="shared" si="346"/>
        <v>0</v>
      </c>
      <c r="AF409" s="82" t="str">
        <f t="shared" si="330"/>
        <v/>
      </c>
      <c r="AG409" s="50"/>
      <c r="AH409" s="85">
        <f t="shared" si="347"/>
        <v>0</v>
      </c>
      <c r="AI409" s="82" t="str">
        <f t="shared" si="331"/>
        <v/>
      </c>
      <c r="AJ409" s="50"/>
      <c r="AK409" s="85">
        <f t="shared" si="348"/>
        <v>0</v>
      </c>
      <c r="AL409" s="82" t="str">
        <f t="shared" si="332"/>
        <v/>
      </c>
      <c r="AM409" s="50"/>
      <c r="AN409" s="85">
        <f t="shared" si="349"/>
        <v>0</v>
      </c>
      <c r="AO409" s="82" t="str">
        <f t="shared" si="333"/>
        <v/>
      </c>
      <c r="AP409" s="48">
        <f t="shared" si="334"/>
        <v>0</v>
      </c>
      <c r="AQ409" s="85">
        <f t="shared" si="350"/>
        <v>0</v>
      </c>
      <c r="AR409" s="82" t="str">
        <f t="shared" si="335"/>
        <v/>
      </c>
      <c r="AS409" s="48">
        <f t="shared" si="336"/>
        <v>1</v>
      </c>
      <c r="AT409" s="85">
        <f t="shared" si="351"/>
        <v>36.81</v>
      </c>
      <c r="AU409" s="82">
        <f t="shared" si="337"/>
        <v>1</v>
      </c>
    </row>
    <row r="410" spans="1:56" ht="30">
      <c r="A410" s="16"/>
      <c r="B410" s="97" t="s">
        <v>1504</v>
      </c>
      <c r="C410" s="167" t="s">
        <v>1505</v>
      </c>
      <c r="D410" s="86" t="s">
        <v>1506</v>
      </c>
      <c r="E410" s="97" t="s">
        <v>28</v>
      </c>
      <c r="F410" s="172">
        <v>69.2</v>
      </c>
      <c r="G410" s="97">
        <v>1</v>
      </c>
      <c r="H410" s="85">
        <f t="shared" si="338"/>
        <v>69.2</v>
      </c>
      <c r="I410" s="50">
        <f t="shared" si="352"/>
        <v>0</v>
      </c>
      <c r="J410" s="85">
        <f t="shared" si="339"/>
        <v>0</v>
      </c>
      <c r="K410" s="82" t="str">
        <f t="shared" si="323"/>
        <v/>
      </c>
      <c r="L410" s="50"/>
      <c r="M410" s="85">
        <f t="shared" si="340"/>
        <v>0</v>
      </c>
      <c r="N410" s="82" t="str">
        <f t="shared" si="324"/>
        <v/>
      </c>
      <c r="O410" s="50"/>
      <c r="P410" s="85">
        <f t="shared" si="341"/>
        <v>0</v>
      </c>
      <c r="Q410" s="82" t="str">
        <f t="shared" si="325"/>
        <v/>
      </c>
      <c r="R410" s="50"/>
      <c r="S410" s="85">
        <f t="shared" si="342"/>
        <v>0</v>
      </c>
      <c r="T410" s="82" t="str">
        <f t="shared" si="326"/>
        <v/>
      </c>
      <c r="U410" s="50"/>
      <c r="V410" s="85">
        <f t="shared" si="343"/>
        <v>0</v>
      </c>
      <c r="W410" s="82" t="str">
        <f t="shared" si="327"/>
        <v/>
      </c>
      <c r="X410" s="50"/>
      <c r="Y410" s="85">
        <f t="shared" si="344"/>
        <v>0</v>
      </c>
      <c r="Z410" s="82" t="str">
        <f t="shared" si="328"/>
        <v/>
      </c>
      <c r="AA410" s="50"/>
      <c r="AB410" s="85">
        <f t="shared" si="345"/>
        <v>0</v>
      </c>
      <c r="AC410" s="82" t="str">
        <f t="shared" si="329"/>
        <v/>
      </c>
      <c r="AD410" s="50"/>
      <c r="AE410" s="85">
        <f t="shared" si="346"/>
        <v>0</v>
      </c>
      <c r="AF410" s="82" t="str">
        <f t="shared" si="330"/>
        <v/>
      </c>
      <c r="AG410" s="50"/>
      <c r="AH410" s="85">
        <f t="shared" si="347"/>
        <v>0</v>
      </c>
      <c r="AI410" s="82" t="str">
        <f t="shared" si="331"/>
        <v/>
      </c>
      <c r="AJ410" s="50"/>
      <c r="AK410" s="85">
        <f t="shared" si="348"/>
        <v>0</v>
      </c>
      <c r="AL410" s="82" t="str">
        <f t="shared" si="332"/>
        <v/>
      </c>
      <c r="AM410" s="50"/>
      <c r="AN410" s="85">
        <f t="shared" si="349"/>
        <v>0</v>
      </c>
      <c r="AO410" s="82" t="str">
        <f t="shared" si="333"/>
        <v/>
      </c>
      <c r="AP410" s="48">
        <f t="shared" si="334"/>
        <v>0</v>
      </c>
      <c r="AQ410" s="85">
        <f t="shared" si="350"/>
        <v>0</v>
      </c>
      <c r="AR410" s="82" t="str">
        <f t="shared" si="335"/>
        <v/>
      </c>
      <c r="AS410" s="48">
        <f t="shared" si="336"/>
        <v>1</v>
      </c>
      <c r="AT410" s="85">
        <f t="shared" si="351"/>
        <v>69.2</v>
      </c>
      <c r="AU410" s="82">
        <f t="shared" si="337"/>
        <v>1</v>
      </c>
    </row>
    <row r="411" spans="1:56" ht="60">
      <c r="A411" s="16"/>
      <c r="B411" s="97" t="s">
        <v>1507</v>
      </c>
      <c r="C411" s="167" t="s">
        <v>1508</v>
      </c>
      <c r="D411" s="86" t="s">
        <v>1509</v>
      </c>
      <c r="E411" s="97" t="s">
        <v>28</v>
      </c>
      <c r="F411" s="172">
        <v>156.38</v>
      </c>
      <c r="G411" s="97">
        <v>53</v>
      </c>
      <c r="H411" s="85">
        <f t="shared" si="338"/>
        <v>8288.14</v>
      </c>
      <c r="I411" s="50">
        <f t="shared" si="352"/>
        <v>0</v>
      </c>
      <c r="J411" s="85">
        <f t="shared" si="339"/>
        <v>0</v>
      </c>
      <c r="K411" s="82" t="str">
        <f t="shared" si="323"/>
        <v/>
      </c>
      <c r="L411" s="50"/>
      <c r="M411" s="85">
        <f t="shared" si="340"/>
        <v>0</v>
      </c>
      <c r="N411" s="82" t="str">
        <f t="shared" si="324"/>
        <v/>
      </c>
      <c r="O411" s="50"/>
      <c r="P411" s="85">
        <f t="shared" si="341"/>
        <v>0</v>
      </c>
      <c r="Q411" s="82" t="str">
        <f t="shared" si="325"/>
        <v/>
      </c>
      <c r="R411" s="50"/>
      <c r="S411" s="85">
        <f t="shared" si="342"/>
        <v>0</v>
      </c>
      <c r="T411" s="82" t="str">
        <f t="shared" si="326"/>
        <v/>
      </c>
      <c r="U411" s="50"/>
      <c r="V411" s="85">
        <f t="shared" si="343"/>
        <v>0</v>
      </c>
      <c r="W411" s="82" t="str">
        <f t="shared" si="327"/>
        <v/>
      </c>
      <c r="X411" s="50"/>
      <c r="Y411" s="85">
        <f t="shared" si="344"/>
        <v>0</v>
      </c>
      <c r="Z411" s="82" t="str">
        <f t="shared" si="328"/>
        <v/>
      </c>
      <c r="AA411" s="50"/>
      <c r="AB411" s="85">
        <f t="shared" si="345"/>
        <v>0</v>
      </c>
      <c r="AC411" s="82" t="str">
        <f t="shared" si="329"/>
        <v/>
      </c>
      <c r="AD411" s="50"/>
      <c r="AE411" s="85">
        <f t="shared" si="346"/>
        <v>0</v>
      </c>
      <c r="AF411" s="82" t="str">
        <f t="shared" si="330"/>
        <v/>
      </c>
      <c r="AG411" s="50"/>
      <c r="AH411" s="85">
        <f t="shared" si="347"/>
        <v>0</v>
      </c>
      <c r="AI411" s="82" t="str">
        <f t="shared" si="331"/>
        <v/>
      </c>
      <c r="AJ411" s="50"/>
      <c r="AK411" s="85">
        <f t="shared" si="348"/>
        <v>0</v>
      </c>
      <c r="AL411" s="82" t="str">
        <f t="shared" si="332"/>
        <v/>
      </c>
      <c r="AM411" s="50"/>
      <c r="AN411" s="85">
        <f t="shared" si="349"/>
        <v>0</v>
      </c>
      <c r="AO411" s="82" t="str">
        <f t="shared" si="333"/>
        <v/>
      </c>
      <c r="AP411" s="48">
        <f t="shared" si="334"/>
        <v>0</v>
      </c>
      <c r="AQ411" s="85">
        <f t="shared" si="350"/>
        <v>0</v>
      </c>
      <c r="AR411" s="82" t="str">
        <f t="shared" si="335"/>
        <v/>
      </c>
      <c r="AS411" s="48">
        <f t="shared" si="336"/>
        <v>53</v>
      </c>
      <c r="AT411" s="85">
        <f t="shared" si="351"/>
        <v>8288.14</v>
      </c>
      <c r="AU411" s="82">
        <f t="shared" si="337"/>
        <v>1</v>
      </c>
    </row>
    <row r="412" spans="1:56" ht="60">
      <c r="A412" s="16"/>
      <c r="B412" s="97" t="s">
        <v>1510</v>
      </c>
      <c r="C412" s="167" t="s">
        <v>1511</v>
      </c>
      <c r="D412" s="86" t="s">
        <v>1512</v>
      </c>
      <c r="E412" s="97" t="s">
        <v>28</v>
      </c>
      <c r="F412" s="172">
        <v>161.12</v>
      </c>
      <c r="G412" s="97">
        <v>2</v>
      </c>
      <c r="H412" s="85">
        <f t="shared" si="338"/>
        <v>322.24</v>
      </c>
      <c r="I412" s="50">
        <f t="shared" si="352"/>
        <v>0</v>
      </c>
      <c r="J412" s="85">
        <f t="shared" si="339"/>
        <v>0</v>
      </c>
      <c r="K412" s="82" t="str">
        <f t="shared" si="323"/>
        <v/>
      </c>
      <c r="L412" s="50"/>
      <c r="M412" s="85">
        <f t="shared" si="340"/>
        <v>0</v>
      </c>
      <c r="N412" s="82" t="str">
        <f t="shared" si="324"/>
        <v/>
      </c>
      <c r="O412" s="50"/>
      <c r="P412" s="85">
        <f t="shared" si="341"/>
        <v>0</v>
      </c>
      <c r="Q412" s="82" t="str">
        <f t="shared" si="325"/>
        <v/>
      </c>
      <c r="R412" s="50"/>
      <c r="S412" s="85">
        <f t="shared" si="342"/>
        <v>0</v>
      </c>
      <c r="T412" s="82" t="str">
        <f t="shared" si="326"/>
        <v/>
      </c>
      <c r="U412" s="50"/>
      <c r="V412" s="85">
        <f t="shared" si="343"/>
        <v>0</v>
      </c>
      <c r="W412" s="82" t="str">
        <f t="shared" si="327"/>
        <v/>
      </c>
      <c r="X412" s="50"/>
      <c r="Y412" s="85">
        <f t="shared" si="344"/>
        <v>0</v>
      </c>
      <c r="Z412" s="82" t="str">
        <f t="shared" si="328"/>
        <v/>
      </c>
      <c r="AA412" s="50"/>
      <c r="AB412" s="85">
        <f t="shared" si="345"/>
        <v>0</v>
      </c>
      <c r="AC412" s="82" t="str">
        <f t="shared" si="329"/>
        <v/>
      </c>
      <c r="AD412" s="50"/>
      <c r="AE412" s="85">
        <f t="shared" si="346"/>
        <v>0</v>
      </c>
      <c r="AF412" s="82" t="str">
        <f t="shared" si="330"/>
        <v/>
      </c>
      <c r="AG412" s="50"/>
      <c r="AH412" s="85">
        <f t="shared" si="347"/>
        <v>0</v>
      </c>
      <c r="AI412" s="82" t="str">
        <f t="shared" si="331"/>
        <v/>
      </c>
      <c r="AJ412" s="50"/>
      <c r="AK412" s="85">
        <f t="shared" si="348"/>
        <v>0</v>
      </c>
      <c r="AL412" s="82" t="str">
        <f t="shared" si="332"/>
        <v/>
      </c>
      <c r="AM412" s="50"/>
      <c r="AN412" s="85">
        <f t="shared" si="349"/>
        <v>0</v>
      </c>
      <c r="AO412" s="82" t="str">
        <f t="shared" si="333"/>
        <v/>
      </c>
      <c r="AP412" s="48">
        <f t="shared" si="334"/>
        <v>0</v>
      </c>
      <c r="AQ412" s="85">
        <f t="shared" si="350"/>
        <v>0</v>
      </c>
      <c r="AR412" s="82" t="str">
        <f t="shared" si="335"/>
        <v/>
      </c>
      <c r="AS412" s="48">
        <f t="shared" si="336"/>
        <v>2</v>
      </c>
      <c r="AT412" s="85">
        <f t="shared" si="351"/>
        <v>322.24</v>
      </c>
      <c r="AU412" s="82">
        <f t="shared" si="337"/>
        <v>1</v>
      </c>
    </row>
    <row r="413" spans="1:56" ht="60">
      <c r="A413" s="16"/>
      <c r="B413" s="97" t="s">
        <v>1513</v>
      </c>
      <c r="C413" s="167" t="s">
        <v>1514</v>
      </c>
      <c r="D413" s="86" t="s">
        <v>1515</v>
      </c>
      <c r="E413" s="97" t="s">
        <v>28</v>
      </c>
      <c r="F413" s="172">
        <v>259.02999999999997</v>
      </c>
      <c r="G413" s="97">
        <v>53</v>
      </c>
      <c r="H413" s="85">
        <f t="shared" si="338"/>
        <v>13728.589999999998</v>
      </c>
      <c r="I413" s="50">
        <f t="shared" si="352"/>
        <v>0</v>
      </c>
      <c r="J413" s="85">
        <f t="shared" si="339"/>
        <v>0</v>
      </c>
      <c r="K413" s="82" t="str">
        <f t="shared" si="323"/>
        <v/>
      </c>
      <c r="L413" s="50"/>
      <c r="M413" s="85">
        <f t="shared" si="340"/>
        <v>0</v>
      </c>
      <c r="N413" s="82" t="str">
        <f t="shared" si="324"/>
        <v/>
      </c>
      <c r="O413" s="50"/>
      <c r="P413" s="85">
        <f t="shared" si="341"/>
        <v>0</v>
      </c>
      <c r="Q413" s="82" t="str">
        <f t="shared" si="325"/>
        <v/>
      </c>
      <c r="R413" s="50"/>
      <c r="S413" s="85">
        <f t="shared" si="342"/>
        <v>0</v>
      </c>
      <c r="T413" s="82" t="str">
        <f t="shared" si="326"/>
        <v/>
      </c>
      <c r="U413" s="50"/>
      <c r="V413" s="85">
        <f t="shared" si="343"/>
        <v>0</v>
      </c>
      <c r="W413" s="82" t="str">
        <f t="shared" si="327"/>
        <v/>
      </c>
      <c r="X413" s="50"/>
      <c r="Y413" s="85">
        <f t="shared" si="344"/>
        <v>0</v>
      </c>
      <c r="Z413" s="82" t="str">
        <f t="shared" si="328"/>
        <v/>
      </c>
      <c r="AA413" s="50"/>
      <c r="AB413" s="85">
        <f t="shared" si="345"/>
        <v>0</v>
      </c>
      <c r="AC413" s="82" t="str">
        <f t="shared" si="329"/>
        <v/>
      </c>
      <c r="AD413" s="50"/>
      <c r="AE413" s="85">
        <f t="shared" si="346"/>
        <v>0</v>
      </c>
      <c r="AF413" s="82" t="str">
        <f t="shared" si="330"/>
        <v/>
      </c>
      <c r="AG413" s="50"/>
      <c r="AH413" s="85">
        <f t="shared" si="347"/>
        <v>0</v>
      </c>
      <c r="AI413" s="82" t="str">
        <f t="shared" si="331"/>
        <v/>
      </c>
      <c r="AJ413" s="50"/>
      <c r="AK413" s="85">
        <f t="shared" si="348"/>
        <v>0</v>
      </c>
      <c r="AL413" s="82" t="str">
        <f t="shared" si="332"/>
        <v/>
      </c>
      <c r="AM413" s="50"/>
      <c r="AN413" s="85">
        <f t="shared" si="349"/>
        <v>0</v>
      </c>
      <c r="AO413" s="82" t="str">
        <f t="shared" si="333"/>
        <v/>
      </c>
      <c r="AP413" s="48">
        <f t="shared" si="334"/>
        <v>0</v>
      </c>
      <c r="AQ413" s="85">
        <f t="shared" si="350"/>
        <v>0</v>
      </c>
      <c r="AR413" s="82" t="str">
        <f t="shared" si="335"/>
        <v/>
      </c>
      <c r="AS413" s="48">
        <f t="shared" si="336"/>
        <v>53</v>
      </c>
      <c r="AT413" s="85">
        <f t="shared" si="351"/>
        <v>13728.589999999998</v>
      </c>
      <c r="AU413" s="82">
        <f t="shared" si="337"/>
        <v>1</v>
      </c>
    </row>
    <row r="414" spans="1:56" ht="45">
      <c r="A414" s="16"/>
      <c r="B414" s="97" t="s">
        <v>1516</v>
      </c>
      <c r="C414" s="167" t="s">
        <v>1517</v>
      </c>
      <c r="D414" s="86" t="s">
        <v>1518</v>
      </c>
      <c r="E414" s="97" t="s">
        <v>28</v>
      </c>
      <c r="F414" s="172">
        <v>100.58</v>
      </c>
      <c r="G414" s="97">
        <v>1</v>
      </c>
      <c r="H414" s="85">
        <f t="shared" si="338"/>
        <v>100.58</v>
      </c>
      <c r="I414" s="50">
        <f t="shared" si="352"/>
        <v>0</v>
      </c>
      <c r="J414" s="85">
        <f t="shared" si="339"/>
        <v>0</v>
      </c>
      <c r="K414" s="82" t="str">
        <f t="shared" si="323"/>
        <v/>
      </c>
      <c r="L414" s="50"/>
      <c r="M414" s="85">
        <f t="shared" si="340"/>
        <v>0</v>
      </c>
      <c r="N414" s="82" t="str">
        <f t="shared" si="324"/>
        <v/>
      </c>
      <c r="O414" s="50"/>
      <c r="P414" s="85">
        <f t="shared" si="341"/>
        <v>0</v>
      </c>
      <c r="Q414" s="82" t="str">
        <f t="shared" si="325"/>
        <v/>
      </c>
      <c r="R414" s="50"/>
      <c r="S414" s="85">
        <f t="shared" si="342"/>
        <v>0</v>
      </c>
      <c r="T414" s="82" t="str">
        <f t="shared" si="326"/>
        <v/>
      </c>
      <c r="U414" s="50"/>
      <c r="V414" s="85">
        <f t="shared" si="343"/>
        <v>0</v>
      </c>
      <c r="W414" s="82" t="str">
        <f t="shared" si="327"/>
        <v/>
      </c>
      <c r="X414" s="50"/>
      <c r="Y414" s="85">
        <f t="shared" si="344"/>
        <v>0</v>
      </c>
      <c r="Z414" s="82" t="str">
        <f t="shared" si="328"/>
        <v/>
      </c>
      <c r="AA414" s="50"/>
      <c r="AB414" s="85">
        <f t="shared" si="345"/>
        <v>0</v>
      </c>
      <c r="AC414" s="82" t="str">
        <f t="shared" si="329"/>
        <v/>
      </c>
      <c r="AD414" s="50"/>
      <c r="AE414" s="85">
        <f t="shared" si="346"/>
        <v>0</v>
      </c>
      <c r="AF414" s="82" t="str">
        <f t="shared" si="330"/>
        <v/>
      </c>
      <c r="AG414" s="50"/>
      <c r="AH414" s="85">
        <f t="shared" si="347"/>
        <v>0</v>
      </c>
      <c r="AI414" s="82" t="str">
        <f t="shared" si="331"/>
        <v/>
      </c>
      <c r="AJ414" s="50"/>
      <c r="AK414" s="85">
        <f t="shared" si="348"/>
        <v>0</v>
      </c>
      <c r="AL414" s="82" t="str">
        <f t="shared" si="332"/>
        <v/>
      </c>
      <c r="AM414" s="50"/>
      <c r="AN414" s="85">
        <f t="shared" si="349"/>
        <v>0</v>
      </c>
      <c r="AO414" s="82" t="str">
        <f t="shared" si="333"/>
        <v/>
      </c>
      <c r="AP414" s="48">
        <f t="shared" si="334"/>
        <v>0</v>
      </c>
      <c r="AQ414" s="85">
        <f t="shared" si="350"/>
        <v>0</v>
      </c>
      <c r="AR414" s="82" t="str">
        <f t="shared" si="335"/>
        <v/>
      </c>
      <c r="AS414" s="48">
        <f t="shared" si="336"/>
        <v>1</v>
      </c>
      <c r="AT414" s="85">
        <f t="shared" si="351"/>
        <v>100.58</v>
      </c>
      <c r="AU414" s="82">
        <f t="shared" si="337"/>
        <v>1</v>
      </c>
    </row>
    <row r="415" spans="1:56" s="161" customFormat="1">
      <c r="A415" s="94"/>
      <c r="B415" s="116" t="s">
        <v>1519</v>
      </c>
      <c r="C415" s="1945" t="s">
        <v>1520</v>
      </c>
      <c r="D415" s="1946"/>
      <c r="E415" s="1946"/>
      <c r="F415" s="1946"/>
      <c r="G415" s="1947"/>
      <c r="H415" s="159">
        <f>SUM(H416:H429)</f>
        <v>188794.42</v>
      </c>
      <c r="I415" s="50">
        <f t="shared" si="352"/>
        <v>0</v>
      </c>
      <c r="J415" s="159">
        <f>SUM(J416:J429)</f>
        <v>0</v>
      </c>
      <c r="K415" s="102">
        <f>J415/$H415</f>
        <v>0</v>
      </c>
      <c r="L415" s="101"/>
      <c r="M415" s="159">
        <f>SUM(M416:M429)</f>
        <v>0</v>
      </c>
      <c r="N415" s="102">
        <f>M415/$H415</f>
        <v>0</v>
      </c>
      <c r="O415" s="101"/>
      <c r="P415" s="159">
        <f>SUM(P416:P429)</f>
        <v>0</v>
      </c>
      <c r="Q415" s="102">
        <f>P415/$H415</f>
        <v>0</v>
      </c>
      <c r="R415" s="101"/>
      <c r="S415" s="159">
        <f>SUM(S416:S429)</f>
        <v>0</v>
      </c>
      <c r="T415" s="102">
        <f>S415/$H415</f>
        <v>0</v>
      </c>
      <c r="U415" s="101"/>
      <c r="V415" s="159">
        <f>SUM(V416:V429)</f>
        <v>0</v>
      </c>
      <c r="W415" s="102">
        <f>V415/$H415</f>
        <v>0</v>
      </c>
      <c r="X415" s="101"/>
      <c r="Y415" s="159">
        <f>SUM(Y416:Y429)</f>
        <v>0</v>
      </c>
      <c r="Z415" s="102">
        <f>Y415/$H415</f>
        <v>0</v>
      </c>
      <c r="AA415" s="101"/>
      <c r="AB415" s="159">
        <f>SUM(AB416:AB429)</f>
        <v>0</v>
      </c>
      <c r="AC415" s="102">
        <f>AB415/$H415</f>
        <v>0</v>
      </c>
      <c r="AD415" s="101"/>
      <c r="AE415" s="159">
        <f>SUM(AE416:AE429)</f>
        <v>0</v>
      </c>
      <c r="AF415" s="102">
        <f>AE415/$H415</f>
        <v>0</v>
      </c>
      <c r="AG415" s="101"/>
      <c r="AH415" s="159">
        <f>SUM(AH416:AH429)</f>
        <v>0</v>
      </c>
      <c r="AI415" s="102">
        <f>AH415/$H415</f>
        <v>0</v>
      </c>
      <c r="AJ415" s="101"/>
      <c r="AK415" s="159">
        <f>SUM(AK416:AK429)</f>
        <v>0</v>
      </c>
      <c r="AL415" s="102">
        <f>AK415/$H415</f>
        <v>0</v>
      </c>
      <c r="AM415" s="101"/>
      <c r="AN415" s="159">
        <f>SUM(AN416:AN429)</f>
        <v>0</v>
      </c>
      <c r="AO415" s="102">
        <f>AN415/$H415</f>
        <v>0</v>
      </c>
      <c r="AP415" s="160">
        <f t="shared" si="334"/>
        <v>0</v>
      </c>
      <c r="AQ415" s="159">
        <f>SUM(AQ416:AQ429)</f>
        <v>0</v>
      </c>
      <c r="AR415" s="102">
        <f>AQ415/$H415</f>
        <v>0</v>
      </c>
      <c r="AS415" s="160">
        <f t="shared" si="336"/>
        <v>0</v>
      </c>
      <c r="AT415" s="159">
        <f>SUM(AT416:AT429)</f>
        <v>188794.42</v>
      </c>
      <c r="AU415" s="102">
        <f>AT415/$H415</f>
        <v>1</v>
      </c>
    </row>
    <row r="416" spans="1:56" ht="45">
      <c r="A416" s="16"/>
      <c r="B416" s="97" t="s">
        <v>1521</v>
      </c>
      <c r="C416" s="167" t="s">
        <v>333</v>
      </c>
      <c r="D416" s="86" t="s">
        <v>334</v>
      </c>
      <c r="E416" s="97" t="s">
        <v>44</v>
      </c>
      <c r="F416" s="172">
        <v>8.1199999999999992</v>
      </c>
      <c r="G416" s="147">
        <v>6679</v>
      </c>
      <c r="H416" s="85">
        <f t="shared" si="338"/>
        <v>54233.479999999996</v>
      </c>
      <c r="I416" s="50">
        <f t="shared" si="352"/>
        <v>0</v>
      </c>
      <c r="J416" s="85">
        <f t="shared" ref="J416:J429" si="353">I416*$F416</f>
        <v>0</v>
      </c>
      <c r="K416" s="82" t="str">
        <f t="shared" si="323"/>
        <v/>
      </c>
      <c r="L416" s="50"/>
      <c r="M416" s="85">
        <f t="shared" ref="M416:M429" si="354">L416*$F416</f>
        <v>0</v>
      </c>
      <c r="N416" s="82" t="str">
        <f t="shared" si="324"/>
        <v/>
      </c>
      <c r="O416" s="50"/>
      <c r="P416" s="85">
        <f t="shared" ref="P416:P429" si="355">O416*$F416</f>
        <v>0</v>
      </c>
      <c r="Q416" s="82" t="str">
        <f t="shared" si="325"/>
        <v/>
      </c>
      <c r="R416" s="50"/>
      <c r="S416" s="85">
        <f t="shared" ref="S416:S429" si="356">R416*$F416</f>
        <v>0</v>
      </c>
      <c r="T416" s="82" t="str">
        <f t="shared" si="326"/>
        <v/>
      </c>
      <c r="U416" s="50"/>
      <c r="V416" s="85">
        <f t="shared" ref="V416:V429" si="357">U416*$F416</f>
        <v>0</v>
      </c>
      <c r="W416" s="82" t="str">
        <f t="shared" si="327"/>
        <v/>
      </c>
      <c r="X416" s="50"/>
      <c r="Y416" s="85">
        <f t="shared" ref="Y416:Y429" si="358">X416*$F416</f>
        <v>0</v>
      </c>
      <c r="Z416" s="82" t="str">
        <f t="shared" si="328"/>
        <v/>
      </c>
      <c r="AA416" s="50"/>
      <c r="AB416" s="85">
        <f t="shared" ref="AB416:AB429" si="359">AA416*$F416</f>
        <v>0</v>
      </c>
      <c r="AC416" s="82" t="str">
        <f t="shared" si="329"/>
        <v/>
      </c>
      <c r="AD416" s="50"/>
      <c r="AE416" s="85">
        <f t="shared" ref="AE416:AE429" si="360">AD416*$F416</f>
        <v>0</v>
      </c>
      <c r="AF416" s="82" t="str">
        <f t="shared" si="330"/>
        <v/>
      </c>
      <c r="AG416" s="50"/>
      <c r="AH416" s="85">
        <f t="shared" ref="AH416:AH429" si="361">AG416*$F416</f>
        <v>0</v>
      </c>
      <c r="AI416" s="82" t="str">
        <f t="shared" si="331"/>
        <v/>
      </c>
      <c r="AJ416" s="50"/>
      <c r="AK416" s="85">
        <f t="shared" ref="AK416:AK429" si="362">AJ416*$F416</f>
        <v>0</v>
      </c>
      <c r="AL416" s="82" t="str">
        <f t="shared" si="332"/>
        <v/>
      </c>
      <c r="AM416" s="50"/>
      <c r="AN416" s="85">
        <f t="shared" ref="AN416:AN429" si="363">AM416*$F416</f>
        <v>0</v>
      </c>
      <c r="AO416" s="82" t="str">
        <f t="shared" si="333"/>
        <v/>
      </c>
      <c r="AP416" s="48">
        <f t="shared" si="334"/>
        <v>0</v>
      </c>
      <c r="AQ416" s="85">
        <f t="shared" ref="AQ416:AQ429" si="364">AP416*$F416</f>
        <v>0</v>
      </c>
      <c r="AR416" s="82" t="str">
        <f t="shared" si="335"/>
        <v/>
      </c>
      <c r="AS416" s="48">
        <f t="shared" si="336"/>
        <v>6679</v>
      </c>
      <c r="AT416" s="85">
        <f t="shared" ref="AT416:AT429" si="365">AS416*$F416</f>
        <v>54233.479999999996</v>
      </c>
      <c r="AU416" s="82">
        <f t="shared" si="337"/>
        <v>1</v>
      </c>
    </row>
    <row r="417" spans="1:47" ht="45">
      <c r="A417" s="16"/>
      <c r="B417" s="97" t="s">
        <v>1522</v>
      </c>
      <c r="C417" s="167" t="s">
        <v>1303</v>
      </c>
      <c r="D417" s="86" t="s">
        <v>1304</v>
      </c>
      <c r="E417" s="97" t="s">
        <v>44</v>
      </c>
      <c r="F417" s="172">
        <v>31.28</v>
      </c>
      <c r="G417" s="97">
        <v>102</v>
      </c>
      <c r="H417" s="85">
        <f t="shared" si="338"/>
        <v>3190.56</v>
      </c>
      <c r="I417" s="50">
        <f t="shared" si="352"/>
        <v>0</v>
      </c>
      <c r="J417" s="85">
        <f t="shared" si="353"/>
        <v>0</v>
      </c>
      <c r="K417" s="82" t="str">
        <f t="shared" si="323"/>
        <v/>
      </c>
      <c r="L417" s="50"/>
      <c r="M417" s="85">
        <f t="shared" si="354"/>
        <v>0</v>
      </c>
      <c r="N417" s="82" t="str">
        <f t="shared" si="324"/>
        <v/>
      </c>
      <c r="O417" s="50"/>
      <c r="P417" s="85">
        <f t="shared" si="355"/>
        <v>0</v>
      </c>
      <c r="Q417" s="82" t="str">
        <f t="shared" si="325"/>
        <v/>
      </c>
      <c r="R417" s="50"/>
      <c r="S417" s="85">
        <f t="shared" si="356"/>
        <v>0</v>
      </c>
      <c r="T417" s="82" t="str">
        <f t="shared" si="326"/>
        <v/>
      </c>
      <c r="U417" s="50"/>
      <c r="V417" s="85">
        <f t="shared" si="357"/>
        <v>0</v>
      </c>
      <c r="W417" s="82" t="str">
        <f t="shared" si="327"/>
        <v/>
      </c>
      <c r="X417" s="50"/>
      <c r="Y417" s="85">
        <f t="shared" si="358"/>
        <v>0</v>
      </c>
      <c r="Z417" s="82" t="str">
        <f t="shared" si="328"/>
        <v/>
      </c>
      <c r="AA417" s="50"/>
      <c r="AB417" s="85">
        <f t="shared" si="359"/>
        <v>0</v>
      </c>
      <c r="AC417" s="82" t="str">
        <f t="shared" si="329"/>
        <v/>
      </c>
      <c r="AD417" s="50"/>
      <c r="AE417" s="85">
        <f t="shared" si="360"/>
        <v>0</v>
      </c>
      <c r="AF417" s="82" t="str">
        <f t="shared" si="330"/>
        <v/>
      </c>
      <c r="AG417" s="50"/>
      <c r="AH417" s="85">
        <f t="shared" si="361"/>
        <v>0</v>
      </c>
      <c r="AI417" s="82" t="str">
        <f t="shared" si="331"/>
        <v/>
      </c>
      <c r="AJ417" s="50"/>
      <c r="AK417" s="85">
        <f t="shared" si="362"/>
        <v>0</v>
      </c>
      <c r="AL417" s="82" t="str">
        <f t="shared" si="332"/>
        <v/>
      </c>
      <c r="AM417" s="50"/>
      <c r="AN417" s="85">
        <f t="shared" si="363"/>
        <v>0</v>
      </c>
      <c r="AO417" s="82" t="str">
        <f t="shared" si="333"/>
        <v/>
      </c>
      <c r="AP417" s="48">
        <f t="shared" si="334"/>
        <v>0</v>
      </c>
      <c r="AQ417" s="85">
        <f t="shared" si="364"/>
        <v>0</v>
      </c>
      <c r="AR417" s="82" t="str">
        <f t="shared" si="335"/>
        <v/>
      </c>
      <c r="AS417" s="48">
        <f t="shared" si="336"/>
        <v>102</v>
      </c>
      <c r="AT417" s="85">
        <f t="shared" si="365"/>
        <v>3190.56</v>
      </c>
      <c r="AU417" s="82">
        <f t="shared" si="337"/>
        <v>1</v>
      </c>
    </row>
    <row r="418" spans="1:47" ht="45">
      <c r="A418" s="16"/>
      <c r="B418" s="97" t="s">
        <v>1523</v>
      </c>
      <c r="C418" s="167" t="s">
        <v>1524</v>
      </c>
      <c r="D418" s="86" t="s">
        <v>1525</v>
      </c>
      <c r="E418" s="97" t="s">
        <v>44</v>
      </c>
      <c r="F418" s="172">
        <v>20.399999999999999</v>
      </c>
      <c r="G418" s="97">
        <v>201</v>
      </c>
      <c r="H418" s="85">
        <f t="shared" si="338"/>
        <v>4100.3999999999996</v>
      </c>
      <c r="I418" s="50">
        <f t="shared" si="352"/>
        <v>0</v>
      </c>
      <c r="J418" s="85">
        <f t="shared" si="353"/>
        <v>0</v>
      </c>
      <c r="K418" s="82" t="str">
        <f t="shared" si="323"/>
        <v/>
      </c>
      <c r="L418" s="50"/>
      <c r="M418" s="85">
        <f t="shared" si="354"/>
        <v>0</v>
      </c>
      <c r="N418" s="82" t="str">
        <f t="shared" si="324"/>
        <v/>
      </c>
      <c r="O418" s="50"/>
      <c r="P418" s="85">
        <f t="shared" si="355"/>
        <v>0</v>
      </c>
      <c r="Q418" s="82" t="str">
        <f t="shared" si="325"/>
        <v/>
      </c>
      <c r="R418" s="50"/>
      <c r="S418" s="85">
        <f t="shared" si="356"/>
        <v>0</v>
      </c>
      <c r="T418" s="82" t="str">
        <f t="shared" si="326"/>
        <v/>
      </c>
      <c r="U418" s="50"/>
      <c r="V418" s="85">
        <f t="shared" si="357"/>
        <v>0</v>
      </c>
      <c r="W418" s="82" t="str">
        <f t="shared" si="327"/>
        <v/>
      </c>
      <c r="X418" s="50"/>
      <c r="Y418" s="85">
        <f t="shared" si="358"/>
        <v>0</v>
      </c>
      <c r="Z418" s="82" t="str">
        <f t="shared" si="328"/>
        <v/>
      </c>
      <c r="AA418" s="50"/>
      <c r="AB418" s="85">
        <f t="shared" si="359"/>
        <v>0</v>
      </c>
      <c r="AC418" s="82" t="str">
        <f t="shared" si="329"/>
        <v/>
      </c>
      <c r="AD418" s="50"/>
      <c r="AE418" s="85">
        <f t="shared" si="360"/>
        <v>0</v>
      </c>
      <c r="AF418" s="82" t="str">
        <f t="shared" si="330"/>
        <v/>
      </c>
      <c r="AG418" s="50"/>
      <c r="AH418" s="85">
        <f t="shared" si="361"/>
        <v>0</v>
      </c>
      <c r="AI418" s="82" t="str">
        <f t="shared" si="331"/>
        <v/>
      </c>
      <c r="AJ418" s="50"/>
      <c r="AK418" s="85">
        <f t="shared" si="362"/>
        <v>0</v>
      </c>
      <c r="AL418" s="82" t="str">
        <f t="shared" si="332"/>
        <v/>
      </c>
      <c r="AM418" s="50"/>
      <c r="AN418" s="85">
        <f t="shared" si="363"/>
        <v>0</v>
      </c>
      <c r="AO418" s="82" t="str">
        <f t="shared" si="333"/>
        <v/>
      </c>
      <c r="AP418" s="48">
        <f t="shared" si="334"/>
        <v>0</v>
      </c>
      <c r="AQ418" s="85">
        <f t="shared" si="364"/>
        <v>0</v>
      </c>
      <c r="AR418" s="82" t="str">
        <f t="shared" si="335"/>
        <v/>
      </c>
      <c r="AS418" s="48">
        <f t="shared" si="336"/>
        <v>201</v>
      </c>
      <c r="AT418" s="85">
        <f t="shared" si="365"/>
        <v>4100.3999999999996</v>
      </c>
      <c r="AU418" s="82">
        <f t="shared" si="337"/>
        <v>1</v>
      </c>
    </row>
    <row r="419" spans="1:47" ht="60">
      <c r="A419" s="16"/>
      <c r="B419" s="97" t="s">
        <v>1526</v>
      </c>
      <c r="C419" s="167" t="s">
        <v>1527</v>
      </c>
      <c r="D419" s="86" t="s">
        <v>1528</v>
      </c>
      <c r="E419" s="97" t="s">
        <v>44</v>
      </c>
      <c r="F419" s="172">
        <v>75.3</v>
      </c>
      <c r="G419" s="97">
        <v>24</v>
      </c>
      <c r="H419" s="85">
        <f t="shared" si="338"/>
        <v>1807.1999999999998</v>
      </c>
      <c r="I419" s="50">
        <f t="shared" si="352"/>
        <v>0</v>
      </c>
      <c r="J419" s="85">
        <f t="shared" si="353"/>
        <v>0</v>
      </c>
      <c r="K419" s="82" t="str">
        <f t="shared" si="323"/>
        <v/>
      </c>
      <c r="L419" s="50"/>
      <c r="M419" s="85">
        <f t="shared" si="354"/>
        <v>0</v>
      </c>
      <c r="N419" s="82" t="str">
        <f t="shared" si="324"/>
        <v/>
      </c>
      <c r="O419" s="50"/>
      <c r="P419" s="85">
        <f t="shared" si="355"/>
        <v>0</v>
      </c>
      <c r="Q419" s="82" t="str">
        <f t="shared" si="325"/>
        <v/>
      </c>
      <c r="R419" s="50"/>
      <c r="S419" s="85">
        <f t="shared" si="356"/>
        <v>0</v>
      </c>
      <c r="T419" s="82" t="str">
        <f t="shared" si="326"/>
        <v/>
      </c>
      <c r="U419" s="50"/>
      <c r="V419" s="85">
        <f t="shared" si="357"/>
        <v>0</v>
      </c>
      <c r="W419" s="82" t="str">
        <f t="shared" si="327"/>
        <v/>
      </c>
      <c r="X419" s="50"/>
      <c r="Y419" s="85">
        <f t="shared" si="358"/>
        <v>0</v>
      </c>
      <c r="Z419" s="82" t="str">
        <f t="shared" si="328"/>
        <v/>
      </c>
      <c r="AA419" s="50"/>
      <c r="AB419" s="85">
        <f t="shared" si="359"/>
        <v>0</v>
      </c>
      <c r="AC419" s="82" t="str">
        <f t="shared" si="329"/>
        <v/>
      </c>
      <c r="AD419" s="50"/>
      <c r="AE419" s="85">
        <f t="shared" si="360"/>
        <v>0</v>
      </c>
      <c r="AF419" s="82" t="str">
        <f t="shared" si="330"/>
        <v/>
      </c>
      <c r="AG419" s="50"/>
      <c r="AH419" s="85">
        <f t="shared" si="361"/>
        <v>0</v>
      </c>
      <c r="AI419" s="82" t="str">
        <f t="shared" si="331"/>
        <v/>
      </c>
      <c r="AJ419" s="50"/>
      <c r="AK419" s="85">
        <f t="shared" si="362"/>
        <v>0</v>
      </c>
      <c r="AL419" s="82" t="str">
        <f t="shared" si="332"/>
        <v/>
      </c>
      <c r="AM419" s="50"/>
      <c r="AN419" s="85">
        <f t="shared" si="363"/>
        <v>0</v>
      </c>
      <c r="AO419" s="82" t="str">
        <f t="shared" si="333"/>
        <v/>
      </c>
      <c r="AP419" s="48">
        <f t="shared" si="334"/>
        <v>0</v>
      </c>
      <c r="AQ419" s="85">
        <f t="shared" si="364"/>
        <v>0</v>
      </c>
      <c r="AR419" s="82" t="str">
        <f t="shared" si="335"/>
        <v/>
      </c>
      <c r="AS419" s="48">
        <f t="shared" si="336"/>
        <v>24</v>
      </c>
      <c r="AT419" s="85">
        <f t="shared" si="365"/>
        <v>1807.1999999999998</v>
      </c>
      <c r="AU419" s="82">
        <f t="shared" si="337"/>
        <v>1</v>
      </c>
    </row>
    <row r="420" spans="1:47" ht="45">
      <c r="A420" s="16"/>
      <c r="B420" s="97" t="s">
        <v>1529</v>
      </c>
      <c r="C420" s="167" t="s">
        <v>1530</v>
      </c>
      <c r="D420" s="86" t="s">
        <v>1531</v>
      </c>
      <c r="E420" s="97" t="s">
        <v>44</v>
      </c>
      <c r="F420" s="172">
        <v>12.16</v>
      </c>
      <c r="G420" s="147">
        <v>3815</v>
      </c>
      <c r="H420" s="85">
        <f t="shared" si="338"/>
        <v>46390.400000000001</v>
      </c>
      <c r="I420" s="50">
        <f t="shared" si="352"/>
        <v>0</v>
      </c>
      <c r="J420" s="85">
        <f t="shared" si="353"/>
        <v>0</v>
      </c>
      <c r="K420" s="82" t="str">
        <f t="shared" si="323"/>
        <v/>
      </c>
      <c r="L420" s="50"/>
      <c r="M420" s="85">
        <f t="shared" si="354"/>
        <v>0</v>
      </c>
      <c r="N420" s="82" t="str">
        <f t="shared" si="324"/>
        <v/>
      </c>
      <c r="O420" s="50"/>
      <c r="P420" s="85">
        <f t="shared" si="355"/>
        <v>0</v>
      </c>
      <c r="Q420" s="82" t="str">
        <f t="shared" si="325"/>
        <v/>
      </c>
      <c r="R420" s="50"/>
      <c r="S420" s="85">
        <f t="shared" si="356"/>
        <v>0</v>
      </c>
      <c r="T420" s="82" t="str">
        <f t="shared" si="326"/>
        <v/>
      </c>
      <c r="U420" s="50"/>
      <c r="V420" s="85">
        <f t="shared" si="357"/>
        <v>0</v>
      </c>
      <c r="W420" s="82" t="str">
        <f t="shared" si="327"/>
        <v/>
      </c>
      <c r="X420" s="50"/>
      <c r="Y420" s="85">
        <f t="shared" si="358"/>
        <v>0</v>
      </c>
      <c r="Z420" s="82" t="str">
        <f t="shared" si="328"/>
        <v/>
      </c>
      <c r="AA420" s="50"/>
      <c r="AB420" s="85">
        <f t="shared" si="359"/>
        <v>0</v>
      </c>
      <c r="AC420" s="82" t="str">
        <f t="shared" si="329"/>
        <v/>
      </c>
      <c r="AD420" s="50"/>
      <c r="AE420" s="85">
        <f t="shared" si="360"/>
        <v>0</v>
      </c>
      <c r="AF420" s="82" t="str">
        <f t="shared" si="330"/>
        <v/>
      </c>
      <c r="AG420" s="50"/>
      <c r="AH420" s="85">
        <f t="shared" si="361"/>
        <v>0</v>
      </c>
      <c r="AI420" s="82" t="str">
        <f t="shared" si="331"/>
        <v/>
      </c>
      <c r="AJ420" s="50"/>
      <c r="AK420" s="85">
        <f t="shared" si="362"/>
        <v>0</v>
      </c>
      <c r="AL420" s="82" t="str">
        <f t="shared" si="332"/>
        <v/>
      </c>
      <c r="AM420" s="50"/>
      <c r="AN420" s="85">
        <f t="shared" si="363"/>
        <v>0</v>
      </c>
      <c r="AO420" s="82" t="str">
        <f t="shared" si="333"/>
        <v/>
      </c>
      <c r="AP420" s="48">
        <f t="shared" si="334"/>
        <v>0</v>
      </c>
      <c r="AQ420" s="85">
        <f t="shared" si="364"/>
        <v>0</v>
      </c>
      <c r="AR420" s="82" t="str">
        <f t="shared" si="335"/>
        <v/>
      </c>
      <c r="AS420" s="48">
        <f t="shared" si="336"/>
        <v>3815</v>
      </c>
      <c r="AT420" s="85">
        <f t="shared" si="365"/>
        <v>46390.400000000001</v>
      </c>
      <c r="AU420" s="82">
        <f t="shared" si="337"/>
        <v>1</v>
      </c>
    </row>
    <row r="421" spans="1:47" ht="30">
      <c r="A421" s="16"/>
      <c r="B421" s="97" t="s">
        <v>1532</v>
      </c>
      <c r="C421" s="167" t="s">
        <v>1533</v>
      </c>
      <c r="D421" s="86" t="s">
        <v>1534</v>
      </c>
      <c r="E421" s="97" t="s">
        <v>44</v>
      </c>
      <c r="F421" s="172">
        <v>129.83000000000001</v>
      </c>
      <c r="G421" s="97">
        <v>96</v>
      </c>
      <c r="H421" s="85">
        <f t="shared" si="338"/>
        <v>12463.68</v>
      </c>
      <c r="I421" s="50">
        <f t="shared" si="352"/>
        <v>0</v>
      </c>
      <c r="J421" s="85">
        <f t="shared" si="353"/>
        <v>0</v>
      </c>
      <c r="K421" s="82" t="str">
        <f t="shared" si="323"/>
        <v/>
      </c>
      <c r="L421" s="50"/>
      <c r="M421" s="85">
        <f t="shared" si="354"/>
        <v>0</v>
      </c>
      <c r="N421" s="82" t="str">
        <f t="shared" si="324"/>
        <v/>
      </c>
      <c r="O421" s="50"/>
      <c r="P421" s="85">
        <f t="shared" si="355"/>
        <v>0</v>
      </c>
      <c r="Q421" s="82" t="str">
        <f t="shared" si="325"/>
        <v/>
      </c>
      <c r="R421" s="50"/>
      <c r="S421" s="85">
        <f t="shared" si="356"/>
        <v>0</v>
      </c>
      <c r="T421" s="82" t="str">
        <f t="shared" si="326"/>
        <v/>
      </c>
      <c r="U421" s="50"/>
      <c r="V421" s="85">
        <f t="shared" si="357"/>
        <v>0</v>
      </c>
      <c r="W421" s="82" t="str">
        <f t="shared" si="327"/>
        <v/>
      </c>
      <c r="X421" s="50"/>
      <c r="Y421" s="85">
        <f t="shared" si="358"/>
        <v>0</v>
      </c>
      <c r="Z421" s="82" t="str">
        <f t="shared" si="328"/>
        <v/>
      </c>
      <c r="AA421" s="50"/>
      <c r="AB421" s="85">
        <f t="shared" si="359"/>
        <v>0</v>
      </c>
      <c r="AC421" s="82" t="str">
        <f t="shared" si="329"/>
        <v/>
      </c>
      <c r="AD421" s="50"/>
      <c r="AE421" s="85">
        <f t="shared" si="360"/>
        <v>0</v>
      </c>
      <c r="AF421" s="82" t="str">
        <f t="shared" si="330"/>
        <v/>
      </c>
      <c r="AG421" s="50"/>
      <c r="AH421" s="85">
        <f t="shared" si="361"/>
        <v>0</v>
      </c>
      <c r="AI421" s="82" t="str">
        <f t="shared" si="331"/>
        <v/>
      </c>
      <c r="AJ421" s="50"/>
      <c r="AK421" s="85">
        <f t="shared" si="362"/>
        <v>0</v>
      </c>
      <c r="AL421" s="82" t="str">
        <f t="shared" si="332"/>
        <v/>
      </c>
      <c r="AM421" s="50"/>
      <c r="AN421" s="85">
        <f t="shared" si="363"/>
        <v>0</v>
      </c>
      <c r="AO421" s="82" t="str">
        <f t="shared" si="333"/>
        <v/>
      </c>
      <c r="AP421" s="48">
        <f t="shared" si="334"/>
        <v>0</v>
      </c>
      <c r="AQ421" s="85">
        <f t="shared" si="364"/>
        <v>0</v>
      </c>
      <c r="AR421" s="82" t="str">
        <f t="shared" si="335"/>
        <v/>
      </c>
      <c r="AS421" s="48">
        <f t="shared" si="336"/>
        <v>96</v>
      </c>
      <c r="AT421" s="85">
        <f t="shared" si="365"/>
        <v>12463.68</v>
      </c>
      <c r="AU421" s="82">
        <f t="shared" si="337"/>
        <v>1</v>
      </c>
    </row>
    <row r="422" spans="1:47" ht="30">
      <c r="A422" s="16"/>
      <c r="B422" s="97" t="s">
        <v>1535</v>
      </c>
      <c r="C422" s="167" t="s">
        <v>1536</v>
      </c>
      <c r="D422" s="86" t="s">
        <v>1537</v>
      </c>
      <c r="E422" s="97" t="s">
        <v>44</v>
      </c>
      <c r="F422" s="172">
        <v>52.63</v>
      </c>
      <c r="G422" s="97">
        <v>292</v>
      </c>
      <c r="H422" s="85">
        <f t="shared" si="338"/>
        <v>15367.960000000001</v>
      </c>
      <c r="I422" s="50">
        <f t="shared" si="352"/>
        <v>0</v>
      </c>
      <c r="J422" s="85">
        <f t="shared" si="353"/>
        <v>0</v>
      </c>
      <c r="K422" s="82" t="str">
        <f t="shared" si="323"/>
        <v/>
      </c>
      <c r="L422" s="50"/>
      <c r="M422" s="85">
        <f t="shared" si="354"/>
        <v>0</v>
      </c>
      <c r="N422" s="82" t="str">
        <f t="shared" si="324"/>
        <v/>
      </c>
      <c r="O422" s="50"/>
      <c r="P422" s="85">
        <f t="shared" si="355"/>
        <v>0</v>
      </c>
      <c r="Q422" s="82" t="str">
        <f t="shared" si="325"/>
        <v/>
      </c>
      <c r="R422" s="50"/>
      <c r="S422" s="85">
        <f t="shared" si="356"/>
        <v>0</v>
      </c>
      <c r="T422" s="82" t="str">
        <f t="shared" si="326"/>
        <v/>
      </c>
      <c r="U422" s="50"/>
      <c r="V422" s="85">
        <f t="shared" si="357"/>
        <v>0</v>
      </c>
      <c r="W422" s="82" t="str">
        <f t="shared" si="327"/>
        <v/>
      </c>
      <c r="X422" s="50"/>
      <c r="Y422" s="85">
        <f t="shared" si="358"/>
        <v>0</v>
      </c>
      <c r="Z422" s="82" t="str">
        <f t="shared" si="328"/>
        <v/>
      </c>
      <c r="AA422" s="50"/>
      <c r="AB422" s="85">
        <f t="shared" si="359"/>
        <v>0</v>
      </c>
      <c r="AC422" s="82" t="str">
        <f t="shared" si="329"/>
        <v/>
      </c>
      <c r="AD422" s="50"/>
      <c r="AE422" s="85">
        <f t="shared" si="360"/>
        <v>0</v>
      </c>
      <c r="AF422" s="82" t="str">
        <f t="shared" si="330"/>
        <v/>
      </c>
      <c r="AG422" s="50"/>
      <c r="AH422" s="85">
        <f t="shared" si="361"/>
        <v>0</v>
      </c>
      <c r="AI422" s="82" t="str">
        <f t="shared" si="331"/>
        <v/>
      </c>
      <c r="AJ422" s="50"/>
      <c r="AK422" s="85">
        <f t="shared" si="362"/>
        <v>0</v>
      </c>
      <c r="AL422" s="82" t="str">
        <f t="shared" si="332"/>
        <v/>
      </c>
      <c r="AM422" s="50"/>
      <c r="AN422" s="85">
        <f t="shared" si="363"/>
        <v>0</v>
      </c>
      <c r="AO422" s="82" t="str">
        <f t="shared" si="333"/>
        <v/>
      </c>
      <c r="AP422" s="48">
        <f t="shared" si="334"/>
        <v>0</v>
      </c>
      <c r="AQ422" s="85">
        <f t="shared" si="364"/>
        <v>0</v>
      </c>
      <c r="AR422" s="82" t="str">
        <f t="shared" si="335"/>
        <v/>
      </c>
      <c r="AS422" s="48">
        <f t="shared" si="336"/>
        <v>292</v>
      </c>
      <c r="AT422" s="85">
        <f t="shared" si="365"/>
        <v>15367.960000000001</v>
      </c>
      <c r="AU422" s="82">
        <f t="shared" si="337"/>
        <v>1</v>
      </c>
    </row>
    <row r="423" spans="1:47" ht="30">
      <c r="A423" s="16"/>
      <c r="B423" s="97" t="s">
        <v>1538</v>
      </c>
      <c r="C423" s="167" t="s">
        <v>1539</v>
      </c>
      <c r="D423" s="86" t="s">
        <v>1540</v>
      </c>
      <c r="E423" s="97" t="s">
        <v>44</v>
      </c>
      <c r="F423" s="172">
        <v>38.93</v>
      </c>
      <c r="G423" s="97">
        <v>116</v>
      </c>
      <c r="H423" s="85">
        <f t="shared" si="338"/>
        <v>4515.88</v>
      </c>
      <c r="I423" s="50">
        <f t="shared" si="352"/>
        <v>0</v>
      </c>
      <c r="J423" s="85">
        <f t="shared" si="353"/>
        <v>0</v>
      </c>
      <c r="K423" s="82" t="str">
        <f t="shared" si="323"/>
        <v/>
      </c>
      <c r="L423" s="50"/>
      <c r="M423" s="85">
        <f t="shared" si="354"/>
        <v>0</v>
      </c>
      <c r="N423" s="82" t="str">
        <f t="shared" si="324"/>
        <v/>
      </c>
      <c r="O423" s="50"/>
      <c r="P423" s="85">
        <f t="shared" si="355"/>
        <v>0</v>
      </c>
      <c r="Q423" s="82" t="str">
        <f t="shared" si="325"/>
        <v/>
      </c>
      <c r="R423" s="50"/>
      <c r="S423" s="85">
        <f t="shared" si="356"/>
        <v>0</v>
      </c>
      <c r="T423" s="82" t="str">
        <f t="shared" si="326"/>
        <v/>
      </c>
      <c r="U423" s="50"/>
      <c r="V423" s="85">
        <f t="shared" si="357"/>
        <v>0</v>
      </c>
      <c r="W423" s="82" t="str">
        <f t="shared" si="327"/>
        <v/>
      </c>
      <c r="X423" s="50"/>
      <c r="Y423" s="85">
        <f t="shared" si="358"/>
        <v>0</v>
      </c>
      <c r="Z423" s="82" t="str">
        <f t="shared" si="328"/>
        <v/>
      </c>
      <c r="AA423" s="50"/>
      <c r="AB423" s="85">
        <f t="shared" si="359"/>
        <v>0</v>
      </c>
      <c r="AC423" s="82" t="str">
        <f t="shared" si="329"/>
        <v/>
      </c>
      <c r="AD423" s="50"/>
      <c r="AE423" s="85">
        <f t="shared" si="360"/>
        <v>0</v>
      </c>
      <c r="AF423" s="82" t="str">
        <f t="shared" si="330"/>
        <v/>
      </c>
      <c r="AG423" s="50"/>
      <c r="AH423" s="85">
        <f t="shared" si="361"/>
        <v>0</v>
      </c>
      <c r="AI423" s="82" t="str">
        <f t="shared" si="331"/>
        <v/>
      </c>
      <c r="AJ423" s="50"/>
      <c r="AK423" s="85">
        <f t="shared" si="362"/>
        <v>0</v>
      </c>
      <c r="AL423" s="82" t="str">
        <f t="shared" si="332"/>
        <v/>
      </c>
      <c r="AM423" s="50"/>
      <c r="AN423" s="85">
        <f t="shared" si="363"/>
        <v>0</v>
      </c>
      <c r="AO423" s="82" t="str">
        <f t="shared" si="333"/>
        <v/>
      </c>
      <c r="AP423" s="48">
        <f t="shared" si="334"/>
        <v>0</v>
      </c>
      <c r="AQ423" s="85">
        <f t="shared" si="364"/>
        <v>0</v>
      </c>
      <c r="AR423" s="82" t="str">
        <f t="shared" si="335"/>
        <v/>
      </c>
      <c r="AS423" s="48">
        <f t="shared" si="336"/>
        <v>116</v>
      </c>
      <c r="AT423" s="85">
        <f t="shared" si="365"/>
        <v>4515.88</v>
      </c>
      <c r="AU423" s="82">
        <f t="shared" si="337"/>
        <v>1</v>
      </c>
    </row>
    <row r="424" spans="1:47" ht="45">
      <c r="A424" s="16"/>
      <c r="B424" s="97" t="s">
        <v>1541</v>
      </c>
      <c r="C424" s="167" t="s">
        <v>1542</v>
      </c>
      <c r="D424" s="86" t="s">
        <v>1543</v>
      </c>
      <c r="E424" s="97" t="s">
        <v>28</v>
      </c>
      <c r="F424" s="172">
        <v>50.84</v>
      </c>
      <c r="G424" s="97">
        <v>138</v>
      </c>
      <c r="H424" s="85">
        <f t="shared" si="338"/>
        <v>7015.92</v>
      </c>
      <c r="I424" s="50">
        <f t="shared" si="352"/>
        <v>0</v>
      </c>
      <c r="J424" s="85">
        <f t="shared" si="353"/>
        <v>0</v>
      </c>
      <c r="K424" s="82" t="str">
        <f t="shared" si="323"/>
        <v/>
      </c>
      <c r="L424" s="50"/>
      <c r="M424" s="85">
        <f t="shared" si="354"/>
        <v>0</v>
      </c>
      <c r="N424" s="82" t="str">
        <f t="shared" si="324"/>
        <v/>
      </c>
      <c r="O424" s="50"/>
      <c r="P424" s="85">
        <f t="shared" si="355"/>
        <v>0</v>
      </c>
      <c r="Q424" s="82" t="str">
        <f t="shared" si="325"/>
        <v/>
      </c>
      <c r="R424" s="50"/>
      <c r="S424" s="85">
        <f t="shared" si="356"/>
        <v>0</v>
      </c>
      <c r="T424" s="82" t="str">
        <f t="shared" si="326"/>
        <v/>
      </c>
      <c r="U424" s="50"/>
      <c r="V424" s="85">
        <f t="shared" si="357"/>
        <v>0</v>
      </c>
      <c r="W424" s="82" t="str">
        <f t="shared" si="327"/>
        <v/>
      </c>
      <c r="X424" s="50"/>
      <c r="Y424" s="85">
        <f t="shared" si="358"/>
        <v>0</v>
      </c>
      <c r="Z424" s="82" t="str">
        <f t="shared" si="328"/>
        <v/>
      </c>
      <c r="AA424" s="50"/>
      <c r="AB424" s="85">
        <f t="shared" si="359"/>
        <v>0</v>
      </c>
      <c r="AC424" s="82" t="str">
        <f t="shared" si="329"/>
        <v/>
      </c>
      <c r="AD424" s="50"/>
      <c r="AE424" s="85">
        <f t="shared" si="360"/>
        <v>0</v>
      </c>
      <c r="AF424" s="82" t="str">
        <f t="shared" si="330"/>
        <v/>
      </c>
      <c r="AG424" s="50"/>
      <c r="AH424" s="85">
        <f t="shared" si="361"/>
        <v>0</v>
      </c>
      <c r="AI424" s="82" t="str">
        <f t="shared" si="331"/>
        <v/>
      </c>
      <c r="AJ424" s="50"/>
      <c r="AK424" s="85">
        <f t="shared" si="362"/>
        <v>0</v>
      </c>
      <c r="AL424" s="82" t="str">
        <f t="shared" si="332"/>
        <v/>
      </c>
      <c r="AM424" s="50"/>
      <c r="AN424" s="85">
        <f t="shared" si="363"/>
        <v>0</v>
      </c>
      <c r="AO424" s="82" t="str">
        <f t="shared" si="333"/>
        <v/>
      </c>
      <c r="AP424" s="48">
        <f t="shared" si="334"/>
        <v>0</v>
      </c>
      <c r="AQ424" s="85">
        <f t="shared" si="364"/>
        <v>0</v>
      </c>
      <c r="AR424" s="82" t="str">
        <f t="shared" si="335"/>
        <v/>
      </c>
      <c r="AS424" s="48">
        <f t="shared" si="336"/>
        <v>138</v>
      </c>
      <c r="AT424" s="85">
        <f t="shared" si="365"/>
        <v>7015.92</v>
      </c>
      <c r="AU424" s="82">
        <f t="shared" si="337"/>
        <v>1</v>
      </c>
    </row>
    <row r="425" spans="1:47" ht="45">
      <c r="A425" s="16"/>
      <c r="B425" s="97" t="s">
        <v>1544</v>
      </c>
      <c r="C425" s="167" t="s">
        <v>1545</v>
      </c>
      <c r="D425" s="86" t="s">
        <v>1546</v>
      </c>
      <c r="E425" s="97" t="s">
        <v>28</v>
      </c>
      <c r="F425" s="172">
        <v>36.96</v>
      </c>
      <c r="G425" s="97">
        <v>20</v>
      </c>
      <c r="H425" s="85">
        <f t="shared" si="338"/>
        <v>739.2</v>
      </c>
      <c r="I425" s="50">
        <f t="shared" si="352"/>
        <v>0</v>
      </c>
      <c r="J425" s="85">
        <f t="shared" si="353"/>
        <v>0</v>
      </c>
      <c r="K425" s="82" t="str">
        <f t="shared" si="323"/>
        <v/>
      </c>
      <c r="L425" s="50"/>
      <c r="M425" s="85">
        <f t="shared" si="354"/>
        <v>0</v>
      </c>
      <c r="N425" s="82" t="str">
        <f t="shared" si="324"/>
        <v/>
      </c>
      <c r="O425" s="50"/>
      <c r="P425" s="85">
        <f t="shared" si="355"/>
        <v>0</v>
      </c>
      <c r="Q425" s="82" t="str">
        <f t="shared" si="325"/>
        <v/>
      </c>
      <c r="R425" s="50"/>
      <c r="S425" s="85">
        <f t="shared" si="356"/>
        <v>0</v>
      </c>
      <c r="T425" s="82" t="str">
        <f t="shared" si="326"/>
        <v/>
      </c>
      <c r="U425" s="50"/>
      <c r="V425" s="85">
        <f t="shared" si="357"/>
        <v>0</v>
      </c>
      <c r="W425" s="82" t="str">
        <f t="shared" si="327"/>
        <v/>
      </c>
      <c r="X425" s="50"/>
      <c r="Y425" s="85">
        <f t="shared" si="358"/>
        <v>0</v>
      </c>
      <c r="Z425" s="82" t="str">
        <f t="shared" si="328"/>
        <v/>
      </c>
      <c r="AA425" s="50"/>
      <c r="AB425" s="85">
        <f t="shared" si="359"/>
        <v>0</v>
      </c>
      <c r="AC425" s="82" t="str">
        <f t="shared" si="329"/>
        <v/>
      </c>
      <c r="AD425" s="50"/>
      <c r="AE425" s="85">
        <f t="shared" si="360"/>
        <v>0</v>
      </c>
      <c r="AF425" s="82" t="str">
        <f t="shared" si="330"/>
        <v/>
      </c>
      <c r="AG425" s="50"/>
      <c r="AH425" s="85">
        <f t="shared" si="361"/>
        <v>0</v>
      </c>
      <c r="AI425" s="82" t="str">
        <f t="shared" si="331"/>
        <v/>
      </c>
      <c r="AJ425" s="50"/>
      <c r="AK425" s="85">
        <f t="shared" si="362"/>
        <v>0</v>
      </c>
      <c r="AL425" s="82" t="str">
        <f t="shared" si="332"/>
        <v/>
      </c>
      <c r="AM425" s="50"/>
      <c r="AN425" s="85">
        <f t="shared" si="363"/>
        <v>0</v>
      </c>
      <c r="AO425" s="82" t="str">
        <f t="shared" si="333"/>
        <v/>
      </c>
      <c r="AP425" s="48">
        <f t="shared" si="334"/>
        <v>0</v>
      </c>
      <c r="AQ425" s="85">
        <f t="shared" si="364"/>
        <v>0</v>
      </c>
      <c r="AR425" s="82" t="str">
        <f t="shared" si="335"/>
        <v/>
      </c>
      <c r="AS425" s="48">
        <f t="shared" si="336"/>
        <v>20</v>
      </c>
      <c r="AT425" s="85">
        <f t="shared" si="365"/>
        <v>739.2</v>
      </c>
      <c r="AU425" s="82">
        <f t="shared" si="337"/>
        <v>1</v>
      </c>
    </row>
    <row r="426" spans="1:47" ht="45">
      <c r="A426" s="16"/>
      <c r="B426" s="97" t="s">
        <v>1547</v>
      </c>
      <c r="C426" s="167" t="s">
        <v>1548</v>
      </c>
      <c r="D426" s="86" t="s">
        <v>1549</v>
      </c>
      <c r="E426" s="97" t="s">
        <v>44</v>
      </c>
      <c r="F426" s="172">
        <v>9.26</v>
      </c>
      <c r="G426" s="97">
        <v>240</v>
      </c>
      <c r="H426" s="85">
        <f t="shared" si="338"/>
        <v>2222.4</v>
      </c>
      <c r="I426" s="50">
        <f t="shared" si="352"/>
        <v>0</v>
      </c>
      <c r="J426" s="85">
        <f t="shared" si="353"/>
        <v>0</v>
      </c>
      <c r="K426" s="82" t="str">
        <f t="shared" si="323"/>
        <v/>
      </c>
      <c r="L426" s="50"/>
      <c r="M426" s="85">
        <f t="shared" si="354"/>
        <v>0</v>
      </c>
      <c r="N426" s="82" t="str">
        <f t="shared" si="324"/>
        <v/>
      </c>
      <c r="O426" s="50"/>
      <c r="P426" s="85">
        <f t="shared" si="355"/>
        <v>0</v>
      </c>
      <c r="Q426" s="82" t="str">
        <f t="shared" si="325"/>
        <v/>
      </c>
      <c r="R426" s="50"/>
      <c r="S426" s="85">
        <f t="shared" si="356"/>
        <v>0</v>
      </c>
      <c r="T426" s="82" t="str">
        <f t="shared" si="326"/>
        <v/>
      </c>
      <c r="U426" s="50"/>
      <c r="V426" s="85">
        <f t="shared" si="357"/>
        <v>0</v>
      </c>
      <c r="W426" s="82" t="str">
        <f t="shared" si="327"/>
        <v/>
      </c>
      <c r="X426" s="50"/>
      <c r="Y426" s="85">
        <f t="shared" si="358"/>
        <v>0</v>
      </c>
      <c r="Z426" s="82" t="str">
        <f t="shared" si="328"/>
        <v/>
      </c>
      <c r="AA426" s="50"/>
      <c r="AB426" s="85">
        <f t="shared" si="359"/>
        <v>0</v>
      </c>
      <c r="AC426" s="82" t="str">
        <f t="shared" si="329"/>
        <v/>
      </c>
      <c r="AD426" s="50"/>
      <c r="AE426" s="85">
        <f t="shared" si="360"/>
        <v>0</v>
      </c>
      <c r="AF426" s="82" t="str">
        <f t="shared" si="330"/>
        <v/>
      </c>
      <c r="AG426" s="50"/>
      <c r="AH426" s="85">
        <f t="shared" si="361"/>
        <v>0</v>
      </c>
      <c r="AI426" s="82" t="str">
        <f t="shared" si="331"/>
        <v/>
      </c>
      <c r="AJ426" s="50"/>
      <c r="AK426" s="85">
        <f t="shared" si="362"/>
        <v>0</v>
      </c>
      <c r="AL426" s="82" t="str">
        <f t="shared" si="332"/>
        <v/>
      </c>
      <c r="AM426" s="50"/>
      <c r="AN426" s="85">
        <f t="shared" si="363"/>
        <v>0</v>
      </c>
      <c r="AO426" s="82" t="str">
        <f t="shared" si="333"/>
        <v/>
      </c>
      <c r="AP426" s="48">
        <f t="shared" si="334"/>
        <v>0</v>
      </c>
      <c r="AQ426" s="85">
        <f t="shared" si="364"/>
        <v>0</v>
      </c>
      <c r="AR426" s="82" t="str">
        <f t="shared" si="335"/>
        <v/>
      </c>
      <c r="AS426" s="48">
        <f t="shared" si="336"/>
        <v>240</v>
      </c>
      <c r="AT426" s="85">
        <f t="shared" si="365"/>
        <v>2222.4</v>
      </c>
      <c r="AU426" s="82">
        <f t="shared" si="337"/>
        <v>1</v>
      </c>
    </row>
    <row r="427" spans="1:47" ht="45">
      <c r="A427" s="16"/>
      <c r="B427" s="97" t="s">
        <v>1550</v>
      </c>
      <c r="C427" s="167" t="s">
        <v>1551</v>
      </c>
      <c r="D427" s="86" t="s">
        <v>1552</v>
      </c>
      <c r="E427" s="97" t="s">
        <v>44</v>
      </c>
      <c r="F427" s="172">
        <v>15.21</v>
      </c>
      <c r="G427" s="97">
        <v>322</v>
      </c>
      <c r="H427" s="85">
        <f t="shared" si="338"/>
        <v>4897.62</v>
      </c>
      <c r="I427" s="50">
        <f t="shared" si="352"/>
        <v>0</v>
      </c>
      <c r="J427" s="85">
        <f t="shared" si="353"/>
        <v>0</v>
      </c>
      <c r="K427" s="82" t="str">
        <f t="shared" si="323"/>
        <v/>
      </c>
      <c r="L427" s="50"/>
      <c r="M427" s="85">
        <f t="shared" si="354"/>
        <v>0</v>
      </c>
      <c r="N427" s="82" t="str">
        <f t="shared" si="324"/>
        <v/>
      </c>
      <c r="O427" s="50"/>
      <c r="P427" s="85">
        <f t="shared" si="355"/>
        <v>0</v>
      </c>
      <c r="Q427" s="82" t="str">
        <f t="shared" si="325"/>
        <v/>
      </c>
      <c r="R427" s="50"/>
      <c r="S427" s="85">
        <f t="shared" si="356"/>
        <v>0</v>
      </c>
      <c r="T427" s="82" t="str">
        <f t="shared" si="326"/>
        <v/>
      </c>
      <c r="U427" s="50"/>
      <c r="V427" s="85">
        <f t="shared" si="357"/>
        <v>0</v>
      </c>
      <c r="W427" s="82" t="str">
        <f t="shared" si="327"/>
        <v/>
      </c>
      <c r="X427" s="50"/>
      <c r="Y427" s="85">
        <f t="shared" si="358"/>
        <v>0</v>
      </c>
      <c r="Z427" s="82" t="str">
        <f t="shared" si="328"/>
        <v/>
      </c>
      <c r="AA427" s="50"/>
      <c r="AB427" s="85">
        <f t="shared" si="359"/>
        <v>0</v>
      </c>
      <c r="AC427" s="82" t="str">
        <f t="shared" si="329"/>
        <v/>
      </c>
      <c r="AD427" s="50"/>
      <c r="AE427" s="85">
        <f t="shared" si="360"/>
        <v>0</v>
      </c>
      <c r="AF427" s="82" t="str">
        <f t="shared" si="330"/>
        <v/>
      </c>
      <c r="AG427" s="50"/>
      <c r="AH427" s="85">
        <f t="shared" si="361"/>
        <v>0</v>
      </c>
      <c r="AI427" s="82" t="str">
        <f t="shared" si="331"/>
        <v/>
      </c>
      <c r="AJ427" s="50"/>
      <c r="AK427" s="85">
        <f t="shared" si="362"/>
        <v>0</v>
      </c>
      <c r="AL427" s="82" t="str">
        <f t="shared" si="332"/>
        <v/>
      </c>
      <c r="AM427" s="50"/>
      <c r="AN427" s="85">
        <f t="shared" si="363"/>
        <v>0</v>
      </c>
      <c r="AO427" s="82" t="str">
        <f t="shared" si="333"/>
        <v/>
      </c>
      <c r="AP427" s="48">
        <f t="shared" si="334"/>
        <v>0</v>
      </c>
      <c r="AQ427" s="85">
        <f t="shared" si="364"/>
        <v>0</v>
      </c>
      <c r="AR427" s="82" t="str">
        <f t="shared" si="335"/>
        <v/>
      </c>
      <c r="AS427" s="48">
        <f t="shared" si="336"/>
        <v>322</v>
      </c>
      <c r="AT427" s="85">
        <f t="shared" si="365"/>
        <v>4897.62</v>
      </c>
      <c r="AU427" s="82">
        <f t="shared" si="337"/>
        <v>1</v>
      </c>
    </row>
    <row r="428" spans="1:47" ht="45">
      <c r="A428" s="16"/>
      <c r="B428" s="97" t="s">
        <v>1553</v>
      </c>
      <c r="C428" s="167" t="s">
        <v>336</v>
      </c>
      <c r="D428" s="86" t="s">
        <v>337</v>
      </c>
      <c r="E428" s="97" t="s">
        <v>44</v>
      </c>
      <c r="F428" s="172">
        <v>11.2</v>
      </c>
      <c r="G428" s="147">
        <v>2635</v>
      </c>
      <c r="H428" s="85">
        <f t="shared" si="338"/>
        <v>29511.999999999996</v>
      </c>
      <c r="I428" s="50">
        <f t="shared" si="352"/>
        <v>0</v>
      </c>
      <c r="J428" s="85">
        <f t="shared" si="353"/>
        <v>0</v>
      </c>
      <c r="K428" s="82" t="str">
        <f t="shared" si="323"/>
        <v/>
      </c>
      <c r="L428" s="50"/>
      <c r="M428" s="85">
        <f t="shared" si="354"/>
        <v>0</v>
      </c>
      <c r="N428" s="82" t="str">
        <f t="shared" si="324"/>
        <v/>
      </c>
      <c r="O428" s="50"/>
      <c r="P428" s="85">
        <f t="shared" si="355"/>
        <v>0</v>
      </c>
      <c r="Q428" s="82" t="str">
        <f t="shared" si="325"/>
        <v/>
      </c>
      <c r="R428" s="50"/>
      <c r="S428" s="85">
        <f t="shared" si="356"/>
        <v>0</v>
      </c>
      <c r="T428" s="82" t="str">
        <f t="shared" si="326"/>
        <v/>
      </c>
      <c r="U428" s="50"/>
      <c r="V428" s="85">
        <f t="shared" si="357"/>
        <v>0</v>
      </c>
      <c r="W428" s="82" t="str">
        <f t="shared" si="327"/>
        <v/>
      </c>
      <c r="X428" s="50"/>
      <c r="Y428" s="85">
        <f t="shared" si="358"/>
        <v>0</v>
      </c>
      <c r="Z428" s="82" t="str">
        <f t="shared" si="328"/>
        <v/>
      </c>
      <c r="AA428" s="50"/>
      <c r="AB428" s="85">
        <f t="shared" si="359"/>
        <v>0</v>
      </c>
      <c r="AC428" s="82" t="str">
        <f t="shared" si="329"/>
        <v/>
      </c>
      <c r="AD428" s="50"/>
      <c r="AE428" s="85">
        <f t="shared" si="360"/>
        <v>0</v>
      </c>
      <c r="AF428" s="82" t="str">
        <f t="shared" si="330"/>
        <v/>
      </c>
      <c r="AG428" s="50"/>
      <c r="AH428" s="85">
        <f t="shared" si="361"/>
        <v>0</v>
      </c>
      <c r="AI428" s="82" t="str">
        <f t="shared" si="331"/>
        <v/>
      </c>
      <c r="AJ428" s="50"/>
      <c r="AK428" s="85">
        <f t="shared" si="362"/>
        <v>0</v>
      </c>
      <c r="AL428" s="82" t="str">
        <f t="shared" si="332"/>
        <v/>
      </c>
      <c r="AM428" s="50"/>
      <c r="AN428" s="85">
        <f t="shared" si="363"/>
        <v>0</v>
      </c>
      <c r="AO428" s="82" t="str">
        <f t="shared" si="333"/>
        <v/>
      </c>
      <c r="AP428" s="48">
        <f t="shared" si="334"/>
        <v>0</v>
      </c>
      <c r="AQ428" s="85">
        <f t="shared" si="364"/>
        <v>0</v>
      </c>
      <c r="AR428" s="82" t="str">
        <f t="shared" si="335"/>
        <v/>
      </c>
      <c r="AS428" s="48">
        <f t="shared" si="336"/>
        <v>2635</v>
      </c>
      <c r="AT428" s="85">
        <f t="shared" si="365"/>
        <v>29511.999999999996</v>
      </c>
      <c r="AU428" s="82">
        <f t="shared" si="337"/>
        <v>1</v>
      </c>
    </row>
    <row r="429" spans="1:47" ht="45">
      <c r="A429" s="16"/>
      <c r="B429" s="97" t="s">
        <v>1554</v>
      </c>
      <c r="C429" s="167" t="s">
        <v>339</v>
      </c>
      <c r="D429" s="86" t="s">
        <v>340</v>
      </c>
      <c r="E429" s="97" t="s">
        <v>44</v>
      </c>
      <c r="F429" s="172">
        <v>14.52</v>
      </c>
      <c r="G429" s="97">
        <v>161</v>
      </c>
      <c r="H429" s="85">
        <f t="shared" si="338"/>
        <v>2337.7199999999998</v>
      </c>
      <c r="I429" s="50">
        <f t="shared" si="352"/>
        <v>0</v>
      </c>
      <c r="J429" s="85">
        <f t="shared" si="353"/>
        <v>0</v>
      </c>
      <c r="K429" s="82" t="str">
        <f t="shared" si="323"/>
        <v/>
      </c>
      <c r="L429" s="50"/>
      <c r="M429" s="85">
        <f t="shared" si="354"/>
        <v>0</v>
      </c>
      <c r="N429" s="82" t="str">
        <f t="shared" si="324"/>
        <v/>
      </c>
      <c r="O429" s="50"/>
      <c r="P429" s="85">
        <f t="shared" si="355"/>
        <v>0</v>
      </c>
      <c r="Q429" s="82" t="str">
        <f t="shared" si="325"/>
        <v/>
      </c>
      <c r="R429" s="50"/>
      <c r="S429" s="85">
        <f t="shared" si="356"/>
        <v>0</v>
      </c>
      <c r="T429" s="82" t="str">
        <f t="shared" si="326"/>
        <v/>
      </c>
      <c r="U429" s="50"/>
      <c r="V429" s="85">
        <f t="shared" si="357"/>
        <v>0</v>
      </c>
      <c r="W429" s="82" t="str">
        <f t="shared" si="327"/>
        <v/>
      </c>
      <c r="X429" s="50"/>
      <c r="Y429" s="85">
        <f t="shared" si="358"/>
        <v>0</v>
      </c>
      <c r="Z429" s="82" t="str">
        <f t="shared" si="328"/>
        <v/>
      </c>
      <c r="AA429" s="50"/>
      <c r="AB429" s="85">
        <f t="shared" si="359"/>
        <v>0</v>
      </c>
      <c r="AC429" s="82" t="str">
        <f t="shared" si="329"/>
        <v/>
      </c>
      <c r="AD429" s="50"/>
      <c r="AE429" s="85">
        <f t="shared" si="360"/>
        <v>0</v>
      </c>
      <c r="AF429" s="82" t="str">
        <f t="shared" si="330"/>
        <v/>
      </c>
      <c r="AG429" s="50"/>
      <c r="AH429" s="85">
        <f t="shared" si="361"/>
        <v>0</v>
      </c>
      <c r="AI429" s="82" t="str">
        <f t="shared" si="331"/>
        <v/>
      </c>
      <c r="AJ429" s="50"/>
      <c r="AK429" s="85">
        <f t="shared" si="362"/>
        <v>0</v>
      </c>
      <c r="AL429" s="82" t="str">
        <f t="shared" si="332"/>
        <v/>
      </c>
      <c r="AM429" s="50"/>
      <c r="AN429" s="85">
        <f t="shared" si="363"/>
        <v>0</v>
      </c>
      <c r="AO429" s="82" t="str">
        <f t="shared" si="333"/>
        <v/>
      </c>
      <c r="AP429" s="48">
        <f t="shared" si="334"/>
        <v>0</v>
      </c>
      <c r="AQ429" s="85">
        <f t="shared" si="364"/>
        <v>0</v>
      </c>
      <c r="AR429" s="82" t="str">
        <f t="shared" si="335"/>
        <v/>
      </c>
      <c r="AS429" s="48">
        <f t="shared" si="336"/>
        <v>161</v>
      </c>
      <c r="AT429" s="85">
        <f t="shared" si="365"/>
        <v>2337.7199999999998</v>
      </c>
      <c r="AU429" s="82">
        <f t="shared" si="337"/>
        <v>1</v>
      </c>
    </row>
    <row r="430" spans="1:47" s="161" customFormat="1" ht="45" customHeight="1">
      <c r="A430" s="94"/>
      <c r="B430" s="116" t="s">
        <v>1555</v>
      </c>
      <c r="C430" s="1945" t="s">
        <v>1556</v>
      </c>
      <c r="D430" s="1946"/>
      <c r="E430" s="1946"/>
      <c r="F430" s="1946"/>
      <c r="G430" s="1947"/>
      <c r="H430" s="159">
        <f>SUM(H431:H442)</f>
        <v>11978.380000000001</v>
      </c>
      <c r="I430" s="50">
        <f t="shared" si="352"/>
        <v>0</v>
      </c>
      <c r="J430" s="159">
        <f>SUM(J431:J442)</f>
        <v>0</v>
      </c>
      <c r="K430" s="102">
        <f>J430/$H430</f>
        <v>0</v>
      </c>
      <c r="L430" s="101"/>
      <c r="M430" s="159">
        <f>SUM(M431:M442)</f>
        <v>0</v>
      </c>
      <c r="N430" s="102">
        <f>M430/$H430</f>
        <v>0</v>
      </c>
      <c r="O430" s="101"/>
      <c r="P430" s="159">
        <f>SUM(P431:P442)</f>
        <v>0</v>
      </c>
      <c r="Q430" s="102">
        <f>P430/$H430</f>
        <v>0</v>
      </c>
      <c r="R430" s="101"/>
      <c r="S430" s="159">
        <f>SUM(S431:S442)</f>
        <v>0</v>
      </c>
      <c r="T430" s="102">
        <f>S430/$H430</f>
        <v>0</v>
      </c>
      <c r="U430" s="101"/>
      <c r="V430" s="159">
        <f>SUM(V431:V442)</f>
        <v>0</v>
      </c>
      <c r="W430" s="102">
        <f>V430/$H430</f>
        <v>0</v>
      </c>
      <c r="X430" s="101"/>
      <c r="Y430" s="159">
        <f>SUM(Y431:Y442)</f>
        <v>0</v>
      </c>
      <c r="Z430" s="102">
        <f>Y430/$H430</f>
        <v>0</v>
      </c>
      <c r="AA430" s="101"/>
      <c r="AB430" s="159">
        <f>SUM(AB431:AB442)</f>
        <v>0</v>
      </c>
      <c r="AC430" s="102">
        <f>AB430/$H430</f>
        <v>0</v>
      </c>
      <c r="AD430" s="101"/>
      <c r="AE430" s="159">
        <f>SUM(AE431:AE442)</f>
        <v>0</v>
      </c>
      <c r="AF430" s="102">
        <f>AE430/$H430</f>
        <v>0</v>
      </c>
      <c r="AG430" s="101"/>
      <c r="AH430" s="159">
        <f>SUM(AH431:AH442)</f>
        <v>0</v>
      </c>
      <c r="AI430" s="102">
        <f>AH430/$H430</f>
        <v>0</v>
      </c>
      <c r="AJ430" s="101"/>
      <c r="AK430" s="159">
        <f>SUM(AK431:AK442)</f>
        <v>0</v>
      </c>
      <c r="AL430" s="102">
        <f>AK430/$H430</f>
        <v>0</v>
      </c>
      <c r="AM430" s="101"/>
      <c r="AN430" s="159">
        <f>SUM(AN431:AN442)</f>
        <v>0</v>
      </c>
      <c r="AO430" s="102">
        <f>AN430/$H430</f>
        <v>0</v>
      </c>
      <c r="AP430" s="160">
        <f t="shared" si="334"/>
        <v>0</v>
      </c>
      <c r="AQ430" s="159">
        <f>SUM(AQ431:AQ442)</f>
        <v>0</v>
      </c>
      <c r="AR430" s="102">
        <f>AQ430/$H430</f>
        <v>0</v>
      </c>
      <c r="AS430" s="160">
        <f t="shared" si="336"/>
        <v>0</v>
      </c>
      <c r="AT430" s="159">
        <f>SUM(AT431:AT442)</f>
        <v>11978.380000000001</v>
      </c>
      <c r="AU430" s="102">
        <f>AT430/$H430</f>
        <v>1</v>
      </c>
    </row>
    <row r="431" spans="1:47" ht="30">
      <c r="A431" s="16"/>
      <c r="B431" s="97" t="s">
        <v>1557</v>
      </c>
      <c r="C431" s="167" t="s">
        <v>1558</v>
      </c>
      <c r="D431" s="86" t="s">
        <v>1559</v>
      </c>
      <c r="E431" s="97" t="s">
        <v>28</v>
      </c>
      <c r="F431" s="172">
        <v>175.67</v>
      </c>
      <c r="G431" s="97">
        <v>1</v>
      </c>
      <c r="H431" s="85">
        <f t="shared" si="338"/>
        <v>175.67</v>
      </c>
      <c r="I431" s="50">
        <f t="shared" si="352"/>
        <v>0</v>
      </c>
      <c r="J431" s="85">
        <f t="shared" ref="J431:J442" si="366">I431*$F431</f>
        <v>0</v>
      </c>
      <c r="K431" s="82" t="str">
        <f t="shared" si="323"/>
        <v/>
      </c>
      <c r="L431" s="50"/>
      <c r="M431" s="85">
        <f t="shared" ref="M431:M442" si="367">L431*$F431</f>
        <v>0</v>
      </c>
      <c r="N431" s="82" t="str">
        <f t="shared" si="324"/>
        <v/>
      </c>
      <c r="O431" s="50"/>
      <c r="P431" s="85">
        <f t="shared" ref="P431:P442" si="368">O431*$F431</f>
        <v>0</v>
      </c>
      <c r="Q431" s="82" t="str">
        <f t="shared" si="325"/>
        <v/>
      </c>
      <c r="R431" s="50"/>
      <c r="S431" s="85">
        <f t="shared" ref="S431:S442" si="369">R431*$F431</f>
        <v>0</v>
      </c>
      <c r="T431" s="82" t="str">
        <f t="shared" si="326"/>
        <v/>
      </c>
      <c r="U431" s="50"/>
      <c r="V431" s="85">
        <f t="shared" ref="V431:V442" si="370">U431*$F431</f>
        <v>0</v>
      </c>
      <c r="W431" s="82" t="str">
        <f t="shared" si="327"/>
        <v/>
      </c>
      <c r="X431" s="50"/>
      <c r="Y431" s="85">
        <f t="shared" ref="Y431:Y442" si="371">X431*$F431</f>
        <v>0</v>
      </c>
      <c r="Z431" s="82" t="str">
        <f t="shared" si="328"/>
        <v/>
      </c>
      <c r="AA431" s="50"/>
      <c r="AB431" s="85">
        <f t="shared" ref="AB431:AB442" si="372">AA431*$F431</f>
        <v>0</v>
      </c>
      <c r="AC431" s="82" t="str">
        <f t="shared" si="329"/>
        <v/>
      </c>
      <c r="AD431" s="50"/>
      <c r="AE431" s="85">
        <f t="shared" ref="AE431:AE442" si="373">AD431*$F431</f>
        <v>0</v>
      </c>
      <c r="AF431" s="82" t="str">
        <f t="shared" si="330"/>
        <v/>
      </c>
      <c r="AG431" s="50"/>
      <c r="AH431" s="85">
        <f t="shared" ref="AH431:AH442" si="374">AG431*$F431</f>
        <v>0</v>
      </c>
      <c r="AI431" s="82" t="str">
        <f t="shared" si="331"/>
        <v/>
      </c>
      <c r="AJ431" s="50"/>
      <c r="AK431" s="85">
        <f t="shared" ref="AK431:AK442" si="375">AJ431*$F431</f>
        <v>0</v>
      </c>
      <c r="AL431" s="82" t="str">
        <f t="shared" si="332"/>
        <v/>
      </c>
      <c r="AM431" s="50"/>
      <c r="AN431" s="85">
        <f t="shared" ref="AN431:AN442" si="376">AM431*$F431</f>
        <v>0</v>
      </c>
      <c r="AO431" s="82" t="str">
        <f t="shared" si="333"/>
        <v/>
      </c>
      <c r="AP431" s="48">
        <f t="shared" si="334"/>
        <v>0</v>
      </c>
      <c r="AQ431" s="85">
        <f t="shared" ref="AQ431:AQ442" si="377">AP431*$F431</f>
        <v>0</v>
      </c>
      <c r="AR431" s="82" t="str">
        <f t="shared" si="335"/>
        <v/>
      </c>
      <c r="AS431" s="48">
        <f t="shared" si="336"/>
        <v>1</v>
      </c>
      <c r="AT431" s="85">
        <f t="shared" ref="AT431:AT442" si="378">AS431*$F431</f>
        <v>175.67</v>
      </c>
      <c r="AU431" s="82">
        <f t="shared" si="337"/>
        <v>1</v>
      </c>
    </row>
    <row r="432" spans="1:47" ht="60">
      <c r="A432" s="16"/>
      <c r="B432" s="97" t="s">
        <v>1560</v>
      </c>
      <c r="C432" s="167" t="s">
        <v>321</v>
      </c>
      <c r="D432" s="86" t="s">
        <v>322</v>
      </c>
      <c r="E432" s="97" t="s">
        <v>28</v>
      </c>
      <c r="F432" s="172">
        <v>25.9</v>
      </c>
      <c r="G432" s="97">
        <v>11</v>
      </c>
      <c r="H432" s="85">
        <f t="shared" si="338"/>
        <v>284.89999999999998</v>
      </c>
      <c r="I432" s="50">
        <f t="shared" si="352"/>
        <v>0</v>
      </c>
      <c r="J432" s="85">
        <f t="shared" si="366"/>
        <v>0</v>
      </c>
      <c r="K432" s="82" t="str">
        <f t="shared" si="323"/>
        <v/>
      </c>
      <c r="L432" s="50"/>
      <c r="M432" s="85">
        <f t="shared" si="367"/>
        <v>0</v>
      </c>
      <c r="N432" s="82" t="str">
        <f t="shared" si="324"/>
        <v/>
      </c>
      <c r="O432" s="50"/>
      <c r="P432" s="85">
        <f t="shared" si="368"/>
        <v>0</v>
      </c>
      <c r="Q432" s="82" t="str">
        <f t="shared" si="325"/>
        <v/>
      </c>
      <c r="R432" s="50"/>
      <c r="S432" s="85">
        <f t="shared" si="369"/>
        <v>0</v>
      </c>
      <c r="T432" s="82" t="str">
        <f t="shared" si="326"/>
        <v/>
      </c>
      <c r="U432" s="50"/>
      <c r="V432" s="85">
        <f t="shared" si="370"/>
        <v>0</v>
      </c>
      <c r="W432" s="82" t="str">
        <f t="shared" si="327"/>
        <v/>
      </c>
      <c r="X432" s="50"/>
      <c r="Y432" s="85">
        <f t="shared" si="371"/>
        <v>0</v>
      </c>
      <c r="Z432" s="82" t="str">
        <f t="shared" si="328"/>
        <v/>
      </c>
      <c r="AA432" s="50"/>
      <c r="AB432" s="85">
        <f t="shared" si="372"/>
        <v>0</v>
      </c>
      <c r="AC432" s="82" t="str">
        <f t="shared" si="329"/>
        <v/>
      </c>
      <c r="AD432" s="50"/>
      <c r="AE432" s="85">
        <f t="shared" si="373"/>
        <v>0</v>
      </c>
      <c r="AF432" s="82" t="str">
        <f t="shared" si="330"/>
        <v/>
      </c>
      <c r="AG432" s="50"/>
      <c r="AH432" s="85">
        <f t="shared" si="374"/>
        <v>0</v>
      </c>
      <c r="AI432" s="82" t="str">
        <f t="shared" si="331"/>
        <v/>
      </c>
      <c r="AJ432" s="50"/>
      <c r="AK432" s="85">
        <f t="shared" si="375"/>
        <v>0</v>
      </c>
      <c r="AL432" s="82" t="str">
        <f t="shared" si="332"/>
        <v/>
      </c>
      <c r="AM432" s="50"/>
      <c r="AN432" s="85">
        <f t="shared" si="376"/>
        <v>0</v>
      </c>
      <c r="AO432" s="82" t="str">
        <f t="shared" si="333"/>
        <v/>
      </c>
      <c r="AP432" s="48">
        <f t="shared" si="334"/>
        <v>0</v>
      </c>
      <c r="AQ432" s="85">
        <f t="shared" si="377"/>
        <v>0</v>
      </c>
      <c r="AR432" s="82" t="str">
        <f t="shared" si="335"/>
        <v/>
      </c>
      <c r="AS432" s="48">
        <f t="shared" si="336"/>
        <v>11</v>
      </c>
      <c r="AT432" s="85">
        <f t="shared" si="378"/>
        <v>284.89999999999998</v>
      </c>
      <c r="AU432" s="82">
        <f t="shared" si="337"/>
        <v>1</v>
      </c>
    </row>
    <row r="433" spans="1:47" ht="60">
      <c r="A433" s="16"/>
      <c r="B433" s="97" t="s">
        <v>1561</v>
      </c>
      <c r="C433" s="167" t="s">
        <v>327</v>
      </c>
      <c r="D433" s="86" t="s">
        <v>328</v>
      </c>
      <c r="E433" s="97" t="s">
        <v>28</v>
      </c>
      <c r="F433" s="172">
        <v>25.9</v>
      </c>
      <c r="G433" s="97">
        <v>55</v>
      </c>
      <c r="H433" s="85">
        <f t="shared" si="338"/>
        <v>1424.5</v>
      </c>
      <c r="I433" s="50">
        <f t="shared" si="352"/>
        <v>0</v>
      </c>
      <c r="J433" s="85">
        <f t="shared" si="366"/>
        <v>0</v>
      </c>
      <c r="K433" s="82" t="str">
        <f t="shared" si="323"/>
        <v/>
      </c>
      <c r="L433" s="50"/>
      <c r="M433" s="85">
        <f t="shared" si="367"/>
        <v>0</v>
      </c>
      <c r="N433" s="82" t="str">
        <f t="shared" si="324"/>
        <v/>
      </c>
      <c r="O433" s="50"/>
      <c r="P433" s="85">
        <f t="shared" si="368"/>
        <v>0</v>
      </c>
      <c r="Q433" s="82" t="str">
        <f t="shared" si="325"/>
        <v/>
      </c>
      <c r="R433" s="50"/>
      <c r="S433" s="85">
        <f t="shared" si="369"/>
        <v>0</v>
      </c>
      <c r="T433" s="82" t="str">
        <f t="shared" si="326"/>
        <v/>
      </c>
      <c r="U433" s="50"/>
      <c r="V433" s="85">
        <f t="shared" si="370"/>
        <v>0</v>
      </c>
      <c r="W433" s="82" t="str">
        <f t="shared" si="327"/>
        <v/>
      </c>
      <c r="X433" s="50"/>
      <c r="Y433" s="85">
        <f t="shared" si="371"/>
        <v>0</v>
      </c>
      <c r="Z433" s="82" t="str">
        <f t="shared" si="328"/>
        <v/>
      </c>
      <c r="AA433" s="50"/>
      <c r="AB433" s="85">
        <f t="shared" si="372"/>
        <v>0</v>
      </c>
      <c r="AC433" s="82" t="str">
        <f t="shared" si="329"/>
        <v/>
      </c>
      <c r="AD433" s="50"/>
      <c r="AE433" s="85">
        <f t="shared" si="373"/>
        <v>0</v>
      </c>
      <c r="AF433" s="82" t="str">
        <f t="shared" si="330"/>
        <v/>
      </c>
      <c r="AG433" s="50"/>
      <c r="AH433" s="85">
        <f t="shared" si="374"/>
        <v>0</v>
      </c>
      <c r="AI433" s="82" t="str">
        <f t="shared" si="331"/>
        <v/>
      </c>
      <c r="AJ433" s="50"/>
      <c r="AK433" s="85">
        <f t="shared" si="375"/>
        <v>0</v>
      </c>
      <c r="AL433" s="82" t="str">
        <f t="shared" si="332"/>
        <v/>
      </c>
      <c r="AM433" s="50"/>
      <c r="AN433" s="85">
        <f t="shared" si="376"/>
        <v>0</v>
      </c>
      <c r="AO433" s="82" t="str">
        <f t="shared" si="333"/>
        <v/>
      </c>
      <c r="AP433" s="48">
        <f t="shared" si="334"/>
        <v>0</v>
      </c>
      <c r="AQ433" s="85">
        <f t="shared" si="377"/>
        <v>0</v>
      </c>
      <c r="AR433" s="82" t="str">
        <f t="shared" si="335"/>
        <v/>
      </c>
      <c r="AS433" s="48">
        <f t="shared" si="336"/>
        <v>55</v>
      </c>
      <c r="AT433" s="85">
        <f t="shared" si="378"/>
        <v>1424.5</v>
      </c>
      <c r="AU433" s="82">
        <f t="shared" si="337"/>
        <v>1</v>
      </c>
    </row>
    <row r="434" spans="1:47" ht="60">
      <c r="A434" s="16"/>
      <c r="B434" s="97" t="s">
        <v>1562</v>
      </c>
      <c r="C434" s="167" t="s">
        <v>1563</v>
      </c>
      <c r="D434" s="86" t="s">
        <v>1564</v>
      </c>
      <c r="E434" s="97" t="s">
        <v>28</v>
      </c>
      <c r="F434" s="172">
        <v>25.9</v>
      </c>
      <c r="G434" s="97">
        <v>14</v>
      </c>
      <c r="H434" s="85">
        <f t="shared" si="338"/>
        <v>362.59999999999997</v>
      </c>
      <c r="I434" s="50">
        <f t="shared" si="352"/>
        <v>0</v>
      </c>
      <c r="J434" s="85">
        <f t="shared" si="366"/>
        <v>0</v>
      </c>
      <c r="K434" s="82" t="str">
        <f t="shared" si="323"/>
        <v/>
      </c>
      <c r="L434" s="50"/>
      <c r="M434" s="85">
        <f t="shared" si="367"/>
        <v>0</v>
      </c>
      <c r="N434" s="82" t="str">
        <f t="shared" si="324"/>
        <v/>
      </c>
      <c r="O434" s="50"/>
      <c r="P434" s="85">
        <f t="shared" si="368"/>
        <v>0</v>
      </c>
      <c r="Q434" s="82" t="str">
        <f t="shared" si="325"/>
        <v/>
      </c>
      <c r="R434" s="50"/>
      <c r="S434" s="85">
        <f t="shared" si="369"/>
        <v>0</v>
      </c>
      <c r="T434" s="82" t="str">
        <f t="shared" si="326"/>
        <v/>
      </c>
      <c r="U434" s="50"/>
      <c r="V434" s="85">
        <f t="shared" si="370"/>
        <v>0</v>
      </c>
      <c r="W434" s="82" t="str">
        <f t="shared" si="327"/>
        <v/>
      </c>
      <c r="X434" s="50"/>
      <c r="Y434" s="85">
        <f t="shared" si="371"/>
        <v>0</v>
      </c>
      <c r="Z434" s="82" t="str">
        <f t="shared" si="328"/>
        <v/>
      </c>
      <c r="AA434" s="50"/>
      <c r="AB434" s="85">
        <f t="shared" si="372"/>
        <v>0</v>
      </c>
      <c r="AC434" s="82" t="str">
        <f t="shared" si="329"/>
        <v/>
      </c>
      <c r="AD434" s="50"/>
      <c r="AE434" s="85">
        <f t="shared" si="373"/>
        <v>0</v>
      </c>
      <c r="AF434" s="82" t="str">
        <f t="shared" si="330"/>
        <v/>
      </c>
      <c r="AG434" s="50"/>
      <c r="AH434" s="85">
        <f t="shared" si="374"/>
        <v>0</v>
      </c>
      <c r="AI434" s="82" t="str">
        <f t="shared" si="331"/>
        <v/>
      </c>
      <c r="AJ434" s="50"/>
      <c r="AK434" s="85">
        <f t="shared" si="375"/>
        <v>0</v>
      </c>
      <c r="AL434" s="82" t="str">
        <f t="shared" si="332"/>
        <v/>
      </c>
      <c r="AM434" s="50"/>
      <c r="AN434" s="85">
        <f t="shared" si="376"/>
        <v>0</v>
      </c>
      <c r="AO434" s="82" t="str">
        <f t="shared" si="333"/>
        <v/>
      </c>
      <c r="AP434" s="48">
        <f t="shared" si="334"/>
        <v>0</v>
      </c>
      <c r="AQ434" s="85">
        <f t="shared" si="377"/>
        <v>0</v>
      </c>
      <c r="AR434" s="82" t="str">
        <f t="shared" si="335"/>
        <v/>
      </c>
      <c r="AS434" s="48">
        <f t="shared" si="336"/>
        <v>14</v>
      </c>
      <c r="AT434" s="85">
        <f t="shared" si="378"/>
        <v>362.59999999999997</v>
      </c>
      <c r="AU434" s="82">
        <f t="shared" si="337"/>
        <v>1</v>
      </c>
    </row>
    <row r="435" spans="1:47" ht="60">
      <c r="A435" s="16"/>
      <c r="B435" s="97" t="s">
        <v>1565</v>
      </c>
      <c r="C435" s="167" t="s">
        <v>1566</v>
      </c>
      <c r="D435" s="86" t="s">
        <v>1567</v>
      </c>
      <c r="E435" s="97" t="s">
        <v>28</v>
      </c>
      <c r="F435" s="172">
        <v>29.12</v>
      </c>
      <c r="G435" s="97">
        <v>3</v>
      </c>
      <c r="H435" s="85">
        <f t="shared" si="338"/>
        <v>87.36</v>
      </c>
      <c r="I435" s="50">
        <f t="shared" si="352"/>
        <v>0</v>
      </c>
      <c r="J435" s="85">
        <f t="shared" si="366"/>
        <v>0</v>
      </c>
      <c r="K435" s="82" t="str">
        <f t="shared" si="323"/>
        <v/>
      </c>
      <c r="L435" s="50"/>
      <c r="M435" s="85">
        <f t="shared" si="367"/>
        <v>0</v>
      </c>
      <c r="N435" s="82" t="str">
        <f t="shared" si="324"/>
        <v/>
      </c>
      <c r="O435" s="50"/>
      <c r="P435" s="85">
        <f t="shared" si="368"/>
        <v>0</v>
      </c>
      <c r="Q435" s="82" t="str">
        <f t="shared" si="325"/>
        <v/>
      </c>
      <c r="R435" s="50"/>
      <c r="S435" s="85">
        <f t="shared" si="369"/>
        <v>0</v>
      </c>
      <c r="T435" s="82" t="str">
        <f t="shared" si="326"/>
        <v/>
      </c>
      <c r="U435" s="50"/>
      <c r="V435" s="85">
        <f t="shared" si="370"/>
        <v>0</v>
      </c>
      <c r="W435" s="82" t="str">
        <f t="shared" si="327"/>
        <v/>
      </c>
      <c r="X435" s="50"/>
      <c r="Y435" s="85">
        <f t="shared" si="371"/>
        <v>0</v>
      </c>
      <c r="Z435" s="82" t="str">
        <f t="shared" si="328"/>
        <v/>
      </c>
      <c r="AA435" s="50"/>
      <c r="AB435" s="85">
        <f t="shared" si="372"/>
        <v>0</v>
      </c>
      <c r="AC435" s="82" t="str">
        <f t="shared" si="329"/>
        <v/>
      </c>
      <c r="AD435" s="50"/>
      <c r="AE435" s="85">
        <f t="shared" si="373"/>
        <v>0</v>
      </c>
      <c r="AF435" s="82" t="str">
        <f t="shared" si="330"/>
        <v/>
      </c>
      <c r="AG435" s="50"/>
      <c r="AH435" s="85">
        <f t="shared" si="374"/>
        <v>0</v>
      </c>
      <c r="AI435" s="82" t="str">
        <f t="shared" si="331"/>
        <v/>
      </c>
      <c r="AJ435" s="50"/>
      <c r="AK435" s="85">
        <f t="shared" si="375"/>
        <v>0</v>
      </c>
      <c r="AL435" s="82" t="str">
        <f t="shared" si="332"/>
        <v/>
      </c>
      <c r="AM435" s="50"/>
      <c r="AN435" s="85">
        <f t="shared" si="376"/>
        <v>0</v>
      </c>
      <c r="AO435" s="82" t="str">
        <f t="shared" si="333"/>
        <v/>
      </c>
      <c r="AP435" s="48">
        <f t="shared" si="334"/>
        <v>0</v>
      </c>
      <c r="AQ435" s="85">
        <f t="shared" si="377"/>
        <v>0</v>
      </c>
      <c r="AR435" s="82" t="str">
        <f t="shared" si="335"/>
        <v/>
      </c>
      <c r="AS435" s="48">
        <f t="shared" si="336"/>
        <v>3</v>
      </c>
      <c r="AT435" s="85">
        <f t="shared" si="378"/>
        <v>87.36</v>
      </c>
      <c r="AU435" s="82">
        <f t="shared" si="337"/>
        <v>1</v>
      </c>
    </row>
    <row r="436" spans="1:47" ht="60">
      <c r="A436" s="16"/>
      <c r="B436" s="97" t="s">
        <v>1568</v>
      </c>
      <c r="C436" s="167" t="s">
        <v>330</v>
      </c>
      <c r="D436" s="86" t="s">
        <v>331</v>
      </c>
      <c r="E436" s="97" t="s">
        <v>28</v>
      </c>
      <c r="F436" s="172">
        <v>70.989999999999995</v>
      </c>
      <c r="G436" s="97">
        <v>27</v>
      </c>
      <c r="H436" s="85">
        <f t="shared" si="338"/>
        <v>1916.7299999999998</v>
      </c>
      <c r="I436" s="50">
        <f t="shared" si="352"/>
        <v>0</v>
      </c>
      <c r="J436" s="85">
        <f t="shared" si="366"/>
        <v>0</v>
      </c>
      <c r="K436" s="82" t="str">
        <f t="shared" si="323"/>
        <v/>
      </c>
      <c r="L436" s="50"/>
      <c r="M436" s="85">
        <f t="shared" si="367"/>
        <v>0</v>
      </c>
      <c r="N436" s="82" t="str">
        <f t="shared" si="324"/>
        <v/>
      </c>
      <c r="O436" s="50"/>
      <c r="P436" s="85">
        <f t="shared" si="368"/>
        <v>0</v>
      </c>
      <c r="Q436" s="82" t="str">
        <f t="shared" si="325"/>
        <v/>
      </c>
      <c r="R436" s="50"/>
      <c r="S436" s="85">
        <f t="shared" si="369"/>
        <v>0</v>
      </c>
      <c r="T436" s="82" t="str">
        <f t="shared" si="326"/>
        <v/>
      </c>
      <c r="U436" s="50"/>
      <c r="V436" s="85">
        <f t="shared" si="370"/>
        <v>0</v>
      </c>
      <c r="W436" s="82" t="str">
        <f t="shared" si="327"/>
        <v/>
      </c>
      <c r="X436" s="50"/>
      <c r="Y436" s="85">
        <f t="shared" si="371"/>
        <v>0</v>
      </c>
      <c r="Z436" s="82" t="str">
        <f t="shared" si="328"/>
        <v/>
      </c>
      <c r="AA436" s="50"/>
      <c r="AB436" s="85">
        <f t="shared" si="372"/>
        <v>0</v>
      </c>
      <c r="AC436" s="82" t="str">
        <f t="shared" si="329"/>
        <v/>
      </c>
      <c r="AD436" s="50"/>
      <c r="AE436" s="85">
        <f t="shared" si="373"/>
        <v>0</v>
      </c>
      <c r="AF436" s="82" t="str">
        <f t="shared" si="330"/>
        <v/>
      </c>
      <c r="AG436" s="50"/>
      <c r="AH436" s="85">
        <f t="shared" si="374"/>
        <v>0</v>
      </c>
      <c r="AI436" s="82" t="str">
        <f t="shared" si="331"/>
        <v/>
      </c>
      <c r="AJ436" s="50"/>
      <c r="AK436" s="85">
        <f t="shared" si="375"/>
        <v>0</v>
      </c>
      <c r="AL436" s="82" t="str">
        <f t="shared" si="332"/>
        <v/>
      </c>
      <c r="AM436" s="50"/>
      <c r="AN436" s="85">
        <f t="shared" si="376"/>
        <v>0</v>
      </c>
      <c r="AO436" s="82" t="str">
        <f t="shared" si="333"/>
        <v/>
      </c>
      <c r="AP436" s="48">
        <f t="shared" si="334"/>
        <v>0</v>
      </c>
      <c r="AQ436" s="85">
        <f t="shared" si="377"/>
        <v>0</v>
      </c>
      <c r="AR436" s="82" t="str">
        <f t="shared" si="335"/>
        <v/>
      </c>
      <c r="AS436" s="48">
        <f t="shared" si="336"/>
        <v>27</v>
      </c>
      <c r="AT436" s="85">
        <f t="shared" si="378"/>
        <v>1916.7299999999998</v>
      </c>
      <c r="AU436" s="82">
        <f t="shared" si="337"/>
        <v>1</v>
      </c>
    </row>
    <row r="437" spans="1:47" ht="60">
      <c r="A437" s="16"/>
      <c r="B437" s="97" t="s">
        <v>1569</v>
      </c>
      <c r="C437" s="167" t="s">
        <v>1570</v>
      </c>
      <c r="D437" s="86" t="s">
        <v>1571</v>
      </c>
      <c r="E437" s="97" t="s">
        <v>28</v>
      </c>
      <c r="F437" s="172">
        <v>70.989999999999995</v>
      </c>
      <c r="G437" s="97">
        <v>7</v>
      </c>
      <c r="H437" s="85">
        <f t="shared" si="338"/>
        <v>496.92999999999995</v>
      </c>
      <c r="I437" s="50">
        <f t="shared" si="352"/>
        <v>0</v>
      </c>
      <c r="J437" s="85">
        <f t="shared" si="366"/>
        <v>0</v>
      </c>
      <c r="K437" s="82" t="str">
        <f t="shared" si="323"/>
        <v/>
      </c>
      <c r="L437" s="50"/>
      <c r="M437" s="85">
        <f t="shared" si="367"/>
        <v>0</v>
      </c>
      <c r="N437" s="82" t="str">
        <f t="shared" si="324"/>
        <v/>
      </c>
      <c r="O437" s="50"/>
      <c r="P437" s="85">
        <f t="shared" si="368"/>
        <v>0</v>
      </c>
      <c r="Q437" s="82" t="str">
        <f t="shared" si="325"/>
        <v/>
      </c>
      <c r="R437" s="50"/>
      <c r="S437" s="85">
        <f t="shared" si="369"/>
        <v>0</v>
      </c>
      <c r="T437" s="82" t="str">
        <f t="shared" si="326"/>
        <v/>
      </c>
      <c r="U437" s="50"/>
      <c r="V437" s="85">
        <f t="shared" si="370"/>
        <v>0</v>
      </c>
      <c r="W437" s="82" t="str">
        <f t="shared" si="327"/>
        <v/>
      </c>
      <c r="X437" s="50"/>
      <c r="Y437" s="85">
        <f t="shared" si="371"/>
        <v>0</v>
      </c>
      <c r="Z437" s="82" t="str">
        <f t="shared" si="328"/>
        <v/>
      </c>
      <c r="AA437" s="50"/>
      <c r="AB437" s="85">
        <f t="shared" si="372"/>
        <v>0</v>
      </c>
      <c r="AC437" s="82" t="str">
        <f t="shared" si="329"/>
        <v/>
      </c>
      <c r="AD437" s="50"/>
      <c r="AE437" s="85">
        <f t="shared" si="373"/>
        <v>0</v>
      </c>
      <c r="AF437" s="82" t="str">
        <f t="shared" si="330"/>
        <v/>
      </c>
      <c r="AG437" s="50"/>
      <c r="AH437" s="85">
        <f t="shared" si="374"/>
        <v>0</v>
      </c>
      <c r="AI437" s="82" t="str">
        <f t="shared" si="331"/>
        <v/>
      </c>
      <c r="AJ437" s="50"/>
      <c r="AK437" s="85">
        <f t="shared" si="375"/>
        <v>0</v>
      </c>
      <c r="AL437" s="82" t="str">
        <f t="shared" si="332"/>
        <v/>
      </c>
      <c r="AM437" s="50"/>
      <c r="AN437" s="85">
        <f t="shared" si="376"/>
        <v>0</v>
      </c>
      <c r="AO437" s="82" t="str">
        <f t="shared" si="333"/>
        <v/>
      </c>
      <c r="AP437" s="48">
        <f t="shared" si="334"/>
        <v>0</v>
      </c>
      <c r="AQ437" s="85">
        <f t="shared" si="377"/>
        <v>0</v>
      </c>
      <c r="AR437" s="82" t="str">
        <f t="shared" si="335"/>
        <v/>
      </c>
      <c r="AS437" s="48">
        <f t="shared" si="336"/>
        <v>7</v>
      </c>
      <c r="AT437" s="85">
        <f t="shared" si="378"/>
        <v>496.92999999999995</v>
      </c>
      <c r="AU437" s="82">
        <f t="shared" si="337"/>
        <v>1</v>
      </c>
    </row>
    <row r="438" spans="1:47" ht="60">
      <c r="A438" s="16"/>
      <c r="B438" s="97" t="s">
        <v>1572</v>
      </c>
      <c r="C438" s="167" t="s">
        <v>1573</v>
      </c>
      <c r="D438" s="86" t="s">
        <v>1574</v>
      </c>
      <c r="E438" s="97" t="s">
        <v>28</v>
      </c>
      <c r="F438" s="172">
        <v>180.01</v>
      </c>
      <c r="G438" s="97">
        <v>1</v>
      </c>
      <c r="H438" s="85">
        <f t="shared" si="338"/>
        <v>180.01</v>
      </c>
      <c r="I438" s="50">
        <f t="shared" si="352"/>
        <v>0</v>
      </c>
      <c r="J438" s="85">
        <f t="shared" si="366"/>
        <v>0</v>
      </c>
      <c r="K438" s="82" t="str">
        <f t="shared" si="323"/>
        <v/>
      </c>
      <c r="L438" s="50"/>
      <c r="M438" s="85">
        <f t="shared" si="367"/>
        <v>0</v>
      </c>
      <c r="N438" s="82" t="str">
        <f t="shared" si="324"/>
        <v/>
      </c>
      <c r="O438" s="50"/>
      <c r="P438" s="85">
        <f t="shared" si="368"/>
        <v>0</v>
      </c>
      <c r="Q438" s="82" t="str">
        <f t="shared" si="325"/>
        <v/>
      </c>
      <c r="R438" s="50"/>
      <c r="S438" s="85">
        <f t="shared" si="369"/>
        <v>0</v>
      </c>
      <c r="T438" s="82" t="str">
        <f t="shared" si="326"/>
        <v/>
      </c>
      <c r="U438" s="50"/>
      <c r="V438" s="85">
        <f t="shared" si="370"/>
        <v>0</v>
      </c>
      <c r="W438" s="82" t="str">
        <f t="shared" si="327"/>
        <v/>
      </c>
      <c r="X438" s="50"/>
      <c r="Y438" s="85">
        <f t="shared" si="371"/>
        <v>0</v>
      </c>
      <c r="Z438" s="82" t="str">
        <f t="shared" si="328"/>
        <v/>
      </c>
      <c r="AA438" s="50"/>
      <c r="AB438" s="85">
        <f t="shared" si="372"/>
        <v>0</v>
      </c>
      <c r="AC438" s="82" t="str">
        <f t="shared" si="329"/>
        <v/>
      </c>
      <c r="AD438" s="50"/>
      <c r="AE438" s="85">
        <f t="shared" si="373"/>
        <v>0</v>
      </c>
      <c r="AF438" s="82" t="str">
        <f t="shared" si="330"/>
        <v/>
      </c>
      <c r="AG438" s="50"/>
      <c r="AH438" s="85">
        <f t="shared" si="374"/>
        <v>0</v>
      </c>
      <c r="AI438" s="82" t="str">
        <f t="shared" si="331"/>
        <v/>
      </c>
      <c r="AJ438" s="50"/>
      <c r="AK438" s="85">
        <f t="shared" si="375"/>
        <v>0</v>
      </c>
      <c r="AL438" s="82" t="str">
        <f t="shared" si="332"/>
        <v/>
      </c>
      <c r="AM438" s="50"/>
      <c r="AN438" s="85">
        <f t="shared" si="376"/>
        <v>0</v>
      </c>
      <c r="AO438" s="82" t="str">
        <f t="shared" si="333"/>
        <v/>
      </c>
      <c r="AP438" s="48">
        <f t="shared" si="334"/>
        <v>0</v>
      </c>
      <c r="AQ438" s="85">
        <f t="shared" si="377"/>
        <v>0</v>
      </c>
      <c r="AR438" s="82" t="str">
        <f t="shared" si="335"/>
        <v/>
      </c>
      <c r="AS438" s="48">
        <f t="shared" si="336"/>
        <v>1</v>
      </c>
      <c r="AT438" s="85">
        <f t="shared" si="378"/>
        <v>180.01</v>
      </c>
      <c r="AU438" s="82">
        <f t="shared" si="337"/>
        <v>1</v>
      </c>
    </row>
    <row r="439" spans="1:47" ht="45">
      <c r="A439" s="16"/>
      <c r="B439" s="97" t="s">
        <v>1575</v>
      </c>
      <c r="C439" s="167" t="s">
        <v>1576</v>
      </c>
      <c r="D439" s="86" t="s">
        <v>1577</v>
      </c>
      <c r="E439" s="97" t="s">
        <v>28</v>
      </c>
      <c r="F439" s="172">
        <v>210.23</v>
      </c>
      <c r="G439" s="97">
        <v>1</v>
      </c>
      <c r="H439" s="85">
        <f t="shared" si="338"/>
        <v>210.23</v>
      </c>
      <c r="I439" s="50">
        <f t="shared" si="352"/>
        <v>0</v>
      </c>
      <c r="J439" s="85">
        <f t="shared" si="366"/>
        <v>0</v>
      </c>
      <c r="K439" s="82" t="str">
        <f t="shared" si="323"/>
        <v/>
      </c>
      <c r="L439" s="50"/>
      <c r="M439" s="85">
        <f t="shared" si="367"/>
        <v>0</v>
      </c>
      <c r="N439" s="82" t="str">
        <f t="shared" si="324"/>
        <v/>
      </c>
      <c r="O439" s="50"/>
      <c r="P439" s="85">
        <f t="shared" si="368"/>
        <v>0</v>
      </c>
      <c r="Q439" s="82" t="str">
        <f t="shared" si="325"/>
        <v/>
      </c>
      <c r="R439" s="50"/>
      <c r="S439" s="85">
        <f t="shared" si="369"/>
        <v>0</v>
      </c>
      <c r="T439" s="82" t="str">
        <f t="shared" si="326"/>
        <v/>
      </c>
      <c r="U439" s="50"/>
      <c r="V439" s="85">
        <f t="shared" si="370"/>
        <v>0</v>
      </c>
      <c r="W439" s="82" t="str">
        <f t="shared" si="327"/>
        <v/>
      </c>
      <c r="X439" s="50"/>
      <c r="Y439" s="85">
        <f t="shared" si="371"/>
        <v>0</v>
      </c>
      <c r="Z439" s="82" t="str">
        <f t="shared" si="328"/>
        <v/>
      </c>
      <c r="AA439" s="50"/>
      <c r="AB439" s="85">
        <f t="shared" si="372"/>
        <v>0</v>
      </c>
      <c r="AC439" s="82" t="str">
        <f t="shared" si="329"/>
        <v/>
      </c>
      <c r="AD439" s="50"/>
      <c r="AE439" s="85">
        <f t="shared" si="373"/>
        <v>0</v>
      </c>
      <c r="AF439" s="82" t="str">
        <f t="shared" si="330"/>
        <v/>
      </c>
      <c r="AG439" s="50"/>
      <c r="AH439" s="85">
        <f t="shared" si="374"/>
        <v>0</v>
      </c>
      <c r="AI439" s="82" t="str">
        <f t="shared" si="331"/>
        <v/>
      </c>
      <c r="AJ439" s="50"/>
      <c r="AK439" s="85">
        <f t="shared" si="375"/>
        <v>0</v>
      </c>
      <c r="AL439" s="82" t="str">
        <f t="shared" si="332"/>
        <v/>
      </c>
      <c r="AM439" s="50"/>
      <c r="AN439" s="85">
        <f t="shared" si="376"/>
        <v>0</v>
      </c>
      <c r="AO439" s="82" t="str">
        <f t="shared" si="333"/>
        <v/>
      </c>
      <c r="AP439" s="48">
        <f t="shared" si="334"/>
        <v>0</v>
      </c>
      <c r="AQ439" s="85">
        <f t="shared" si="377"/>
        <v>0</v>
      </c>
      <c r="AR439" s="82" t="str">
        <f t="shared" si="335"/>
        <v/>
      </c>
      <c r="AS439" s="48">
        <f t="shared" si="336"/>
        <v>1</v>
      </c>
      <c r="AT439" s="85">
        <f t="shared" si="378"/>
        <v>210.23</v>
      </c>
      <c r="AU439" s="82">
        <f t="shared" si="337"/>
        <v>1</v>
      </c>
    </row>
    <row r="440" spans="1:47" ht="60">
      <c r="A440" s="16"/>
      <c r="B440" s="97" t="s">
        <v>1578</v>
      </c>
      <c r="C440" s="167" t="s">
        <v>1579</v>
      </c>
      <c r="D440" s="86" t="s">
        <v>1580</v>
      </c>
      <c r="E440" s="97" t="s">
        <v>28</v>
      </c>
      <c r="F440" s="172">
        <v>508.77</v>
      </c>
      <c r="G440" s="97">
        <v>2</v>
      </c>
      <c r="H440" s="85">
        <f t="shared" si="338"/>
        <v>1017.54</v>
      </c>
      <c r="I440" s="50">
        <f t="shared" si="352"/>
        <v>0</v>
      </c>
      <c r="J440" s="85">
        <f t="shared" si="366"/>
        <v>0</v>
      </c>
      <c r="K440" s="82" t="str">
        <f t="shared" si="323"/>
        <v/>
      </c>
      <c r="L440" s="50"/>
      <c r="M440" s="85">
        <f t="shared" si="367"/>
        <v>0</v>
      </c>
      <c r="N440" s="82" t="str">
        <f t="shared" si="324"/>
        <v/>
      </c>
      <c r="O440" s="50"/>
      <c r="P440" s="85">
        <f t="shared" si="368"/>
        <v>0</v>
      </c>
      <c r="Q440" s="82" t="str">
        <f t="shared" si="325"/>
        <v/>
      </c>
      <c r="R440" s="50"/>
      <c r="S440" s="85">
        <f t="shared" si="369"/>
        <v>0</v>
      </c>
      <c r="T440" s="82" t="str">
        <f t="shared" si="326"/>
        <v/>
      </c>
      <c r="U440" s="50"/>
      <c r="V440" s="85">
        <f t="shared" si="370"/>
        <v>0</v>
      </c>
      <c r="W440" s="82" t="str">
        <f t="shared" si="327"/>
        <v/>
      </c>
      <c r="X440" s="50"/>
      <c r="Y440" s="85">
        <f t="shared" si="371"/>
        <v>0</v>
      </c>
      <c r="Z440" s="82" t="str">
        <f t="shared" si="328"/>
        <v/>
      </c>
      <c r="AA440" s="50"/>
      <c r="AB440" s="85">
        <f t="shared" si="372"/>
        <v>0</v>
      </c>
      <c r="AC440" s="82" t="str">
        <f t="shared" si="329"/>
        <v/>
      </c>
      <c r="AD440" s="50"/>
      <c r="AE440" s="85">
        <f t="shared" si="373"/>
        <v>0</v>
      </c>
      <c r="AF440" s="82" t="str">
        <f t="shared" si="330"/>
        <v/>
      </c>
      <c r="AG440" s="50"/>
      <c r="AH440" s="85">
        <f t="shared" si="374"/>
        <v>0</v>
      </c>
      <c r="AI440" s="82" t="str">
        <f t="shared" si="331"/>
        <v/>
      </c>
      <c r="AJ440" s="50"/>
      <c r="AK440" s="85">
        <f t="shared" si="375"/>
        <v>0</v>
      </c>
      <c r="AL440" s="82" t="str">
        <f t="shared" si="332"/>
        <v/>
      </c>
      <c r="AM440" s="50"/>
      <c r="AN440" s="85">
        <f t="shared" si="376"/>
        <v>0</v>
      </c>
      <c r="AO440" s="82" t="str">
        <f t="shared" si="333"/>
        <v/>
      </c>
      <c r="AP440" s="48">
        <f t="shared" si="334"/>
        <v>0</v>
      </c>
      <c r="AQ440" s="85">
        <f t="shared" si="377"/>
        <v>0</v>
      </c>
      <c r="AR440" s="82" t="str">
        <f t="shared" si="335"/>
        <v/>
      </c>
      <c r="AS440" s="48">
        <f t="shared" si="336"/>
        <v>2</v>
      </c>
      <c r="AT440" s="85">
        <f t="shared" si="378"/>
        <v>1017.54</v>
      </c>
      <c r="AU440" s="82">
        <f t="shared" si="337"/>
        <v>1</v>
      </c>
    </row>
    <row r="441" spans="1:47" ht="75">
      <c r="A441" s="16"/>
      <c r="B441" s="97" t="s">
        <v>1581</v>
      </c>
      <c r="C441" s="167" t="s">
        <v>1582</v>
      </c>
      <c r="D441" s="86" t="s">
        <v>1583</v>
      </c>
      <c r="E441" s="97" t="s">
        <v>28</v>
      </c>
      <c r="F441" s="172">
        <v>1300.31</v>
      </c>
      <c r="G441" s="97">
        <v>1</v>
      </c>
      <c r="H441" s="85">
        <f t="shared" si="338"/>
        <v>1300.31</v>
      </c>
      <c r="I441" s="50">
        <f t="shared" si="352"/>
        <v>0</v>
      </c>
      <c r="J441" s="85">
        <f t="shared" si="366"/>
        <v>0</v>
      </c>
      <c r="K441" s="82" t="str">
        <f t="shared" si="323"/>
        <v/>
      </c>
      <c r="L441" s="50"/>
      <c r="M441" s="85">
        <f t="shared" si="367"/>
        <v>0</v>
      </c>
      <c r="N441" s="82" t="str">
        <f t="shared" si="324"/>
        <v/>
      </c>
      <c r="O441" s="50"/>
      <c r="P441" s="85">
        <f t="shared" si="368"/>
        <v>0</v>
      </c>
      <c r="Q441" s="82" t="str">
        <f t="shared" si="325"/>
        <v/>
      </c>
      <c r="R441" s="50"/>
      <c r="S441" s="85">
        <f t="shared" si="369"/>
        <v>0</v>
      </c>
      <c r="T441" s="82" t="str">
        <f t="shared" si="326"/>
        <v/>
      </c>
      <c r="U441" s="50"/>
      <c r="V441" s="85">
        <f t="shared" si="370"/>
        <v>0</v>
      </c>
      <c r="W441" s="82" t="str">
        <f t="shared" si="327"/>
        <v/>
      </c>
      <c r="X441" s="50"/>
      <c r="Y441" s="85">
        <f t="shared" si="371"/>
        <v>0</v>
      </c>
      <c r="Z441" s="82" t="str">
        <f t="shared" si="328"/>
        <v/>
      </c>
      <c r="AA441" s="50"/>
      <c r="AB441" s="85">
        <f t="shared" si="372"/>
        <v>0</v>
      </c>
      <c r="AC441" s="82" t="str">
        <f t="shared" si="329"/>
        <v/>
      </c>
      <c r="AD441" s="50"/>
      <c r="AE441" s="85">
        <f t="shared" si="373"/>
        <v>0</v>
      </c>
      <c r="AF441" s="82" t="str">
        <f t="shared" si="330"/>
        <v/>
      </c>
      <c r="AG441" s="50"/>
      <c r="AH441" s="85">
        <f t="shared" si="374"/>
        <v>0</v>
      </c>
      <c r="AI441" s="82" t="str">
        <f t="shared" si="331"/>
        <v/>
      </c>
      <c r="AJ441" s="50"/>
      <c r="AK441" s="85">
        <f t="shared" si="375"/>
        <v>0</v>
      </c>
      <c r="AL441" s="82" t="str">
        <f t="shared" si="332"/>
        <v/>
      </c>
      <c r="AM441" s="50"/>
      <c r="AN441" s="85">
        <f t="shared" si="376"/>
        <v>0</v>
      </c>
      <c r="AO441" s="82" t="str">
        <f t="shared" si="333"/>
        <v/>
      </c>
      <c r="AP441" s="48">
        <f t="shared" si="334"/>
        <v>0</v>
      </c>
      <c r="AQ441" s="85">
        <f t="shared" si="377"/>
        <v>0</v>
      </c>
      <c r="AR441" s="82" t="str">
        <f t="shared" si="335"/>
        <v/>
      </c>
      <c r="AS441" s="48">
        <f t="shared" si="336"/>
        <v>1</v>
      </c>
      <c r="AT441" s="85">
        <f t="shared" si="378"/>
        <v>1300.31</v>
      </c>
      <c r="AU441" s="82">
        <f t="shared" si="337"/>
        <v>1</v>
      </c>
    </row>
    <row r="442" spans="1:47" ht="60">
      <c r="A442" s="16"/>
      <c r="B442" s="97" t="s">
        <v>1584</v>
      </c>
      <c r="C442" s="167" t="s">
        <v>1585</v>
      </c>
      <c r="D442" s="86" t="s">
        <v>1586</v>
      </c>
      <c r="E442" s="97" t="s">
        <v>28</v>
      </c>
      <c r="F442" s="172">
        <v>226.08</v>
      </c>
      <c r="G442" s="97">
        <v>20</v>
      </c>
      <c r="H442" s="85">
        <f t="shared" si="338"/>
        <v>4521.6000000000004</v>
      </c>
      <c r="I442" s="50">
        <f t="shared" si="352"/>
        <v>0</v>
      </c>
      <c r="J442" s="85">
        <f t="shared" si="366"/>
        <v>0</v>
      </c>
      <c r="K442" s="82" t="str">
        <f t="shared" si="323"/>
        <v/>
      </c>
      <c r="L442" s="50"/>
      <c r="M442" s="85">
        <f t="shared" si="367"/>
        <v>0</v>
      </c>
      <c r="N442" s="82" t="str">
        <f t="shared" si="324"/>
        <v/>
      </c>
      <c r="O442" s="50"/>
      <c r="P442" s="85">
        <f t="shared" si="368"/>
        <v>0</v>
      </c>
      <c r="Q442" s="82" t="str">
        <f t="shared" si="325"/>
        <v/>
      </c>
      <c r="R442" s="50"/>
      <c r="S442" s="85">
        <f t="shared" si="369"/>
        <v>0</v>
      </c>
      <c r="T442" s="82" t="str">
        <f t="shared" si="326"/>
        <v/>
      </c>
      <c r="U442" s="50"/>
      <c r="V442" s="85">
        <f t="shared" si="370"/>
        <v>0</v>
      </c>
      <c r="W442" s="82" t="str">
        <f t="shared" si="327"/>
        <v/>
      </c>
      <c r="X442" s="50"/>
      <c r="Y442" s="85">
        <f t="shared" si="371"/>
        <v>0</v>
      </c>
      <c r="Z442" s="82" t="str">
        <f t="shared" si="328"/>
        <v/>
      </c>
      <c r="AA442" s="50"/>
      <c r="AB442" s="85">
        <f t="shared" si="372"/>
        <v>0</v>
      </c>
      <c r="AC442" s="82" t="str">
        <f t="shared" si="329"/>
        <v/>
      </c>
      <c r="AD442" s="50"/>
      <c r="AE442" s="85">
        <f t="shared" si="373"/>
        <v>0</v>
      </c>
      <c r="AF442" s="82" t="str">
        <f t="shared" si="330"/>
        <v/>
      </c>
      <c r="AG442" s="50"/>
      <c r="AH442" s="85">
        <f t="shared" si="374"/>
        <v>0</v>
      </c>
      <c r="AI442" s="82" t="str">
        <f t="shared" si="331"/>
        <v/>
      </c>
      <c r="AJ442" s="50"/>
      <c r="AK442" s="85">
        <f t="shared" si="375"/>
        <v>0</v>
      </c>
      <c r="AL442" s="82" t="str">
        <f t="shared" si="332"/>
        <v/>
      </c>
      <c r="AM442" s="50"/>
      <c r="AN442" s="85">
        <f t="shared" si="376"/>
        <v>0</v>
      </c>
      <c r="AO442" s="82" t="str">
        <f t="shared" si="333"/>
        <v/>
      </c>
      <c r="AP442" s="48">
        <f t="shared" si="334"/>
        <v>0</v>
      </c>
      <c r="AQ442" s="85">
        <f t="shared" si="377"/>
        <v>0</v>
      </c>
      <c r="AR442" s="82" t="str">
        <f t="shared" si="335"/>
        <v/>
      </c>
      <c r="AS442" s="48">
        <f t="shared" si="336"/>
        <v>20</v>
      </c>
      <c r="AT442" s="85">
        <f t="shared" si="378"/>
        <v>4521.6000000000004</v>
      </c>
      <c r="AU442" s="82">
        <f t="shared" si="337"/>
        <v>1</v>
      </c>
    </row>
    <row r="443" spans="1:47" s="161" customFormat="1">
      <c r="A443" s="94"/>
      <c r="B443" s="116" t="s">
        <v>1587</v>
      </c>
      <c r="C443" s="1945" t="s">
        <v>1588</v>
      </c>
      <c r="D443" s="1946"/>
      <c r="E443" s="1946"/>
      <c r="F443" s="1946"/>
      <c r="G443" s="1947"/>
      <c r="H443" s="159">
        <f>SUM(H444:H451)</f>
        <v>39617.339999999997</v>
      </c>
      <c r="I443" s="50">
        <f t="shared" si="352"/>
        <v>0</v>
      </c>
      <c r="J443" s="159">
        <f>SUM(J444:J451)</f>
        <v>0</v>
      </c>
      <c r="K443" s="102">
        <f>J443/$H443</f>
        <v>0</v>
      </c>
      <c r="L443" s="101"/>
      <c r="M443" s="159">
        <f>SUM(M444:M451)</f>
        <v>0</v>
      </c>
      <c r="N443" s="102">
        <f>M443/$H443</f>
        <v>0</v>
      </c>
      <c r="O443" s="101"/>
      <c r="P443" s="159">
        <f>SUM(P444:P451)</f>
        <v>0</v>
      </c>
      <c r="Q443" s="102">
        <f>P443/$H443</f>
        <v>0</v>
      </c>
      <c r="R443" s="101"/>
      <c r="S443" s="159">
        <f>SUM(S444:S451)</f>
        <v>0</v>
      </c>
      <c r="T443" s="102">
        <f>S443/$H443</f>
        <v>0</v>
      </c>
      <c r="U443" s="101"/>
      <c r="V443" s="159">
        <f>SUM(V444:V451)</f>
        <v>0</v>
      </c>
      <c r="W443" s="102">
        <f>V443/$H443</f>
        <v>0</v>
      </c>
      <c r="X443" s="101"/>
      <c r="Y443" s="159">
        <f>SUM(Y444:Y451)</f>
        <v>0</v>
      </c>
      <c r="Z443" s="102">
        <f>Y443/$H443</f>
        <v>0</v>
      </c>
      <c r="AA443" s="101"/>
      <c r="AB443" s="159">
        <f>SUM(AB444:AB451)</f>
        <v>0</v>
      </c>
      <c r="AC443" s="102">
        <f>AB443/$H443</f>
        <v>0</v>
      </c>
      <c r="AD443" s="101"/>
      <c r="AE443" s="159">
        <f>SUM(AE444:AE451)</f>
        <v>0</v>
      </c>
      <c r="AF443" s="102">
        <f>AE443/$H443</f>
        <v>0</v>
      </c>
      <c r="AG443" s="101"/>
      <c r="AH443" s="159">
        <f>SUM(AH444:AH451)</f>
        <v>0</v>
      </c>
      <c r="AI443" s="102">
        <f>AH443/$H443</f>
        <v>0</v>
      </c>
      <c r="AJ443" s="101"/>
      <c r="AK443" s="159">
        <f>SUM(AK444:AK451)</f>
        <v>0</v>
      </c>
      <c r="AL443" s="102">
        <f>AK443/$H443</f>
        <v>0</v>
      </c>
      <c r="AM443" s="101"/>
      <c r="AN443" s="159">
        <f>SUM(AN444:AN451)</f>
        <v>0</v>
      </c>
      <c r="AO443" s="102">
        <f>AN443/$H443</f>
        <v>0</v>
      </c>
      <c r="AP443" s="160">
        <f t="shared" si="334"/>
        <v>0</v>
      </c>
      <c r="AQ443" s="159">
        <f>SUM(AQ444:AQ451)</f>
        <v>0</v>
      </c>
      <c r="AR443" s="102">
        <f>AQ443/$H443</f>
        <v>0</v>
      </c>
      <c r="AS443" s="160">
        <f t="shared" si="336"/>
        <v>0</v>
      </c>
      <c r="AT443" s="159">
        <f>SUM(AT444:AT451)</f>
        <v>39617.339999999997</v>
      </c>
      <c r="AU443" s="102">
        <f>AT443/$H443</f>
        <v>1</v>
      </c>
    </row>
    <row r="444" spans="1:47" ht="105">
      <c r="A444" s="16"/>
      <c r="B444" s="97" t="s">
        <v>1589</v>
      </c>
      <c r="C444" s="167" t="s">
        <v>1590</v>
      </c>
      <c r="D444" s="86" t="s">
        <v>1591</v>
      </c>
      <c r="E444" s="97" t="s">
        <v>28</v>
      </c>
      <c r="F444" s="172">
        <v>337.28</v>
      </c>
      <c r="G444" s="97">
        <v>3</v>
      </c>
      <c r="H444" s="85">
        <f t="shared" si="338"/>
        <v>1011.8399999999999</v>
      </c>
      <c r="I444" s="50">
        <f t="shared" si="352"/>
        <v>0</v>
      </c>
      <c r="J444" s="85">
        <f t="shared" ref="J444:J451" si="379">I444*$F444</f>
        <v>0</v>
      </c>
      <c r="K444" s="82" t="str">
        <f t="shared" si="323"/>
        <v/>
      </c>
      <c r="L444" s="50"/>
      <c r="M444" s="85">
        <f t="shared" ref="M444:M451" si="380">L444*$F444</f>
        <v>0</v>
      </c>
      <c r="N444" s="82" t="str">
        <f t="shared" si="324"/>
        <v/>
      </c>
      <c r="O444" s="50"/>
      <c r="P444" s="85">
        <f t="shared" ref="P444:P451" si="381">O444*$F444</f>
        <v>0</v>
      </c>
      <c r="Q444" s="82" t="str">
        <f t="shared" si="325"/>
        <v/>
      </c>
      <c r="R444" s="50"/>
      <c r="S444" s="85">
        <f t="shared" ref="S444:S451" si="382">R444*$F444</f>
        <v>0</v>
      </c>
      <c r="T444" s="82" t="str">
        <f t="shared" si="326"/>
        <v/>
      </c>
      <c r="U444" s="50"/>
      <c r="V444" s="85">
        <f t="shared" ref="V444:V451" si="383">U444*$F444</f>
        <v>0</v>
      </c>
      <c r="W444" s="82" t="str">
        <f t="shared" si="327"/>
        <v/>
      </c>
      <c r="X444" s="50"/>
      <c r="Y444" s="85">
        <f t="shared" ref="Y444:Y451" si="384">X444*$F444</f>
        <v>0</v>
      </c>
      <c r="Z444" s="82" t="str">
        <f t="shared" si="328"/>
        <v/>
      </c>
      <c r="AA444" s="50"/>
      <c r="AB444" s="85">
        <f t="shared" ref="AB444:AB451" si="385">AA444*$F444</f>
        <v>0</v>
      </c>
      <c r="AC444" s="82" t="str">
        <f t="shared" si="329"/>
        <v/>
      </c>
      <c r="AD444" s="50"/>
      <c r="AE444" s="85">
        <f t="shared" ref="AE444:AE451" si="386">AD444*$F444</f>
        <v>0</v>
      </c>
      <c r="AF444" s="82" t="str">
        <f t="shared" si="330"/>
        <v/>
      </c>
      <c r="AG444" s="50"/>
      <c r="AH444" s="85">
        <f t="shared" ref="AH444:AH451" si="387">AG444*$F444</f>
        <v>0</v>
      </c>
      <c r="AI444" s="82" t="str">
        <f t="shared" si="331"/>
        <v/>
      </c>
      <c r="AJ444" s="50"/>
      <c r="AK444" s="85">
        <f t="shared" ref="AK444:AK451" si="388">AJ444*$F444</f>
        <v>0</v>
      </c>
      <c r="AL444" s="82" t="str">
        <f t="shared" si="332"/>
        <v/>
      </c>
      <c r="AM444" s="50"/>
      <c r="AN444" s="85">
        <f t="shared" ref="AN444:AN451" si="389">AM444*$F444</f>
        <v>0</v>
      </c>
      <c r="AO444" s="82" t="str">
        <f t="shared" si="333"/>
        <v/>
      </c>
      <c r="AP444" s="48">
        <f t="shared" si="334"/>
        <v>0</v>
      </c>
      <c r="AQ444" s="85">
        <f t="shared" ref="AQ444:AQ451" si="390">AP444*$F444</f>
        <v>0</v>
      </c>
      <c r="AR444" s="82" t="str">
        <f t="shared" si="335"/>
        <v/>
      </c>
      <c r="AS444" s="48">
        <f t="shared" si="336"/>
        <v>3</v>
      </c>
      <c r="AT444" s="85">
        <f t="shared" ref="AT444:AT451" si="391">AS444*$F444</f>
        <v>1011.8399999999999</v>
      </c>
      <c r="AU444" s="82">
        <f t="shared" si="337"/>
        <v>1</v>
      </c>
    </row>
    <row r="445" spans="1:47" ht="105">
      <c r="A445" s="16"/>
      <c r="B445" s="97" t="s">
        <v>1592</v>
      </c>
      <c r="C445" s="167" t="s">
        <v>1593</v>
      </c>
      <c r="D445" s="86" t="s">
        <v>1594</v>
      </c>
      <c r="E445" s="97" t="s">
        <v>28</v>
      </c>
      <c r="F445" s="172">
        <v>182.12</v>
      </c>
      <c r="G445" s="97">
        <v>55</v>
      </c>
      <c r="H445" s="85">
        <f t="shared" si="338"/>
        <v>10016.6</v>
      </c>
      <c r="I445" s="50">
        <f t="shared" si="352"/>
        <v>0</v>
      </c>
      <c r="J445" s="85">
        <f t="shared" si="379"/>
        <v>0</v>
      </c>
      <c r="K445" s="82" t="str">
        <f t="shared" si="323"/>
        <v/>
      </c>
      <c r="L445" s="50"/>
      <c r="M445" s="85">
        <f t="shared" si="380"/>
        <v>0</v>
      </c>
      <c r="N445" s="82" t="str">
        <f t="shared" si="324"/>
        <v/>
      </c>
      <c r="O445" s="50"/>
      <c r="P445" s="85">
        <f t="shared" si="381"/>
        <v>0</v>
      </c>
      <c r="Q445" s="82" t="str">
        <f t="shared" si="325"/>
        <v/>
      </c>
      <c r="R445" s="50"/>
      <c r="S445" s="85">
        <f t="shared" si="382"/>
        <v>0</v>
      </c>
      <c r="T445" s="82" t="str">
        <f t="shared" si="326"/>
        <v/>
      </c>
      <c r="U445" s="50"/>
      <c r="V445" s="85">
        <f t="shared" si="383"/>
        <v>0</v>
      </c>
      <c r="W445" s="82" t="str">
        <f t="shared" si="327"/>
        <v/>
      </c>
      <c r="X445" s="50"/>
      <c r="Y445" s="85">
        <f t="shared" si="384"/>
        <v>0</v>
      </c>
      <c r="Z445" s="82" t="str">
        <f t="shared" si="328"/>
        <v/>
      </c>
      <c r="AA445" s="50"/>
      <c r="AB445" s="85">
        <f t="shared" si="385"/>
        <v>0</v>
      </c>
      <c r="AC445" s="82" t="str">
        <f t="shared" si="329"/>
        <v/>
      </c>
      <c r="AD445" s="50"/>
      <c r="AE445" s="85">
        <f t="shared" si="386"/>
        <v>0</v>
      </c>
      <c r="AF445" s="82" t="str">
        <f t="shared" si="330"/>
        <v/>
      </c>
      <c r="AG445" s="50"/>
      <c r="AH445" s="85">
        <f t="shared" si="387"/>
        <v>0</v>
      </c>
      <c r="AI445" s="82" t="str">
        <f t="shared" si="331"/>
        <v/>
      </c>
      <c r="AJ445" s="50"/>
      <c r="AK445" s="85">
        <f t="shared" si="388"/>
        <v>0</v>
      </c>
      <c r="AL445" s="82" t="str">
        <f t="shared" si="332"/>
        <v/>
      </c>
      <c r="AM445" s="50"/>
      <c r="AN445" s="85">
        <f t="shared" si="389"/>
        <v>0</v>
      </c>
      <c r="AO445" s="82" t="str">
        <f t="shared" si="333"/>
        <v/>
      </c>
      <c r="AP445" s="48">
        <f t="shared" si="334"/>
        <v>0</v>
      </c>
      <c r="AQ445" s="85">
        <f t="shared" si="390"/>
        <v>0</v>
      </c>
      <c r="AR445" s="82" t="str">
        <f t="shared" si="335"/>
        <v/>
      </c>
      <c r="AS445" s="48">
        <f t="shared" si="336"/>
        <v>55</v>
      </c>
      <c r="AT445" s="85">
        <f t="shared" si="391"/>
        <v>10016.6</v>
      </c>
      <c r="AU445" s="82">
        <f t="shared" si="337"/>
        <v>1</v>
      </c>
    </row>
    <row r="446" spans="1:47" ht="105">
      <c r="A446" s="16"/>
      <c r="B446" s="97" t="s">
        <v>1595</v>
      </c>
      <c r="C446" s="167" t="s">
        <v>1596</v>
      </c>
      <c r="D446" s="86" t="s">
        <v>1597</v>
      </c>
      <c r="E446" s="97" t="s">
        <v>28</v>
      </c>
      <c r="F446" s="172">
        <v>328.57</v>
      </c>
      <c r="G446" s="97">
        <v>50</v>
      </c>
      <c r="H446" s="85">
        <f t="shared" si="338"/>
        <v>16428.5</v>
      </c>
      <c r="I446" s="50">
        <f t="shared" si="352"/>
        <v>0</v>
      </c>
      <c r="J446" s="85">
        <f t="shared" si="379"/>
        <v>0</v>
      </c>
      <c r="K446" s="82" t="str">
        <f t="shared" si="323"/>
        <v/>
      </c>
      <c r="L446" s="50"/>
      <c r="M446" s="85">
        <f t="shared" si="380"/>
        <v>0</v>
      </c>
      <c r="N446" s="82" t="str">
        <f t="shared" si="324"/>
        <v/>
      </c>
      <c r="O446" s="50"/>
      <c r="P446" s="85">
        <f t="shared" si="381"/>
        <v>0</v>
      </c>
      <c r="Q446" s="82" t="str">
        <f t="shared" si="325"/>
        <v/>
      </c>
      <c r="R446" s="50"/>
      <c r="S446" s="85">
        <f t="shared" si="382"/>
        <v>0</v>
      </c>
      <c r="T446" s="82" t="str">
        <f t="shared" si="326"/>
        <v/>
      </c>
      <c r="U446" s="50"/>
      <c r="V446" s="85">
        <f t="shared" si="383"/>
        <v>0</v>
      </c>
      <c r="W446" s="82" t="str">
        <f t="shared" si="327"/>
        <v/>
      </c>
      <c r="X446" s="50"/>
      <c r="Y446" s="85">
        <f t="shared" si="384"/>
        <v>0</v>
      </c>
      <c r="Z446" s="82" t="str">
        <f t="shared" si="328"/>
        <v/>
      </c>
      <c r="AA446" s="50"/>
      <c r="AB446" s="85">
        <f t="shared" si="385"/>
        <v>0</v>
      </c>
      <c r="AC446" s="82" t="str">
        <f t="shared" si="329"/>
        <v/>
      </c>
      <c r="AD446" s="50"/>
      <c r="AE446" s="85">
        <f t="shared" si="386"/>
        <v>0</v>
      </c>
      <c r="AF446" s="82" t="str">
        <f t="shared" si="330"/>
        <v/>
      </c>
      <c r="AG446" s="50"/>
      <c r="AH446" s="85">
        <f t="shared" si="387"/>
        <v>0</v>
      </c>
      <c r="AI446" s="82" t="str">
        <f t="shared" si="331"/>
        <v/>
      </c>
      <c r="AJ446" s="50"/>
      <c r="AK446" s="85">
        <f t="shared" si="388"/>
        <v>0</v>
      </c>
      <c r="AL446" s="82" t="str">
        <f t="shared" si="332"/>
        <v/>
      </c>
      <c r="AM446" s="50"/>
      <c r="AN446" s="85">
        <f t="shared" si="389"/>
        <v>0</v>
      </c>
      <c r="AO446" s="82" t="str">
        <f t="shared" si="333"/>
        <v/>
      </c>
      <c r="AP446" s="48">
        <f t="shared" si="334"/>
        <v>0</v>
      </c>
      <c r="AQ446" s="85">
        <f t="shared" si="390"/>
        <v>0</v>
      </c>
      <c r="AR446" s="82" t="str">
        <f t="shared" si="335"/>
        <v/>
      </c>
      <c r="AS446" s="48">
        <f t="shared" si="336"/>
        <v>50</v>
      </c>
      <c r="AT446" s="85">
        <f t="shared" si="391"/>
        <v>16428.5</v>
      </c>
      <c r="AU446" s="82">
        <f t="shared" si="337"/>
        <v>1</v>
      </c>
    </row>
    <row r="447" spans="1:47" ht="60">
      <c r="A447" s="16"/>
      <c r="B447" s="97" t="s">
        <v>1598</v>
      </c>
      <c r="C447" s="167" t="s">
        <v>1599</v>
      </c>
      <c r="D447" s="86" t="s">
        <v>1600</v>
      </c>
      <c r="E447" s="97" t="s">
        <v>28</v>
      </c>
      <c r="F447" s="172">
        <v>106.82</v>
      </c>
      <c r="G447" s="97">
        <v>8</v>
      </c>
      <c r="H447" s="85">
        <f t="shared" si="338"/>
        <v>854.56</v>
      </c>
      <c r="I447" s="50">
        <f t="shared" si="352"/>
        <v>0</v>
      </c>
      <c r="J447" s="85">
        <f t="shared" si="379"/>
        <v>0</v>
      </c>
      <c r="K447" s="82" t="str">
        <f t="shared" si="323"/>
        <v/>
      </c>
      <c r="L447" s="50"/>
      <c r="M447" s="85">
        <f t="shared" si="380"/>
        <v>0</v>
      </c>
      <c r="N447" s="82" t="str">
        <f t="shared" si="324"/>
        <v/>
      </c>
      <c r="O447" s="50"/>
      <c r="P447" s="85">
        <f t="shared" si="381"/>
        <v>0</v>
      </c>
      <c r="Q447" s="82" t="str">
        <f t="shared" si="325"/>
        <v/>
      </c>
      <c r="R447" s="50"/>
      <c r="S447" s="85">
        <f t="shared" si="382"/>
        <v>0</v>
      </c>
      <c r="T447" s="82" t="str">
        <f t="shared" si="326"/>
        <v/>
      </c>
      <c r="U447" s="50"/>
      <c r="V447" s="85">
        <f t="shared" si="383"/>
        <v>0</v>
      </c>
      <c r="W447" s="82" t="str">
        <f t="shared" si="327"/>
        <v/>
      </c>
      <c r="X447" s="50"/>
      <c r="Y447" s="85">
        <f t="shared" si="384"/>
        <v>0</v>
      </c>
      <c r="Z447" s="82" t="str">
        <f t="shared" si="328"/>
        <v/>
      </c>
      <c r="AA447" s="50"/>
      <c r="AB447" s="85">
        <f t="shared" si="385"/>
        <v>0</v>
      </c>
      <c r="AC447" s="82" t="str">
        <f t="shared" si="329"/>
        <v/>
      </c>
      <c r="AD447" s="50"/>
      <c r="AE447" s="85">
        <f t="shared" si="386"/>
        <v>0</v>
      </c>
      <c r="AF447" s="82" t="str">
        <f t="shared" si="330"/>
        <v/>
      </c>
      <c r="AG447" s="50"/>
      <c r="AH447" s="85">
        <f t="shared" si="387"/>
        <v>0</v>
      </c>
      <c r="AI447" s="82" t="str">
        <f t="shared" si="331"/>
        <v/>
      </c>
      <c r="AJ447" s="50"/>
      <c r="AK447" s="85">
        <f t="shared" si="388"/>
        <v>0</v>
      </c>
      <c r="AL447" s="82" t="str">
        <f t="shared" si="332"/>
        <v/>
      </c>
      <c r="AM447" s="50"/>
      <c r="AN447" s="85">
        <f t="shared" si="389"/>
        <v>0</v>
      </c>
      <c r="AO447" s="82" t="str">
        <f t="shared" si="333"/>
        <v/>
      </c>
      <c r="AP447" s="48">
        <f t="shared" si="334"/>
        <v>0</v>
      </c>
      <c r="AQ447" s="85">
        <f t="shared" si="390"/>
        <v>0</v>
      </c>
      <c r="AR447" s="82" t="str">
        <f t="shared" si="335"/>
        <v/>
      </c>
      <c r="AS447" s="48">
        <f t="shared" si="336"/>
        <v>8</v>
      </c>
      <c r="AT447" s="85">
        <f t="shared" si="391"/>
        <v>854.56</v>
      </c>
      <c r="AU447" s="82">
        <f t="shared" si="337"/>
        <v>1</v>
      </c>
    </row>
    <row r="448" spans="1:47" ht="60">
      <c r="A448" s="16"/>
      <c r="B448" s="97" t="s">
        <v>1601</v>
      </c>
      <c r="C448" s="167" t="s">
        <v>1602</v>
      </c>
      <c r="D448" s="86" t="s">
        <v>1603</v>
      </c>
      <c r="E448" s="97" t="s">
        <v>28</v>
      </c>
      <c r="F448" s="172">
        <v>99.86</v>
      </c>
      <c r="G448" s="97">
        <v>4</v>
      </c>
      <c r="H448" s="85">
        <f t="shared" si="338"/>
        <v>399.44</v>
      </c>
      <c r="I448" s="50">
        <f t="shared" si="352"/>
        <v>0</v>
      </c>
      <c r="J448" s="85">
        <f t="shared" si="379"/>
        <v>0</v>
      </c>
      <c r="K448" s="82" t="str">
        <f t="shared" si="323"/>
        <v/>
      </c>
      <c r="L448" s="50"/>
      <c r="M448" s="85">
        <f t="shared" si="380"/>
        <v>0</v>
      </c>
      <c r="N448" s="82" t="str">
        <f t="shared" si="324"/>
        <v/>
      </c>
      <c r="O448" s="50"/>
      <c r="P448" s="85">
        <f t="shared" si="381"/>
        <v>0</v>
      </c>
      <c r="Q448" s="82" t="str">
        <f t="shared" si="325"/>
        <v/>
      </c>
      <c r="R448" s="50"/>
      <c r="S448" s="85">
        <f t="shared" si="382"/>
        <v>0</v>
      </c>
      <c r="T448" s="82" t="str">
        <f t="shared" si="326"/>
        <v/>
      </c>
      <c r="U448" s="50"/>
      <c r="V448" s="85">
        <f t="shared" si="383"/>
        <v>0</v>
      </c>
      <c r="W448" s="82" t="str">
        <f t="shared" si="327"/>
        <v/>
      </c>
      <c r="X448" s="50"/>
      <c r="Y448" s="85">
        <f t="shared" si="384"/>
        <v>0</v>
      </c>
      <c r="Z448" s="82" t="str">
        <f t="shared" si="328"/>
        <v/>
      </c>
      <c r="AA448" s="50"/>
      <c r="AB448" s="85">
        <f t="shared" si="385"/>
        <v>0</v>
      </c>
      <c r="AC448" s="82" t="str">
        <f t="shared" si="329"/>
        <v/>
      </c>
      <c r="AD448" s="50"/>
      <c r="AE448" s="85">
        <f t="shared" si="386"/>
        <v>0</v>
      </c>
      <c r="AF448" s="82" t="str">
        <f t="shared" si="330"/>
        <v/>
      </c>
      <c r="AG448" s="50"/>
      <c r="AH448" s="85">
        <f t="shared" si="387"/>
        <v>0</v>
      </c>
      <c r="AI448" s="82" t="str">
        <f t="shared" si="331"/>
        <v/>
      </c>
      <c r="AJ448" s="50"/>
      <c r="AK448" s="85">
        <f t="shared" si="388"/>
        <v>0</v>
      </c>
      <c r="AL448" s="82" t="str">
        <f t="shared" si="332"/>
        <v/>
      </c>
      <c r="AM448" s="50"/>
      <c r="AN448" s="85">
        <f t="shared" si="389"/>
        <v>0</v>
      </c>
      <c r="AO448" s="82" t="str">
        <f t="shared" si="333"/>
        <v/>
      </c>
      <c r="AP448" s="48">
        <f t="shared" si="334"/>
        <v>0</v>
      </c>
      <c r="AQ448" s="85">
        <f t="shared" si="390"/>
        <v>0</v>
      </c>
      <c r="AR448" s="82" t="str">
        <f t="shared" si="335"/>
        <v/>
      </c>
      <c r="AS448" s="48">
        <f t="shared" si="336"/>
        <v>4</v>
      </c>
      <c r="AT448" s="85">
        <f t="shared" si="391"/>
        <v>399.44</v>
      </c>
      <c r="AU448" s="82">
        <f t="shared" si="337"/>
        <v>1</v>
      </c>
    </row>
    <row r="449" spans="1:56" ht="60">
      <c r="A449" s="16"/>
      <c r="B449" s="97" t="s">
        <v>1604</v>
      </c>
      <c r="C449" s="167" t="s">
        <v>1605</v>
      </c>
      <c r="D449" s="86" t="s">
        <v>1606</v>
      </c>
      <c r="E449" s="97" t="s">
        <v>28</v>
      </c>
      <c r="F449" s="172">
        <v>187.98</v>
      </c>
      <c r="G449" s="97">
        <v>31</v>
      </c>
      <c r="H449" s="85">
        <f t="shared" si="338"/>
        <v>5827.38</v>
      </c>
      <c r="I449" s="50">
        <f t="shared" si="352"/>
        <v>0</v>
      </c>
      <c r="J449" s="85">
        <f t="shared" si="379"/>
        <v>0</v>
      </c>
      <c r="K449" s="82" t="str">
        <f t="shared" si="323"/>
        <v/>
      </c>
      <c r="L449" s="50"/>
      <c r="M449" s="85">
        <f t="shared" si="380"/>
        <v>0</v>
      </c>
      <c r="N449" s="82" t="str">
        <f t="shared" si="324"/>
        <v/>
      </c>
      <c r="O449" s="50"/>
      <c r="P449" s="85">
        <f t="shared" si="381"/>
        <v>0</v>
      </c>
      <c r="Q449" s="82" t="str">
        <f t="shared" si="325"/>
        <v/>
      </c>
      <c r="R449" s="50"/>
      <c r="S449" s="85">
        <f t="shared" si="382"/>
        <v>0</v>
      </c>
      <c r="T449" s="82" t="str">
        <f t="shared" si="326"/>
        <v/>
      </c>
      <c r="U449" s="50"/>
      <c r="V449" s="85">
        <f t="shared" si="383"/>
        <v>0</v>
      </c>
      <c r="W449" s="82" t="str">
        <f t="shared" si="327"/>
        <v/>
      </c>
      <c r="X449" s="50"/>
      <c r="Y449" s="85">
        <f t="shared" si="384"/>
        <v>0</v>
      </c>
      <c r="Z449" s="82" t="str">
        <f t="shared" si="328"/>
        <v/>
      </c>
      <c r="AA449" s="50"/>
      <c r="AB449" s="85">
        <f t="shared" si="385"/>
        <v>0</v>
      </c>
      <c r="AC449" s="82" t="str">
        <f t="shared" si="329"/>
        <v/>
      </c>
      <c r="AD449" s="50"/>
      <c r="AE449" s="85">
        <f t="shared" si="386"/>
        <v>0</v>
      </c>
      <c r="AF449" s="82" t="str">
        <f t="shared" si="330"/>
        <v/>
      </c>
      <c r="AG449" s="50"/>
      <c r="AH449" s="85">
        <f t="shared" si="387"/>
        <v>0</v>
      </c>
      <c r="AI449" s="82" t="str">
        <f t="shared" si="331"/>
        <v/>
      </c>
      <c r="AJ449" s="50"/>
      <c r="AK449" s="85">
        <f t="shared" si="388"/>
        <v>0</v>
      </c>
      <c r="AL449" s="82" t="str">
        <f t="shared" si="332"/>
        <v/>
      </c>
      <c r="AM449" s="50"/>
      <c r="AN449" s="85">
        <f t="shared" si="389"/>
        <v>0</v>
      </c>
      <c r="AO449" s="82" t="str">
        <f t="shared" si="333"/>
        <v/>
      </c>
      <c r="AP449" s="48">
        <f t="shared" si="334"/>
        <v>0</v>
      </c>
      <c r="AQ449" s="85">
        <f t="shared" si="390"/>
        <v>0</v>
      </c>
      <c r="AR449" s="82" t="str">
        <f t="shared" si="335"/>
        <v/>
      </c>
      <c r="AS449" s="48">
        <f t="shared" si="336"/>
        <v>31</v>
      </c>
      <c r="AT449" s="85">
        <f t="shared" si="391"/>
        <v>5827.38</v>
      </c>
      <c r="AU449" s="82">
        <f t="shared" si="337"/>
        <v>1</v>
      </c>
    </row>
    <row r="450" spans="1:56" ht="60">
      <c r="A450" s="16"/>
      <c r="B450" s="97" t="s">
        <v>1607</v>
      </c>
      <c r="C450" s="167" t="s">
        <v>439</v>
      </c>
      <c r="D450" s="86" t="s">
        <v>440</v>
      </c>
      <c r="E450" s="97" t="s">
        <v>28</v>
      </c>
      <c r="F450" s="172">
        <v>280.82</v>
      </c>
      <c r="G450" s="97">
        <v>11</v>
      </c>
      <c r="H450" s="85">
        <f t="shared" si="338"/>
        <v>3089.02</v>
      </c>
      <c r="I450" s="50">
        <f t="shared" si="352"/>
        <v>0</v>
      </c>
      <c r="J450" s="85">
        <f t="shared" si="379"/>
        <v>0</v>
      </c>
      <c r="K450" s="82" t="str">
        <f t="shared" ref="K450:K513" si="392">IF(I450=0,"",I450/$G450)</f>
        <v/>
      </c>
      <c r="L450" s="50"/>
      <c r="M450" s="85">
        <f t="shared" si="380"/>
        <v>0</v>
      </c>
      <c r="N450" s="82" t="str">
        <f t="shared" ref="N450:N513" si="393">IF(L450=0,"",L450/$G450)</f>
        <v/>
      </c>
      <c r="O450" s="50"/>
      <c r="P450" s="85">
        <f t="shared" si="381"/>
        <v>0</v>
      </c>
      <c r="Q450" s="82" t="str">
        <f t="shared" ref="Q450:Q513" si="394">IF(O450=0,"",O450/$G450)</f>
        <v/>
      </c>
      <c r="R450" s="50"/>
      <c r="S450" s="85">
        <f t="shared" si="382"/>
        <v>0</v>
      </c>
      <c r="T450" s="82" t="str">
        <f t="shared" ref="T450:T513" si="395">IF(R450=0,"",R450/$G450)</f>
        <v/>
      </c>
      <c r="U450" s="50"/>
      <c r="V450" s="85">
        <f t="shared" si="383"/>
        <v>0</v>
      </c>
      <c r="W450" s="82" t="str">
        <f t="shared" ref="W450:W513" si="396">IF(U450=0,"",U450/$G450)</f>
        <v/>
      </c>
      <c r="X450" s="50"/>
      <c r="Y450" s="85">
        <f t="shared" si="384"/>
        <v>0</v>
      </c>
      <c r="Z450" s="82" t="str">
        <f t="shared" ref="Z450:Z513" si="397">IF(X450=0,"",X450/$G450)</f>
        <v/>
      </c>
      <c r="AA450" s="50"/>
      <c r="AB450" s="85">
        <f t="shared" si="385"/>
        <v>0</v>
      </c>
      <c r="AC450" s="82" t="str">
        <f t="shared" ref="AC450:AC513" si="398">IF(AA450=0,"",AA450/$G450)</f>
        <v/>
      </c>
      <c r="AD450" s="50"/>
      <c r="AE450" s="85">
        <f t="shared" si="386"/>
        <v>0</v>
      </c>
      <c r="AF450" s="82" t="str">
        <f t="shared" ref="AF450:AF513" si="399">IF(AD450=0,"",AD450/$G450)</f>
        <v/>
      </c>
      <c r="AG450" s="50"/>
      <c r="AH450" s="85">
        <f t="shared" si="387"/>
        <v>0</v>
      </c>
      <c r="AI450" s="82" t="str">
        <f t="shared" ref="AI450:AI513" si="400">IF(AG450=0,"",AG450/$G450)</f>
        <v/>
      </c>
      <c r="AJ450" s="50"/>
      <c r="AK450" s="85">
        <f t="shared" si="388"/>
        <v>0</v>
      </c>
      <c r="AL450" s="82" t="str">
        <f t="shared" ref="AL450:AL513" si="401">IF(AJ450=0,"",AJ450/$G450)</f>
        <v/>
      </c>
      <c r="AM450" s="50"/>
      <c r="AN450" s="85">
        <f t="shared" si="389"/>
        <v>0</v>
      </c>
      <c r="AO450" s="82" t="str">
        <f t="shared" ref="AO450:AO513" si="402">IF(AM450=0,"",AM450/$G450)</f>
        <v/>
      </c>
      <c r="AP450" s="48">
        <f t="shared" ref="AP450:AP513" si="403">AM450+AJ450+AG450+AD450+AA450+X450+U450+R450+O450+L450</f>
        <v>0</v>
      </c>
      <c r="AQ450" s="85">
        <f t="shared" si="390"/>
        <v>0</v>
      </c>
      <c r="AR450" s="82" t="str">
        <f t="shared" ref="AR450:AR513" si="404">IF(AP450=0,"",AP450/$G450)</f>
        <v/>
      </c>
      <c r="AS450" s="48">
        <f t="shared" ref="AS450:AS513" si="405">G450-AP450</f>
        <v>11</v>
      </c>
      <c r="AT450" s="85">
        <f t="shared" si="391"/>
        <v>3089.02</v>
      </c>
      <c r="AU450" s="82">
        <f t="shared" ref="AU450:AU513" si="406">IF(AS450=0,"",AS450/$G450)</f>
        <v>1</v>
      </c>
    </row>
    <row r="451" spans="1:56" ht="60">
      <c r="A451" s="16"/>
      <c r="B451" s="97" t="s">
        <v>1608</v>
      </c>
      <c r="C451" s="167" t="s">
        <v>1609</v>
      </c>
      <c r="D451" s="86" t="s">
        <v>1610</v>
      </c>
      <c r="E451" s="97" t="s">
        <v>28</v>
      </c>
      <c r="F451" s="172">
        <v>497.5</v>
      </c>
      <c r="G451" s="97">
        <v>4</v>
      </c>
      <c r="H451" s="85">
        <f t="shared" si="338"/>
        <v>1990</v>
      </c>
      <c r="I451" s="50">
        <f t="shared" si="352"/>
        <v>0</v>
      </c>
      <c r="J451" s="85">
        <f t="shared" si="379"/>
        <v>0</v>
      </c>
      <c r="K451" s="82" t="str">
        <f t="shared" si="392"/>
        <v/>
      </c>
      <c r="L451" s="50"/>
      <c r="M451" s="85">
        <f t="shared" si="380"/>
        <v>0</v>
      </c>
      <c r="N451" s="82" t="str">
        <f t="shared" si="393"/>
        <v/>
      </c>
      <c r="O451" s="50"/>
      <c r="P451" s="85">
        <f t="shared" si="381"/>
        <v>0</v>
      </c>
      <c r="Q451" s="82" t="str">
        <f t="shared" si="394"/>
        <v/>
      </c>
      <c r="R451" s="50"/>
      <c r="S451" s="85">
        <f t="shared" si="382"/>
        <v>0</v>
      </c>
      <c r="T451" s="82" t="str">
        <f t="shared" si="395"/>
        <v/>
      </c>
      <c r="U451" s="50"/>
      <c r="V451" s="85">
        <f t="shared" si="383"/>
        <v>0</v>
      </c>
      <c r="W451" s="82" t="str">
        <f t="shared" si="396"/>
        <v/>
      </c>
      <c r="X451" s="50"/>
      <c r="Y451" s="85">
        <f t="shared" si="384"/>
        <v>0</v>
      </c>
      <c r="Z451" s="82" t="str">
        <f t="shared" si="397"/>
        <v/>
      </c>
      <c r="AA451" s="50"/>
      <c r="AB451" s="85">
        <f t="shared" si="385"/>
        <v>0</v>
      </c>
      <c r="AC451" s="82" t="str">
        <f t="shared" si="398"/>
        <v/>
      </c>
      <c r="AD451" s="50"/>
      <c r="AE451" s="85">
        <f t="shared" si="386"/>
        <v>0</v>
      </c>
      <c r="AF451" s="82" t="str">
        <f t="shared" si="399"/>
        <v/>
      </c>
      <c r="AG451" s="50"/>
      <c r="AH451" s="85">
        <f t="shared" si="387"/>
        <v>0</v>
      </c>
      <c r="AI451" s="82" t="str">
        <f t="shared" si="400"/>
        <v/>
      </c>
      <c r="AJ451" s="50"/>
      <c r="AK451" s="85">
        <f t="shared" si="388"/>
        <v>0</v>
      </c>
      <c r="AL451" s="82" t="str">
        <f t="shared" si="401"/>
        <v/>
      </c>
      <c r="AM451" s="50"/>
      <c r="AN451" s="85">
        <f t="shared" si="389"/>
        <v>0</v>
      </c>
      <c r="AO451" s="82" t="str">
        <f t="shared" si="402"/>
        <v/>
      </c>
      <c r="AP451" s="48">
        <f t="shared" si="403"/>
        <v>0</v>
      </c>
      <c r="AQ451" s="85">
        <f t="shared" si="390"/>
        <v>0</v>
      </c>
      <c r="AR451" s="82" t="str">
        <f t="shared" si="404"/>
        <v/>
      </c>
      <c r="AS451" s="48">
        <f t="shared" si="405"/>
        <v>4</v>
      </c>
      <c r="AT451" s="85">
        <f t="shared" si="391"/>
        <v>1990</v>
      </c>
      <c r="AU451" s="82">
        <f t="shared" si="406"/>
        <v>1</v>
      </c>
    </row>
    <row r="452" spans="1:56" s="161" customFormat="1">
      <c r="A452" s="94"/>
      <c r="B452" s="116" t="s">
        <v>1611</v>
      </c>
      <c r="C452" s="1945" t="s">
        <v>1612</v>
      </c>
      <c r="D452" s="1946"/>
      <c r="E452" s="1946"/>
      <c r="F452" s="1946"/>
      <c r="G452" s="1947"/>
      <c r="H452" s="159">
        <f>SUM(H453:H456)</f>
        <v>17192.440000000002</v>
      </c>
      <c r="I452" s="50">
        <f t="shared" si="352"/>
        <v>0</v>
      </c>
      <c r="J452" s="159">
        <f>SUM(J453:J456)</f>
        <v>0</v>
      </c>
      <c r="K452" s="102">
        <f>J452/$H452</f>
        <v>0</v>
      </c>
      <c r="L452" s="101"/>
      <c r="M452" s="159">
        <f>SUM(M453:M456)</f>
        <v>0</v>
      </c>
      <c r="N452" s="102">
        <f>M452/$H452</f>
        <v>0</v>
      </c>
      <c r="O452" s="101"/>
      <c r="P452" s="159">
        <f>SUM(P453:P456)</f>
        <v>0</v>
      </c>
      <c r="Q452" s="102">
        <f>P452/$H452</f>
        <v>0</v>
      </c>
      <c r="R452" s="101"/>
      <c r="S452" s="159">
        <f>SUM(S453:S456)</f>
        <v>0</v>
      </c>
      <c r="T452" s="102">
        <f>S452/$H452</f>
        <v>0</v>
      </c>
      <c r="U452" s="101"/>
      <c r="V452" s="159">
        <f>SUM(V453:V456)</f>
        <v>0</v>
      </c>
      <c r="W452" s="102">
        <f>V452/$H452</f>
        <v>0</v>
      </c>
      <c r="X452" s="101"/>
      <c r="Y452" s="159">
        <f>SUM(Y453:Y456)</f>
        <v>0</v>
      </c>
      <c r="Z452" s="102">
        <f>Y452/$H452</f>
        <v>0</v>
      </c>
      <c r="AA452" s="101"/>
      <c r="AB452" s="159">
        <f>SUM(AB453:AB456)</f>
        <v>0</v>
      </c>
      <c r="AC452" s="102">
        <f>AB452/$H452</f>
        <v>0</v>
      </c>
      <c r="AD452" s="101"/>
      <c r="AE452" s="159">
        <f>SUM(AE453:AE456)</f>
        <v>0</v>
      </c>
      <c r="AF452" s="102">
        <f>AE452/$H452</f>
        <v>0</v>
      </c>
      <c r="AG452" s="101"/>
      <c r="AH452" s="159">
        <f>SUM(AH453:AH456)</f>
        <v>0</v>
      </c>
      <c r="AI452" s="102">
        <f>AH452/$H452</f>
        <v>0</v>
      </c>
      <c r="AJ452" s="101"/>
      <c r="AK452" s="159">
        <f>SUM(AK453:AK456)</f>
        <v>0</v>
      </c>
      <c r="AL452" s="102">
        <f>AK452/$H452</f>
        <v>0</v>
      </c>
      <c r="AM452" s="101"/>
      <c r="AN452" s="159">
        <f>SUM(AN453:AN456)</f>
        <v>0</v>
      </c>
      <c r="AO452" s="102">
        <f>AN452/$H452</f>
        <v>0</v>
      </c>
      <c r="AP452" s="160">
        <f t="shared" si="403"/>
        <v>0</v>
      </c>
      <c r="AQ452" s="159">
        <f>SUM(AQ453:AQ456)</f>
        <v>0</v>
      </c>
      <c r="AR452" s="102">
        <f>AQ452/$H452</f>
        <v>0</v>
      </c>
      <c r="AS452" s="160">
        <f t="shared" si="405"/>
        <v>0</v>
      </c>
      <c r="AT452" s="159">
        <f>SUM(AT453:AT456)</f>
        <v>17192.440000000002</v>
      </c>
      <c r="AU452" s="102">
        <f>AT452/$H452</f>
        <v>1</v>
      </c>
    </row>
    <row r="453" spans="1:56" ht="60">
      <c r="A453" s="16"/>
      <c r="B453" s="97" t="s">
        <v>1613</v>
      </c>
      <c r="C453" s="167" t="s">
        <v>1614</v>
      </c>
      <c r="D453" s="86" t="s">
        <v>1615</v>
      </c>
      <c r="E453" s="97" t="s">
        <v>28</v>
      </c>
      <c r="F453" s="172">
        <v>821.19</v>
      </c>
      <c r="G453" s="97">
        <v>1</v>
      </c>
      <c r="H453" s="85">
        <f t="shared" si="338"/>
        <v>821.19</v>
      </c>
      <c r="I453" s="50">
        <f t="shared" si="352"/>
        <v>0</v>
      </c>
      <c r="J453" s="85">
        <f>I453*$F453</f>
        <v>0</v>
      </c>
      <c r="K453" s="82" t="str">
        <f t="shared" si="392"/>
        <v/>
      </c>
      <c r="L453" s="50"/>
      <c r="M453" s="85">
        <f>L453*$F453</f>
        <v>0</v>
      </c>
      <c r="N453" s="82" t="str">
        <f t="shared" si="393"/>
        <v/>
      </c>
      <c r="O453" s="50"/>
      <c r="P453" s="85">
        <f>O453*$F453</f>
        <v>0</v>
      </c>
      <c r="Q453" s="82" t="str">
        <f t="shared" si="394"/>
        <v/>
      </c>
      <c r="R453" s="50"/>
      <c r="S453" s="85">
        <f>R453*$F453</f>
        <v>0</v>
      </c>
      <c r="T453" s="82" t="str">
        <f t="shared" si="395"/>
        <v/>
      </c>
      <c r="U453" s="50"/>
      <c r="V453" s="85">
        <f>U453*$F453</f>
        <v>0</v>
      </c>
      <c r="W453" s="82" t="str">
        <f t="shared" si="396"/>
        <v/>
      </c>
      <c r="X453" s="50"/>
      <c r="Y453" s="85">
        <f>X453*$F453</f>
        <v>0</v>
      </c>
      <c r="Z453" s="82" t="str">
        <f t="shared" si="397"/>
        <v/>
      </c>
      <c r="AA453" s="50"/>
      <c r="AB453" s="85">
        <f>AA453*$F453</f>
        <v>0</v>
      </c>
      <c r="AC453" s="82" t="str">
        <f t="shared" si="398"/>
        <v/>
      </c>
      <c r="AD453" s="50"/>
      <c r="AE453" s="85">
        <f>AD453*$F453</f>
        <v>0</v>
      </c>
      <c r="AF453" s="82" t="str">
        <f t="shared" si="399"/>
        <v/>
      </c>
      <c r="AG453" s="50"/>
      <c r="AH453" s="85">
        <f>AG453*$F453</f>
        <v>0</v>
      </c>
      <c r="AI453" s="82" t="str">
        <f t="shared" si="400"/>
        <v/>
      </c>
      <c r="AJ453" s="50"/>
      <c r="AK453" s="85">
        <f>AJ453*$F453</f>
        <v>0</v>
      </c>
      <c r="AL453" s="82" t="str">
        <f t="shared" si="401"/>
        <v/>
      </c>
      <c r="AM453" s="50"/>
      <c r="AN453" s="85">
        <f>AM453*$F453</f>
        <v>0</v>
      </c>
      <c r="AO453" s="82" t="str">
        <f t="shared" si="402"/>
        <v/>
      </c>
      <c r="AP453" s="48">
        <f t="shared" si="403"/>
        <v>0</v>
      </c>
      <c r="AQ453" s="85">
        <f>AP453*$F453</f>
        <v>0</v>
      </c>
      <c r="AR453" s="82" t="str">
        <f t="shared" si="404"/>
        <v/>
      </c>
      <c r="AS453" s="48">
        <f t="shared" si="405"/>
        <v>1</v>
      </c>
      <c r="AT453" s="85">
        <f>AS453*$F453</f>
        <v>821.19</v>
      </c>
      <c r="AU453" s="82">
        <f t="shared" si="406"/>
        <v>1</v>
      </c>
    </row>
    <row r="454" spans="1:56" ht="105">
      <c r="A454" s="16"/>
      <c r="B454" s="97" t="s">
        <v>1616</v>
      </c>
      <c r="C454" s="167" t="s">
        <v>1617</v>
      </c>
      <c r="D454" s="86" t="s">
        <v>1618</v>
      </c>
      <c r="E454" s="97" t="s">
        <v>28</v>
      </c>
      <c r="F454" s="172">
        <v>1070.1400000000001</v>
      </c>
      <c r="G454" s="97">
        <v>3</v>
      </c>
      <c r="H454" s="85">
        <f t="shared" si="338"/>
        <v>3210.42</v>
      </c>
      <c r="I454" s="50">
        <f t="shared" si="352"/>
        <v>0</v>
      </c>
      <c r="J454" s="85">
        <f>I454*$F454</f>
        <v>0</v>
      </c>
      <c r="K454" s="82" t="str">
        <f t="shared" si="392"/>
        <v/>
      </c>
      <c r="L454" s="50"/>
      <c r="M454" s="85">
        <f>L454*$F454</f>
        <v>0</v>
      </c>
      <c r="N454" s="82" t="str">
        <f t="shared" si="393"/>
        <v/>
      </c>
      <c r="O454" s="50"/>
      <c r="P454" s="85">
        <f>O454*$F454</f>
        <v>0</v>
      </c>
      <c r="Q454" s="82" t="str">
        <f t="shared" si="394"/>
        <v/>
      </c>
      <c r="R454" s="50"/>
      <c r="S454" s="85">
        <f>R454*$F454</f>
        <v>0</v>
      </c>
      <c r="T454" s="82" t="str">
        <f t="shared" si="395"/>
        <v/>
      </c>
      <c r="U454" s="50"/>
      <c r="V454" s="85">
        <f>U454*$F454</f>
        <v>0</v>
      </c>
      <c r="W454" s="82" t="str">
        <f t="shared" si="396"/>
        <v/>
      </c>
      <c r="X454" s="50"/>
      <c r="Y454" s="85">
        <f>X454*$F454</f>
        <v>0</v>
      </c>
      <c r="Z454" s="82" t="str">
        <f t="shared" si="397"/>
        <v/>
      </c>
      <c r="AA454" s="50"/>
      <c r="AB454" s="85">
        <f>AA454*$F454</f>
        <v>0</v>
      </c>
      <c r="AC454" s="82" t="str">
        <f t="shared" si="398"/>
        <v/>
      </c>
      <c r="AD454" s="50"/>
      <c r="AE454" s="85">
        <f>AD454*$F454</f>
        <v>0</v>
      </c>
      <c r="AF454" s="82" t="str">
        <f t="shared" si="399"/>
        <v/>
      </c>
      <c r="AG454" s="50"/>
      <c r="AH454" s="85">
        <f>AG454*$F454</f>
        <v>0</v>
      </c>
      <c r="AI454" s="82" t="str">
        <f t="shared" si="400"/>
        <v/>
      </c>
      <c r="AJ454" s="50"/>
      <c r="AK454" s="85">
        <f>AJ454*$F454</f>
        <v>0</v>
      </c>
      <c r="AL454" s="82" t="str">
        <f t="shared" si="401"/>
        <v/>
      </c>
      <c r="AM454" s="50"/>
      <c r="AN454" s="85">
        <f>AM454*$F454</f>
        <v>0</v>
      </c>
      <c r="AO454" s="82" t="str">
        <f t="shared" si="402"/>
        <v/>
      </c>
      <c r="AP454" s="48">
        <f t="shared" si="403"/>
        <v>0</v>
      </c>
      <c r="AQ454" s="85">
        <f>AP454*$F454</f>
        <v>0</v>
      </c>
      <c r="AR454" s="82" t="str">
        <f t="shared" si="404"/>
        <v/>
      </c>
      <c r="AS454" s="48">
        <f t="shared" si="405"/>
        <v>3</v>
      </c>
      <c r="AT454" s="85">
        <f>AS454*$F454</f>
        <v>3210.42</v>
      </c>
      <c r="AU454" s="82">
        <f t="shared" si="406"/>
        <v>1</v>
      </c>
    </row>
    <row r="455" spans="1:56" ht="60">
      <c r="A455" s="16"/>
      <c r="B455" s="97" t="s">
        <v>1619</v>
      </c>
      <c r="C455" s="167" t="s">
        <v>1620</v>
      </c>
      <c r="D455" s="86" t="s">
        <v>1621</v>
      </c>
      <c r="E455" s="97" t="s">
        <v>28</v>
      </c>
      <c r="F455" s="172">
        <v>2264.59</v>
      </c>
      <c r="G455" s="97">
        <v>1</v>
      </c>
      <c r="H455" s="85">
        <f t="shared" si="338"/>
        <v>2264.59</v>
      </c>
      <c r="I455" s="50">
        <f t="shared" si="352"/>
        <v>0</v>
      </c>
      <c r="J455" s="85">
        <f>I455*$F455</f>
        <v>0</v>
      </c>
      <c r="K455" s="82" t="str">
        <f t="shared" si="392"/>
        <v/>
      </c>
      <c r="L455" s="50"/>
      <c r="M455" s="85">
        <f>L455*$F455</f>
        <v>0</v>
      </c>
      <c r="N455" s="82" t="str">
        <f t="shared" si="393"/>
        <v/>
      </c>
      <c r="O455" s="50"/>
      <c r="P455" s="85">
        <f>O455*$F455</f>
        <v>0</v>
      </c>
      <c r="Q455" s="82" t="str">
        <f t="shared" si="394"/>
        <v/>
      </c>
      <c r="R455" s="50"/>
      <c r="S455" s="85">
        <f>R455*$F455</f>
        <v>0</v>
      </c>
      <c r="T455" s="82" t="str">
        <f t="shared" si="395"/>
        <v/>
      </c>
      <c r="U455" s="50"/>
      <c r="V455" s="85">
        <f>U455*$F455</f>
        <v>0</v>
      </c>
      <c r="W455" s="82" t="str">
        <f t="shared" si="396"/>
        <v/>
      </c>
      <c r="X455" s="50"/>
      <c r="Y455" s="85">
        <f>X455*$F455</f>
        <v>0</v>
      </c>
      <c r="Z455" s="82" t="str">
        <f t="shared" si="397"/>
        <v/>
      </c>
      <c r="AA455" s="50"/>
      <c r="AB455" s="85">
        <f>AA455*$F455</f>
        <v>0</v>
      </c>
      <c r="AC455" s="82" t="str">
        <f t="shared" si="398"/>
        <v/>
      </c>
      <c r="AD455" s="50"/>
      <c r="AE455" s="85">
        <f>AD455*$F455</f>
        <v>0</v>
      </c>
      <c r="AF455" s="82" t="str">
        <f t="shared" si="399"/>
        <v/>
      </c>
      <c r="AG455" s="50"/>
      <c r="AH455" s="85">
        <f>AG455*$F455</f>
        <v>0</v>
      </c>
      <c r="AI455" s="82" t="str">
        <f t="shared" si="400"/>
        <v/>
      </c>
      <c r="AJ455" s="50"/>
      <c r="AK455" s="85">
        <f>AJ455*$F455</f>
        <v>0</v>
      </c>
      <c r="AL455" s="82" t="str">
        <f t="shared" si="401"/>
        <v/>
      </c>
      <c r="AM455" s="50"/>
      <c r="AN455" s="85">
        <f>AM455*$F455</f>
        <v>0</v>
      </c>
      <c r="AO455" s="82" t="str">
        <f t="shared" si="402"/>
        <v/>
      </c>
      <c r="AP455" s="48">
        <f t="shared" si="403"/>
        <v>0</v>
      </c>
      <c r="AQ455" s="85">
        <f>AP455*$F455</f>
        <v>0</v>
      </c>
      <c r="AR455" s="82" t="str">
        <f t="shared" si="404"/>
        <v/>
      </c>
      <c r="AS455" s="48">
        <f t="shared" si="405"/>
        <v>1</v>
      </c>
      <c r="AT455" s="85">
        <f>AS455*$F455</f>
        <v>2264.59</v>
      </c>
      <c r="AU455" s="82">
        <f t="shared" si="406"/>
        <v>1</v>
      </c>
    </row>
    <row r="456" spans="1:56" ht="105">
      <c r="A456" s="16"/>
      <c r="B456" s="97" t="s">
        <v>1622</v>
      </c>
      <c r="C456" s="167" t="s">
        <v>1623</v>
      </c>
      <c r="D456" s="86" t="s">
        <v>1624</v>
      </c>
      <c r="E456" s="97" t="s">
        <v>28</v>
      </c>
      <c r="F456" s="172">
        <v>10896.24</v>
      </c>
      <c r="G456" s="97">
        <v>1</v>
      </c>
      <c r="H456" s="85">
        <f t="shared" si="338"/>
        <v>10896.24</v>
      </c>
      <c r="I456" s="50">
        <f t="shared" si="352"/>
        <v>0</v>
      </c>
      <c r="J456" s="85">
        <f>I456*$F456</f>
        <v>0</v>
      </c>
      <c r="K456" s="82" t="str">
        <f t="shared" si="392"/>
        <v/>
      </c>
      <c r="L456" s="50"/>
      <c r="M456" s="85">
        <f>L456*$F456</f>
        <v>0</v>
      </c>
      <c r="N456" s="82" t="str">
        <f t="shared" si="393"/>
        <v/>
      </c>
      <c r="O456" s="50"/>
      <c r="P456" s="85">
        <f>O456*$F456</f>
        <v>0</v>
      </c>
      <c r="Q456" s="82" t="str">
        <f t="shared" si="394"/>
        <v/>
      </c>
      <c r="R456" s="50"/>
      <c r="S456" s="85">
        <f>R456*$F456</f>
        <v>0</v>
      </c>
      <c r="T456" s="82" t="str">
        <f t="shared" si="395"/>
        <v/>
      </c>
      <c r="U456" s="50"/>
      <c r="V456" s="85">
        <f>U456*$F456</f>
        <v>0</v>
      </c>
      <c r="W456" s="82" t="str">
        <f t="shared" si="396"/>
        <v/>
      </c>
      <c r="X456" s="50"/>
      <c r="Y456" s="85">
        <f>X456*$F456</f>
        <v>0</v>
      </c>
      <c r="Z456" s="82" t="str">
        <f t="shared" si="397"/>
        <v/>
      </c>
      <c r="AA456" s="50"/>
      <c r="AB456" s="85">
        <f>AA456*$F456</f>
        <v>0</v>
      </c>
      <c r="AC456" s="82" t="str">
        <f t="shared" si="398"/>
        <v/>
      </c>
      <c r="AD456" s="50"/>
      <c r="AE456" s="85">
        <f>AD456*$F456</f>
        <v>0</v>
      </c>
      <c r="AF456" s="82" t="str">
        <f t="shared" si="399"/>
        <v/>
      </c>
      <c r="AG456" s="50"/>
      <c r="AH456" s="85">
        <f>AG456*$F456</f>
        <v>0</v>
      </c>
      <c r="AI456" s="82" t="str">
        <f t="shared" si="400"/>
        <v/>
      </c>
      <c r="AJ456" s="50"/>
      <c r="AK456" s="85">
        <f>AJ456*$F456</f>
        <v>0</v>
      </c>
      <c r="AL456" s="82" t="str">
        <f t="shared" si="401"/>
        <v/>
      </c>
      <c r="AM456" s="50"/>
      <c r="AN456" s="85">
        <f>AM456*$F456</f>
        <v>0</v>
      </c>
      <c r="AO456" s="82" t="str">
        <f t="shared" si="402"/>
        <v/>
      </c>
      <c r="AP456" s="48">
        <f t="shared" si="403"/>
        <v>0</v>
      </c>
      <c r="AQ456" s="85">
        <f>AP456*$F456</f>
        <v>0</v>
      </c>
      <c r="AR456" s="82" t="str">
        <f t="shared" si="404"/>
        <v/>
      </c>
      <c r="AS456" s="48">
        <f t="shared" si="405"/>
        <v>1</v>
      </c>
      <c r="AT456" s="85">
        <f>AS456*$F456</f>
        <v>10896.24</v>
      </c>
      <c r="AU456" s="82">
        <f t="shared" si="406"/>
        <v>1</v>
      </c>
    </row>
    <row r="457" spans="1:56" s="161" customFormat="1" ht="15.75">
      <c r="A457" s="94"/>
      <c r="B457" s="116" t="s">
        <v>1625</v>
      </c>
      <c r="C457" s="1945" t="s">
        <v>677</v>
      </c>
      <c r="D457" s="1946"/>
      <c r="E457" s="1946"/>
      <c r="F457" s="1946"/>
      <c r="G457" s="1947"/>
      <c r="H457" s="159">
        <f>SUM(H458:H462)</f>
        <v>10527.365</v>
      </c>
      <c r="I457" s="50">
        <f t="shared" si="352"/>
        <v>0</v>
      </c>
      <c r="J457" s="159">
        <f>SUM(J458:J462)</f>
        <v>0</v>
      </c>
      <c r="K457" s="102">
        <f>J457/$H457</f>
        <v>0</v>
      </c>
      <c r="L457" s="101"/>
      <c r="M457" s="159">
        <f>SUM(M458:M462)</f>
        <v>0</v>
      </c>
      <c r="N457" s="102">
        <f>M457/$H457</f>
        <v>0</v>
      </c>
      <c r="O457" s="101"/>
      <c r="P457" s="159">
        <f>SUM(P458:P462)</f>
        <v>0</v>
      </c>
      <c r="Q457" s="102">
        <f>P457/$H457</f>
        <v>0</v>
      </c>
      <c r="R457" s="101"/>
      <c r="S457" s="159">
        <f>SUM(S458:S462)</f>
        <v>0</v>
      </c>
      <c r="T457" s="102">
        <f>S457/$H457</f>
        <v>0</v>
      </c>
      <c r="U457" s="101"/>
      <c r="V457" s="159">
        <f>SUM(V458:V462)</f>
        <v>0</v>
      </c>
      <c r="W457" s="102">
        <f>V457/$H457</f>
        <v>0</v>
      </c>
      <c r="X457" s="101"/>
      <c r="Y457" s="159">
        <f>SUM(Y458:Y462)</f>
        <v>0</v>
      </c>
      <c r="Z457" s="102">
        <f>Y457/$H457</f>
        <v>0</v>
      </c>
      <c r="AA457" s="101"/>
      <c r="AB457" s="159">
        <f>SUM(AB458:AB462)</f>
        <v>0</v>
      </c>
      <c r="AC457" s="102">
        <f>AB457/$H457</f>
        <v>0</v>
      </c>
      <c r="AD457" s="101"/>
      <c r="AE457" s="159">
        <f>SUM(AE458:AE462)</f>
        <v>0</v>
      </c>
      <c r="AF457" s="102">
        <f>AE457/$H457</f>
        <v>0</v>
      </c>
      <c r="AG457" s="101"/>
      <c r="AH457" s="159">
        <f>SUM(AH458:AH462)</f>
        <v>0</v>
      </c>
      <c r="AI457" s="102">
        <f>AH457/$H457</f>
        <v>0</v>
      </c>
      <c r="AJ457" s="101"/>
      <c r="AK457" s="159">
        <f>SUM(AK458:AK462)</f>
        <v>0</v>
      </c>
      <c r="AL457" s="102">
        <f>AK457/$H457</f>
        <v>0</v>
      </c>
      <c r="AM457" s="101"/>
      <c r="AN457" s="159">
        <f>SUM(AN458:AN462)</f>
        <v>0</v>
      </c>
      <c r="AO457" s="102">
        <f>AN457/$H457</f>
        <v>0</v>
      </c>
      <c r="AP457" s="160">
        <f t="shared" si="403"/>
        <v>0</v>
      </c>
      <c r="AQ457" s="159">
        <f>SUM(AQ458:AQ462)</f>
        <v>0</v>
      </c>
      <c r="AR457" s="102">
        <f>AQ457/$H457</f>
        <v>0</v>
      </c>
      <c r="AS457" s="160">
        <f t="shared" si="405"/>
        <v>0</v>
      </c>
      <c r="AT457" s="159">
        <f>SUM(AT458:AT462)</f>
        <v>10527.365</v>
      </c>
      <c r="AU457" s="102">
        <f>AT457/$H457</f>
        <v>1</v>
      </c>
      <c r="AW457" s="158"/>
      <c r="AX457" s="158"/>
      <c r="AY457" s="158"/>
      <c r="AZ457" s="1952"/>
      <c r="BA457" s="1952"/>
      <c r="BB457" s="1952"/>
      <c r="BC457" s="1952"/>
      <c r="BD457" s="1952"/>
    </row>
    <row r="458" spans="1:56" ht="30">
      <c r="A458" s="16"/>
      <c r="B458" s="97" t="s">
        <v>1626</v>
      </c>
      <c r="C458" s="167" t="s">
        <v>689</v>
      </c>
      <c r="D458" s="86" t="s">
        <v>690</v>
      </c>
      <c r="E458" s="97" t="s">
        <v>51</v>
      </c>
      <c r="F458" s="172">
        <v>59.88</v>
      </c>
      <c r="G458" s="97">
        <v>33</v>
      </c>
      <c r="H458" s="85">
        <f t="shared" si="338"/>
        <v>1976.0400000000002</v>
      </c>
      <c r="I458" s="50">
        <f t="shared" si="352"/>
        <v>0</v>
      </c>
      <c r="J458" s="85">
        <f>I458*$F458</f>
        <v>0</v>
      </c>
      <c r="K458" s="82" t="str">
        <f t="shared" si="392"/>
        <v/>
      </c>
      <c r="L458" s="50"/>
      <c r="M458" s="85">
        <f>L458*$F458</f>
        <v>0</v>
      </c>
      <c r="N458" s="82" t="str">
        <f t="shared" si="393"/>
        <v/>
      </c>
      <c r="O458" s="50"/>
      <c r="P458" s="85">
        <f>O458*$F458</f>
        <v>0</v>
      </c>
      <c r="Q458" s="82" t="str">
        <f t="shared" si="394"/>
        <v/>
      </c>
      <c r="R458" s="50"/>
      <c r="S458" s="85">
        <f>R458*$F458</f>
        <v>0</v>
      </c>
      <c r="T458" s="82" t="str">
        <f t="shared" si="395"/>
        <v/>
      </c>
      <c r="U458" s="50"/>
      <c r="V458" s="85">
        <f>U458*$F458</f>
        <v>0</v>
      </c>
      <c r="W458" s="82" t="str">
        <f t="shared" si="396"/>
        <v/>
      </c>
      <c r="X458" s="50"/>
      <c r="Y458" s="85">
        <f>X458*$F458</f>
        <v>0</v>
      </c>
      <c r="Z458" s="82" t="str">
        <f t="shared" si="397"/>
        <v/>
      </c>
      <c r="AA458" s="50"/>
      <c r="AB458" s="85">
        <f>AA458*$F458</f>
        <v>0</v>
      </c>
      <c r="AC458" s="82" t="str">
        <f t="shared" si="398"/>
        <v/>
      </c>
      <c r="AD458" s="50"/>
      <c r="AE458" s="85">
        <f>AD458*$F458</f>
        <v>0</v>
      </c>
      <c r="AF458" s="82" t="str">
        <f t="shared" si="399"/>
        <v/>
      </c>
      <c r="AG458" s="50"/>
      <c r="AH458" s="85">
        <f>AG458*$F458</f>
        <v>0</v>
      </c>
      <c r="AI458" s="82" t="str">
        <f t="shared" si="400"/>
        <v/>
      </c>
      <c r="AJ458" s="50"/>
      <c r="AK458" s="85">
        <f>AJ458*$F458</f>
        <v>0</v>
      </c>
      <c r="AL458" s="82" t="str">
        <f t="shared" si="401"/>
        <v/>
      </c>
      <c r="AM458" s="50"/>
      <c r="AN458" s="85">
        <f>AM458*$F458</f>
        <v>0</v>
      </c>
      <c r="AO458" s="82" t="str">
        <f t="shared" si="402"/>
        <v/>
      </c>
      <c r="AP458" s="48">
        <f t="shared" si="403"/>
        <v>0</v>
      </c>
      <c r="AQ458" s="85">
        <f>AP458*$F458</f>
        <v>0</v>
      </c>
      <c r="AR458" s="82" t="str">
        <f t="shared" si="404"/>
        <v/>
      </c>
      <c r="AS458" s="48">
        <f t="shared" si="405"/>
        <v>33</v>
      </c>
      <c r="AT458" s="85">
        <f>AS458*$F458</f>
        <v>1976.0400000000002</v>
      </c>
      <c r="AU458" s="82">
        <f t="shared" si="406"/>
        <v>1</v>
      </c>
      <c r="AW458" s="51"/>
      <c r="AX458" s="51"/>
      <c r="AY458" s="51"/>
      <c r="AZ458" s="1927"/>
      <c r="BA458" s="1927"/>
      <c r="BB458" s="1927"/>
      <c r="BC458" s="1927"/>
      <c r="BD458" s="1927"/>
    </row>
    <row r="459" spans="1:56" ht="45">
      <c r="A459" s="16"/>
      <c r="B459" s="97" t="s">
        <v>1627</v>
      </c>
      <c r="C459" s="167" t="s">
        <v>1628</v>
      </c>
      <c r="D459" s="86" t="s">
        <v>1629</v>
      </c>
      <c r="E459" s="97" t="s">
        <v>51</v>
      </c>
      <c r="F459" s="172">
        <v>30.84</v>
      </c>
      <c r="G459" s="97">
        <v>23.5</v>
      </c>
      <c r="H459" s="85">
        <f t="shared" si="338"/>
        <v>724.74</v>
      </c>
      <c r="I459" s="50">
        <f t="shared" si="352"/>
        <v>0</v>
      </c>
      <c r="J459" s="85">
        <f>I459*$F459</f>
        <v>0</v>
      </c>
      <c r="K459" s="82" t="str">
        <f t="shared" si="392"/>
        <v/>
      </c>
      <c r="L459" s="50"/>
      <c r="M459" s="85">
        <f>L459*$F459</f>
        <v>0</v>
      </c>
      <c r="N459" s="82" t="str">
        <f t="shared" si="393"/>
        <v/>
      </c>
      <c r="O459" s="50"/>
      <c r="P459" s="85">
        <f>O459*$F459</f>
        <v>0</v>
      </c>
      <c r="Q459" s="82" t="str">
        <f t="shared" si="394"/>
        <v/>
      </c>
      <c r="R459" s="50"/>
      <c r="S459" s="85">
        <f>R459*$F459</f>
        <v>0</v>
      </c>
      <c r="T459" s="82" t="str">
        <f t="shared" si="395"/>
        <v/>
      </c>
      <c r="U459" s="50"/>
      <c r="V459" s="85">
        <f>U459*$F459</f>
        <v>0</v>
      </c>
      <c r="W459" s="82" t="str">
        <f t="shared" si="396"/>
        <v/>
      </c>
      <c r="X459" s="50"/>
      <c r="Y459" s="85">
        <f>X459*$F459</f>
        <v>0</v>
      </c>
      <c r="Z459" s="82" t="str">
        <f t="shared" si="397"/>
        <v/>
      </c>
      <c r="AA459" s="50"/>
      <c r="AB459" s="85">
        <f>AA459*$F459</f>
        <v>0</v>
      </c>
      <c r="AC459" s="82" t="str">
        <f t="shared" si="398"/>
        <v/>
      </c>
      <c r="AD459" s="50"/>
      <c r="AE459" s="85">
        <f>AD459*$F459</f>
        <v>0</v>
      </c>
      <c r="AF459" s="82" t="str">
        <f t="shared" si="399"/>
        <v/>
      </c>
      <c r="AG459" s="50"/>
      <c r="AH459" s="85">
        <f>AG459*$F459</f>
        <v>0</v>
      </c>
      <c r="AI459" s="82" t="str">
        <f t="shared" si="400"/>
        <v/>
      </c>
      <c r="AJ459" s="50"/>
      <c r="AK459" s="85">
        <f>AJ459*$F459</f>
        <v>0</v>
      </c>
      <c r="AL459" s="82" t="str">
        <f t="shared" si="401"/>
        <v/>
      </c>
      <c r="AM459" s="50"/>
      <c r="AN459" s="85">
        <f>AM459*$F459</f>
        <v>0</v>
      </c>
      <c r="AO459" s="82" t="str">
        <f t="shared" si="402"/>
        <v/>
      </c>
      <c r="AP459" s="48">
        <f t="shared" si="403"/>
        <v>0</v>
      </c>
      <c r="AQ459" s="85">
        <f>AP459*$F459</f>
        <v>0</v>
      </c>
      <c r="AR459" s="82" t="str">
        <f t="shared" si="404"/>
        <v/>
      </c>
      <c r="AS459" s="48">
        <f t="shared" si="405"/>
        <v>23.5</v>
      </c>
      <c r="AT459" s="85">
        <f>AS459*$F459</f>
        <v>724.74</v>
      </c>
      <c r="AU459" s="82">
        <f t="shared" si="406"/>
        <v>1</v>
      </c>
      <c r="AW459" s="51"/>
      <c r="AX459" s="51"/>
      <c r="AY459" s="51"/>
      <c r="AZ459" s="1927"/>
      <c r="BA459" s="1927"/>
      <c r="BB459" s="1927"/>
      <c r="BC459" s="1927"/>
      <c r="BD459" s="1927"/>
    </row>
    <row r="460" spans="1:56" ht="75">
      <c r="A460" s="16"/>
      <c r="B460" s="97" t="s">
        <v>1630</v>
      </c>
      <c r="C460" s="167" t="s">
        <v>1631</v>
      </c>
      <c r="D460" s="86" t="s">
        <v>1632</v>
      </c>
      <c r="E460" s="97" t="s">
        <v>44</v>
      </c>
      <c r="F460" s="172">
        <v>58.52</v>
      </c>
      <c r="G460" s="97">
        <v>99</v>
      </c>
      <c r="H460" s="85">
        <f t="shared" si="338"/>
        <v>5793.4800000000005</v>
      </c>
      <c r="I460" s="50">
        <f t="shared" si="352"/>
        <v>0</v>
      </c>
      <c r="J460" s="85">
        <f>I460*$F460</f>
        <v>0</v>
      </c>
      <c r="K460" s="82" t="str">
        <f t="shared" si="392"/>
        <v/>
      </c>
      <c r="L460" s="50"/>
      <c r="M460" s="85">
        <f>L460*$F460</f>
        <v>0</v>
      </c>
      <c r="N460" s="82" t="str">
        <f t="shared" si="393"/>
        <v/>
      </c>
      <c r="O460" s="50"/>
      <c r="P460" s="85">
        <f>O460*$F460</f>
        <v>0</v>
      </c>
      <c r="Q460" s="82" t="str">
        <f t="shared" si="394"/>
        <v/>
      </c>
      <c r="R460" s="50"/>
      <c r="S460" s="85">
        <f>R460*$F460</f>
        <v>0</v>
      </c>
      <c r="T460" s="82" t="str">
        <f t="shared" si="395"/>
        <v/>
      </c>
      <c r="U460" s="50"/>
      <c r="V460" s="85">
        <f>U460*$F460</f>
        <v>0</v>
      </c>
      <c r="W460" s="82" t="str">
        <f t="shared" si="396"/>
        <v/>
      </c>
      <c r="X460" s="50"/>
      <c r="Y460" s="85">
        <f>X460*$F460</f>
        <v>0</v>
      </c>
      <c r="Z460" s="82" t="str">
        <f t="shared" si="397"/>
        <v/>
      </c>
      <c r="AA460" s="50"/>
      <c r="AB460" s="85">
        <f>AA460*$F460</f>
        <v>0</v>
      </c>
      <c r="AC460" s="82" t="str">
        <f t="shared" si="398"/>
        <v/>
      </c>
      <c r="AD460" s="50"/>
      <c r="AE460" s="85">
        <f>AD460*$F460</f>
        <v>0</v>
      </c>
      <c r="AF460" s="82" t="str">
        <f t="shared" si="399"/>
        <v/>
      </c>
      <c r="AG460" s="50"/>
      <c r="AH460" s="85">
        <f>AG460*$F460</f>
        <v>0</v>
      </c>
      <c r="AI460" s="82" t="str">
        <f t="shared" si="400"/>
        <v/>
      </c>
      <c r="AJ460" s="50"/>
      <c r="AK460" s="85">
        <f>AJ460*$F460</f>
        <v>0</v>
      </c>
      <c r="AL460" s="82" t="str">
        <f t="shared" si="401"/>
        <v/>
      </c>
      <c r="AM460" s="50"/>
      <c r="AN460" s="85">
        <f>AM460*$F460</f>
        <v>0</v>
      </c>
      <c r="AO460" s="82" t="str">
        <f t="shared" si="402"/>
        <v/>
      </c>
      <c r="AP460" s="48">
        <f t="shared" si="403"/>
        <v>0</v>
      </c>
      <c r="AQ460" s="85">
        <f>AP460*$F460</f>
        <v>0</v>
      </c>
      <c r="AR460" s="82" t="str">
        <f t="shared" si="404"/>
        <v/>
      </c>
      <c r="AS460" s="48">
        <f t="shared" si="405"/>
        <v>99</v>
      </c>
      <c r="AT460" s="85">
        <f>AS460*$F460</f>
        <v>5793.4800000000005</v>
      </c>
      <c r="AU460" s="82">
        <f t="shared" si="406"/>
        <v>1</v>
      </c>
      <c r="AW460" s="51"/>
      <c r="AX460" s="51"/>
      <c r="AY460" s="51"/>
      <c r="AZ460" s="1927"/>
      <c r="BA460" s="1927"/>
      <c r="BB460" s="1927"/>
      <c r="BC460" s="1927"/>
      <c r="BD460" s="1927"/>
    </row>
    <row r="461" spans="1:56" ht="75">
      <c r="A461" s="16"/>
      <c r="B461" s="97" t="s">
        <v>1633</v>
      </c>
      <c r="C461" s="167" t="s">
        <v>1634</v>
      </c>
      <c r="D461" s="86" t="s">
        <v>1635</v>
      </c>
      <c r="E461" s="97" t="s">
        <v>44</v>
      </c>
      <c r="F461" s="172">
        <v>70.22</v>
      </c>
      <c r="G461" s="97">
        <v>24.75</v>
      </c>
      <c r="H461" s="85">
        <f t="shared" si="338"/>
        <v>1737.9449999999999</v>
      </c>
      <c r="I461" s="50">
        <f t="shared" si="352"/>
        <v>0</v>
      </c>
      <c r="J461" s="85">
        <f>I461*$F461</f>
        <v>0</v>
      </c>
      <c r="K461" s="82" t="str">
        <f t="shared" si="392"/>
        <v/>
      </c>
      <c r="L461" s="50"/>
      <c r="M461" s="85">
        <f>L461*$F461</f>
        <v>0</v>
      </c>
      <c r="N461" s="82" t="str">
        <f t="shared" si="393"/>
        <v/>
      </c>
      <c r="O461" s="50"/>
      <c r="P461" s="85">
        <f>O461*$F461</f>
        <v>0</v>
      </c>
      <c r="Q461" s="82" t="str">
        <f t="shared" si="394"/>
        <v/>
      </c>
      <c r="R461" s="50"/>
      <c r="S461" s="85">
        <f>R461*$F461</f>
        <v>0</v>
      </c>
      <c r="T461" s="82" t="str">
        <f t="shared" si="395"/>
        <v/>
      </c>
      <c r="U461" s="50"/>
      <c r="V461" s="85">
        <f>U461*$F461</f>
        <v>0</v>
      </c>
      <c r="W461" s="82" t="str">
        <f t="shared" si="396"/>
        <v/>
      </c>
      <c r="X461" s="50"/>
      <c r="Y461" s="85">
        <f>X461*$F461</f>
        <v>0</v>
      </c>
      <c r="Z461" s="82" t="str">
        <f t="shared" si="397"/>
        <v/>
      </c>
      <c r="AA461" s="50"/>
      <c r="AB461" s="85">
        <f>AA461*$F461</f>
        <v>0</v>
      </c>
      <c r="AC461" s="82" t="str">
        <f t="shared" si="398"/>
        <v/>
      </c>
      <c r="AD461" s="50"/>
      <c r="AE461" s="85">
        <f>AD461*$F461</f>
        <v>0</v>
      </c>
      <c r="AF461" s="82" t="str">
        <f t="shared" si="399"/>
        <v/>
      </c>
      <c r="AG461" s="50"/>
      <c r="AH461" s="85">
        <f>AG461*$F461</f>
        <v>0</v>
      </c>
      <c r="AI461" s="82" t="str">
        <f t="shared" si="400"/>
        <v/>
      </c>
      <c r="AJ461" s="50"/>
      <c r="AK461" s="85">
        <f>AJ461*$F461</f>
        <v>0</v>
      </c>
      <c r="AL461" s="82" t="str">
        <f t="shared" si="401"/>
        <v/>
      </c>
      <c r="AM461" s="50"/>
      <c r="AN461" s="85">
        <f>AM461*$F461</f>
        <v>0</v>
      </c>
      <c r="AO461" s="82" t="str">
        <f t="shared" si="402"/>
        <v/>
      </c>
      <c r="AP461" s="48">
        <f t="shared" si="403"/>
        <v>0</v>
      </c>
      <c r="AQ461" s="85">
        <f>AP461*$F461</f>
        <v>0</v>
      </c>
      <c r="AR461" s="82" t="str">
        <f t="shared" si="404"/>
        <v/>
      </c>
      <c r="AS461" s="48">
        <f t="shared" si="405"/>
        <v>24.75</v>
      </c>
      <c r="AT461" s="85">
        <f>AS461*$F461</f>
        <v>1737.9449999999999</v>
      </c>
      <c r="AU461" s="82">
        <f t="shared" si="406"/>
        <v>1</v>
      </c>
      <c r="AW461" s="51"/>
      <c r="AX461" s="51"/>
      <c r="AY461" s="51"/>
      <c r="AZ461" s="1940"/>
      <c r="BA461" s="1940"/>
      <c r="BB461" s="1940"/>
      <c r="BC461" s="1940"/>
      <c r="BD461" s="1940"/>
    </row>
    <row r="462" spans="1:56" ht="45">
      <c r="A462" s="16"/>
      <c r="B462" s="97" t="s">
        <v>1636</v>
      </c>
      <c r="C462" s="167" t="s">
        <v>218</v>
      </c>
      <c r="D462" s="86" t="s">
        <v>219</v>
      </c>
      <c r="E462" s="97" t="s">
        <v>44</v>
      </c>
      <c r="F462" s="172">
        <v>12.56</v>
      </c>
      <c r="G462" s="97">
        <v>23.5</v>
      </c>
      <c r="H462" s="85">
        <f t="shared" si="338"/>
        <v>295.16000000000003</v>
      </c>
      <c r="I462" s="50">
        <f t="shared" si="352"/>
        <v>0</v>
      </c>
      <c r="J462" s="85">
        <f>I462*$F462</f>
        <v>0</v>
      </c>
      <c r="K462" s="82" t="str">
        <f t="shared" si="392"/>
        <v/>
      </c>
      <c r="L462" s="50"/>
      <c r="M462" s="85">
        <f>L462*$F462</f>
        <v>0</v>
      </c>
      <c r="N462" s="82" t="str">
        <f t="shared" si="393"/>
        <v/>
      </c>
      <c r="O462" s="50"/>
      <c r="P462" s="85">
        <f>O462*$F462</f>
        <v>0</v>
      </c>
      <c r="Q462" s="82" t="str">
        <f t="shared" si="394"/>
        <v/>
      </c>
      <c r="R462" s="50"/>
      <c r="S462" s="85">
        <f>R462*$F462</f>
        <v>0</v>
      </c>
      <c r="T462" s="82" t="str">
        <f t="shared" si="395"/>
        <v/>
      </c>
      <c r="U462" s="50"/>
      <c r="V462" s="85">
        <f>U462*$F462</f>
        <v>0</v>
      </c>
      <c r="W462" s="82" t="str">
        <f t="shared" si="396"/>
        <v/>
      </c>
      <c r="X462" s="50"/>
      <c r="Y462" s="85">
        <f>X462*$F462</f>
        <v>0</v>
      </c>
      <c r="Z462" s="82" t="str">
        <f t="shared" si="397"/>
        <v/>
      </c>
      <c r="AA462" s="50"/>
      <c r="AB462" s="85">
        <f>AA462*$F462</f>
        <v>0</v>
      </c>
      <c r="AC462" s="82" t="str">
        <f t="shared" si="398"/>
        <v/>
      </c>
      <c r="AD462" s="50"/>
      <c r="AE462" s="85">
        <f>AD462*$F462</f>
        <v>0</v>
      </c>
      <c r="AF462" s="82" t="str">
        <f t="shared" si="399"/>
        <v/>
      </c>
      <c r="AG462" s="50"/>
      <c r="AH462" s="85">
        <f>AG462*$F462</f>
        <v>0</v>
      </c>
      <c r="AI462" s="82" t="str">
        <f t="shared" si="400"/>
        <v/>
      </c>
      <c r="AJ462" s="50"/>
      <c r="AK462" s="85">
        <f>AJ462*$F462</f>
        <v>0</v>
      </c>
      <c r="AL462" s="82" t="str">
        <f t="shared" si="401"/>
        <v/>
      </c>
      <c r="AM462" s="50"/>
      <c r="AN462" s="85">
        <f>AM462*$F462</f>
        <v>0</v>
      </c>
      <c r="AO462" s="82" t="str">
        <f t="shared" si="402"/>
        <v/>
      </c>
      <c r="AP462" s="48">
        <f t="shared" si="403"/>
        <v>0</v>
      </c>
      <c r="AQ462" s="85">
        <f>AP462*$F462</f>
        <v>0</v>
      </c>
      <c r="AR462" s="82" t="str">
        <f t="shared" si="404"/>
        <v/>
      </c>
      <c r="AS462" s="48">
        <f t="shared" si="405"/>
        <v>23.5</v>
      </c>
      <c r="AT462" s="85">
        <f>AS462*$F462</f>
        <v>295.16000000000003</v>
      </c>
      <c r="AU462" s="82">
        <f t="shared" si="406"/>
        <v>1</v>
      </c>
      <c r="AW462" s="2"/>
      <c r="AX462" s="3"/>
      <c r="AY462" s="3"/>
      <c r="AZ462" s="4"/>
      <c r="BA462" s="3"/>
      <c r="BB462" s="1"/>
      <c r="BC462" s="5"/>
      <c r="BD462" s="1"/>
    </row>
    <row r="463" spans="1:56" s="115" customFormat="1" ht="15.75">
      <c r="A463" s="109"/>
      <c r="B463" s="118" t="s">
        <v>1637</v>
      </c>
      <c r="C463" s="1937" t="s">
        <v>1638</v>
      </c>
      <c r="D463" s="1938"/>
      <c r="E463" s="1938"/>
      <c r="F463" s="1938"/>
      <c r="G463" s="1939"/>
      <c r="H463" s="112">
        <f>H464+H471+H522</f>
        <v>169917.84999999995</v>
      </c>
      <c r="I463" s="50">
        <f t="shared" si="352"/>
        <v>0</v>
      </c>
      <c r="J463" s="112">
        <f>J464+J471+J522</f>
        <v>0</v>
      </c>
      <c r="K463" s="113">
        <f>J463/$H463</f>
        <v>0</v>
      </c>
      <c r="L463" s="111"/>
      <c r="M463" s="112">
        <f>M464+M471+M522</f>
        <v>0</v>
      </c>
      <c r="N463" s="113">
        <f>M463/$H463</f>
        <v>0</v>
      </c>
      <c r="O463" s="111"/>
      <c r="P463" s="112">
        <f>P464+P471+P522</f>
        <v>0</v>
      </c>
      <c r="Q463" s="113">
        <f>P463/$H463</f>
        <v>0</v>
      </c>
      <c r="R463" s="111"/>
      <c r="S463" s="112">
        <f>S464+S471+S522</f>
        <v>0</v>
      </c>
      <c r="T463" s="113">
        <f>S463/$H463</f>
        <v>0</v>
      </c>
      <c r="U463" s="111"/>
      <c r="V463" s="112">
        <f>V464+V471+V522</f>
        <v>0</v>
      </c>
      <c r="W463" s="113">
        <f>V463/$H463</f>
        <v>0</v>
      </c>
      <c r="X463" s="111"/>
      <c r="Y463" s="112">
        <f>Y464+Y471+Y522</f>
        <v>0</v>
      </c>
      <c r="Z463" s="113">
        <f>Y463/$H463</f>
        <v>0</v>
      </c>
      <c r="AA463" s="111"/>
      <c r="AB463" s="112">
        <f>AB464+AB471+AB522</f>
        <v>0</v>
      </c>
      <c r="AC463" s="113">
        <f>AB463/$H463</f>
        <v>0</v>
      </c>
      <c r="AD463" s="111"/>
      <c r="AE463" s="112">
        <f>AE464+AE471+AE522</f>
        <v>0</v>
      </c>
      <c r="AF463" s="113">
        <f>AE463/$H463</f>
        <v>0</v>
      </c>
      <c r="AG463" s="111"/>
      <c r="AH463" s="112">
        <f>AH464+AH471+AH522</f>
        <v>0</v>
      </c>
      <c r="AI463" s="113">
        <f>AH463/$H463</f>
        <v>0</v>
      </c>
      <c r="AJ463" s="111"/>
      <c r="AK463" s="112">
        <f>AK464+AK471+AK522</f>
        <v>0</v>
      </c>
      <c r="AL463" s="113">
        <f>AK463/$H463</f>
        <v>0</v>
      </c>
      <c r="AM463" s="111"/>
      <c r="AN463" s="112">
        <f>AN464+AN471+AN522</f>
        <v>0</v>
      </c>
      <c r="AO463" s="113">
        <f>AN463/$H463</f>
        <v>0</v>
      </c>
      <c r="AP463" s="114">
        <f t="shared" si="403"/>
        <v>0</v>
      </c>
      <c r="AQ463" s="112">
        <f>AQ464+AQ471+AQ522</f>
        <v>0</v>
      </c>
      <c r="AR463" s="113">
        <f>AQ463/$H463</f>
        <v>0</v>
      </c>
      <c r="AS463" s="114">
        <f t="shared" si="405"/>
        <v>0</v>
      </c>
      <c r="AT463" s="112">
        <f>AT464+AT471+AT522</f>
        <v>169917.84999999995</v>
      </c>
      <c r="AU463" s="113">
        <f>AT463/$H463</f>
        <v>1</v>
      </c>
    </row>
    <row r="464" spans="1:56" s="136" customFormat="1">
      <c r="A464" s="94"/>
      <c r="B464" s="116" t="s">
        <v>1639</v>
      </c>
      <c r="C464" s="1934" t="s">
        <v>1640</v>
      </c>
      <c r="D464" s="1935"/>
      <c r="E464" s="1935"/>
      <c r="F464" s="1935"/>
      <c r="G464" s="1936"/>
      <c r="H464" s="132">
        <f>H466+H467+H469+H470</f>
        <v>3193.4100000000003</v>
      </c>
      <c r="I464" s="50">
        <f t="shared" si="352"/>
        <v>0</v>
      </c>
      <c r="J464" s="132">
        <f>J466+J467+J469+J470</f>
        <v>0</v>
      </c>
      <c r="K464" s="102">
        <f>J464/$H464</f>
        <v>0</v>
      </c>
      <c r="L464" s="133"/>
      <c r="M464" s="132">
        <f>M466+M467+M469+M470</f>
        <v>0</v>
      </c>
      <c r="N464" s="102">
        <f>M464/$H464</f>
        <v>0</v>
      </c>
      <c r="O464" s="133"/>
      <c r="P464" s="132">
        <f>P466+P467+P469+P470</f>
        <v>0</v>
      </c>
      <c r="Q464" s="102">
        <f>P464/$H464</f>
        <v>0</v>
      </c>
      <c r="R464" s="133"/>
      <c r="S464" s="132">
        <f>S466+S467+S469+S470</f>
        <v>0</v>
      </c>
      <c r="T464" s="102">
        <f>S464/$H464</f>
        <v>0</v>
      </c>
      <c r="U464" s="133"/>
      <c r="V464" s="132">
        <f>V466+V467+V469+V470</f>
        <v>0</v>
      </c>
      <c r="W464" s="102">
        <f>V464/$H464</f>
        <v>0</v>
      </c>
      <c r="X464" s="133"/>
      <c r="Y464" s="132">
        <f>Y466+Y467+Y469+Y470</f>
        <v>0</v>
      </c>
      <c r="Z464" s="102">
        <f>Y464/$H464</f>
        <v>0</v>
      </c>
      <c r="AA464" s="133"/>
      <c r="AB464" s="132">
        <f>AB466+AB467+AB469+AB470</f>
        <v>0</v>
      </c>
      <c r="AC464" s="102">
        <f>AB464/$H464</f>
        <v>0</v>
      </c>
      <c r="AD464" s="133"/>
      <c r="AE464" s="132">
        <f>AE466+AE467+AE469+AE470</f>
        <v>0</v>
      </c>
      <c r="AF464" s="102">
        <f>AE464/$H464</f>
        <v>0</v>
      </c>
      <c r="AG464" s="133"/>
      <c r="AH464" s="132">
        <f>AH466+AH467+AH469+AH470</f>
        <v>0</v>
      </c>
      <c r="AI464" s="102">
        <f>AH464/$H464</f>
        <v>0</v>
      </c>
      <c r="AJ464" s="133"/>
      <c r="AK464" s="132">
        <f>AK466+AK467+AK469+AK470</f>
        <v>0</v>
      </c>
      <c r="AL464" s="102">
        <f>AK464/$H464</f>
        <v>0</v>
      </c>
      <c r="AM464" s="133"/>
      <c r="AN464" s="132">
        <f>AN466+AN467+AN469+AN470</f>
        <v>0</v>
      </c>
      <c r="AO464" s="102">
        <f>AN464/$H464</f>
        <v>0</v>
      </c>
      <c r="AP464" s="135">
        <f t="shared" si="403"/>
        <v>0</v>
      </c>
      <c r="AQ464" s="132">
        <f>AQ466+AQ467+AQ469+AQ470</f>
        <v>0</v>
      </c>
      <c r="AR464" s="102">
        <f>AQ464/$H464</f>
        <v>0</v>
      </c>
      <c r="AS464" s="135">
        <f t="shared" si="405"/>
        <v>0</v>
      </c>
      <c r="AT464" s="132">
        <f>AT466+AT467+AT469+AT470</f>
        <v>3193.4100000000003</v>
      </c>
      <c r="AU464" s="102">
        <f>AT464/$H464</f>
        <v>1</v>
      </c>
    </row>
    <row r="465" spans="1:47">
      <c r="A465" s="16"/>
      <c r="B465" s="99" t="s">
        <v>1641</v>
      </c>
      <c r="C465" s="175" t="s">
        <v>1642</v>
      </c>
      <c r="D465" s="176"/>
      <c r="E465" s="176"/>
      <c r="F465" s="176"/>
      <c r="G465" s="176"/>
      <c r="H465" s="177"/>
      <c r="I465" s="50">
        <f t="shared" si="352"/>
        <v>0</v>
      </c>
      <c r="J465" s="177"/>
      <c r="K465" s="82" t="str">
        <f t="shared" si="392"/>
        <v/>
      </c>
      <c r="L465" s="50"/>
      <c r="M465" s="177"/>
      <c r="N465" s="82" t="str">
        <f t="shared" si="393"/>
        <v/>
      </c>
      <c r="O465" s="50"/>
      <c r="P465" s="177"/>
      <c r="Q465" s="82" t="str">
        <f t="shared" si="394"/>
        <v/>
      </c>
      <c r="R465" s="50"/>
      <c r="S465" s="177"/>
      <c r="T465" s="82" t="str">
        <f t="shared" si="395"/>
        <v/>
      </c>
      <c r="U465" s="50"/>
      <c r="V465" s="177"/>
      <c r="W465" s="82" t="str">
        <f t="shared" si="396"/>
        <v/>
      </c>
      <c r="X465" s="50"/>
      <c r="Y465" s="177"/>
      <c r="Z465" s="82" t="str">
        <f t="shared" si="397"/>
        <v/>
      </c>
      <c r="AA465" s="50"/>
      <c r="AB465" s="177"/>
      <c r="AC465" s="82" t="str">
        <f t="shared" si="398"/>
        <v/>
      </c>
      <c r="AD465" s="50"/>
      <c r="AE465" s="177"/>
      <c r="AF465" s="82" t="str">
        <f t="shared" si="399"/>
        <v/>
      </c>
      <c r="AG465" s="50"/>
      <c r="AH465" s="177"/>
      <c r="AI465" s="82" t="str">
        <f t="shared" si="400"/>
        <v/>
      </c>
      <c r="AJ465" s="50"/>
      <c r="AK465" s="177"/>
      <c r="AL465" s="82" t="str">
        <f t="shared" si="401"/>
        <v/>
      </c>
      <c r="AM465" s="50"/>
      <c r="AN465" s="177"/>
      <c r="AO465" s="82" t="str">
        <f t="shared" si="402"/>
        <v/>
      </c>
      <c r="AP465" s="48">
        <f t="shared" si="403"/>
        <v>0</v>
      </c>
      <c r="AQ465" s="177"/>
      <c r="AR465" s="82" t="str">
        <f t="shared" si="404"/>
        <v/>
      </c>
      <c r="AS465" s="48">
        <f t="shared" si="405"/>
        <v>0</v>
      </c>
      <c r="AT465" s="177"/>
      <c r="AU465" s="82" t="str">
        <f t="shared" si="406"/>
        <v/>
      </c>
    </row>
    <row r="466" spans="1:47" ht="60">
      <c r="A466" s="16"/>
      <c r="B466" s="97" t="s">
        <v>1643</v>
      </c>
      <c r="C466" s="167" t="s">
        <v>1644</v>
      </c>
      <c r="D466" s="86" t="s">
        <v>1645</v>
      </c>
      <c r="E466" s="97" t="s">
        <v>28</v>
      </c>
      <c r="F466" s="172">
        <v>724.59</v>
      </c>
      <c r="G466" s="97">
        <v>1</v>
      </c>
      <c r="H466" s="85">
        <f>G466*$F466</f>
        <v>724.59</v>
      </c>
      <c r="I466" s="50">
        <f t="shared" si="352"/>
        <v>0</v>
      </c>
      <c r="J466" s="85">
        <f>I466*$F466</f>
        <v>0</v>
      </c>
      <c r="K466" s="82" t="str">
        <f t="shared" si="392"/>
        <v/>
      </c>
      <c r="L466" s="50"/>
      <c r="M466" s="85">
        <f>L466*$F466</f>
        <v>0</v>
      </c>
      <c r="N466" s="82" t="str">
        <f t="shared" si="393"/>
        <v/>
      </c>
      <c r="O466" s="50"/>
      <c r="P466" s="85">
        <f>O466*$F466</f>
        <v>0</v>
      </c>
      <c r="Q466" s="82" t="str">
        <f t="shared" si="394"/>
        <v/>
      </c>
      <c r="R466" s="50"/>
      <c r="S466" s="85">
        <f>R466*$F466</f>
        <v>0</v>
      </c>
      <c r="T466" s="82" t="str">
        <f t="shared" si="395"/>
        <v/>
      </c>
      <c r="U466" s="50"/>
      <c r="V466" s="85">
        <f>U466*$F466</f>
        <v>0</v>
      </c>
      <c r="W466" s="82" t="str">
        <f t="shared" si="396"/>
        <v/>
      </c>
      <c r="X466" s="50"/>
      <c r="Y466" s="85">
        <f>X466*$F466</f>
        <v>0</v>
      </c>
      <c r="Z466" s="82" t="str">
        <f t="shared" si="397"/>
        <v/>
      </c>
      <c r="AA466" s="50"/>
      <c r="AB466" s="85">
        <f>AA466*$F466</f>
        <v>0</v>
      </c>
      <c r="AC466" s="82" t="str">
        <f t="shared" si="398"/>
        <v/>
      </c>
      <c r="AD466" s="50"/>
      <c r="AE466" s="85">
        <f>AD466*$F466</f>
        <v>0</v>
      </c>
      <c r="AF466" s="82" t="str">
        <f t="shared" si="399"/>
        <v/>
      </c>
      <c r="AG466" s="50"/>
      <c r="AH466" s="85">
        <f>AG466*$F466</f>
        <v>0</v>
      </c>
      <c r="AI466" s="82" t="str">
        <f t="shared" si="400"/>
        <v/>
      </c>
      <c r="AJ466" s="50"/>
      <c r="AK466" s="85">
        <f>AJ466*$F466</f>
        <v>0</v>
      </c>
      <c r="AL466" s="82" t="str">
        <f t="shared" si="401"/>
        <v/>
      </c>
      <c r="AM466" s="50"/>
      <c r="AN466" s="85">
        <f>AM466*$F466</f>
        <v>0</v>
      </c>
      <c r="AO466" s="82" t="str">
        <f t="shared" si="402"/>
        <v/>
      </c>
      <c r="AP466" s="48">
        <f t="shared" si="403"/>
        <v>0</v>
      </c>
      <c r="AQ466" s="85">
        <f>AP466*$F466</f>
        <v>0</v>
      </c>
      <c r="AR466" s="82" t="str">
        <f t="shared" si="404"/>
        <v/>
      </c>
      <c r="AS466" s="48">
        <f t="shared" si="405"/>
        <v>1</v>
      </c>
      <c r="AT466" s="85">
        <f>AS466*$F466</f>
        <v>724.59</v>
      </c>
      <c r="AU466" s="82">
        <f t="shared" si="406"/>
        <v>1</v>
      </c>
    </row>
    <row r="467" spans="1:47" ht="75">
      <c r="A467" s="16"/>
      <c r="B467" s="97" t="s">
        <v>1646</v>
      </c>
      <c r="C467" s="167" t="s">
        <v>436</v>
      </c>
      <c r="D467" s="86" t="s">
        <v>437</v>
      </c>
      <c r="E467" s="97" t="s">
        <v>28</v>
      </c>
      <c r="F467" s="172">
        <v>304.89999999999998</v>
      </c>
      <c r="G467" s="97">
        <v>5</v>
      </c>
      <c r="H467" s="85">
        <f>G467*$F467</f>
        <v>1524.5</v>
      </c>
      <c r="I467" s="50">
        <f t="shared" ref="I467:I530" si="407">L467+O467</f>
        <v>0</v>
      </c>
      <c r="J467" s="85">
        <f>I467*$F467</f>
        <v>0</v>
      </c>
      <c r="K467" s="82" t="str">
        <f t="shared" si="392"/>
        <v/>
      </c>
      <c r="L467" s="50"/>
      <c r="M467" s="85">
        <f>L467*$F467</f>
        <v>0</v>
      </c>
      <c r="N467" s="82" t="str">
        <f t="shared" si="393"/>
        <v/>
      </c>
      <c r="O467" s="50"/>
      <c r="P467" s="85">
        <f>O467*$F467</f>
        <v>0</v>
      </c>
      <c r="Q467" s="82" t="str">
        <f t="shared" si="394"/>
        <v/>
      </c>
      <c r="R467" s="50"/>
      <c r="S467" s="85">
        <f>R467*$F467</f>
        <v>0</v>
      </c>
      <c r="T467" s="82" t="str">
        <f t="shared" si="395"/>
        <v/>
      </c>
      <c r="U467" s="50"/>
      <c r="V467" s="85">
        <f>U467*$F467</f>
        <v>0</v>
      </c>
      <c r="W467" s="82" t="str">
        <f t="shared" si="396"/>
        <v/>
      </c>
      <c r="X467" s="50"/>
      <c r="Y467" s="85">
        <f>X467*$F467</f>
        <v>0</v>
      </c>
      <c r="Z467" s="82" t="str">
        <f t="shared" si="397"/>
        <v/>
      </c>
      <c r="AA467" s="50"/>
      <c r="AB467" s="85">
        <f>AA467*$F467</f>
        <v>0</v>
      </c>
      <c r="AC467" s="82" t="str">
        <f t="shared" si="398"/>
        <v/>
      </c>
      <c r="AD467" s="50"/>
      <c r="AE467" s="85">
        <f>AD467*$F467</f>
        <v>0</v>
      </c>
      <c r="AF467" s="82" t="str">
        <f t="shared" si="399"/>
        <v/>
      </c>
      <c r="AG467" s="50"/>
      <c r="AH467" s="85">
        <f>AG467*$F467</f>
        <v>0</v>
      </c>
      <c r="AI467" s="82" t="str">
        <f t="shared" si="400"/>
        <v/>
      </c>
      <c r="AJ467" s="50"/>
      <c r="AK467" s="85">
        <f>AJ467*$F467</f>
        <v>0</v>
      </c>
      <c r="AL467" s="82" t="str">
        <f t="shared" si="401"/>
        <v/>
      </c>
      <c r="AM467" s="50"/>
      <c r="AN467" s="85">
        <f>AM467*$F467</f>
        <v>0</v>
      </c>
      <c r="AO467" s="82" t="str">
        <f t="shared" si="402"/>
        <v/>
      </c>
      <c r="AP467" s="48">
        <f t="shared" si="403"/>
        <v>0</v>
      </c>
      <c r="AQ467" s="85">
        <f>AP467*$F467</f>
        <v>0</v>
      </c>
      <c r="AR467" s="82" t="str">
        <f t="shared" si="404"/>
        <v/>
      </c>
      <c r="AS467" s="48">
        <f t="shared" si="405"/>
        <v>5</v>
      </c>
      <c r="AT467" s="85">
        <f>AS467*$F467</f>
        <v>1524.5</v>
      </c>
      <c r="AU467" s="82">
        <f t="shared" si="406"/>
        <v>1</v>
      </c>
    </row>
    <row r="468" spans="1:47" ht="30" customHeight="1">
      <c r="A468" s="16"/>
      <c r="B468" s="99" t="s">
        <v>1647</v>
      </c>
      <c r="C468" s="180" t="s">
        <v>1648</v>
      </c>
      <c r="D468" s="178"/>
      <c r="E468" s="178"/>
      <c r="F468" s="178"/>
      <c r="G468" s="178"/>
      <c r="H468" s="179"/>
      <c r="I468" s="50">
        <f t="shared" si="407"/>
        <v>0</v>
      </c>
      <c r="J468" s="179"/>
      <c r="K468" s="82" t="str">
        <f t="shared" si="392"/>
        <v/>
      </c>
      <c r="L468" s="50"/>
      <c r="M468" s="179"/>
      <c r="N468" s="82" t="str">
        <f t="shared" si="393"/>
        <v/>
      </c>
      <c r="O468" s="50"/>
      <c r="P468" s="179"/>
      <c r="Q468" s="82" t="str">
        <f t="shared" si="394"/>
        <v/>
      </c>
      <c r="R468" s="50"/>
      <c r="S468" s="179"/>
      <c r="T468" s="82" t="str">
        <f t="shared" si="395"/>
        <v/>
      </c>
      <c r="U468" s="50"/>
      <c r="V468" s="179"/>
      <c r="W468" s="82" t="str">
        <f t="shared" si="396"/>
        <v/>
      </c>
      <c r="X468" s="50"/>
      <c r="Y468" s="179"/>
      <c r="Z468" s="82" t="str">
        <f t="shared" si="397"/>
        <v/>
      </c>
      <c r="AA468" s="50"/>
      <c r="AB468" s="179"/>
      <c r="AC468" s="82" t="str">
        <f t="shared" si="398"/>
        <v/>
      </c>
      <c r="AD468" s="50"/>
      <c r="AE468" s="179"/>
      <c r="AF468" s="82" t="str">
        <f t="shared" si="399"/>
        <v/>
      </c>
      <c r="AG468" s="50"/>
      <c r="AH468" s="179"/>
      <c r="AI468" s="82" t="str">
        <f t="shared" si="400"/>
        <v/>
      </c>
      <c r="AJ468" s="50"/>
      <c r="AK468" s="179"/>
      <c r="AL468" s="82" t="str">
        <f t="shared" si="401"/>
        <v/>
      </c>
      <c r="AM468" s="50"/>
      <c r="AN468" s="179"/>
      <c r="AO468" s="82" t="str">
        <f t="shared" si="402"/>
        <v/>
      </c>
      <c r="AP468" s="48">
        <f t="shared" si="403"/>
        <v>0</v>
      </c>
      <c r="AQ468" s="179"/>
      <c r="AR468" s="82" t="str">
        <f t="shared" si="404"/>
        <v/>
      </c>
      <c r="AS468" s="48">
        <f t="shared" si="405"/>
        <v>0</v>
      </c>
      <c r="AT468" s="179"/>
      <c r="AU468" s="82" t="str">
        <f t="shared" si="406"/>
        <v/>
      </c>
    </row>
    <row r="469" spans="1:47" ht="60">
      <c r="A469" s="16"/>
      <c r="B469" s="97" t="s">
        <v>1649</v>
      </c>
      <c r="C469" s="167" t="s">
        <v>1650</v>
      </c>
      <c r="D469" s="86" t="s">
        <v>1651</v>
      </c>
      <c r="E469" s="97" t="s">
        <v>28</v>
      </c>
      <c r="F469" s="172">
        <v>30.94</v>
      </c>
      <c r="G469" s="97">
        <v>22</v>
      </c>
      <c r="H469" s="85">
        <f>G469*$F469</f>
        <v>680.68000000000006</v>
      </c>
      <c r="I469" s="50">
        <f t="shared" si="407"/>
        <v>0</v>
      </c>
      <c r="J469" s="85">
        <f>I469*$F469</f>
        <v>0</v>
      </c>
      <c r="K469" s="82" t="str">
        <f t="shared" si="392"/>
        <v/>
      </c>
      <c r="L469" s="50"/>
      <c r="M469" s="85">
        <f>L469*$F469</f>
        <v>0</v>
      </c>
      <c r="N469" s="82" t="str">
        <f t="shared" si="393"/>
        <v/>
      </c>
      <c r="O469" s="50"/>
      <c r="P469" s="85">
        <f>O469*$F469</f>
        <v>0</v>
      </c>
      <c r="Q469" s="82" t="str">
        <f t="shared" si="394"/>
        <v/>
      </c>
      <c r="R469" s="50"/>
      <c r="S469" s="85">
        <f>R469*$F469</f>
        <v>0</v>
      </c>
      <c r="T469" s="82" t="str">
        <f t="shared" si="395"/>
        <v/>
      </c>
      <c r="U469" s="50"/>
      <c r="V469" s="85">
        <f>U469*$F469</f>
        <v>0</v>
      </c>
      <c r="W469" s="82" t="str">
        <f t="shared" si="396"/>
        <v/>
      </c>
      <c r="X469" s="50"/>
      <c r="Y469" s="85">
        <f>X469*$F469</f>
        <v>0</v>
      </c>
      <c r="Z469" s="82" t="str">
        <f t="shared" si="397"/>
        <v/>
      </c>
      <c r="AA469" s="50"/>
      <c r="AB469" s="85">
        <f>AA469*$F469</f>
        <v>0</v>
      </c>
      <c r="AC469" s="82" t="str">
        <f t="shared" si="398"/>
        <v/>
      </c>
      <c r="AD469" s="50"/>
      <c r="AE469" s="85">
        <f>AD469*$F469</f>
        <v>0</v>
      </c>
      <c r="AF469" s="82" t="str">
        <f t="shared" si="399"/>
        <v/>
      </c>
      <c r="AG469" s="50"/>
      <c r="AH469" s="85">
        <f>AG469*$F469</f>
        <v>0</v>
      </c>
      <c r="AI469" s="82" t="str">
        <f t="shared" si="400"/>
        <v/>
      </c>
      <c r="AJ469" s="50"/>
      <c r="AK469" s="85">
        <f>AJ469*$F469</f>
        <v>0</v>
      </c>
      <c r="AL469" s="82" t="str">
        <f t="shared" si="401"/>
        <v/>
      </c>
      <c r="AM469" s="50"/>
      <c r="AN469" s="85">
        <f>AM469*$F469</f>
        <v>0</v>
      </c>
      <c r="AO469" s="82" t="str">
        <f t="shared" si="402"/>
        <v/>
      </c>
      <c r="AP469" s="48">
        <f t="shared" si="403"/>
        <v>0</v>
      </c>
      <c r="AQ469" s="85">
        <f>AP469*$F469</f>
        <v>0</v>
      </c>
      <c r="AR469" s="82" t="str">
        <f t="shared" si="404"/>
        <v/>
      </c>
      <c r="AS469" s="48">
        <f t="shared" si="405"/>
        <v>22</v>
      </c>
      <c r="AT469" s="85">
        <f>AS469*$F469</f>
        <v>680.68000000000006</v>
      </c>
      <c r="AU469" s="82">
        <f t="shared" si="406"/>
        <v>1</v>
      </c>
    </row>
    <row r="470" spans="1:47" ht="60">
      <c r="A470" s="16"/>
      <c r="B470" s="97" t="s">
        <v>1652</v>
      </c>
      <c r="C470" s="167" t="s">
        <v>1653</v>
      </c>
      <c r="D470" s="86" t="s">
        <v>1654</v>
      </c>
      <c r="E470" s="97" t="s">
        <v>28</v>
      </c>
      <c r="F470" s="172">
        <v>43.94</v>
      </c>
      <c r="G470" s="97">
        <v>6</v>
      </c>
      <c r="H470" s="85">
        <f>G470*$F470</f>
        <v>263.64</v>
      </c>
      <c r="I470" s="50">
        <f t="shared" si="407"/>
        <v>0</v>
      </c>
      <c r="J470" s="85">
        <f>I470*$F470</f>
        <v>0</v>
      </c>
      <c r="K470" s="82" t="str">
        <f t="shared" si="392"/>
        <v/>
      </c>
      <c r="L470" s="50"/>
      <c r="M470" s="85">
        <f>L470*$F470</f>
        <v>0</v>
      </c>
      <c r="N470" s="82" t="str">
        <f t="shared" si="393"/>
        <v/>
      </c>
      <c r="O470" s="50"/>
      <c r="P470" s="85">
        <f>O470*$F470</f>
        <v>0</v>
      </c>
      <c r="Q470" s="82" t="str">
        <f t="shared" si="394"/>
        <v/>
      </c>
      <c r="R470" s="50"/>
      <c r="S470" s="85">
        <f>R470*$F470</f>
        <v>0</v>
      </c>
      <c r="T470" s="82" t="str">
        <f t="shared" si="395"/>
        <v/>
      </c>
      <c r="U470" s="50"/>
      <c r="V470" s="85">
        <f>U470*$F470</f>
        <v>0</v>
      </c>
      <c r="W470" s="82" t="str">
        <f t="shared" si="396"/>
        <v/>
      </c>
      <c r="X470" s="50"/>
      <c r="Y470" s="85">
        <f>X470*$F470</f>
        <v>0</v>
      </c>
      <c r="Z470" s="82" t="str">
        <f t="shared" si="397"/>
        <v/>
      </c>
      <c r="AA470" s="50"/>
      <c r="AB470" s="85">
        <f>AA470*$F470</f>
        <v>0</v>
      </c>
      <c r="AC470" s="82" t="str">
        <f t="shared" si="398"/>
        <v/>
      </c>
      <c r="AD470" s="50"/>
      <c r="AE470" s="85">
        <f>AD470*$F470</f>
        <v>0</v>
      </c>
      <c r="AF470" s="82" t="str">
        <f t="shared" si="399"/>
        <v/>
      </c>
      <c r="AG470" s="50"/>
      <c r="AH470" s="85">
        <f>AG470*$F470</f>
        <v>0</v>
      </c>
      <c r="AI470" s="82" t="str">
        <f t="shared" si="400"/>
        <v/>
      </c>
      <c r="AJ470" s="50"/>
      <c r="AK470" s="85">
        <f>AJ470*$F470</f>
        <v>0</v>
      </c>
      <c r="AL470" s="82" t="str">
        <f t="shared" si="401"/>
        <v/>
      </c>
      <c r="AM470" s="50"/>
      <c r="AN470" s="85">
        <f>AM470*$F470</f>
        <v>0</v>
      </c>
      <c r="AO470" s="82" t="str">
        <f t="shared" si="402"/>
        <v/>
      </c>
      <c r="AP470" s="48">
        <f t="shared" si="403"/>
        <v>0</v>
      </c>
      <c r="AQ470" s="85">
        <f>AP470*$F470</f>
        <v>0</v>
      </c>
      <c r="AR470" s="82" t="str">
        <f t="shared" si="404"/>
        <v/>
      </c>
      <c r="AS470" s="48">
        <f t="shared" si="405"/>
        <v>6</v>
      </c>
      <c r="AT470" s="85">
        <f>AS470*$F470</f>
        <v>263.64</v>
      </c>
      <c r="AU470" s="82">
        <f t="shared" si="406"/>
        <v>1</v>
      </c>
    </row>
    <row r="471" spans="1:47" s="136" customFormat="1" ht="30" customHeight="1">
      <c r="A471" s="94"/>
      <c r="B471" s="116" t="s">
        <v>1655</v>
      </c>
      <c r="C471" s="1934" t="s">
        <v>1656</v>
      </c>
      <c r="D471" s="1935"/>
      <c r="E471" s="1935"/>
      <c r="F471" s="1935"/>
      <c r="G471" s="1936"/>
      <c r="H471" s="132">
        <f>H473+H474+H475+H476+H477+H478+H480+H481+H482+H483+H484+H485+H486+H487+H488+H489+H490+H491+H492+H493+H494+H495+H496+H497+H498+H500+H501+H502+H504+H505+H506+H507+H509+H510+H511+H512+H513+H514+H515+H516+H517+H518+H519+H520+H521</f>
        <v>128094.82999999996</v>
      </c>
      <c r="I471" s="50">
        <f t="shared" si="407"/>
        <v>0</v>
      </c>
      <c r="J471" s="132">
        <f>J473+J474+J475+J476+J477+J478+J480+J481+J482+J483+J484+J485+J486+J487+J488+J489+J490+J491+J492+J493+J494+J495+J496+J497+J498+J500+J501+J502+J504+J505+J506+J507+J509+J510+J511+J512+J513+J514+J515+J516+J517+J518+J519+J520+J521</f>
        <v>0</v>
      </c>
      <c r="K471" s="102">
        <f>J471/$H471</f>
        <v>0</v>
      </c>
      <c r="L471" s="133"/>
      <c r="M471" s="132">
        <f>M473+M474+M475+M476+M477+M478+M480+M481+M482+M483+M484+M485+M486+M487+M488+M489+M490+M491+M492+M493+M494+M495+M496+M497+M498+M500+M501+M502+M504+M505+M506+M507+M509+M510+M511+M512+M513+M514+M515+M516+M517+M518+M519+M520+M521</f>
        <v>0</v>
      </c>
      <c r="N471" s="102">
        <f>M471/$H471</f>
        <v>0</v>
      </c>
      <c r="O471" s="133"/>
      <c r="P471" s="132">
        <f>P473+P474+P475+P476+P477+P478+P480+P481+P482+P483+P484+P485+P486+P487+P488+P489+P490+P491+P492+P493+P494+P495+P496+P497+P498+P500+P501+P502+P504+P505+P506+P507+P509+P510+P511+P512+P513+P514+P515+P516+P517+P518+P519+P520+P521</f>
        <v>0</v>
      </c>
      <c r="Q471" s="102">
        <f>P471/$H471</f>
        <v>0</v>
      </c>
      <c r="R471" s="133"/>
      <c r="S471" s="132">
        <f>S473+S474+S475+S476+S477+S478+S480+S481+S482+S483+S484+S485+S486+S487+S488+S489+S490+S491+S492+S493+S494+S495+S496+S497+S498+S500+S501+S502+S504+S505+S506+S507+S509+S510+S511+S512+S513+S514+S515+S516+S517+S518+S519+S520+S521</f>
        <v>0</v>
      </c>
      <c r="T471" s="102">
        <f>S471/$H471</f>
        <v>0</v>
      </c>
      <c r="U471" s="133"/>
      <c r="V471" s="132">
        <f>V473+V474+V475+V476+V477+V478+V480+V481+V482+V483+V484+V485+V486+V487+V488+V489+V490+V491+V492+V493+V494+V495+V496+V497+V498+V500+V501+V502+V504+V505+V506+V507+V509+V510+V511+V512+V513+V514+V515+V516+V517+V518+V519+V520+V521</f>
        <v>0</v>
      </c>
      <c r="W471" s="102">
        <f>V471/$H471</f>
        <v>0</v>
      </c>
      <c r="X471" s="133"/>
      <c r="Y471" s="132">
        <f>Y473+Y474+Y475+Y476+Y477+Y478+Y480+Y481+Y482+Y483+Y484+Y485+Y486+Y487+Y488+Y489+Y490+Y491+Y492+Y493+Y494+Y495+Y496+Y497+Y498+Y500+Y501+Y502+Y504+Y505+Y506+Y507+Y509+Y510+Y511+Y512+Y513+Y514+Y515+Y516+Y517+Y518+Y519+Y520+Y521</f>
        <v>0</v>
      </c>
      <c r="Z471" s="102">
        <f>Y471/$H471</f>
        <v>0</v>
      </c>
      <c r="AA471" s="133"/>
      <c r="AB471" s="132">
        <f>AB473+AB474+AB475+AB476+AB477+AB478+AB480+AB481+AB482+AB483+AB484+AB485+AB486+AB487+AB488+AB489+AB490+AB491+AB492+AB493+AB494+AB495+AB496+AB497+AB498+AB500+AB501+AB502+AB504+AB505+AB506+AB507+AB509+AB510+AB511+AB512+AB513+AB514+AB515+AB516+AB517+AB518+AB519+AB520+AB521</f>
        <v>0</v>
      </c>
      <c r="AC471" s="102">
        <f>AB471/$H471</f>
        <v>0</v>
      </c>
      <c r="AD471" s="133"/>
      <c r="AE471" s="132">
        <f>AE473+AE474+AE475+AE476+AE477+AE478+AE480+AE481+AE482+AE483+AE484+AE485+AE486+AE487+AE488+AE489+AE490+AE491+AE492+AE493+AE494+AE495+AE496+AE497+AE498+AE500+AE501+AE502+AE504+AE505+AE506+AE507+AE509+AE510+AE511+AE512+AE513+AE514+AE515+AE516+AE517+AE518+AE519+AE520+AE521</f>
        <v>0</v>
      </c>
      <c r="AF471" s="102">
        <f>AE471/$H471</f>
        <v>0</v>
      </c>
      <c r="AG471" s="133"/>
      <c r="AH471" s="132">
        <f>AH473+AH474+AH475+AH476+AH477+AH478+AH480+AH481+AH482+AH483+AH484+AH485+AH486+AH487+AH488+AH489+AH490+AH491+AH492+AH493+AH494+AH495+AH496+AH497+AH498+AH500+AH501+AH502+AH504+AH505+AH506+AH507+AH509+AH510+AH511+AH512+AH513+AH514+AH515+AH516+AH517+AH518+AH519+AH520+AH521</f>
        <v>0</v>
      </c>
      <c r="AI471" s="102">
        <f>AH471/$H471</f>
        <v>0</v>
      </c>
      <c r="AJ471" s="133"/>
      <c r="AK471" s="132">
        <f>AK473+AK474+AK475+AK476+AK477+AK478+AK480+AK481+AK482+AK483+AK484+AK485+AK486+AK487+AK488+AK489+AK490+AK491+AK492+AK493+AK494+AK495+AK496+AK497+AK498+AK500+AK501+AK502+AK504+AK505+AK506+AK507+AK509+AK510+AK511+AK512+AK513+AK514+AK515+AK516+AK517+AK518+AK519+AK520+AK521</f>
        <v>0</v>
      </c>
      <c r="AL471" s="102">
        <f>AK471/$H471</f>
        <v>0</v>
      </c>
      <c r="AM471" s="133"/>
      <c r="AN471" s="132">
        <f>AN473+AN474+AN475+AN476+AN477+AN478+AN480+AN481+AN482+AN483+AN484+AN485+AN486+AN487+AN488+AN489+AN490+AN491+AN492+AN493+AN494+AN495+AN496+AN497+AN498+AN500+AN501+AN502+AN504+AN505+AN506+AN507+AN509+AN510+AN511+AN512+AN513+AN514+AN515+AN516+AN517+AN518+AN519+AN520+AN521</f>
        <v>0</v>
      </c>
      <c r="AO471" s="102">
        <f>AN471/$H471</f>
        <v>0</v>
      </c>
      <c r="AP471" s="135">
        <f t="shared" si="403"/>
        <v>0</v>
      </c>
      <c r="AQ471" s="132">
        <f>AQ473+AQ474+AQ475+AQ476+AQ477+AQ478+AQ480+AQ481+AQ482+AQ483+AQ484+AQ485+AQ486+AQ487+AQ488+AQ489+AQ490+AQ491+AQ492+AQ493+AQ494+AQ495+AQ496+AQ497+AQ498+AQ500+AQ501+AQ502+AQ504+AQ505+AQ506+AQ507+AQ509+AQ510+AQ511+AQ512+AQ513+AQ514+AQ515+AQ516+AQ517+AQ518+AQ519+AQ520+AQ521</f>
        <v>0</v>
      </c>
      <c r="AR471" s="102">
        <f>AQ471/$H471</f>
        <v>0</v>
      </c>
      <c r="AS471" s="135">
        <f t="shared" si="405"/>
        <v>0</v>
      </c>
      <c r="AT471" s="132">
        <f>AT473+AT474+AT475+AT476+AT477+AT478+AT480+AT481+AT482+AT483+AT484+AT485+AT486+AT487+AT488+AT489+AT490+AT491+AT492+AT493+AT494+AT495+AT496+AT497+AT498+AT500+AT501+AT502+AT504+AT505+AT506+AT507+AT509+AT510+AT511+AT512+AT513+AT514+AT515+AT516+AT517+AT518+AT519+AT520+AT521</f>
        <v>128094.82999999996</v>
      </c>
      <c r="AU471" s="102">
        <f>AT471/$H471</f>
        <v>1</v>
      </c>
    </row>
    <row r="472" spans="1:47" ht="30" customHeight="1">
      <c r="A472" s="16"/>
      <c r="B472" s="99" t="s">
        <v>1657</v>
      </c>
      <c r="C472" s="180" t="s">
        <v>1658</v>
      </c>
      <c r="D472" s="181"/>
      <c r="E472" s="181"/>
      <c r="F472" s="181"/>
      <c r="G472" s="181"/>
      <c r="H472" s="182"/>
      <c r="I472" s="50">
        <f t="shared" si="407"/>
        <v>0</v>
      </c>
      <c r="J472" s="182"/>
      <c r="K472" s="82" t="str">
        <f t="shared" si="392"/>
        <v/>
      </c>
      <c r="L472" s="50"/>
      <c r="M472" s="182"/>
      <c r="N472" s="82" t="str">
        <f t="shared" si="393"/>
        <v/>
      </c>
      <c r="O472" s="50"/>
      <c r="P472" s="182"/>
      <c r="Q472" s="82" t="str">
        <f t="shared" si="394"/>
        <v/>
      </c>
      <c r="R472" s="50"/>
      <c r="S472" s="182"/>
      <c r="T472" s="82" t="str">
        <f t="shared" si="395"/>
        <v/>
      </c>
      <c r="U472" s="50"/>
      <c r="V472" s="182"/>
      <c r="W472" s="82" t="str">
        <f t="shared" si="396"/>
        <v/>
      </c>
      <c r="X472" s="50"/>
      <c r="Y472" s="182"/>
      <c r="Z472" s="82" t="str">
        <f t="shared" si="397"/>
        <v/>
      </c>
      <c r="AA472" s="50"/>
      <c r="AB472" s="182"/>
      <c r="AC472" s="82" t="str">
        <f t="shared" si="398"/>
        <v/>
      </c>
      <c r="AD472" s="50"/>
      <c r="AE472" s="182"/>
      <c r="AF472" s="82" t="str">
        <f t="shared" si="399"/>
        <v/>
      </c>
      <c r="AG472" s="50"/>
      <c r="AH472" s="182"/>
      <c r="AI472" s="82" t="str">
        <f t="shared" si="400"/>
        <v/>
      </c>
      <c r="AJ472" s="50"/>
      <c r="AK472" s="182"/>
      <c r="AL472" s="82" t="str">
        <f t="shared" si="401"/>
        <v/>
      </c>
      <c r="AM472" s="50"/>
      <c r="AN472" s="182"/>
      <c r="AO472" s="82" t="str">
        <f t="shared" si="402"/>
        <v/>
      </c>
      <c r="AP472" s="48">
        <f t="shared" si="403"/>
        <v>0</v>
      </c>
      <c r="AQ472" s="182"/>
      <c r="AR472" s="82" t="str">
        <f t="shared" si="404"/>
        <v/>
      </c>
      <c r="AS472" s="48">
        <f t="shared" si="405"/>
        <v>0</v>
      </c>
      <c r="AT472" s="182"/>
      <c r="AU472" s="82" t="str">
        <f t="shared" si="406"/>
        <v/>
      </c>
    </row>
    <row r="473" spans="1:47" ht="30">
      <c r="A473" s="16"/>
      <c r="B473" s="97" t="s">
        <v>1659</v>
      </c>
      <c r="C473" s="167" t="s">
        <v>1437</v>
      </c>
      <c r="D473" s="86" t="s">
        <v>1438</v>
      </c>
      <c r="E473" s="97" t="s">
        <v>28</v>
      </c>
      <c r="F473" s="172">
        <v>10.52</v>
      </c>
      <c r="G473" s="97">
        <v>20</v>
      </c>
      <c r="H473" s="85">
        <f t="shared" ref="H473:H521" si="408">G473*$F473</f>
        <v>210.39999999999998</v>
      </c>
      <c r="I473" s="50">
        <f t="shared" si="407"/>
        <v>0</v>
      </c>
      <c r="J473" s="85">
        <f t="shared" ref="J473:J478" si="409">I473*$F473</f>
        <v>0</v>
      </c>
      <c r="K473" s="82" t="str">
        <f t="shared" si="392"/>
        <v/>
      </c>
      <c r="L473" s="50"/>
      <c r="M473" s="85">
        <f t="shared" ref="M473:M478" si="410">L473*$F473</f>
        <v>0</v>
      </c>
      <c r="N473" s="82" t="str">
        <f t="shared" si="393"/>
        <v/>
      </c>
      <c r="O473" s="50"/>
      <c r="P473" s="85">
        <f t="shared" ref="P473:P478" si="411">O473*$F473</f>
        <v>0</v>
      </c>
      <c r="Q473" s="82" t="str">
        <f t="shared" si="394"/>
        <v/>
      </c>
      <c r="R473" s="50"/>
      <c r="S473" s="85">
        <f t="shared" ref="S473:S478" si="412">R473*$F473</f>
        <v>0</v>
      </c>
      <c r="T473" s="82" t="str">
        <f t="shared" si="395"/>
        <v/>
      </c>
      <c r="U473" s="50"/>
      <c r="V473" s="85">
        <f t="shared" ref="V473:V478" si="413">U473*$F473</f>
        <v>0</v>
      </c>
      <c r="W473" s="82" t="str">
        <f t="shared" si="396"/>
        <v/>
      </c>
      <c r="X473" s="50"/>
      <c r="Y473" s="85">
        <f t="shared" ref="Y473:Y478" si="414">X473*$F473</f>
        <v>0</v>
      </c>
      <c r="Z473" s="82" t="str">
        <f t="shared" si="397"/>
        <v/>
      </c>
      <c r="AA473" s="50"/>
      <c r="AB473" s="85">
        <f t="shared" ref="AB473:AB478" si="415">AA473*$F473</f>
        <v>0</v>
      </c>
      <c r="AC473" s="82" t="str">
        <f t="shared" si="398"/>
        <v/>
      </c>
      <c r="AD473" s="50"/>
      <c r="AE473" s="85">
        <f t="shared" ref="AE473:AE478" si="416">AD473*$F473</f>
        <v>0</v>
      </c>
      <c r="AF473" s="82" t="str">
        <f t="shared" si="399"/>
        <v/>
      </c>
      <c r="AG473" s="50"/>
      <c r="AH473" s="85">
        <f t="shared" ref="AH473:AH478" si="417">AG473*$F473</f>
        <v>0</v>
      </c>
      <c r="AI473" s="82" t="str">
        <f t="shared" si="400"/>
        <v/>
      </c>
      <c r="AJ473" s="50"/>
      <c r="AK473" s="85">
        <f t="shared" ref="AK473:AK478" si="418">AJ473*$F473</f>
        <v>0</v>
      </c>
      <c r="AL473" s="82" t="str">
        <f t="shared" si="401"/>
        <v/>
      </c>
      <c r="AM473" s="50"/>
      <c r="AN473" s="85">
        <f t="shared" ref="AN473:AN478" si="419">AM473*$F473</f>
        <v>0</v>
      </c>
      <c r="AO473" s="82" t="str">
        <f t="shared" si="402"/>
        <v/>
      </c>
      <c r="AP473" s="48">
        <f t="shared" si="403"/>
        <v>0</v>
      </c>
      <c r="AQ473" s="85">
        <f t="shared" ref="AQ473:AQ478" si="420">AP473*$F473</f>
        <v>0</v>
      </c>
      <c r="AR473" s="82" t="str">
        <f t="shared" si="404"/>
        <v/>
      </c>
      <c r="AS473" s="48">
        <f t="shared" si="405"/>
        <v>20</v>
      </c>
      <c r="AT473" s="85">
        <f t="shared" ref="AT473:AT478" si="421">AS473*$F473</f>
        <v>210.39999999999998</v>
      </c>
      <c r="AU473" s="82">
        <f t="shared" si="406"/>
        <v>1</v>
      </c>
    </row>
    <row r="474" spans="1:47" ht="30">
      <c r="A474" s="16"/>
      <c r="B474" s="97" t="s">
        <v>1660</v>
      </c>
      <c r="C474" s="167" t="s">
        <v>1440</v>
      </c>
      <c r="D474" s="86" t="s">
        <v>1441</v>
      </c>
      <c r="E474" s="97" t="s">
        <v>28</v>
      </c>
      <c r="F474" s="172">
        <v>15.49</v>
      </c>
      <c r="G474" s="97">
        <v>16</v>
      </c>
      <c r="H474" s="85">
        <f t="shared" si="408"/>
        <v>247.84</v>
      </c>
      <c r="I474" s="50">
        <f t="shared" si="407"/>
        <v>0</v>
      </c>
      <c r="J474" s="85">
        <f t="shared" si="409"/>
        <v>0</v>
      </c>
      <c r="K474" s="82" t="str">
        <f t="shared" si="392"/>
        <v/>
      </c>
      <c r="L474" s="50"/>
      <c r="M474" s="85">
        <f t="shared" si="410"/>
        <v>0</v>
      </c>
      <c r="N474" s="82" t="str">
        <f t="shared" si="393"/>
        <v/>
      </c>
      <c r="O474" s="50"/>
      <c r="P474" s="85">
        <f t="shared" si="411"/>
        <v>0</v>
      </c>
      <c r="Q474" s="82" t="str">
        <f t="shared" si="394"/>
        <v/>
      </c>
      <c r="R474" s="50"/>
      <c r="S474" s="85">
        <f t="shared" si="412"/>
        <v>0</v>
      </c>
      <c r="T474" s="82" t="str">
        <f t="shared" si="395"/>
        <v/>
      </c>
      <c r="U474" s="50"/>
      <c r="V474" s="85">
        <f t="shared" si="413"/>
        <v>0</v>
      </c>
      <c r="W474" s="82" t="str">
        <f t="shared" si="396"/>
        <v/>
      </c>
      <c r="X474" s="50"/>
      <c r="Y474" s="85">
        <f t="shared" si="414"/>
        <v>0</v>
      </c>
      <c r="Z474" s="82" t="str">
        <f t="shared" si="397"/>
        <v/>
      </c>
      <c r="AA474" s="50"/>
      <c r="AB474" s="85">
        <f t="shared" si="415"/>
        <v>0</v>
      </c>
      <c r="AC474" s="82" t="str">
        <f t="shared" si="398"/>
        <v/>
      </c>
      <c r="AD474" s="50"/>
      <c r="AE474" s="85">
        <f t="shared" si="416"/>
        <v>0</v>
      </c>
      <c r="AF474" s="82" t="str">
        <f t="shared" si="399"/>
        <v/>
      </c>
      <c r="AG474" s="50"/>
      <c r="AH474" s="85">
        <f t="shared" si="417"/>
        <v>0</v>
      </c>
      <c r="AI474" s="82" t="str">
        <f t="shared" si="400"/>
        <v/>
      </c>
      <c r="AJ474" s="50"/>
      <c r="AK474" s="85">
        <f t="shared" si="418"/>
        <v>0</v>
      </c>
      <c r="AL474" s="82" t="str">
        <f t="shared" si="401"/>
        <v/>
      </c>
      <c r="AM474" s="50"/>
      <c r="AN474" s="85">
        <f t="shared" si="419"/>
        <v>0</v>
      </c>
      <c r="AO474" s="82" t="str">
        <f t="shared" si="402"/>
        <v/>
      </c>
      <c r="AP474" s="48">
        <f t="shared" si="403"/>
        <v>0</v>
      </c>
      <c r="AQ474" s="85">
        <f t="shared" si="420"/>
        <v>0</v>
      </c>
      <c r="AR474" s="82" t="str">
        <f t="shared" si="404"/>
        <v/>
      </c>
      <c r="AS474" s="48">
        <f t="shared" si="405"/>
        <v>16</v>
      </c>
      <c r="AT474" s="85">
        <f t="shared" si="421"/>
        <v>247.84</v>
      </c>
      <c r="AU474" s="82">
        <f t="shared" si="406"/>
        <v>1</v>
      </c>
    </row>
    <row r="475" spans="1:47" ht="45">
      <c r="A475" s="16"/>
      <c r="B475" s="97" t="s">
        <v>1661</v>
      </c>
      <c r="C475" s="167" t="s">
        <v>1662</v>
      </c>
      <c r="D475" s="86" t="s">
        <v>1663</v>
      </c>
      <c r="E475" s="97" t="s">
        <v>28</v>
      </c>
      <c r="F475" s="172">
        <v>173.6</v>
      </c>
      <c r="G475" s="97">
        <v>4</v>
      </c>
      <c r="H475" s="85">
        <f t="shared" si="408"/>
        <v>694.4</v>
      </c>
      <c r="I475" s="50">
        <f t="shared" si="407"/>
        <v>0</v>
      </c>
      <c r="J475" s="85">
        <f t="shared" si="409"/>
        <v>0</v>
      </c>
      <c r="K475" s="82" t="str">
        <f t="shared" si="392"/>
        <v/>
      </c>
      <c r="L475" s="50"/>
      <c r="M475" s="85">
        <f t="shared" si="410"/>
        <v>0</v>
      </c>
      <c r="N475" s="82" t="str">
        <f t="shared" si="393"/>
        <v/>
      </c>
      <c r="O475" s="50"/>
      <c r="P475" s="85">
        <f t="shared" si="411"/>
        <v>0</v>
      </c>
      <c r="Q475" s="82" t="str">
        <f t="shared" si="394"/>
        <v/>
      </c>
      <c r="R475" s="50"/>
      <c r="S475" s="85">
        <f t="shared" si="412"/>
        <v>0</v>
      </c>
      <c r="T475" s="82" t="str">
        <f t="shared" si="395"/>
        <v/>
      </c>
      <c r="U475" s="50"/>
      <c r="V475" s="85">
        <f t="shared" si="413"/>
        <v>0</v>
      </c>
      <c r="W475" s="82" t="str">
        <f t="shared" si="396"/>
        <v/>
      </c>
      <c r="X475" s="50"/>
      <c r="Y475" s="85">
        <f t="shared" si="414"/>
        <v>0</v>
      </c>
      <c r="Z475" s="82" t="str">
        <f t="shared" si="397"/>
        <v/>
      </c>
      <c r="AA475" s="50"/>
      <c r="AB475" s="85">
        <f t="shared" si="415"/>
        <v>0</v>
      </c>
      <c r="AC475" s="82" t="str">
        <f t="shared" si="398"/>
        <v/>
      </c>
      <c r="AD475" s="50"/>
      <c r="AE475" s="85">
        <f t="shared" si="416"/>
        <v>0</v>
      </c>
      <c r="AF475" s="82" t="str">
        <f t="shared" si="399"/>
        <v/>
      </c>
      <c r="AG475" s="50"/>
      <c r="AH475" s="85">
        <f t="shared" si="417"/>
        <v>0</v>
      </c>
      <c r="AI475" s="82" t="str">
        <f t="shared" si="400"/>
        <v/>
      </c>
      <c r="AJ475" s="50"/>
      <c r="AK475" s="85">
        <f t="shared" si="418"/>
        <v>0</v>
      </c>
      <c r="AL475" s="82" t="str">
        <f t="shared" si="401"/>
        <v/>
      </c>
      <c r="AM475" s="50"/>
      <c r="AN475" s="85">
        <f t="shared" si="419"/>
        <v>0</v>
      </c>
      <c r="AO475" s="82" t="str">
        <f t="shared" si="402"/>
        <v/>
      </c>
      <c r="AP475" s="48">
        <f t="shared" si="403"/>
        <v>0</v>
      </c>
      <c r="AQ475" s="85">
        <f t="shared" si="420"/>
        <v>0</v>
      </c>
      <c r="AR475" s="82" t="str">
        <f t="shared" si="404"/>
        <v/>
      </c>
      <c r="AS475" s="48">
        <f t="shared" si="405"/>
        <v>4</v>
      </c>
      <c r="AT475" s="85">
        <f t="shared" si="421"/>
        <v>694.4</v>
      </c>
      <c r="AU475" s="82">
        <f t="shared" si="406"/>
        <v>1</v>
      </c>
    </row>
    <row r="476" spans="1:47" ht="30">
      <c r="A476" s="16"/>
      <c r="B476" s="97" t="s">
        <v>1664</v>
      </c>
      <c r="C476" s="167" t="s">
        <v>1665</v>
      </c>
      <c r="D476" s="86" t="s">
        <v>1666</v>
      </c>
      <c r="E476" s="97" t="s">
        <v>28</v>
      </c>
      <c r="F476" s="172">
        <v>891.03</v>
      </c>
      <c r="G476" s="97">
        <v>2</v>
      </c>
      <c r="H476" s="85">
        <f t="shared" si="408"/>
        <v>1782.06</v>
      </c>
      <c r="I476" s="50">
        <f t="shared" si="407"/>
        <v>0</v>
      </c>
      <c r="J476" s="85">
        <f t="shared" si="409"/>
        <v>0</v>
      </c>
      <c r="K476" s="82" t="str">
        <f t="shared" si="392"/>
        <v/>
      </c>
      <c r="L476" s="50"/>
      <c r="M476" s="85">
        <f t="shared" si="410"/>
        <v>0</v>
      </c>
      <c r="N476" s="82" t="str">
        <f t="shared" si="393"/>
        <v/>
      </c>
      <c r="O476" s="50"/>
      <c r="P476" s="85">
        <f t="shared" si="411"/>
        <v>0</v>
      </c>
      <c r="Q476" s="82" t="str">
        <f t="shared" si="394"/>
        <v/>
      </c>
      <c r="R476" s="50"/>
      <c r="S476" s="85">
        <f t="shared" si="412"/>
        <v>0</v>
      </c>
      <c r="T476" s="82" t="str">
        <f t="shared" si="395"/>
        <v/>
      </c>
      <c r="U476" s="50"/>
      <c r="V476" s="85">
        <f t="shared" si="413"/>
        <v>0</v>
      </c>
      <c r="W476" s="82" t="str">
        <f t="shared" si="396"/>
        <v/>
      </c>
      <c r="X476" s="50"/>
      <c r="Y476" s="85">
        <f t="shared" si="414"/>
        <v>0</v>
      </c>
      <c r="Z476" s="82" t="str">
        <f t="shared" si="397"/>
        <v/>
      </c>
      <c r="AA476" s="50"/>
      <c r="AB476" s="85">
        <f t="shared" si="415"/>
        <v>0</v>
      </c>
      <c r="AC476" s="82" t="str">
        <f t="shared" si="398"/>
        <v/>
      </c>
      <c r="AD476" s="50"/>
      <c r="AE476" s="85">
        <f t="shared" si="416"/>
        <v>0</v>
      </c>
      <c r="AF476" s="82" t="str">
        <f t="shared" si="399"/>
        <v/>
      </c>
      <c r="AG476" s="50"/>
      <c r="AH476" s="85">
        <f t="shared" si="417"/>
        <v>0</v>
      </c>
      <c r="AI476" s="82" t="str">
        <f t="shared" si="400"/>
        <v/>
      </c>
      <c r="AJ476" s="50"/>
      <c r="AK476" s="85">
        <f t="shared" si="418"/>
        <v>0</v>
      </c>
      <c r="AL476" s="82" t="str">
        <f t="shared" si="401"/>
        <v/>
      </c>
      <c r="AM476" s="50"/>
      <c r="AN476" s="85">
        <f t="shared" si="419"/>
        <v>0</v>
      </c>
      <c r="AO476" s="82" t="str">
        <f t="shared" si="402"/>
        <v/>
      </c>
      <c r="AP476" s="48">
        <f t="shared" si="403"/>
        <v>0</v>
      </c>
      <c r="AQ476" s="85">
        <f t="shared" si="420"/>
        <v>0</v>
      </c>
      <c r="AR476" s="82" t="str">
        <f t="shared" si="404"/>
        <v/>
      </c>
      <c r="AS476" s="48">
        <f t="shared" si="405"/>
        <v>2</v>
      </c>
      <c r="AT476" s="85">
        <f t="shared" si="421"/>
        <v>1782.06</v>
      </c>
      <c r="AU476" s="82">
        <f t="shared" si="406"/>
        <v>1</v>
      </c>
    </row>
    <row r="477" spans="1:47" ht="30">
      <c r="A477" s="16"/>
      <c r="B477" s="97" t="s">
        <v>1667</v>
      </c>
      <c r="C477" s="167" t="s">
        <v>1452</v>
      </c>
      <c r="D477" s="86" t="s">
        <v>1453</v>
      </c>
      <c r="E477" s="97" t="s">
        <v>28</v>
      </c>
      <c r="F477" s="172">
        <v>580.75</v>
      </c>
      <c r="G477" s="97">
        <v>1</v>
      </c>
      <c r="H477" s="85">
        <f t="shared" si="408"/>
        <v>580.75</v>
      </c>
      <c r="I477" s="50">
        <f t="shared" si="407"/>
        <v>0</v>
      </c>
      <c r="J477" s="85">
        <f t="shared" si="409"/>
        <v>0</v>
      </c>
      <c r="K477" s="82" t="str">
        <f t="shared" si="392"/>
        <v/>
      </c>
      <c r="L477" s="50"/>
      <c r="M477" s="85">
        <f t="shared" si="410"/>
        <v>0</v>
      </c>
      <c r="N477" s="82" t="str">
        <f t="shared" si="393"/>
        <v/>
      </c>
      <c r="O477" s="50"/>
      <c r="P477" s="85">
        <f t="shared" si="411"/>
        <v>0</v>
      </c>
      <c r="Q477" s="82" t="str">
        <f t="shared" si="394"/>
        <v/>
      </c>
      <c r="R477" s="50"/>
      <c r="S477" s="85">
        <f t="shared" si="412"/>
        <v>0</v>
      </c>
      <c r="T477" s="82" t="str">
        <f t="shared" si="395"/>
        <v/>
      </c>
      <c r="U477" s="50"/>
      <c r="V477" s="85">
        <f t="shared" si="413"/>
        <v>0</v>
      </c>
      <c r="W477" s="82" t="str">
        <f t="shared" si="396"/>
        <v/>
      </c>
      <c r="X477" s="50"/>
      <c r="Y477" s="85">
        <f t="shared" si="414"/>
        <v>0</v>
      </c>
      <c r="Z477" s="82" t="str">
        <f t="shared" si="397"/>
        <v/>
      </c>
      <c r="AA477" s="50"/>
      <c r="AB477" s="85">
        <f t="shared" si="415"/>
        <v>0</v>
      </c>
      <c r="AC477" s="82" t="str">
        <f t="shared" si="398"/>
        <v/>
      </c>
      <c r="AD477" s="50"/>
      <c r="AE477" s="85">
        <f t="shared" si="416"/>
        <v>0</v>
      </c>
      <c r="AF477" s="82" t="str">
        <f t="shared" si="399"/>
        <v/>
      </c>
      <c r="AG477" s="50"/>
      <c r="AH477" s="85">
        <f t="shared" si="417"/>
        <v>0</v>
      </c>
      <c r="AI477" s="82" t="str">
        <f t="shared" si="400"/>
        <v/>
      </c>
      <c r="AJ477" s="50"/>
      <c r="AK477" s="85">
        <f t="shared" si="418"/>
        <v>0</v>
      </c>
      <c r="AL477" s="82" t="str">
        <f t="shared" si="401"/>
        <v/>
      </c>
      <c r="AM477" s="50"/>
      <c r="AN477" s="85">
        <f t="shared" si="419"/>
        <v>0</v>
      </c>
      <c r="AO477" s="82" t="str">
        <f t="shared" si="402"/>
        <v/>
      </c>
      <c r="AP477" s="48">
        <f t="shared" si="403"/>
        <v>0</v>
      </c>
      <c r="AQ477" s="85">
        <f t="shared" si="420"/>
        <v>0</v>
      </c>
      <c r="AR477" s="82" t="str">
        <f t="shared" si="404"/>
        <v/>
      </c>
      <c r="AS477" s="48">
        <f t="shared" si="405"/>
        <v>1</v>
      </c>
      <c r="AT477" s="85">
        <f t="shared" si="421"/>
        <v>580.75</v>
      </c>
      <c r="AU477" s="82">
        <f t="shared" si="406"/>
        <v>1</v>
      </c>
    </row>
    <row r="478" spans="1:47" ht="60">
      <c r="A478" s="16"/>
      <c r="B478" s="97" t="s">
        <v>1668</v>
      </c>
      <c r="C478" s="167" t="s">
        <v>1669</v>
      </c>
      <c r="D478" s="86" t="s">
        <v>1670</v>
      </c>
      <c r="E478" s="97" t="s">
        <v>28</v>
      </c>
      <c r="F478" s="172">
        <v>1223.3499999999999</v>
      </c>
      <c r="G478" s="97">
        <v>1</v>
      </c>
      <c r="H478" s="85">
        <f t="shared" si="408"/>
        <v>1223.3499999999999</v>
      </c>
      <c r="I478" s="50">
        <f t="shared" si="407"/>
        <v>0</v>
      </c>
      <c r="J478" s="85">
        <f t="shared" si="409"/>
        <v>0</v>
      </c>
      <c r="K478" s="82" t="str">
        <f t="shared" si="392"/>
        <v/>
      </c>
      <c r="L478" s="50"/>
      <c r="M478" s="85">
        <f t="shared" si="410"/>
        <v>0</v>
      </c>
      <c r="N478" s="82" t="str">
        <f t="shared" si="393"/>
        <v/>
      </c>
      <c r="O478" s="50"/>
      <c r="P478" s="85">
        <f t="shared" si="411"/>
        <v>0</v>
      </c>
      <c r="Q478" s="82" t="str">
        <f t="shared" si="394"/>
        <v/>
      </c>
      <c r="R478" s="50"/>
      <c r="S478" s="85">
        <f t="shared" si="412"/>
        <v>0</v>
      </c>
      <c r="T478" s="82" t="str">
        <f t="shared" si="395"/>
        <v/>
      </c>
      <c r="U478" s="50"/>
      <c r="V478" s="85">
        <f t="shared" si="413"/>
        <v>0</v>
      </c>
      <c r="W478" s="82" t="str">
        <f t="shared" si="396"/>
        <v/>
      </c>
      <c r="X478" s="50"/>
      <c r="Y478" s="85">
        <f t="shared" si="414"/>
        <v>0</v>
      </c>
      <c r="Z478" s="82" t="str">
        <f t="shared" si="397"/>
        <v/>
      </c>
      <c r="AA478" s="50"/>
      <c r="AB478" s="85">
        <f t="shared" si="415"/>
        <v>0</v>
      </c>
      <c r="AC478" s="82" t="str">
        <f t="shared" si="398"/>
        <v/>
      </c>
      <c r="AD478" s="50"/>
      <c r="AE478" s="85">
        <f t="shared" si="416"/>
        <v>0</v>
      </c>
      <c r="AF478" s="82" t="str">
        <f t="shared" si="399"/>
        <v/>
      </c>
      <c r="AG478" s="50"/>
      <c r="AH478" s="85">
        <f t="shared" si="417"/>
        <v>0</v>
      </c>
      <c r="AI478" s="82" t="str">
        <f t="shared" si="400"/>
        <v/>
      </c>
      <c r="AJ478" s="50"/>
      <c r="AK478" s="85">
        <f t="shared" si="418"/>
        <v>0</v>
      </c>
      <c r="AL478" s="82" t="str">
        <f t="shared" si="401"/>
        <v/>
      </c>
      <c r="AM478" s="50"/>
      <c r="AN478" s="85">
        <f t="shared" si="419"/>
        <v>0</v>
      </c>
      <c r="AO478" s="82" t="str">
        <f t="shared" si="402"/>
        <v/>
      </c>
      <c r="AP478" s="48">
        <f t="shared" si="403"/>
        <v>0</v>
      </c>
      <c r="AQ478" s="85">
        <f t="shared" si="420"/>
        <v>0</v>
      </c>
      <c r="AR478" s="82" t="str">
        <f t="shared" si="404"/>
        <v/>
      </c>
      <c r="AS478" s="48">
        <f t="shared" si="405"/>
        <v>1</v>
      </c>
      <c r="AT478" s="85">
        <f t="shared" si="421"/>
        <v>1223.3499999999999</v>
      </c>
      <c r="AU478" s="82">
        <f t="shared" si="406"/>
        <v>1</v>
      </c>
    </row>
    <row r="479" spans="1:47" ht="30" customHeight="1">
      <c r="A479" s="16"/>
      <c r="B479" s="99" t="s">
        <v>1671</v>
      </c>
      <c r="C479" s="180" t="s">
        <v>1672</v>
      </c>
      <c r="D479" s="181"/>
      <c r="E479" s="181"/>
      <c r="F479" s="181"/>
      <c r="G479" s="181"/>
      <c r="H479" s="182"/>
      <c r="I479" s="50">
        <f t="shared" si="407"/>
        <v>0</v>
      </c>
      <c r="J479" s="182"/>
      <c r="K479" s="82" t="str">
        <f t="shared" si="392"/>
        <v/>
      </c>
      <c r="L479" s="50"/>
      <c r="M479" s="182"/>
      <c r="N479" s="82" t="str">
        <f t="shared" si="393"/>
        <v/>
      </c>
      <c r="O479" s="50"/>
      <c r="P479" s="182"/>
      <c r="Q479" s="82" t="str">
        <f t="shared" si="394"/>
        <v/>
      </c>
      <c r="R479" s="50"/>
      <c r="S479" s="182"/>
      <c r="T479" s="82" t="str">
        <f t="shared" si="395"/>
        <v/>
      </c>
      <c r="U479" s="50"/>
      <c r="V479" s="182"/>
      <c r="W479" s="82" t="str">
        <f t="shared" si="396"/>
        <v/>
      </c>
      <c r="X479" s="50"/>
      <c r="Y479" s="182"/>
      <c r="Z479" s="82" t="str">
        <f t="shared" si="397"/>
        <v/>
      </c>
      <c r="AA479" s="50"/>
      <c r="AB479" s="182"/>
      <c r="AC479" s="82" t="str">
        <f t="shared" si="398"/>
        <v/>
      </c>
      <c r="AD479" s="50"/>
      <c r="AE479" s="182"/>
      <c r="AF479" s="82" t="str">
        <f t="shared" si="399"/>
        <v/>
      </c>
      <c r="AG479" s="50"/>
      <c r="AH479" s="182"/>
      <c r="AI479" s="82" t="str">
        <f t="shared" si="400"/>
        <v/>
      </c>
      <c r="AJ479" s="50"/>
      <c r="AK479" s="182"/>
      <c r="AL479" s="82" t="str">
        <f t="shared" si="401"/>
        <v/>
      </c>
      <c r="AM479" s="50"/>
      <c r="AN479" s="182"/>
      <c r="AO479" s="82" t="str">
        <f t="shared" si="402"/>
        <v/>
      </c>
      <c r="AP479" s="48">
        <f t="shared" si="403"/>
        <v>0</v>
      </c>
      <c r="AQ479" s="182"/>
      <c r="AR479" s="82" t="str">
        <f t="shared" si="404"/>
        <v/>
      </c>
      <c r="AS479" s="48">
        <f t="shared" si="405"/>
        <v>0</v>
      </c>
      <c r="AT479" s="182"/>
      <c r="AU479" s="82" t="str">
        <f t="shared" si="406"/>
        <v/>
      </c>
    </row>
    <row r="480" spans="1:47" ht="30">
      <c r="A480" s="16"/>
      <c r="B480" s="97" t="s">
        <v>1673</v>
      </c>
      <c r="C480" s="167" t="s">
        <v>312</v>
      </c>
      <c r="D480" s="86" t="s">
        <v>313</v>
      </c>
      <c r="E480" s="97" t="s">
        <v>44</v>
      </c>
      <c r="F480" s="172">
        <v>19.72</v>
      </c>
      <c r="G480" s="97">
        <v>57</v>
      </c>
      <c r="H480" s="85">
        <f t="shared" si="408"/>
        <v>1124.04</v>
      </c>
      <c r="I480" s="50">
        <f t="shared" si="407"/>
        <v>0</v>
      </c>
      <c r="J480" s="85">
        <f t="shared" ref="J480:J498" si="422">I480*$F480</f>
        <v>0</v>
      </c>
      <c r="K480" s="82" t="str">
        <f t="shared" si="392"/>
        <v/>
      </c>
      <c r="L480" s="50"/>
      <c r="M480" s="85">
        <f t="shared" ref="M480:M498" si="423">L480*$F480</f>
        <v>0</v>
      </c>
      <c r="N480" s="82" t="str">
        <f t="shared" si="393"/>
        <v/>
      </c>
      <c r="O480" s="50"/>
      <c r="P480" s="85">
        <f t="shared" ref="P480:P498" si="424">O480*$F480</f>
        <v>0</v>
      </c>
      <c r="Q480" s="82" t="str">
        <f t="shared" si="394"/>
        <v/>
      </c>
      <c r="R480" s="50"/>
      <c r="S480" s="85">
        <f t="shared" ref="S480:S498" si="425">R480*$F480</f>
        <v>0</v>
      </c>
      <c r="T480" s="82" t="str">
        <f t="shared" si="395"/>
        <v/>
      </c>
      <c r="U480" s="50"/>
      <c r="V480" s="85">
        <f t="shared" ref="V480:V498" si="426">U480*$F480</f>
        <v>0</v>
      </c>
      <c r="W480" s="82" t="str">
        <f t="shared" si="396"/>
        <v/>
      </c>
      <c r="X480" s="50"/>
      <c r="Y480" s="85">
        <f t="shared" ref="Y480:Y498" si="427">X480*$F480</f>
        <v>0</v>
      </c>
      <c r="Z480" s="82" t="str">
        <f t="shared" si="397"/>
        <v/>
      </c>
      <c r="AA480" s="50"/>
      <c r="AB480" s="85">
        <f t="shared" ref="AB480:AB498" si="428">AA480*$F480</f>
        <v>0</v>
      </c>
      <c r="AC480" s="82" t="str">
        <f t="shared" si="398"/>
        <v/>
      </c>
      <c r="AD480" s="50"/>
      <c r="AE480" s="85">
        <f t="shared" ref="AE480:AE498" si="429">AD480*$F480</f>
        <v>0</v>
      </c>
      <c r="AF480" s="82" t="str">
        <f t="shared" si="399"/>
        <v/>
      </c>
      <c r="AG480" s="50"/>
      <c r="AH480" s="85">
        <f t="shared" ref="AH480:AH498" si="430">AG480*$F480</f>
        <v>0</v>
      </c>
      <c r="AI480" s="82" t="str">
        <f t="shared" si="400"/>
        <v/>
      </c>
      <c r="AJ480" s="50"/>
      <c r="AK480" s="85">
        <f t="shared" ref="AK480:AK498" si="431">AJ480*$F480</f>
        <v>0</v>
      </c>
      <c r="AL480" s="82" t="str">
        <f t="shared" si="401"/>
        <v/>
      </c>
      <c r="AM480" s="50"/>
      <c r="AN480" s="85">
        <f t="shared" ref="AN480:AN498" si="432">AM480*$F480</f>
        <v>0</v>
      </c>
      <c r="AO480" s="82" t="str">
        <f t="shared" si="402"/>
        <v/>
      </c>
      <c r="AP480" s="48">
        <f t="shared" si="403"/>
        <v>0</v>
      </c>
      <c r="AQ480" s="85">
        <f t="shared" ref="AQ480:AQ498" si="433">AP480*$F480</f>
        <v>0</v>
      </c>
      <c r="AR480" s="82" t="str">
        <f t="shared" si="404"/>
        <v/>
      </c>
      <c r="AS480" s="48">
        <f t="shared" si="405"/>
        <v>57</v>
      </c>
      <c r="AT480" s="85">
        <f t="shared" ref="AT480:AT498" si="434">AS480*$F480</f>
        <v>1124.04</v>
      </c>
      <c r="AU480" s="82">
        <f t="shared" si="406"/>
        <v>1</v>
      </c>
    </row>
    <row r="481" spans="1:47" ht="30">
      <c r="A481" s="16"/>
      <c r="B481" s="97" t="s">
        <v>1674</v>
      </c>
      <c r="C481" s="167" t="s">
        <v>315</v>
      </c>
      <c r="D481" s="86" t="s">
        <v>316</v>
      </c>
      <c r="E481" s="97" t="s">
        <v>44</v>
      </c>
      <c r="F481" s="172">
        <v>29.61</v>
      </c>
      <c r="G481" s="97">
        <v>42</v>
      </c>
      <c r="H481" s="85">
        <f t="shared" si="408"/>
        <v>1243.6199999999999</v>
      </c>
      <c r="I481" s="50">
        <f t="shared" si="407"/>
        <v>0</v>
      </c>
      <c r="J481" s="85">
        <f t="shared" si="422"/>
        <v>0</v>
      </c>
      <c r="K481" s="82" t="str">
        <f t="shared" si="392"/>
        <v/>
      </c>
      <c r="L481" s="50"/>
      <c r="M481" s="85">
        <f t="shared" si="423"/>
        <v>0</v>
      </c>
      <c r="N481" s="82" t="str">
        <f t="shared" si="393"/>
        <v/>
      </c>
      <c r="O481" s="50"/>
      <c r="P481" s="85">
        <f t="shared" si="424"/>
        <v>0</v>
      </c>
      <c r="Q481" s="82" t="str">
        <f t="shared" si="394"/>
        <v/>
      </c>
      <c r="R481" s="50"/>
      <c r="S481" s="85">
        <f t="shared" si="425"/>
        <v>0</v>
      </c>
      <c r="T481" s="82" t="str">
        <f t="shared" si="395"/>
        <v/>
      </c>
      <c r="U481" s="50"/>
      <c r="V481" s="85">
        <f t="shared" si="426"/>
        <v>0</v>
      </c>
      <c r="W481" s="82" t="str">
        <f t="shared" si="396"/>
        <v/>
      </c>
      <c r="X481" s="50"/>
      <c r="Y481" s="85">
        <f t="shared" si="427"/>
        <v>0</v>
      </c>
      <c r="Z481" s="82" t="str">
        <f t="shared" si="397"/>
        <v/>
      </c>
      <c r="AA481" s="50"/>
      <c r="AB481" s="85">
        <f t="shared" si="428"/>
        <v>0</v>
      </c>
      <c r="AC481" s="82" t="str">
        <f t="shared" si="398"/>
        <v/>
      </c>
      <c r="AD481" s="50"/>
      <c r="AE481" s="85">
        <f t="shared" si="429"/>
        <v>0</v>
      </c>
      <c r="AF481" s="82" t="str">
        <f t="shared" si="399"/>
        <v/>
      </c>
      <c r="AG481" s="50"/>
      <c r="AH481" s="85">
        <f t="shared" si="430"/>
        <v>0</v>
      </c>
      <c r="AI481" s="82" t="str">
        <f t="shared" si="400"/>
        <v/>
      </c>
      <c r="AJ481" s="50"/>
      <c r="AK481" s="85">
        <f t="shared" si="431"/>
        <v>0</v>
      </c>
      <c r="AL481" s="82" t="str">
        <f t="shared" si="401"/>
        <v/>
      </c>
      <c r="AM481" s="50"/>
      <c r="AN481" s="85">
        <f t="shared" si="432"/>
        <v>0</v>
      </c>
      <c r="AO481" s="82" t="str">
        <f t="shared" si="402"/>
        <v/>
      </c>
      <c r="AP481" s="48">
        <f t="shared" si="403"/>
        <v>0</v>
      </c>
      <c r="AQ481" s="85">
        <f t="shared" si="433"/>
        <v>0</v>
      </c>
      <c r="AR481" s="82" t="str">
        <f t="shared" si="404"/>
        <v/>
      </c>
      <c r="AS481" s="48">
        <f t="shared" si="405"/>
        <v>42</v>
      </c>
      <c r="AT481" s="85">
        <f t="shared" si="434"/>
        <v>1243.6199999999999</v>
      </c>
      <c r="AU481" s="82">
        <f t="shared" si="406"/>
        <v>1</v>
      </c>
    </row>
    <row r="482" spans="1:47" ht="45">
      <c r="A482" s="16"/>
      <c r="B482" s="97" t="s">
        <v>1675</v>
      </c>
      <c r="C482" s="167" t="s">
        <v>1676</v>
      </c>
      <c r="D482" s="86" t="s">
        <v>1677</v>
      </c>
      <c r="E482" s="97" t="s">
        <v>44</v>
      </c>
      <c r="F482" s="172">
        <v>43.65</v>
      </c>
      <c r="G482" s="97">
        <v>40</v>
      </c>
      <c r="H482" s="85">
        <f t="shared" si="408"/>
        <v>1746</v>
      </c>
      <c r="I482" s="50">
        <f t="shared" si="407"/>
        <v>0</v>
      </c>
      <c r="J482" s="85">
        <f t="shared" si="422"/>
        <v>0</v>
      </c>
      <c r="K482" s="82" t="str">
        <f t="shared" si="392"/>
        <v/>
      </c>
      <c r="L482" s="50"/>
      <c r="M482" s="85">
        <f t="shared" si="423"/>
        <v>0</v>
      </c>
      <c r="N482" s="82" t="str">
        <f t="shared" si="393"/>
        <v/>
      </c>
      <c r="O482" s="50"/>
      <c r="P482" s="85">
        <f t="shared" si="424"/>
        <v>0</v>
      </c>
      <c r="Q482" s="82" t="str">
        <f t="shared" si="394"/>
        <v/>
      </c>
      <c r="R482" s="50"/>
      <c r="S482" s="85">
        <f t="shared" si="425"/>
        <v>0</v>
      </c>
      <c r="T482" s="82" t="str">
        <f t="shared" si="395"/>
        <v/>
      </c>
      <c r="U482" s="50"/>
      <c r="V482" s="85">
        <f t="shared" si="426"/>
        <v>0</v>
      </c>
      <c r="W482" s="82" t="str">
        <f t="shared" si="396"/>
        <v/>
      </c>
      <c r="X482" s="50"/>
      <c r="Y482" s="85">
        <f t="shared" si="427"/>
        <v>0</v>
      </c>
      <c r="Z482" s="82" t="str">
        <f t="shared" si="397"/>
        <v/>
      </c>
      <c r="AA482" s="50"/>
      <c r="AB482" s="85">
        <f t="shared" si="428"/>
        <v>0</v>
      </c>
      <c r="AC482" s="82" t="str">
        <f t="shared" si="398"/>
        <v/>
      </c>
      <c r="AD482" s="50"/>
      <c r="AE482" s="85">
        <f t="shared" si="429"/>
        <v>0</v>
      </c>
      <c r="AF482" s="82" t="str">
        <f t="shared" si="399"/>
        <v/>
      </c>
      <c r="AG482" s="50"/>
      <c r="AH482" s="85">
        <f t="shared" si="430"/>
        <v>0</v>
      </c>
      <c r="AI482" s="82" t="str">
        <f t="shared" si="400"/>
        <v/>
      </c>
      <c r="AJ482" s="50"/>
      <c r="AK482" s="85">
        <f t="shared" si="431"/>
        <v>0</v>
      </c>
      <c r="AL482" s="82" t="str">
        <f t="shared" si="401"/>
        <v/>
      </c>
      <c r="AM482" s="50"/>
      <c r="AN482" s="85">
        <f t="shared" si="432"/>
        <v>0</v>
      </c>
      <c r="AO482" s="82" t="str">
        <f t="shared" si="402"/>
        <v/>
      </c>
      <c r="AP482" s="48">
        <f t="shared" si="403"/>
        <v>0</v>
      </c>
      <c r="AQ482" s="85">
        <f t="shared" si="433"/>
        <v>0</v>
      </c>
      <c r="AR482" s="82" t="str">
        <f t="shared" si="404"/>
        <v/>
      </c>
      <c r="AS482" s="48">
        <f t="shared" si="405"/>
        <v>40</v>
      </c>
      <c r="AT482" s="85">
        <f t="shared" si="434"/>
        <v>1746</v>
      </c>
      <c r="AU482" s="82">
        <f t="shared" si="406"/>
        <v>1</v>
      </c>
    </row>
    <row r="483" spans="1:47" ht="30">
      <c r="A483" s="16"/>
      <c r="B483" s="97" t="s">
        <v>1678</v>
      </c>
      <c r="C483" s="167" t="s">
        <v>1345</v>
      </c>
      <c r="D483" s="86" t="s">
        <v>1346</v>
      </c>
      <c r="E483" s="97" t="s">
        <v>44</v>
      </c>
      <c r="F483" s="172">
        <v>54.81</v>
      </c>
      <c r="G483" s="97">
        <v>66</v>
      </c>
      <c r="H483" s="85">
        <f t="shared" si="408"/>
        <v>3617.46</v>
      </c>
      <c r="I483" s="50">
        <f t="shared" si="407"/>
        <v>0</v>
      </c>
      <c r="J483" s="85">
        <f t="shared" si="422"/>
        <v>0</v>
      </c>
      <c r="K483" s="82" t="str">
        <f t="shared" si="392"/>
        <v/>
      </c>
      <c r="L483" s="50"/>
      <c r="M483" s="85">
        <f t="shared" si="423"/>
        <v>0</v>
      </c>
      <c r="N483" s="82" t="str">
        <f t="shared" si="393"/>
        <v/>
      </c>
      <c r="O483" s="50"/>
      <c r="P483" s="85">
        <f t="shared" si="424"/>
        <v>0</v>
      </c>
      <c r="Q483" s="82" t="str">
        <f t="shared" si="394"/>
        <v/>
      </c>
      <c r="R483" s="50"/>
      <c r="S483" s="85">
        <f t="shared" si="425"/>
        <v>0</v>
      </c>
      <c r="T483" s="82" t="str">
        <f t="shared" si="395"/>
        <v/>
      </c>
      <c r="U483" s="50"/>
      <c r="V483" s="85">
        <f t="shared" si="426"/>
        <v>0</v>
      </c>
      <c r="W483" s="82" t="str">
        <f t="shared" si="396"/>
        <v/>
      </c>
      <c r="X483" s="50"/>
      <c r="Y483" s="85">
        <f t="shared" si="427"/>
        <v>0</v>
      </c>
      <c r="Z483" s="82" t="str">
        <f t="shared" si="397"/>
        <v/>
      </c>
      <c r="AA483" s="50"/>
      <c r="AB483" s="85">
        <f t="shared" si="428"/>
        <v>0</v>
      </c>
      <c r="AC483" s="82" t="str">
        <f t="shared" si="398"/>
        <v/>
      </c>
      <c r="AD483" s="50"/>
      <c r="AE483" s="85">
        <f t="shared" si="429"/>
        <v>0</v>
      </c>
      <c r="AF483" s="82" t="str">
        <f t="shared" si="399"/>
        <v/>
      </c>
      <c r="AG483" s="50"/>
      <c r="AH483" s="85">
        <f t="shared" si="430"/>
        <v>0</v>
      </c>
      <c r="AI483" s="82" t="str">
        <f t="shared" si="400"/>
        <v/>
      </c>
      <c r="AJ483" s="50"/>
      <c r="AK483" s="85">
        <f t="shared" si="431"/>
        <v>0</v>
      </c>
      <c r="AL483" s="82" t="str">
        <f t="shared" si="401"/>
        <v/>
      </c>
      <c r="AM483" s="50"/>
      <c r="AN483" s="85">
        <f t="shared" si="432"/>
        <v>0</v>
      </c>
      <c r="AO483" s="82" t="str">
        <f t="shared" si="402"/>
        <v/>
      </c>
      <c r="AP483" s="48">
        <f t="shared" si="403"/>
        <v>0</v>
      </c>
      <c r="AQ483" s="85">
        <f t="shared" si="433"/>
        <v>0</v>
      </c>
      <c r="AR483" s="82" t="str">
        <f t="shared" si="404"/>
        <v/>
      </c>
      <c r="AS483" s="48">
        <f t="shared" si="405"/>
        <v>66</v>
      </c>
      <c r="AT483" s="85">
        <f t="shared" si="434"/>
        <v>3617.46</v>
      </c>
      <c r="AU483" s="82">
        <f t="shared" si="406"/>
        <v>1</v>
      </c>
    </row>
    <row r="484" spans="1:47" ht="45">
      <c r="A484" s="16"/>
      <c r="B484" s="97" t="s">
        <v>1679</v>
      </c>
      <c r="C484" s="167" t="s">
        <v>1680</v>
      </c>
      <c r="D484" s="86" t="s">
        <v>1681</v>
      </c>
      <c r="E484" s="97" t="s">
        <v>28</v>
      </c>
      <c r="F484" s="172">
        <v>58.38</v>
      </c>
      <c r="G484" s="97">
        <v>114</v>
      </c>
      <c r="H484" s="85">
        <f t="shared" si="408"/>
        <v>6655.3200000000006</v>
      </c>
      <c r="I484" s="50">
        <f t="shared" si="407"/>
        <v>0</v>
      </c>
      <c r="J484" s="85">
        <f t="shared" si="422"/>
        <v>0</v>
      </c>
      <c r="K484" s="82" t="str">
        <f t="shared" si="392"/>
        <v/>
      </c>
      <c r="L484" s="50"/>
      <c r="M484" s="85">
        <f t="shared" si="423"/>
        <v>0</v>
      </c>
      <c r="N484" s="82" t="str">
        <f t="shared" si="393"/>
        <v/>
      </c>
      <c r="O484" s="50"/>
      <c r="P484" s="85">
        <f t="shared" si="424"/>
        <v>0</v>
      </c>
      <c r="Q484" s="82" t="str">
        <f t="shared" si="394"/>
        <v/>
      </c>
      <c r="R484" s="50"/>
      <c r="S484" s="85">
        <f t="shared" si="425"/>
        <v>0</v>
      </c>
      <c r="T484" s="82" t="str">
        <f t="shared" si="395"/>
        <v/>
      </c>
      <c r="U484" s="50"/>
      <c r="V484" s="85">
        <f t="shared" si="426"/>
        <v>0</v>
      </c>
      <c r="W484" s="82" t="str">
        <f t="shared" si="396"/>
        <v/>
      </c>
      <c r="X484" s="50"/>
      <c r="Y484" s="85">
        <f t="shared" si="427"/>
        <v>0</v>
      </c>
      <c r="Z484" s="82" t="str">
        <f t="shared" si="397"/>
        <v/>
      </c>
      <c r="AA484" s="50"/>
      <c r="AB484" s="85">
        <f t="shared" si="428"/>
        <v>0</v>
      </c>
      <c r="AC484" s="82" t="str">
        <f t="shared" si="398"/>
        <v/>
      </c>
      <c r="AD484" s="50"/>
      <c r="AE484" s="85">
        <f t="shared" si="429"/>
        <v>0</v>
      </c>
      <c r="AF484" s="82" t="str">
        <f t="shared" si="399"/>
        <v/>
      </c>
      <c r="AG484" s="50"/>
      <c r="AH484" s="85">
        <f t="shared" si="430"/>
        <v>0</v>
      </c>
      <c r="AI484" s="82" t="str">
        <f t="shared" si="400"/>
        <v/>
      </c>
      <c r="AJ484" s="50"/>
      <c r="AK484" s="85">
        <f t="shared" si="431"/>
        <v>0</v>
      </c>
      <c r="AL484" s="82" t="str">
        <f t="shared" si="401"/>
        <v/>
      </c>
      <c r="AM484" s="50"/>
      <c r="AN484" s="85">
        <f t="shared" si="432"/>
        <v>0</v>
      </c>
      <c r="AO484" s="82" t="str">
        <f t="shared" si="402"/>
        <v/>
      </c>
      <c r="AP484" s="48">
        <f t="shared" si="403"/>
        <v>0</v>
      </c>
      <c r="AQ484" s="85">
        <f t="shared" si="433"/>
        <v>0</v>
      </c>
      <c r="AR484" s="82" t="str">
        <f t="shared" si="404"/>
        <v/>
      </c>
      <c r="AS484" s="48">
        <f t="shared" si="405"/>
        <v>114</v>
      </c>
      <c r="AT484" s="85">
        <f t="shared" si="434"/>
        <v>6655.3200000000006</v>
      </c>
      <c r="AU484" s="82">
        <f t="shared" si="406"/>
        <v>1</v>
      </c>
    </row>
    <row r="485" spans="1:47" ht="30">
      <c r="A485" s="16"/>
      <c r="B485" s="97" t="s">
        <v>1682</v>
      </c>
      <c r="C485" s="167" t="s">
        <v>1366</v>
      </c>
      <c r="D485" s="86" t="s">
        <v>1367</v>
      </c>
      <c r="E485" s="97" t="s">
        <v>44</v>
      </c>
      <c r="F485" s="172">
        <v>10.050000000000001</v>
      </c>
      <c r="G485" s="97">
        <v>35</v>
      </c>
      <c r="H485" s="85">
        <f t="shared" si="408"/>
        <v>351.75</v>
      </c>
      <c r="I485" s="50">
        <f t="shared" si="407"/>
        <v>0</v>
      </c>
      <c r="J485" s="85">
        <f t="shared" si="422"/>
        <v>0</v>
      </c>
      <c r="K485" s="82" t="str">
        <f t="shared" si="392"/>
        <v/>
      </c>
      <c r="L485" s="50"/>
      <c r="M485" s="85">
        <f t="shared" si="423"/>
        <v>0</v>
      </c>
      <c r="N485" s="82" t="str">
        <f t="shared" si="393"/>
        <v/>
      </c>
      <c r="O485" s="50"/>
      <c r="P485" s="85">
        <f t="shared" si="424"/>
        <v>0</v>
      </c>
      <c r="Q485" s="82" t="str">
        <f t="shared" si="394"/>
        <v/>
      </c>
      <c r="R485" s="50"/>
      <c r="S485" s="85">
        <f t="shared" si="425"/>
        <v>0</v>
      </c>
      <c r="T485" s="82" t="str">
        <f t="shared" si="395"/>
        <v/>
      </c>
      <c r="U485" s="50"/>
      <c r="V485" s="85">
        <f t="shared" si="426"/>
        <v>0</v>
      </c>
      <c r="W485" s="82" t="str">
        <f t="shared" si="396"/>
        <v/>
      </c>
      <c r="X485" s="50"/>
      <c r="Y485" s="85">
        <f t="shared" si="427"/>
        <v>0</v>
      </c>
      <c r="Z485" s="82" t="str">
        <f t="shared" si="397"/>
        <v/>
      </c>
      <c r="AA485" s="50"/>
      <c r="AB485" s="85">
        <f t="shared" si="428"/>
        <v>0</v>
      </c>
      <c r="AC485" s="82" t="str">
        <f t="shared" si="398"/>
        <v/>
      </c>
      <c r="AD485" s="50"/>
      <c r="AE485" s="85">
        <f t="shared" si="429"/>
        <v>0</v>
      </c>
      <c r="AF485" s="82" t="str">
        <f t="shared" si="399"/>
        <v/>
      </c>
      <c r="AG485" s="50"/>
      <c r="AH485" s="85">
        <f t="shared" si="430"/>
        <v>0</v>
      </c>
      <c r="AI485" s="82" t="str">
        <f t="shared" si="400"/>
        <v/>
      </c>
      <c r="AJ485" s="50"/>
      <c r="AK485" s="85">
        <f t="shared" si="431"/>
        <v>0</v>
      </c>
      <c r="AL485" s="82" t="str">
        <f t="shared" si="401"/>
        <v/>
      </c>
      <c r="AM485" s="50"/>
      <c r="AN485" s="85">
        <f t="shared" si="432"/>
        <v>0</v>
      </c>
      <c r="AO485" s="82" t="str">
        <f t="shared" si="402"/>
        <v/>
      </c>
      <c r="AP485" s="48">
        <f t="shared" si="403"/>
        <v>0</v>
      </c>
      <c r="AQ485" s="85">
        <f t="shared" si="433"/>
        <v>0</v>
      </c>
      <c r="AR485" s="82" t="str">
        <f t="shared" si="404"/>
        <v/>
      </c>
      <c r="AS485" s="48">
        <f t="shared" si="405"/>
        <v>35</v>
      </c>
      <c r="AT485" s="85">
        <f t="shared" si="434"/>
        <v>351.75</v>
      </c>
      <c r="AU485" s="82">
        <f t="shared" si="406"/>
        <v>1</v>
      </c>
    </row>
    <row r="486" spans="1:47" ht="30">
      <c r="A486" s="16"/>
      <c r="B486" s="97" t="s">
        <v>1683</v>
      </c>
      <c r="C486" s="167" t="s">
        <v>1390</v>
      </c>
      <c r="D486" s="86" t="s">
        <v>1391</v>
      </c>
      <c r="E486" s="97" t="s">
        <v>44</v>
      </c>
      <c r="F486" s="172">
        <v>98.52</v>
      </c>
      <c r="G486" s="97">
        <v>10</v>
      </c>
      <c r="H486" s="85">
        <f t="shared" si="408"/>
        <v>985.19999999999993</v>
      </c>
      <c r="I486" s="50">
        <f t="shared" si="407"/>
        <v>0</v>
      </c>
      <c r="J486" s="85">
        <f t="shared" si="422"/>
        <v>0</v>
      </c>
      <c r="K486" s="82" t="str">
        <f t="shared" si="392"/>
        <v/>
      </c>
      <c r="L486" s="50"/>
      <c r="M486" s="85">
        <f t="shared" si="423"/>
        <v>0</v>
      </c>
      <c r="N486" s="82" t="str">
        <f t="shared" si="393"/>
        <v/>
      </c>
      <c r="O486" s="50"/>
      <c r="P486" s="85">
        <f t="shared" si="424"/>
        <v>0</v>
      </c>
      <c r="Q486" s="82" t="str">
        <f t="shared" si="394"/>
        <v/>
      </c>
      <c r="R486" s="50"/>
      <c r="S486" s="85">
        <f t="shared" si="425"/>
        <v>0</v>
      </c>
      <c r="T486" s="82" t="str">
        <f t="shared" si="395"/>
        <v/>
      </c>
      <c r="U486" s="50"/>
      <c r="V486" s="85">
        <f t="shared" si="426"/>
        <v>0</v>
      </c>
      <c r="W486" s="82" t="str">
        <f t="shared" si="396"/>
        <v/>
      </c>
      <c r="X486" s="50"/>
      <c r="Y486" s="85">
        <f t="shared" si="427"/>
        <v>0</v>
      </c>
      <c r="Z486" s="82" t="str">
        <f t="shared" si="397"/>
        <v/>
      </c>
      <c r="AA486" s="50"/>
      <c r="AB486" s="85">
        <f t="shared" si="428"/>
        <v>0</v>
      </c>
      <c r="AC486" s="82" t="str">
        <f t="shared" si="398"/>
        <v/>
      </c>
      <c r="AD486" s="50"/>
      <c r="AE486" s="85">
        <f t="shared" si="429"/>
        <v>0</v>
      </c>
      <c r="AF486" s="82" t="str">
        <f t="shared" si="399"/>
        <v/>
      </c>
      <c r="AG486" s="50"/>
      <c r="AH486" s="85">
        <f t="shared" si="430"/>
        <v>0</v>
      </c>
      <c r="AI486" s="82" t="str">
        <f t="shared" si="400"/>
        <v/>
      </c>
      <c r="AJ486" s="50"/>
      <c r="AK486" s="85">
        <f t="shared" si="431"/>
        <v>0</v>
      </c>
      <c r="AL486" s="82" t="str">
        <f t="shared" si="401"/>
        <v/>
      </c>
      <c r="AM486" s="50"/>
      <c r="AN486" s="85">
        <f t="shared" si="432"/>
        <v>0</v>
      </c>
      <c r="AO486" s="82" t="str">
        <f t="shared" si="402"/>
        <v/>
      </c>
      <c r="AP486" s="48">
        <f t="shared" si="403"/>
        <v>0</v>
      </c>
      <c r="AQ486" s="85">
        <f t="shared" si="433"/>
        <v>0</v>
      </c>
      <c r="AR486" s="82" t="str">
        <f t="shared" si="404"/>
        <v/>
      </c>
      <c r="AS486" s="48">
        <f t="shared" si="405"/>
        <v>10</v>
      </c>
      <c r="AT486" s="85">
        <f t="shared" si="434"/>
        <v>985.19999999999993</v>
      </c>
      <c r="AU486" s="82">
        <f t="shared" si="406"/>
        <v>1</v>
      </c>
    </row>
    <row r="487" spans="1:47" ht="45">
      <c r="A487" s="16"/>
      <c r="B487" s="97" t="s">
        <v>1684</v>
      </c>
      <c r="C487" s="167" t="s">
        <v>1685</v>
      </c>
      <c r="D487" s="86" t="s">
        <v>1686</v>
      </c>
      <c r="E487" s="97" t="s">
        <v>44</v>
      </c>
      <c r="F487" s="172">
        <v>111.81</v>
      </c>
      <c r="G487" s="97">
        <v>114</v>
      </c>
      <c r="H487" s="85">
        <f t="shared" si="408"/>
        <v>12746.34</v>
      </c>
      <c r="I487" s="50">
        <f t="shared" si="407"/>
        <v>0</v>
      </c>
      <c r="J487" s="85">
        <f t="shared" si="422"/>
        <v>0</v>
      </c>
      <c r="K487" s="82" t="str">
        <f t="shared" si="392"/>
        <v/>
      </c>
      <c r="L487" s="50"/>
      <c r="M487" s="85">
        <f t="shared" si="423"/>
        <v>0</v>
      </c>
      <c r="N487" s="82" t="str">
        <f t="shared" si="393"/>
        <v/>
      </c>
      <c r="O487" s="50"/>
      <c r="P487" s="85">
        <f t="shared" si="424"/>
        <v>0</v>
      </c>
      <c r="Q487" s="82" t="str">
        <f t="shared" si="394"/>
        <v/>
      </c>
      <c r="R487" s="50"/>
      <c r="S487" s="85">
        <f t="shared" si="425"/>
        <v>0</v>
      </c>
      <c r="T487" s="82" t="str">
        <f t="shared" si="395"/>
        <v/>
      </c>
      <c r="U487" s="50"/>
      <c r="V487" s="85">
        <f t="shared" si="426"/>
        <v>0</v>
      </c>
      <c r="W487" s="82" t="str">
        <f t="shared" si="396"/>
        <v/>
      </c>
      <c r="X487" s="50"/>
      <c r="Y487" s="85">
        <f t="shared" si="427"/>
        <v>0</v>
      </c>
      <c r="Z487" s="82" t="str">
        <f t="shared" si="397"/>
        <v/>
      </c>
      <c r="AA487" s="50"/>
      <c r="AB487" s="85">
        <f t="shared" si="428"/>
        <v>0</v>
      </c>
      <c r="AC487" s="82" t="str">
        <f t="shared" si="398"/>
        <v/>
      </c>
      <c r="AD487" s="50"/>
      <c r="AE487" s="85">
        <f t="shared" si="429"/>
        <v>0</v>
      </c>
      <c r="AF487" s="82" t="str">
        <f t="shared" si="399"/>
        <v/>
      </c>
      <c r="AG487" s="50"/>
      <c r="AH487" s="85">
        <f t="shared" si="430"/>
        <v>0</v>
      </c>
      <c r="AI487" s="82" t="str">
        <f t="shared" si="400"/>
        <v/>
      </c>
      <c r="AJ487" s="50"/>
      <c r="AK487" s="85">
        <f t="shared" si="431"/>
        <v>0</v>
      </c>
      <c r="AL487" s="82" t="str">
        <f t="shared" si="401"/>
        <v/>
      </c>
      <c r="AM487" s="50"/>
      <c r="AN487" s="85">
        <f t="shared" si="432"/>
        <v>0</v>
      </c>
      <c r="AO487" s="82" t="str">
        <f t="shared" si="402"/>
        <v/>
      </c>
      <c r="AP487" s="48">
        <f t="shared" si="403"/>
        <v>0</v>
      </c>
      <c r="AQ487" s="85">
        <f t="shared" si="433"/>
        <v>0</v>
      </c>
      <c r="AR487" s="82" t="str">
        <f t="shared" si="404"/>
        <v/>
      </c>
      <c r="AS487" s="48">
        <f t="shared" si="405"/>
        <v>114</v>
      </c>
      <c r="AT487" s="85">
        <f t="shared" si="434"/>
        <v>12746.34</v>
      </c>
      <c r="AU487" s="82">
        <f t="shared" si="406"/>
        <v>1</v>
      </c>
    </row>
    <row r="488" spans="1:47" ht="30">
      <c r="A488" s="16"/>
      <c r="B488" s="97" t="s">
        <v>1687</v>
      </c>
      <c r="C488" s="167" t="s">
        <v>1688</v>
      </c>
      <c r="D488" s="86" t="s">
        <v>1689</v>
      </c>
      <c r="E488" s="97" t="s">
        <v>28</v>
      </c>
      <c r="F488" s="172">
        <v>81.760000000000005</v>
      </c>
      <c r="G488" s="97">
        <v>1</v>
      </c>
      <c r="H488" s="85">
        <f t="shared" si="408"/>
        <v>81.760000000000005</v>
      </c>
      <c r="I488" s="50">
        <f t="shared" si="407"/>
        <v>0</v>
      </c>
      <c r="J488" s="85">
        <f t="shared" si="422"/>
        <v>0</v>
      </c>
      <c r="K488" s="82" t="str">
        <f t="shared" si="392"/>
        <v/>
      </c>
      <c r="L488" s="50"/>
      <c r="M488" s="85">
        <f t="shared" si="423"/>
        <v>0</v>
      </c>
      <c r="N488" s="82" t="str">
        <f t="shared" si="393"/>
        <v/>
      </c>
      <c r="O488" s="50"/>
      <c r="P488" s="85">
        <f t="shared" si="424"/>
        <v>0</v>
      </c>
      <c r="Q488" s="82" t="str">
        <f t="shared" si="394"/>
        <v/>
      </c>
      <c r="R488" s="50"/>
      <c r="S488" s="85">
        <f t="shared" si="425"/>
        <v>0</v>
      </c>
      <c r="T488" s="82" t="str">
        <f t="shared" si="395"/>
        <v/>
      </c>
      <c r="U488" s="50"/>
      <c r="V488" s="85">
        <f t="shared" si="426"/>
        <v>0</v>
      </c>
      <c r="W488" s="82" t="str">
        <f t="shared" si="396"/>
        <v/>
      </c>
      <c r="X488" s="50"/>
      <c r="Y488" s="85">
        <f t="shared" si="427"/>
        <v>0</v>
      </c>
      <c r="Z488" s="82" t="str">
        <f t="shared" si="397"/>
        <v/>
      </c>
      <c r="AA488" s="50"/>
      <c r="AB488" s="85">
        <f t="shared" si="428"/>
        <v>0</v>
      </c>
      <c r="AC488" s="82" t="str">
        <f t="shared" si="398"/>
        <v/>
      </c>
      <c r="AD488" s="50"/>
      <c r="AE488" s="85">
        <f t="shared" si="429"/>
        <v>0</v>
      </c>
      <c r="AF488" s="82" t="str">
        <f t="shared" si="399"/>
        <v/>
      </c>
      <c r="AG488" s="50"/>
      <c r="AH488" s="85">
        <f t="shared" si="430"/>
        <v>0</v>
      </c>
      <c r="AI488" s="82" t="str">
        <f t="shared" si="400"/>
        <v/>
      </c>
      <c r="AJ488" s="50"/>
      <c r="AK488" s="85">
        <f t="shared" si="431"/>
        <v>0</v>
      </c>
      <c r="AL488" s="82" t="str">
        <f t="shared" si="401"/>
        <v/>
      </c>
      <c r="AM488" s="50"/>
      <c r="AN488" s="85">
        <f t="shared" si="432"/>
        <v>0</v>
      </c>
      <c r="AO488" s="82" t="str">
        <f t="shared" si="402"/>
        <v/>
      </c>
      <c r="AP488" s="48">
        <f t="shared" si="403"/>
        <v>0</v>
      </c>
      <c r="AQ488" s="85">
        <f t="shared" si="433"/>
        <v>0</v>
      </c>
      <c r="AR488" s="82" t="str">
        <f t="shared" si="404"/>
        <v/>
      </c>
      <c r="AS488" s="48">
        <f t="shared" si="405"/>
        <v>1</v>
      </c>
      <c r="AT488" s="85">
        <f t="shared" si="434"/>
        <v>81.760000000000005</v>
      </c>
      <c r="AU488" s="82">
        <f t="shared" si="406"/>
        <v>1</v>
      </c>
    </row>
    <row r="489" spans="1:47" ht="45">
      <c r="A489" s="16"/>
      <c r="B489" s="97" t="s">
        <v>1690</v>
      </c>
      <c r="C489" s="167" t="s">
        <v>1691</v>
      </c>
      <c r="D489" s="86" t="s">
        <v>1692</v>
      </c>
      <c r="E489" s="97" t="s">
        <v>28</v>
      </c>
      <c r="F489" s="172">
        <v>84.44</v>
      </c>
      <c r="G489" s="97">
        <v>13</v>
      </c>
      <c r="H489" s="85">
        <f t="shared" si="408"/>
        <v>1097.72</v>
      </c>
      <c r="I489" s="50">
        <f t="shared" si="407"/>
        <v>0</v>
      </c>
      <c r="J489" s="85">
        <f t="shared" si="422"/>
        <v>0</v>
      </c>
      <c r="K489" s="82" t="str">
        <f t="shared" si="392"/>
        <v/>
      </c>
      <c r="L489" s="50"/>
      <c r="M489" s="85">
        <f t="shared" si="423"/>
        <v>0</v>
      </c>
      <c r="N489" s="82" t="str">
        <f t="shared" si="393"/>
        <v/>
      </c>
      <c r="O489" s="50"/>
      <c r="P489" s="85">
        <f t="shared" si="424"/>
        <v>0</v>
      </c>
      <c r="Q489" s="82" t="str">
        <f t="shared" si="394"/>
        <v/>
      </c>
      <c r="R489" s="50"/>
      <c r="S489" s="85">
        <f t="shared" si="425"/>
        <v>0</v>
      </c>
      <c r="T489" s="82" t="str">
        <f t="shared" si="395"/>
        <v/>
      </c>
      <c r="U489" s="50"/>
      <c r="V489" s="85">
        <f t="shared" si="426"/>
        <v>0</v>
      </c>
      <c r="W489" s="82" t="str">
        <f t="shared" si="396"/>
        <v/>
      </c>
      <c r="X489" s="50"/>
      <c r="Y489" s="85">
        <f t="shared" si="427"/>
        <v>0</v>
      </c>
      <c r="Z489" s="82" t="str">
        <f t="shared" si="397"/>
        <v/>
      </c>
      <c r="AA489" s="50"/>
      <c r="AB489" s="85">
        <f t="shared" si="428"/>
        <v>0</v>
      </c>
      <c r="AC489" s="82" t="str">
        <f t="shared" si="398"/>
        <v/>
      </c>
      <c r="AD489" s="50"/>
      <c r="AE489" s="85">
        <f t="shared" si="429"/>
        <v>0</v>
      </c>
      <c r="AF489" s="82" t="str">
        <f t="shared" si="399"/>
        <v/>
      </c>
      <c r="AG489" s="50"/>
      <c r="AH489" s="85">
        <f t="shared" si="430"/>
        <v>0</v>
      </c>
      <c r="AI489" s="82" t="str">
        <f t="shared" si="400"/>
        <v/>
      </c>
      <c r="AJ489" s="50"/>
      <c r="AK489" s="85">
        <f t="shared" si="431"/>
        <v>0</v>
      </c>
      <c r="AL489" s="82" t="str">
        <f t="shared" si="401"/>
        <v/>
      </c>
      <c r="AM489" s="50"/>
      <c r="AN489" s="85">
        <f t="shared" si="432"/>
        <v>0</v>
      </c>
      <c r="AO489" s="82" t="str">
        <f t="shared" si="402"/>
        <v/>
      </c>
      <c r="AP489" s="48">
        <f t="shared" si="403"/>
        <v>0</v>
      </c>
      <c r="AQ489" s="85">
        <f t="shared" si="433"/>
        <v>0</v>
      </c>
      <c r="AR489" s="82" t="str">
        <f t="shared" si="404"/>
        <v/>
      </c>
      <c r="AS489" s="48">
        <f t="shared" si="405"/>
        <v>13</v>
      </c>
      <c r="AT489" s="85">
        <f t="shared" si="434"/>
        <v>1097.72</v>
      </c>
      <c r="AU489" s="82">
        <f t="shared" si="406"/>
        <v>1</v>
      </c>
    </row>
    <row r="490" spans="1:47" ht="30">
      <c r="A490" s="16"/>
      <c r="B490" s="97" t="s">
        <v>1693</v>
      </c>
      <c r="C490" s="167" t="s">
        <v>1694</v>
      </c>
      <c r="D490" s="86" t="s">
        <v>1695</v>
      </c>
      <c r="E490" s="97" t="s">
        <v>28</v>
      </c>
      <c r="F490" s="172">
        <v>86.27</v>
      </c>
      <c r="G490" s="97">
        <v>3</v>
      </c>
      <c r="H490" s="85">
        <f t="shared" si="408"/>
        <v>258.81</v>
      </c>
      <c r="I490" s="50">
        <f t="shared" si="407"/>
        <v>0</v>
      </c>
      <c r="J490" s="85">
        <f t="shared" si="422"/>
        <v>0</v>
      </c>
      <c r="K490" s="82" t="str">
        <f t="shared" si="392"/>
        <v/>
      </c>
      <c r="L490" s="50"/>
      <c r="M490" s="85">
        <f t="shared" si="423"/>
        <v>0</v>
      </c>
      <c r="N490" s="82" t="str">
        <f t="shared" si="393"/>
        <v/>
      </c>
      <c r="O490" s="50"/>
      <c r="P490" s="85">
        <f t="shared" si="424"/>
        <v>0</v>
      </c>
      <c r="Q490" s="82" t="str">
        <f t="shared" si="394"/>
        <v/>
      </c>
      <c r="R490" s="50"/>
      <c r="S490" s="85">
        <f t="shared" si="425"/>
        <v>0</v>
      </c>
      <c r="T490" s="82" t="str">
        <f t="shared" si="395"/>
        <v/>
      </c>
      <c r="U490" s="50"/>
      <c r="V490" s="85">
        <f t="shared" si="426"/>
        <v>0</v>
      </c>
      <c r="W490" s="82" t="str">
        <f t="shared" si="396"/>
        <v/>
      </c>
      <c r="X490" s="50"/>
      <c r="Y490" s="85">
        <f t="shared" si="427"/>
        <v>0</v>
      </c>
      <c r="Z490" s="82" t="str">
        <f t="shared" si="397"/>
        <v/>
      </c>
      <c r="AA490" s="50"/>
      <c r="AB490" s="85">
        <f t="shared" si="428"/>
        <v>0</v>
      </c>
      <c r="AC490" s="82" t="str">
        <f t="shared" si="398"/>
        <v/>
      </c>
      <c r="AD490" s="50"/>
      <c r="AE490" s="85">
        <f t="shared" si="429"/>
        <v>0</v>
      </c>
      <c r="AF490" s="82" t="str">
        <f t="shared" si="399"/>
        <v/>
      </c>
      <c r="AG490" s="50"/>
      <c r="AH490" s="85">
        <f t="shared" si="430"/>
        <v>0</v>
      </c>
      <c r="AI490" s="82" t="str">
        <f t="shared" si="400"/>
        <v/>
      </c>
      <c r="AJ490" s="50"/>
      <c r="AK490" s="85">
        <f t="shared" si="431"/>
        <v>0</v>
      </c>
      <c r="AL490" s="82" t="str">
        <f t="shared" si="401"/>
        <v/>
      </c>
      <c r="AM490" s="50"/>
      <c r="AN490" s="85">
        <f t="shared" si="432"/>
        <v>0</v>
      </c>
      <c r="AO490" s="82" t="str">
        <f t="shared" si="402"/>
        <v/>
      </c>
      <c r="AP490" s="48">
        <f t="shared" si="403"/>
        <v>0</v>
      </c>
      <c r="AQ490" s="85">
        <f t="shared" si="433"/>
        <v>0</v>
      </c>
      <c r="AR490" s="82" t="str">
        <f t="shared" si="404"/>
        <v/>
      </c>
      <c r="AS490" s="48">
        <f t="shared" si="405"/>
        <v>3</v>
      </c>
      <c r="AT490" s="85">
        <f t="shared" si="434"/>
        <v>258.81</v>
      </c>
      <c r="AU490" s="82">
        <f t="shared" si="406"/>
        <v>1</v>
      </c>
    </row>
    <row r="491" spans="1:47" ht="105">
      <c r="A491" s="16"/>
      <c r="B491" s="97" t="s">
        <v>1696</v>
      </c>
      <c r="C491" s="167" t="s">
        <v>1697</v>
      </c>
      <c r="D491" s="86" t="s">
        <v>1698</v>
      </c>
      <c r="E491" s="97" t="s">
        <v>28</v>
      </c>
      <c r="F491" s="172">
        <v>56.99</v>
      </c>
      <c r="G491" s="97">
        <v>76</v>
      </c>
      <c r="H491" s="85">
        <f t="shared" si="408"/>
        <v>4331.24</v>
      </c>
      <c r="I491" s="50">
        <f t="shared" si="407"/>
        <v>0</v>
      </c>
      <c r="J491" s="85">
        <f t="shared" si="422"/>
        <v>0</v>
      </c>
      <c r="K491" s="82" t="str">
        <f t="shared" si="392"/>
        <v/>
      </c>
      <c r="L491" s="50"/>
      <c r="M491" s="85">
        <f t="shared" si="423"/>
        <v>0</v>
      </c>
      <c r="N491" s="82" t="str">
        <f t="shared" si="393"/>
        <v/>
      </c>
      <c r="O491" s="50"/>
      <c r="P491" s="85">
        <f t="shared" si="424"/>
        <v>0</v>
      </c>
      <c r="Q491" s="82" t="str">
        <f t="shared" si="394"/>
        <v/>
      </c>
      <c r="R491" s="50"/>
      <c r="S491" s="85">
        <f t="shared" si="425"/>
        <v>0</v>
      </c>
      <c r="T491" s="82" t="str">
        <f t="shared" si="395"/>
        <v/>
      </c>
      <c r="U491" s="50"/>
      <c r="V491" s="85">
        <f t="shared" si="426"/>
        <v>0</v>
      </c>
      <c r="W491" s="82" t="str">
        <f t="shared" si="396"/>
        <v/>
      </c>
      <c r="X491" s="50"/>
      <c r="Y491" s="85">
        <f t="shared" si="427"/>
        <v>0</v>
      </c>
      <c r="Z491" s="82" t="str">
        <f t="shared" si="397"/>
        <v/>
      </c>
      <c r="AA491" s="50"/>
      <c r="AB491" s="85">
        <f t="shared" si="428"/>
        <v>0</v>
      </c>
      <c r="AC491" s="82" t="str">
        <f t="shared" si="398"/>
        <v/>
      </c>
      <c r="AD491" s="50"/>
      <c r="AE491" s="85">
        <f t="shared" si="429"/>
        <v>0</v>
      </c>
      <c r="AF491" s="82" t="str">
        <f t="shared" si="399"/>
        <v/>
      </c>
      <c r="AG491" s="50"/>
      <c r="AH491" s="85">
        <f t="shared" si="430"/>
        <v>0</v>
      </c>
      <c r="AI491" s="82" t="str">
        <f t="shared" si="400"/>
        <v/>
      </c>
      <c r="AJ491" s="50"/>
      <c r="AK491" s="85">
        <f t="shared" si="431"/>
        <v>0</v>
      </c>
      <c r="AL491" s="82" t="str">
        <f t="shared" si="401"/>
        <v/>
      </c>
      <c r="AM491" s="50"/>
      <c r="AN491" s="85">
        <f t="shared" si="432"/>
        <v>0</v>
      </c>
      <c r="AO491" s="82" t="str">
        <f t="shared" si="402"/>
        <v/>
      </c>
      <c r="AP491" s="48">
        <f t="shared" si="403"/>
        <v>0</v>
      </c>
      <c r="AQ491" s="85">
        <f t="shared" si="433"/>
        <v>0</v>
      </c>
      <c r="AR491" s="82" t="str">
        <f t="shared" si="404"/>
        <v/>
      </c>
      <c r="AS491" s="48">
        <f t="shared" si="405"/>
        <v>76</v>
      </c>
      <c r="AT491" s="85">
        <f t="shared" si="434"/>
        <v>4331.24</v>
      </c>
      <c r="AU491" s="82">
        <f t="shared" si="406"/>
        <v>1</v>
      </c>
    </row>
    <row r="492" spans="1:47" ht="45">
      <c r="A492" s="16"/>
      <c r="B492" s="97" t="s">
        <v>1699</v>
      </c>
      <c r="C492" s="167" t="s">
        <v>1384</v>
      </c>
      <c r="D492" s="86" t="s">
        <v>1385</v>
      </c>
      <c r="E492" s="97" t="s">
        <v>28</v>
      </c>
      <c r="F492" s="172">
        <v>12.87</v>
      </c>
      <c r="G492" s="97">
        <v>8</v>
      </c>
      <c r="H492" s="85">
        <f t="shared" si="408"/>
        <v>102.96</v>
      </c>
      <c r="I492" s="50">
        <f t="shared" si="407"/>
        <v>0</v>
      </c>
      <c r="J492" s="85">
        <f t="shared" si="422"/>
        <v>0</v>
      </c>
      <c r="K492" s="82" t="str">
        <f t="shared" si="392"/>
        <v/>
      </c>
      <c r="L492" s="50"/>
      <c r="M492" s="85">
        <f t="shared" si="423"/>
        <v>0</v>
      </c>
      <c r="N492" s="82" t="str">
        <f t="shared" si="393"/>
        <v/>
      </c>
      <c r="O492" s="50"/>
      <c r="P492" s="85">
        <f t="shared" si="424"/>
        <v>0</v>
      </c>
      <c r="Q492" s="82" t="str">
        <f t="shared" si="394"/>
        <v/>
      </c>
      <c r="R492" s="50"/>
      <c r="S492" s="85">
        <f t="shared" si="425"/>
        <v>0</v>
      </c>
      <c r="T492" s="82" t="str">
        <f t="shared" si="395"/>
        <v/>
      </c>
      <c r="U492" s="50"/>
      <c r="V492" s="85">
        <f t="shared" si="426"/>
        <v>0</v>
      </c>
      <c r="W492" s="82" t="str">
        <f t="shared" si="396"/>
        <v/>
      </c>
      <c r="X492" s="50"/>
      <c r="Y492" s="85">
        <f t="shared" si="427"/>
        <v>0</v>
      </c>
      <c r="Z492" s="82" t="str">
        <f t="shared" si="397"/>
        <v/>
      </c>
      <c r="AA492" s="50"/>
      <c r="AB492" s="85">
        <f t="shared" si="428"/>
        <v>0</v>
      </c>
      <c r="AC492" s="82" t="str">
        <f t="shared" si="398"/>
        <v/>
      </c>
      <c r="AD492" s="50"/>
      <c r="AE492" s="85">
        <f t="shared" si="429"/>
        <v>0</v>
      </c>
      <c r="AF492" s="82" t="str">
        <f t="shared" si="399"/>
        <v/>
      </c>
      <c r="AG492" s="50"/>
      <c r="AH492" s="85">
        <f t="shared" si="430"/>
        <v>0</v>
      </c>
      <c r="AI492" s="82" t="str">
        <f t="shared" si="400"/>
        <v/>
      </c>
      <c r="AJ492" s="50"/>
      <c r="AK492" s="85">
        <f t="shared" si="431"/>
        <v>0</v>
      </c>
      <c r="AL492" s="82" t="str">
        <f t="shared" si="401"/>
        <v/>
      </c>
      <c r="AM492" s="50"/>
      <c r="AN492" s="85">
        <f t="shared" si="432"/>
        <v>0</v>
      </c>
      <c r="AO492" s="82" t="str">
        <f t="shared" si="402"/>
        <v/>
      </c>
      <c r="AP492" s="48">
        <f t="shared" si="403"/>
        <v>0</v>
      </c>
      <c r="AQ492" s="85">
        <f t="shared" si="433"/>
        <v>0</v>
      </c>
      <c r="AR492" s="82" t="str">
        <f t="shared" si="404"/>
        <v/>
      </c>
      <c r="AS492" s="48">
        <f t="shared" si="405"/>
        <v>8</v>
      </c>
      <c r="AT492" s="85">
        <f t="shared" si="434"/>
        <v>102.96</v>
      </c>
      <c r="AU492" s="82">
        <f t="shared" si="406"/>
        <v>1</v>
      </c>
    </row>
    <row r="493" spans="1:47" ht="45">
      <c r="A493" s="16"/>
      <c r="B493" s="97" t="s">
        <v>1700</v>
      </c>
      <c r="C493" s="167" t="s">
        <v>1405</v>
      </c>
      <c r="D493" s="86" t="s">
        <v>1406</v>
      </c>
      <c r="E493" s="97" t="s">
        <v>28</v>
      </c>
      <c r="F493" s="172">
        <v>15.61</v>
      </c>
      <c r="G493" s="97">
        <v>17</v>
      </c>
      <c r="H493" s="85">
        <f t="shared" si="408"/>
        <v>265.37</v>
      </c>
      <c r="I493" s="50">
        <f t="shared" si="407"/>
        <v>0</v>
      </c>
      <c r="J493" s="85">
        <f t="shared" si="422"/>
        <v>0</v>
      </c>
      <c r="K493" s="82" t="str">
        <f t="shared" si="392"/>
        <v/>
      </c>
      <c r="L493" s="50"/>
      <c r="M493" s="85">
        <f t="shared" si="423"/>
        <v>0</v>
      </c>
      <c r="N493" s="82" t="str">
        <f t="shared" si="393"/>
        <v/>
      </c>
      <c r="O493" s="50"/>
      <c r="P493" s="85">
        <f t="shared" si="424"/>
        <v>0</v>
      </c>
      <c r="Q493" s="82" t="str">
        <f t="shared" si="394"/>
        <v/>
      </c>
      <c r="R493" s="50"/>
      <c r="S493" s="85">
        <f t="shared" si="425"/>
        <v>0</v>
      </c>
      <c r="T493" s="82" t="str">
        <f t="shared" si="395"/>
        <v/>
      </c>
      <c r="U493" s="50"/>
      <c r="V493" s="85">
        <f t="shared" si="426"/>
        <v>0</v>
      </c>
      <c r="W493" s="82" t="str">
        <f t="shared" si="396"/>
        <v/>
      </c>
      <c r="X493" s="50"/>
      <c r="Y493" s="85">
        <f t="shared" si="427"/>
        <v>0</v>
      </c>
      <c r="Z493" s="82" t="str">
        <f t="shared" si="397"/>
        <v/>
      </c>
      <c r="AA493" s="50"/>
      <c r="AB493" s="85">
        <f t="shared" si="428"/>
        <v>0</v>
      </c>
      <c r="AC493" s="82" t="str">
        <f t="shared" si="398"/>
        <v/>
      </c>
      <c r="AD493" s="50"/>
      <c r="AE493" s="85">
        <f t="shared" si="429"/>
        <v>0</v>
      </c>
      <c r="AF493" s="82" t="str">
        <f t="shared" si="399"/>
        <v/>
      </c>
      <c r="AG493" s="50"/>
      <c r="AH493" s="85">
        <f t="shared" si="430"/>
        <v>0</v>
      </c>
      <c r="AI493" s="82" t="str">
        <f t="shared" si="400"/>
        <v/>
      </c>
      <c r="AJ493" s="50"/>
      <c r="AK493" s="85">
        <f t="shared" si="431"/>
        <v>0</v>
      </c>
      <c r="AL493" s="82" t="str">
        <f t="shared" si="401"/>
        <v/>
      </c>
      <c r="AM493" s="50"/>
      <c r="AN493" s="85">
        <f t="shared" si="432"/>
        <v>0</v>
      </c>
      <c r="AO493" s="82" t="str">
        <f t="shared" si="402"/>
        <v/>
      </c>
      <c r="AP493" s="48">
        <f t="shared" si="403"/>
        <v>0</v>
      </c>
      <c r="AQ493" s="85">
        <f t="shared" si="433"/>
        <v>0</v>
      </c>
      <c r="AR493" s="82" t="str">
        <f t="shared" si="404"/>
        <v/>
      </c>
      <c r="AS493" s="48">
        <f t="shared" si="405"/>
        <v>17</v>
      </c>
      <c r="AT493" s="85">
        <f t="shared" si="434"/>
        <v>265.37</v>
      </c>
      <c r="AU493" s="82">
        <f t="shared" si="406"/>
        <v>1</v>
      </c>
    </row>
    <row r="494" spans="1:47" ht="45">
      <c r="A494" s="16"/>
      <c r="B494" s="97" t="s">
        <v>1701</v>
      </c>
      <c r="C494" s="167" t="s">
        <v>1387</v>
      </c>
      <c r="D494" s="86" t="s">
        <v>1388</v>
      </c>
      <c r="E494" s="97" t="s">
        <v>28</v>
      </c>
      <c r="F494" s="172">
        <v>24.37</v>
      </c>
      <c r="G494" s="97">
        <v>24</v>
      </c>
      <c r="H494" s="85">
        <f t="shared" si="408"/>
        <v>584.88</v>
      </c>
      <c r="I494" s="50">
        <f t="shared" si="407"/>
        <v>0</v>
      </c>
      <c r="J494" s="85">
        <f t="shared" si="422"/>
        <v>0</v>
      </c>
      <c r="K494" s="82" t="str">
        <f t="shared" si="392"/>
        <v/>
      </c>
      <c r="L494" s="50"/>
      <c r="M494" s="85">
        <f t="shared" si="423"/>
        <v>0</v>
      </c>
      <c r="N494" s="82" t="str">
        <f t="shared" si="393"/>
        <v/>
      </c>
      <c r="O494" s="50"/>
      <c r="P494" s="85">
        <f t="shared" si="424"/>
        <v>0</v>
      </c>
      <c r="Q494" s="82" t="str">
        <f t="shared" si="394"/>
        <v/>
      </c>
      <c r="R494" s="50"/>
      <c r="S494" s="85">
        <f t="shared" si="425"/>
        <v>0</v>
      </c>
      <c r="T494" s="82" t="str">
        <f t="shared" si="395"/>
        <v/>
      </c>
      <c r="U494" s="50"/>
      <c r="V494" s="85">
        <f t="shared" si="426"/>
        <v>0</v>
      </c>
      <c r="W494" s="82" t="str">
        <f t="shared" si="396"/>
        <v/>
      </c>
      <c r="X494" s="50"/>
      <c r="Y494" s="85">
        <f t="shared" si="427"/>
        <v>0</v>
      </c>
      <c r="Z494" s="82" t="str">
        <f t="shared" si="397"/>
        <v/>
      </c>
      <c r="AA494" s="50"/>
      <c r="AB494" s="85">
        <f t="shared" si="428"/>
        <v>0</v>
      </c>
      <c r="AC494" s="82" t="str">
        <f t="shared" si="398"/>
        <v/>
      </c>
      <c r="AD494" s="50"/>
      <c r="AE494" s="85">
        <f t="shared" si="429"/>
        <v>0</v>
      </c>
      <c r="AF494" s="82" t="str">
        <f t="shared" si="399"/>
        <v/>
      </c>
      <c r="AG494" s="50"/>
      <c r="AH494" s="85">
        <f t="shared" si="430"/>
        <v>0</v>
      </c>
      <c r="AI494" s="82" t="str">
        <f t="shared" si="400"/>
        <v/>
      </c>
      <c r="AJ494" s="50"/>
      <c r="AK494" s="85">
        <f t="shared" si="431"/>
        <v>0</v>
      </c>
      <c r="AL494" s="82" t="str">
        <f t="shared" si="401"/>
        <v/>
      </c>
      <c r="AM494" s="50"/>
      <c r="AN494" s="85">
        <f t="shared" si="432"/>
        <v>0</v>
      </c>
      <c r="AO494" s="82" t="str">
        <f t="shared" si="402"/>
        <v/>
      </c>
      <c r="AP494" s="48">
        <f t="shared" si="403"/>
        <v>0</v>
      </c>
      <c r="AQ494" s="85">
        <f t="shared" si="433"/>
        <v>0</v>
      </c>
      <c r="AR494" s="82" t="str">
        <f t="shared" si="404"/>
        <v/>
      </c>
      <c r="AS494" s="48">
        <f t="shared" si="405"/>
        <v>24</v>
      </c>
      <c r="AT494" s="85">
        <f t="shared" si="434"/>
        <v>584.88</v>
      </c>
      <c r="AU494" s="82">
        <f t="shared" si="406"/>
        <v>1</v>
      </c>
    </row>
    <row r="495" spans="1:47" ht="30">
      <c r="A495" s="16"/>
      <c r="B495" s="97" t="s">
        <v>1702</v>
      </c>
      <c r="C495" s="167" t="s">
        <v>1354</v>
      </c>
      <c r="D495" s="86" t="s">
        <v>1355</v>
      </c>
      <c r="E495" s="97" t="s">
        <v>28</v>
      </c>
      <c r="F495" s="172">
        <v>12.29</v>
      </c>
      <c r="G495" s="97">
        <v>22</v>
      </c>
      <c r="H495" s="85">
        <f t="shared" si="408"/>
        <v>270.38</v>
      </c>
      <c r="I495" s="50">
        <f t="shared" si="407"/>
        <v>0</v>
      </c>
      <c r="J495" s="85">
        <f t="shared" si="422"/>
        <v>0</v>
      </c>
      <c r="K495" s="82" t="str">
        <f t="shared" si="392"/>
        <v/>
      </c>
      <c r="L495" s="50"/>
      <c r="M495" s="85">
        <f t="shared" si="423"/>
        <v>0</v>
      </c>
      <c r="N495" s="82" t="str">
        <f t="shared" si="393"/>
        <v/>
      </c>
      <c r="O495" s="50"/>
      <c r="P495" s="85">
        <f t="shared" si="424"/>
        <v>0</v>
      </c>
      <c r="Q495" s="82" t="str">
        <f t="shared" si="394"/>
        <v/>
      </c>
      <c r="R495" s="50"/>
      <c r="S495" s="85">
        <f t="shared" si="425"/>
        <v>0</v>
      </c>
      <c r="T495" s="82" t="str">
        <f t="shared" si="395"/>
        <v/>
      </c>
      <c r="U495" s="50"/>
      <c r="V495" s="85">
        <f t="shared" si="426"/>
        <v>0</v>
      </c>
      <c r="W495" s="82" t="str">
        <f t="shared" si="396"/>
        <v/>
      </c>
      <c r="X495" s="50"/>
      <c r="Y495" s="85">
        <f t="shared" si="427"/>
        <v>0</v>
      </c>
      <c r="Z495" s="82" t="str">
        <f t="shared" si="397"/>
        <v/>
      </c>
      <c r="AA495" s="50"/>
      <c r="AB495" s="85">
        <f t="shared" si="428"/>
        <v>0</v>
      </c>
      <c r="AC495" s="82" t="str">
        <f t="shared" si="398"/>
        <v/>
      </c>
      <c r="AD495" s="50"/>
      <c r="AE495" s="85">
        <f t="shared" si="429"/>
        <v>0</v>
      </c>
      <c r="AF495" s="82" t="str">
        <f t="shared" si="399"/>
        <v/>
      </c>
      <c r="AG495" s="50"/>
      <c r="AH495" s="85">
        <f t="shared" si="430"/>
        <v>0</v>
      </c>
      <c r="AI495" s="82" t="str">
        <f t="shared" si="400"/>
        <v/>
      </c>
      <c r="AJ495" s="50"/>
      <c r="AK495" s="85">
        <f t="shared" si="431"/>
        <v>0</v>
      </c>
      <c r="AL495" s="82" t="str">
        <f t="shared" si="401"/>
        <v/>
      </c>
      <c r="AM495" s="50"/>
      <c r="AN495" s="85">
        <f t="shared" si="432"/>
        <v>0</v>
      </c>
      <c r="AO495" s="82" t="str">
        <f t="shared" si="402"/>
        <v/>
      </c>
      <c r="AP495" s="48">
        <f t="shared" si="403"/>
        <v>0</v>
      </c>
      <c r="AQ495" s="85">
        <f t="shared" si="433"/>
        <v>0</v>
      </c>
      <c r="AR495" s="82" t="str">
        <f t="shared" si="404"/>
        <v/>
      </c>
      <c r="AS495" s="48">
        <f t="shared" si="405"/>
        <v>22</v>
      </c>
      <c r="AT495" s="85">
        <f t="shared" si="434"/>
        <v>270.38</v>
      </c>
      <c r="AU495" s="82">
        <f t="shared" si="406"/>
        <v>1</v>
      </c>
    </row>
    <row r="496" spans="1:47">
      <c r="A496" s="16"/>
      <c r="B496" s="97" t="s">
        <v>1703</v>
      </c>
      <c r="C496" s="167" t="s">
        <v>1357</v>
      </c>
      <c r="D496" s="86" t="s">
        <v>1358</v>
      </c>
      <c r="E496" s="97" t="s">
        <v>28</v>
      </c>
      <c r="F496" s="172">
        <v>12.78</v>
      </c>
      <c r="G496" s="97">
        <v>9</v>
      </c>
      <c r="H496" s="85">
        <f t="shared" si="408"/>
        <v>115.02</v>
      </c>
      <c r="I496" s="50">
        <f t="shared" si="407"/>
        <v>0</v>
      </c>
      <c r="J496" s="85">
        <f t="shared" si="422"/>
        <v>0</v>
      </c>
      <c r="K496" s="82" t="str">
        <f t="shared" si="392"/>
        <v/>
      </c>
      <c r="L496" s="50"/>
      <c r="M496" s="85">
        <f t="shared" si="423"/>
        <v>0</v>
      </c>
      <c r="N496" s="82" t="str">
        <f t="shared" si="393"/>
        <v/>
      </c>
      <c r="O496" s="50"/>
      <c r="P496" s="85">
        <f t="shared" si="424"/>
        <v>0</v>
      </c>
      <c r="Q496" s="82" t="str">
        <f t="shared" si="394"/>
        <v/>
      </c>
      <c r="R496" s="50"/>
      <c r="S496" s="85">
        <f t="shared" si="425"/>
        <v>0</v>
      </c>
      <c r="T496" s="82" t="str">
        <f t="shared" si="395"/>
        <v/>
      </c>
      <c r="U496" s="50"/>
      <c r="V496" s="85">
        <f t="shared" si="426"/>
        <v>0</v>
      </c>
      <c r="W496" s="82" t="str">
        <f t="shared" si="396"/>
        <v/>
      </c>
      <c r="X496" s="50"/>
      <c r="Y496" s="85">
        <f t="shared" si="427"/>
        <v>0</v>
      </c>
      <c r="Z496" s="82" t="str">
        <f t="shared" si="397"/>
        <v/>
      </c>
      <c r="AA496" s="50"/>
      <c r="AB496" s="85">
        <f t="shared" si="428"/>
        <v>0</v>
      </c>
      <c r="AC496" s="82" t="str">
        <f t="shared" si="398"/>
        <v/>
      </c>
      <c r="AD496" s="50"/>
      <c r="AE496" s="85">
        <f t="shared" si="429"/>
        <v>0</v>
      </c>
      <c r="AF496" s="82" t="str">
        <f t="shared" si="399"/>
        <v/>
      </c>
      <c r="AG496" s="50"/>
      <c r="AH496" s="85">
        <f t="shared" si="430"/>
        <v>0</v>
      </c>
      <c r="AI496" s="82" t="str">
        <f t="shared" si="400"/>
        <v/>
      </c>
      <c r="AJ496" s="50"/>
      <c r="AK496" s="85">
        <f t="shared" si="431"/>
        <v>0</v>
      </c>
      <c r="AL496" s="82" t="str">
        <f t="shared" si="401"/>
        <v/>
      </c>
      <c r="AM496" s="50"/>
      <c r="AN496" s="85">
        <f t="shared" si="432"/>
        <v>0</v>
      </c>
      <c r="AO496" s="82" t="str">
        <f t="shared" si="402"/>
        <v/>
      </c>
      <c r="AP496" s="48">
        <f t="shared" si="403"/>
        <v>0</v>
      </c>
      <c r="AQ496" s="85">
        <f t="shared" si="433"/>
        <v>0</v>
      </c>
      <c r="AR496" s="82" t="str">
        <f t="shared" si="404"/>
        <v/>
      </c>
      <c r="AS496" s="48">
        <f t="shared" si="405"/>
        <v>9</v>
      </c>
      <c r="AT496" s="85">
        <f t="shared" si="434"/>
        <v>115.02</v>
      </c>
      <c r="AU496" s="82">
        <f t="shared" si="406"/>
        <v>1</v>
      </c>
    </row>
    <row r="497" spans="1:47">
      <c r="A497" s="16"/>
      <c r="B497" s="97" t="s">
        <v>1704</v>
      </c>
      <c r="C497" s="167" t="s">
        <v>1411</v>
      </c>
      <c r="D497" s="86" t="s">
        <v>1412</v>
      </c>
      <c r="E497" s="97" t="s">
        <v>28</v>
      </c>
      <c r="F497" s="172">
        <v>15.43</v>
      </c>
      <c r="G497" s="97">
        <v>6</v>
      </c>
      <c r="H497" s="85">
        <f t="shared" si="408"/>
        <v>92.58</v>
      </c>
      <c r="I497" s="50">
        <f t="shared" si="407"/>
        <v>0</v>
      </c>
      <c r="J497" s="85">
        <f t="shared" si="422"/>
        <v>0</v>
      </c>
      <c r="K497" s="82" t="str">
        <f t="shared" si="392"/>
        <v/>
      </c>
      <c r="L497" s="50"/>
      <c r="M497" s="85">
        <f t="shared" si="423"/>
        <v>0</v>
      </c>
      <c r="N497" s="82" t="str">
        <f t="shared" si="393"/>
        <v/>
      </c>
      <c r="O497" s="50"/>
      <c r="P497" s="85">
        <f t="shared" si="424"/>
        <v>0</v>
      </c>
      <c r="Q497" s="82" t="str">
        <f t="shared" si="394"/>
        <v/>
      </c>
      <c r="R497" s="50"/>
      <c r="S497" s="85">
        <f t="shared" si="425"/>
        <v>0</v>
      </c>
      <c r="T497" s="82" t="str">
        <f t="shared" si="395"/>
        <v/>
      </c>
      <c r="U497" s="50"/>
      <c r="V497" s="85">
        <f t="shared" si="426"/>
        <v>0</v>
      </c>
      <c r="W497" s="82" t="str">
        <f t="shared" si="396"/>
        <v/>
      </c>
      <c r="X497" s="50"/>
      <c r="Y497" s="85">
        <f t="shared" si="427"/>
        <v>0</v>
      </c>
      <c r="Z497" s="82" t="str">
        <f t="shared" si="397"/>
        <v/>
      </c>
      <c r="AA497" s="50"/>
      <c r="AB497" s="85">
        <f t="shared" si="428"/>
        <v>0</v>
      </c>
      <c r="AC497" s="82" t="str">
        <f t="shared" si="398"/>
        <v/>
      </c>
      <c r="AD497" s="50"/>
      <c r="AE497" s="85">
        <f t="shared" si="429"/>
        <v>0</v>
      </c>
      <c r="AF497" s="82" t="str">
        <f t="shared" si="399"/>
        <v/>
      </c>
      <c r="AG497" s="50"/>
      <c r="AH497" s="85">
        <f t="shared" si="430"/>
        <v>0</v>
      </c>
      <c r="AI497" s="82" t="str">
        <f t="shared" si="400"/>
        <v/>
      </c>
      <c r="AJ497" s="50"/>
      <c r="AK497" s="85">
        <f t="shared" si="431"/>
        <v>0</v>
      </c>
      <c r="AL497" s="82" t="str">
        <f t="shared" si="401"/>
        <v/>
      </c>
      <c r="AM497" s="50"/>
      <c r="AN497" s="85">
        <f t="shared" si="432"/>
        <v>0</v>
      </c>
      <c r="AO497" s="82" t="str">
        <f t="shared" si="402"/>
        <v/>
      </c>
      <c r="AP497" s="48">
        <f t="shared" si="403"/>
        <v>0</v>
      </c>
      <c r="AQ497" s="85">
        <f t="shared" si="433"/>
        <v>0</v>
      </c>
      <c r="AR497" s="82" t="str">
        <f t="shared" si="404"/>
        <v/>
      </c>
      <c r="AS497" s="48">
        <f t="shared" si="405"/>
        <v>6</v>
      </c>
      <c r="AT497" s="85">
        <f t="shared" si="434"/>
        <v>92.58</v>
      </c>
      <c r="AU497" s="82">
        <f t="shared" si="406"/>
        <v>1</v>
      </c>
    </row>
    <row r="498" spans="1:47" ht="75">
      <c r="A498" s="16"/>
      <c r="B498" s="97" t="s">
        <v>1705</v>
      </c>
      <c r="C498" s="167" t="s">
        <v>1432</v>
      </c>
      <c r="D498" s="86" t="s">
        <v>1433</v>
      </c>
      <c r="E498" s="97" t="s">
        <v>28</v>
      </c>
      <c r="F498" s="172">
        <v>27.53</v>
      </c>
      <c r="G498" s="97">
        <v>76</v>
      </c>
      <c r="H498" s="85">
        <f t="shared" si="408"/>
        <v>2092.2800000000002</v>
      </c>
      <c r="I498" s="50">
        <f t="shared" si="407"/>
        <v>0</v>
      </c>
      <c r="J498" s="85">
        <f t="shared" si="422"/>
        <v>0</v>
      </c>
      <c r="K498" s="82" t="str">
        <f t="shared" si="392"/>
        <v/>
      </c>
      <c r="L498" s="50"/>
      <c r="M498" s="85">
        <f t="shared" si="423"/>
        <v>0</v>
      </c>
      <c r="N498" s="82" t="str">
        <f t="shared" si="393"/>
        <v/>
      </c>
      <c r="O498" s="50"/>
      <c r="P498" s="85">
        <f t="shared" si="424"/>
        <v>0</v>
      </c>
      <c r="Q498" s="82" t="str">
        <f t="shared" si="394"/>
        <v/>
      </c>
      <c r="R498" s="50"/>
      <c r="S498" s="85">
        <f t="shared" si="425"/>
        <v>0</v>
      </c>
      <c r="T498" s="82" t="str">
        <f t="shared" si="395"/>
        <v/>
      </c>
      <c r="U498" s="50"/>
      <c r="V498" s="85">
        <f t="shared" si="426"/>
        <v>0</v>
      </c>
      <c r="W498" s="82" t="str">
        <f t="shared" si="396"/>
        <v/>
      </c>
      <c r="X498" s="50"/>
      <c r="Y498" s="85">
        <f t="shared" si="427"/>
        <v>0</v>
      </c>
      <c r="Z498" s="82" t="str">
        <f t="shared" si="397"/>
        <v/>
      </c>
      <c r="AA498" s="50"/>
      <c r="AB498" s="85">
        <f t="shared" si="428"/>
        <v>0</v>
      </c>
      <c r="AC498" s="82" t="str">
        <f t="shared" si="398"/>
        <v/>
      </c>
      <c r="AD498" s="50"/>
      <c r="AE498" s="85">
        <f t="shared" si="429"/>
        <v>0</v>
      </c>
      <c r="AF498" s="82" t="str">
        <f t="shared" si="399"/>
        <v/>
      </c>
      <c r="AG498" s="50"/>
      <c r="AH498" s="85">
        <f t="shared" si="430"/>
        <v>0</v>
      </c>
      <c r="AI498" s="82" t="str">
        <f t="shared" si="400"/>
        <v/>
      </c>
      <c r="AJ498" s="50"/>
      <c r="AK498" s="85">
        <f t="shared" si="431"/>
        <v>0</v>
      </c>
      <c r="AL498" s="82" t="str">
        <f t="shared" si="401"/>
        <v/>
      </c>
      <c r="AM498" s="50"/>
      <c r="AN498" s="85">
        <f t="shared" si="432"/>
        <v>0</v>
      </c>
      <c r="AO498" s="82" t="str">
        <f t="shared" si="402"/>
        <v/>
      </c>
      <c r="AP498" s="48">
        <f t="shared" si="403"/>
        <v>0</v>
      </c>
      <c r="AQ498" s="85">
        <f t="shared" si="433"/>
        <v>0</v>
      </c>
      <c r="AR498" s="82" t="str">
        <f t="shared" si="404"/>
        <v/>
      </c>
      <c r="AS498" s="48">
        <f t="shared" si="405"/>
        <v>76</v>
      </c>
      <c r="AT498" s="85">
        <f t="shared" si="434"/>
        <v>2092.2800000000002</v>
      </c>
      <c r="AU498" s="82">
        <f t="shared" si="406"/>
        <v>1</v>
      </c>
    </row>
    <row r="499" spans="1:47">
      <c r="A499" s="16"/>
      <c r="B499" s="99" t="s">
        <v>1706</v>
      </c>
      <c r="C499" s="175" t="s">
        <v>1707</v>
      </c>
      <c r="D499" s="176"/>
      <c r="E499" s="176"/>
      <c r="F499" s="176"/>
      <c r="G499" s="176"/>
      <c r="H499" s="177"/>
      <c r="I499" s="50">
        <f t="shared" si="407"/>
        <v>0</v>
      </c>
      <c r="J499" s="177"/>
      <c r="K499" s="82" t="str">
        <f t="shared" si="392"/>
        <v/>
      </c>
      <c r="L499" s="50"/>
      <c r="M499" s="177"/>
      <c r="N499" s="82" t="str">
        <f t="shared" si="393"/>
        <v/>
      </c>
      <c r="O499" s="50"/>
      <c r="P499" s="177"/>
      <c r="Q499" s="82" t="str">
        <f t="shared" si="394"/>
        <v/>
      </c>
      <c r="R499" s="50"/>
      <c r="S499" s="177"/>
      <c r="T499" s="82" t="str">
        <f t="shared" si="395"/>
        <v/>
      </c>
      <c r="U499" s="50"/>
      <c r="V499" s="177"/>
      <c r="W499" s="82" t="str">
        <f t="shared" si="396"/>
        <v/>
      </c>
      <c r="X499" s="50"/>
      <c r="Y499" s="177"/>
      <c r="Z499" s="82" t="str">
        <f t="shared" si="397"/>
        <v/>
      </c>
      <c r="AA499" s="50"/>
      <c r="AB499" s="177"/>
      <c r="AC499" s="82" t="str">
        <f t="shared" si="398"/>
        <v/>
      </c>
      <c r="AD499" s="50"/>
      <c r="AE499" s="177"/>
      <c r="AF499" s="82" t="str">
        <f t="shared" si="399"/>
        <v/>
      </c>
      <c r="AG499" s="50"/>
      <c r="AH499" s="177"/>
      <c r="AI499" s="82" t="str">
        <f t="shared" si="400"/>
        <v/>
      </c>
      <c r="AJ499" s="50"/>
      <c r="AK499" s="177"/>
      <c r="AL499" s="82" t="str">
        <f t="shared" si="401"/>
        <v/>
      </c>
      <c r="AM499" s="50"/>
      <c r="AN499" s="177"/>
      <c r="AO499" s="82" t="str">
        <f t="shared" si="402"/>
        <v/>
      </c>
      <c r="AP499" s="48">
        <f t="shared" si="403"/>
        <v>0</v>
      </c>
      <c r="AQ499" s="177"/>
      <c r="AR499" s="82" t="str">
        <f t="shared" si="404"/>
        <v/>
      </c>
      <c r="AS499" s="48">
        <f t="shared" si="405"/>
        <v>0</v>
      </c>
      <c r="AT499" s="177"/>
      <c r="AU499" s="82" t="str">
        <f t="shared" si="406"/>
        <v/>
      </c>
    </row>
    <row r="500" spans="1:47" ht="30">
      <c r="A500" s="16"/>
      <c r="B500" s="97" t="s">
        <v>1708</v>
      </c>
      <c r="C500" s="167" t="s">
        <v>1709</v>
      </c>
      <c r="D500" s="86" t="s">
        <v>1710</v>
      </c>
      <c r="E500" s="97" t="s">
        <v>44</v>
      </c>
      <c r="F500" s="172">
        <v>25.79</v>
      </c>
      <c r="G500" s="97">
        <v>111</v>
      </c>
      <c r="H500" s="85">
        <f t="shared" si="408"/>
        <v>2862.69</v>
      </c>
      <c r="I500" s="50">
        <f t="shared" si="407"/>
        <v>0</v>
      </c>
      <c r="J500" s="85">
        <f>I500*$F500</f>
        <v>0</v>
      </c>
      <c r="K500" s="82" t="str">
        <f t="shared" si="392"/>
        <v/>
      </c>
      <c r="L500" s="50"/>
      <c r="M500" s="85">
        <f>L500*$F500</f>
        <v>0</v>
      </c>
      <c r="N500" s="82" t="str">
        <f t="shared" si="393"/>
        <v/>
      </c>
      <c r="O500" s="50"/>
      <c r="P500" s="85">
        <f>O500*$F500</f>
        <v>0</v>
      </c>
      <c r="Q500" s="82" t="str">
        <f t="shared" si="394"/>
        <v/>
      </c>
      <c r="R500" s="50"/>
      <c r="S500" s="85">
        <f>R500*$F500</f>
        <v>0</v>
      </c>
      <c r="T500" s="82" t="str">
        <f t="shared" si="395"/>
        <v/>
      </c>
      <c r="U500" s="50"/>
      <c r="V500" s="85">
        <f>U500*$F500</f>
        <v>0</v>
      </c>
      <c r="W500" s="82" t="str">
        <f t="shared" si="396"/>
        <v/>
      </c>
      <c r="X500" s="50"/>
      <c r="Y500" s="85">
        <f>X500*$F500</f>
        <v>0</v>
      </c>
      <c r="Z500" s="82" t="str">
        <f t="shared" si="397"/>
        <v/>
      </c>
      <c r="AA500" s="50"/>
      <c r="AB500" s="85">
        <f>AA500*$F500</f>
        <v>0</v>
      </c>
      <c r="AC500" s="82" t="str">
        <f t="shared" si="398"/>
        <v/>
      </c>
      <c r="AD500" s="50"/>
      <c r="AE500" s="85">
        <f>AD500*$F500</f>
        <v>0</v>
      </c>
      <c r="AF500" s="82" t="str">
        <f t="shared" si="399"/>
        <v/>
      </c>
      <c r="AG500" s="50"/>
      <c r="AH500" s="85">
        <f>AG500*$F500</f>
        <v>0</v>
      </c>
      <c r="AI500" s="82" t="str">
        <f t="shared" si="400"/>
        <v/>
      </c>
      <c r="AJ500" s="50"/>
      <c r="AK500" s="85">
        <f>AJ500*$F500</f>
        <v>0</v>
      </c>
      <c r="AL500" s="82" t="str">
        <f t="shared" si="401"/>
        <v/>
      </c>
      <c r="AM500" s="50"/>
      <c r="AN500" s="85">
        <f>AM500*$F500</f>
        <v>0</v>
      </c>
      <c r="AO500" s="82" t="str">
        <f t="shared" si="402"/>
        <v/>
      </c>
      <c r="AP500" s="48">
        <f t="shared" si="403"/>
        <v>0</v>
      </c>
      <c r="AQ500" s="85">
        <f>AP500*$F500</f>
        <v>0</v>
      </c>
      <c r="AR500" s="82" t="str">
        <f t="shared" si="404"/>
        <v/>
      </c>
      <c r="AS500" s="48">
        <f t="shared" si="405"/>
        <v>111</v>
      </c>
      <c r="AT500" s="85">
        <f>AS500*$F500</f>
        <v>2862.69</v>
      </c>
      <c r="AU500" s="82">
        <f t="shared" si="406"/>
        <v>1</v>
      </c>
    </row>
    <row r="501" spans="1:47" ht="30">
      <c r="A501" s="16"/>
      <c r="B501" s="97" t="s">
        <v>1711</v>
      </c>
      <c r="C501" s="167" t="s">
        <v>1712</v>
      </c>
      <c r="D501" s="86" t="s">
        <v>1713</v>
      </c>
      <c r="E501" s="97" t="s">
        <v>44</v>
      </c>
      <c r="F501" s="172">
        <v>6.48</v>
      </c>
      <c r="G501" s="147">
        <v>4737</v>
      </c>
      <c r="H501" s="85">
        <f t="shared" si="408"/>
        <v>30695.760000000002</v>
      </c>
      <c r="I501" s="50">
        <f t="shared" si="407"/>
        <v>0</v>
      </c>
      <c r="J501" s="85">
        <f>I501*$F501</f>
        <v>0</v>
      </c>
      <c r="K501" s="82" t="str">
        <f t="shared" si="392"/>
        <v/>
      </c>
      <c r="L501" s="50"/>
      <c r="M501" s="85">
        <f>L501*$F501</f>
        <v>0</v>
      </c>
      <c r="N501" s="82" t="str">
        <f t="shared" si="393"/>
        <v/>
      </c>
      <c r="O501" s="50"/>
      <c r="P501" s="85">
        <f>O501*$F501</f>
        <v>0</v>
      </c>
      <c r="Q501" s="82" t="str">
        <f t="shared" si="394"/>
        <v/>
      </c>
      <c r="R501" s="50"/>
      <c r="S501" s="85">
        <f>R501*$F501</f>
        <v>0</v>
      </c>
      <c r="T501" s="82" t="str">
        <f t="shared" si="395"/>
        <v/>
      </c>
      <c r="U501" s="50"/>
      <c r="V501" s="85">
        <f>U501*$F501</f>
        <v>0</v>
      </c>
      <c r="W501" s="82" t="str">
        <f t="shared" si="396"/>
        <v/>
      </c>
      <c r="X501" s="50"/>
      <c r="Y501" s="85">
        <f>X501*$F501</f>
        <v>0</v>
      </c>
      <c r="Z501" s="82" t="str">
        <f t="shared" si="397"/>
        <v/>
      </c>
      <c r="AA501" s="50"/>
      <c r="AB501" s="85">
        <f>AA501*$F501</f>
        <v>0</v>
      </c>
      <c r="AC501" s="82" t="str">
        <f t="shared" si="398"/>
        <v/>
      </c>
      <c r="AD501" s="50"/>
      <c r="AE501" s="85">
        <f>AD501*$F501</f>
        <v>0</v>
      </c>
      <c r="AF501" s="82" t="str">
        <f t="shared" si="399"/>
        <v/>
      </c>
      <c r="AG501" s="50"/>
      <c r="AH501" s="85">
        <f>AG501*$F501</f>
        <v>0</v>
      </c>
      <c r="AI501" s="82" t="str">
        <f t="shared" si="400"/>
        <v/>
      </c>
      <c r="AJ501" s="50"/>
      <c r="AK501" s="85">
        <f>AJ501*$F501</f>
        <v>0</v>
      </c>
      <c r="AL501" s="82" t="str">
        <f t="shared" si="401"/>
        <v/>
      </c>
      <c r="AM501" s="50"/>
      <c r="AN501" s="85">
        <f>AM501*$F501</f>
        <v>0</v>
      </c>
      <c r="AO501" s="82" t="str">
        <f t="shared" si="402"/>
        <v/>
      </c>
      <c r="AP501" s="48">
        <f t="shared" si="403"/>
        <v>0</v>
      </c>
      <c r="AQ501" s="85">
        <f>AP501*$F501</f>
        <v>0</v>
      </c>
      <c r="AR501" s="82" t="str">
        <f t="shared" si="404"/>
        <v/>
      </c>
      <c r="AS501" s="48">
        <f t="shared" si="405"/>
        <v>4737</v>
      </c>
      <c r="AT501" s="85">
        <f>AS501*$F501</f>
        <v>30695.760000000002</v>
      </c>
      <c r="AU501" s="82">
        <f t="shared" si="406"/>
        <v>1</v>
      </c>
    </row>
    <row r="502" spans="1:47" ht="30">
      <c r="A502" s="16"/>
      <c r="B502" s="97" t="s">
        <v>1714</v>
      </c>
      <c r="C502" s="167" t="s">
        <v>1715</v>
      </c>
      <c r="D502" s="86" t="s">
        <v>1716</v>
      </c>
      <c r="E502" s="97" t="s">
        <v>44</v>
      </c>
      <c r="F502" s="172">
        <v>54.13</v>
      </c>
      <c r="G502" s="97">
        <v>12</v>
      </c>
      <c r="H502" s="85">
        <f t="shared" si="408"/>
        <v>649.56000000000006</v>
      </c>
      <c r="I502" s="50">
        <f t="shared" si="407"/>
        <v>0</v>
      </c>
      <c r="J502" s="85">
        <f>I502*$F502</f>
        <v>0</v>
      </c>
      <c r="K502" s="82" t="str">
        <f t="shared" si="392"/>
        <v/>
      </c>
      <c r="L502" s="50"/>
      <c r="M502" s="85">
        <f>L502*$F502</f>
        <v>0</v>
      </c>
      <c r="N502" s="82" t="str">
        <f t="shared" si="393"/>
        <v/>
      </c>
      <c r="O502" s="50"/>
      <c r="P502" s="85">
        <f>O502*$F502</f>
        <v>0</v>
      </c>
      <c r="Q502" s="82" t="str">
        <f t="shared" si="394"/>
        <v/>
      </c>
      <c r="R502" s="50"/>
      <c r="S502" s="85">
        <f>R502*$F502</f>
        <v>0</v>
      </c>
      <c r="T502" s="82" t="str">
        <f t="shared" si="395"/>
        <v/>
      </c>
      <c r="U502" s="50"/>
      <c r="V502" s="85">
        <f>U502*$F502</f>
        <v>0</v>
      </c>
      <c r="W502" s="82" t="str">
        <f t="shared" si="396"/>
        <v/>
      </c>
      <c r="X502" s="50"/>
      <c r="Y502" s="85">
        <f>X502*$F502</f>
        <v>0</v>
      </c>
      <c r="Z502" s="82" t="str">
        <f t="shared" si="397"/>
        <v/>
      </c>
      <c r="AA502" s="50"/>
      <c r="AB502" s="85">
        <f>AA502*$F502</f>
        <v>0</v>
      </c>
      <c r="AC502" s="82" t="str">
        <f t="shared" si="398"/>
        <v/>
      </c>
      <c r="AD502" s="50"/>
      <c r="AE502" s="85">
        <f>AD502*$F502</f>
        <v>0</v>
      </c>
      <c r="AF502" s="82" t="str">
        <f t="shared" si="399"/>
        <v/>
      </c>
      <c r="AG502" s="50"/>
      <c r="AH502" s="85">
        <f>AG502*$F502</f>
        <v>0</v>
      </c>
      <c r="AI502" s="82" t="str">
        <f t="shared" si="400"/>
        <v/>
      </c>
      <c r="AJ502" s="50"/>
      <c r="AK502" s="85">
        <f>AJ502*$F502</f>
        <v>0</v>
      </c>
      <c r="AL502" s="82" t="str">
        <f t="shared" si="401"/>
        <v/>
      </c>
      <c r="AM502" s="50"/>
      <c r="AN502" s="85">
        <f>AM502*$F502</f>
        <v>0</v>
      </c>
      <c r="AO502" s="82" t="str">
        <f t="shared" si="402"/>
        <v/>
      </c>
      <c r="AP502" s="48">
        <f t="shared" si="403"/>
        <v>0</v>
      </c>
      <c r="AQ502" s="85">
        <f>AP502*$F502</f>
        <v>0</v>
      </c>
      <c r="AR502" s="82" t="str">
        <f t="shared" si="404"/>
        <v/>
      </c>
      <c r="AS502" s="48">
        <f t="shared" si="405"/>
        <v>12</v>
      </c>
      <c r="AT502" s="85">
        <f>AS502*$F502</f>
        <v>649.56000000000006</v>
      </c>
      <c r="AU502" s="82">
        <f t="shared" si="406"/>
        <v>1</v>
      </c>
    </row>
    <row r="503" spans="1:47">
      <c r="A503" s="16"/>
      <c r="B503" s="99" t="s">
        <v>1717</v>
      </c>
      <c r="C503" s="183" t="s">
        <v>1718</v>
      </c>
      <c r="D503" s="184"/>
      <c r="E503" s="184"/>
      <c r="F503" s="184"/>
      <c r="G503" s="184"/>
      <c r="H503" s="185"/>
      <c r="I503" s="50">
        <f t="shared" si="407"/>
        <v>0</v>
      </c>
      <c r="J503" s="185"/>
      <c r="K503" s="82" t="str">
        <f t="shared" si="392"/>
        <v/>
      </c>
      <c r="L503" s="50"/>
      <c r="M503" s="185"/>
      <c r="N503" s="82" t="str">
        <f t="shared" si="393"/>
        <v/>
      </c>
      <c r="O503" s="50"/>
      <c r="P503" s="185"/>
      <c r="Q503" s="82" t="str">
        <f t="shared" si="394"/>
        <v/>
      </c>
      <c r="R503" s="50"/>
      <c r="S503" s="185"/>
      <c r="T503" s="82" t="str">
        <f t="shared" si="395"/>
        <v/>
      </c>
      <c r="U503" s="50"/>
      <c r="V503" s="185"/>
      <c r="W503" s="82" t="str">
        <f t="shared" si="396"/>
        <v/>
      </c>
      <c r="X503" s="50"/>
      <c r="Y503" s="185"/>
      <c r="Z503" s="82" t="str">
        <f t="shared" si="397"/>
        <v/>
      </c>
      <c r="AA503" s="50"/>
      <c r="AB503" s="185"/>
      <c r="AC503" s="82" t="str">
        <f t="shared" si="398"/>
        <v/>
      </c>
      <c r="AD503" s="50"/>
      <c r="AE503" s="185"/>
      <c r="AF503" s="82" t="str">
        <f t="shared" si="399"/>
        <v/>
      </c>
      <c r="AG503" s="50"/>
      <c r="AH503" s="185"/>
      <c r="AI503" s="82" t="str">
        <f t="shared" si="400"/>
        <v/>
      </c>
      <c r="AJ503" s="50"/>
      <c r="AK503" s="185"/>
      <c r="AL503" s="82" t="str">
        <f t="shared" si="401"/>
        <v/>
      </c>
      <c r="AM503" s="50"/>
      <c r="AN503" s="185"/>
      <c r="AO503" s="82" t="str">
        <f t="shared" si="402"/>
        <v/>
      </c>
      <c r="AP503" s="48">
        <f t="shared" si="403"/>
        <v>0</v>
      </c>
      <c r="AQ503" s="185"/>
      <c r="AR503" s="82" t="str">
        <f t="shared" si="404"/>
        <v/>
      </c>
      <c r="AS503" s="48">
        <f t="shared" si="405"/>
        <v>0</v>
      </c>
      <c r="AT503" s="185"/>
      <c r="AU503" s="82" t="str">
        <f t="shared" si="406"/>
        <v/>
      </c>
    </row>
    <row r="504" spans="1:47" ht="30">
      <c r="A504" s="16"/>
      <c r="B504" s="97" t="s">
        <v>1719</v>
      </c>
      <c r="C504" s="167" t="s">
        <v>1720</v>
      </c>
      <c r="D504" s="86" t="s">
        <v>1721</v>
      </c>
      <c r="E504" s="97" t="s">
        <v>28</v>
      </c>
      <c r="F504" s="172">
        <v>35.58</v>
      </c>
      <c r="G504" s="97">
        <v>14</v>
      </c>
      <c r="H504" s="85">
        <f t="shared" si="408"/>
        <v>498.12</v>
      </c>
      <c r="I504" s="50">
        <f t="shared" si="407"/>
        <v>0</v>
      </c>
      <c r="J504" s="85">
        <f>I504*$F504</f>
        <v>0</v>
      </c>
      <c r="K504" s="82" t="str">
        <f t="shared" si="392"/>
        <v/>
      </c>
      <c r="L504" s="50"/>
      <c r="M504" s="85">
        <f>L504*$F504</f>
        <v>0</v>
      </c>
      <c r="N504" s="82" t="str">
        <f t="shared" si="393"/>
        <v/>
      </c>
      <c r="O504" s="50"/>
      <c r="P504" s="85">
        <f>O504*$F504</f>
        <v>0</v>
      </c>
      <c r="Q504" s="82" t="str">
        <f t="shared" si="394"/>
        <v/>
      </c>
      <c r="R504" s="50"/>
      <c r="S504" s="85">
        <f>R504*$F504</f>
        <v>0</v>
      </c>
      <c r="T504" s="82" t="str">
        <f t="shared" si="395"/>
        <v/>
      </c>
      <c r="U504" s="50"/>
      <c r="V504" s="85">
        <f>U504*$F504</f>
        <v>0</v>
      </c>
      <c r="W504" s="82" t="str">
        <f t="shared" si="396"/>
        <v/>
      </c>
      <c r="X504" s="50"/>
      <c r="Y504" s="85">
        <f>X504*$F504</f>
        <v>0</v>
      </c>
      <c r="Z504" s="82" t="str">
        <f t="shared" si="397"/>
        <v/>
      </c>
      <c r="AA504" s="50"/>
      <c r="AB504" s="85">
        <f>AA504*$F504</f>
        <v>0</v>
      </c>
      <c r="AC504" s="82" t="str">
        <f t="shared" si="398"/>
        <v/>
      </c>
      <c r="AD504" s="50"/>
      <c r="AE504" s="85">
        <f>AD504*$F504</f>
        <v>0</v>
      </c>
      <c r="AF504" s="82" t="str">
        <f t="shared" si="399"/>
        <v/>
      </c>
      <c r="AG504" s="50"/>
      <c r="AH504" s="85">
        <f>AG504*$F504</f>
        <v>0</v>
      </c>
      <c r="AI504" s="82" t="str">
        <f t="shared" si="400"/>
        <v/>
      </c>
      <c r="AJ504" s="50"/>
      <c r="AK504" s="85">
        <f>AJ504*$F504</f>
        <v>0</v>
      </c>
      <c r="AL504" s="82" t="str">
        <f t="shared" si="401"/>
        <v/>
      </c>
      <c r="AM504" s="50"/>
      <c r="AN504" s="85">
        <f>AM504*$F504</f>
        <v>0</v>
      </c>
      <c r="AO504" s="82" t="str">
        <f t="shared" si="402"/>
        <v/>
      </c>
      <c r="AP504" s="48">
        <f t="shared" si="403"/>
        <v>0</v>
      </c>
      <c r="AQ504" s="85">
        <f>AP504*$F504</f>
        <v>0</v>
      </c>
      <c r="AR504" s="82" t="str">
        <f t="shared" si="404"/>
        <v/>
      </c>
      <c r="AS504" s="48">
        <f t="shared" si="405"/>
        <v>14</v>
      </c>
      <c r="AT504" s="85">
        <f>AS504*$F504</f>
        <v>498.12</v>
      </c>
      <c r="AU504" s="82">
        <f t="shared" si="406"/>
        <v>1</v>
      </c>
    </row>
    <row r="505" spans="1:47" ht="30">
      <c r="A505" s="16"/>
      <c r="B505" s="97" t="s">
        <v>1722</v>
      </c>
      <c r="C505" s="167" t="s">
        <v>1723</v>
      </c>
      <c r="D505" s="86" t="s">
        <v>1724</v>
      </c>
      <c r="E505" s="97" t="s">
        <v>28</v>
      </c>
      <c r="F505" s="172">
        <v>56.45</v>
      </c>
      <c r="G505" s="97">
        <v>34</v>
      </c>
      <c r="H505" s="85">
        <f t="shared" si="408"/>
        <v>1919.3000000000002</v>
      </c>
      <c r="I505" s="50">
        <f t="shared" si="407"/>
        <v>0</v>
      </c>
      <c r="J505" s="85">
        <f>I505*$F505</f>
        <v>0</v>
      </c>
      <c r="K505" s="82" t="str">
        <f t="shared" si="392"/>
        <v/>
      </c>
      <c r="L505" s="50"/>
      <c r="M505" s="85">
        <f>L505*$F505</f>
        <v>0</v>
      </c>
      <c r="N505" s="82" t="str">
        <f t="shared" si="393"/>
        <v/>
      </c>
      <c r="O505" s="50"/>
      <c r="P505" s="85">
        <f>O505*$F505</f>
        <v>0</v>
      </c>
      <c r="Q505" s="82" t="str">
        <f t="shared" si="394"/>
        <v/>
      </c>
      <c r="R505" s="50"/>
      <c r="S505" s="85">
        <f>R505*$F505</f>
        <v>0</v>
      </c>
      <c r="T505" s="82" t="str">
        <f t="shared" si="395"/>
        <v/>
      </c>
      <c r="U505" s="50"/>
      <c r="V505" s="85">
        <f>U505*$F505</f>
        <v>0</v>
      </c>
      <c r="W505" s="82" t="str">
        <f t="shared" si="396"/>
        <v/>
      </c>
      <c r="X505" s="50"/>
      <c r="Y505" s="85">
        <f>X505*$F505</f>
        <v>0</v>
      </c>
      <c r="Z505" s="82" t="str">
        <f t="shared" si="397"/>
        <v/>
      </c>
      <c r="AA505" s="50"/>
      <c r="AB505" s="85">
        <f>AA505*$F505</f>
        <v>0</v>
      </c>
      <c r="AC505" s="82" t="str">
        <f t="shared" si="398"/>
        <v/>
      </c>
      <c r="AD505" s="50"/>
      <c r="AE505" s="85">
        <f>AD505*$F505</f>
        <v>0</v>
      </c>
      <c r="AF505" s="82" t="str">
        <f t="shared" si="399"/>
        <v/>
      </c>
      <c r="AG505" s="50"/>
      <c r="AH505" s="85">
        <f>AG505*$F505</f>
        <v>0</v>
      </c>
      <c r="AI505" s="82" t="str">
        <f t="shared" si="400"/>
        <v/>
      </c>
      <c r="AJ505" s="50"/>
      <c r="AK505" s="85">
        <f>AJ505*$F505</f>
        <v>0</v>
      </c>
      <c r="AL505" s="82" t="str">
        <f t="shared" si="401"/>
        <v/>
      </c>
      <c r="AM505" s="50"/>
      <c r="AN505" s="85">
        <f>AM505*$F505</f>
        <v>0</v>
      </c>
      <c r="AO505" s="82" t="str">
        <f t="shared" si="402"/>
        <v/>
      </c>
      <c r="AP505" s="48">
        <f t="shared" si="403"/>
        <v>0</v>
      </c>
      <c r="AQ505" s="85">
        <f>AP505*$F505</f>
        <v>0</v>
      </c>
      <c r="AR505" s="82" t="str">
        <f t="shared" si="404"/>
        <v/>
      </c>
      <c r="AS505" s="48">
        <f t="shared" si="405"/>
        <v>34</v>
      </c>
      <c r="AT505" s="85">
        <f>AS505*$F505</f>
        <v>1919.3000000000002</v>
      </c>
      <c r="AU505" s="82">
        <f t="shared" si="406"/>
        <v>1</v>
      </c>
    </row>
    <row r="506" spans="1:47" ht="45">
      <c r="A506" s="16"/>
      <c r="B506" s="97" t="s">
        <v>1725</v>
      </c>
      <c r="C506" s="167" t="s">
        <v>1726</v>
      </c>
      <c r="D506" s="86" t="s">
        <v>1727</v>
      </c>
      <c r="E506" s="97" t="s">
        <v>28</v>
      </c>
      <c r="F506" s="172">
        <v>135.47</v>
      </c>
      <c r="G506" s="97">
        <v>1</v>
      </c>
      <c r="H506" s="85">
        <f t="shared" si="408"/>
        <v>135.47</v>
      </c>
      <c r="I506" s="50">
        <f t="shared" si="407"/>
        <v>0</v>
      </c>
      <c r="J506" s="85">
        <f>I506*$F506</f>
        <v>0</v>
      </c>
      <c r="K506" s="82" t="str">
        <f t="shared" si="392"/>
        <v/>
      </c>
      <c r="L506" s="50"/>
      <c r="M506" s="85">
        <f>L506*$F506</f>
        <v>0</v>
      </c>
      <c r="N506" s="82" t="str">
        <f t="shared" si="393"/>
        <v/>
      </c>
      <c r="O506" s="50"/>
      <c r="P506" s="85">
        <f>O506*$F506</f>
        <v>0</v>
      </c>
      <c r="Q506" s="82" t="str">
        <f t="shared" si="394"/>
        <v/>
      </c>
      <c r="R506" s="50"/>
      <c r="S506" s="85">
        <f>R506*$F506</f>
        <v>0</v>
      </c>
      <c r="T506" s="82" t="str">
        <f t="shared" si="395"/>
        <v/>
      </c>
      <c r="U506" s="50"/>
      <c r="V506" s="85">
        <f>U506*$F506</f>
        <v>0</v>
      </c>
      <c r="W506" s="82" t="str">
        <f t="shared" si="396"/>
        <v/>
      </c>
      <c r="X506" s="50"/>
      <c r="Y506" s="85">
        <f>X506*$F506</f>
        <v>0</v>
      </c>
      <c r="Z506" s="82" t="str">
        <f t="shared" si="397"/>
        <v/>
      </c>
      <c r="AA506" s="50"/>
      <c r="AB506" s="85">
        <f>AA506*$F506</f>
        <v>0</v>
      </c>
      <c r="AC506" s="82" t="str">
        <f t="shared" si="398"/>
        <v/>
      </c>
      <c r="AD506" s="50"/>
      <c r="AE506" s="85">
        <f>AD506*$F506</f>
        <v>0</v>
      </c>
      <c r="AF506" s="82" t="str">
        <f t="shared" si="399"/>
        <v/>
      </c>
      <c r="AG506" s="50"/>
      <c r="AH506" s="85">
        <f>AG506*$F506</f>
        <v>0</v>
      </c>
      <c r="AI506" s="82" t="str">
        <f t="shared" si="400"/>
        <v/>
      </c>
      <c r="AJ506" s="50"/>
      <c r="AK506" s="85">
        <f>AJ506*$F506</f>
        <v>0</v>
      </c>
      <c r="AL506" s="82" t="str">
        <f t="shared" si="401"/>
        <v/>
      </c>
      <c r="AM506" s="50"/>
      <c r="AN506" s="85">
        <f>AM506*$F506</f>
        <v>0</v>
      </c>
      <c r="AO506" s="82" t="str">
        <f t="shared" si="402"/>
        <v/>
      </c>
      <c r="AP506" s="48">
        <f t="shared" si="403"/>
        <v>0</v>
      </c>
      <c r="AQ506" s="85">
        <f>AP506*$F506</f>
        <v>0</v>
      </c>
      <c r="AR506" s="82" t="str">
        <f t="shared" si="404"/>
        <v/>
      </c>
      <c r="AS506" s="48">
        <f t="shared" si="405"/>
        <v>1</v>
      </c>
      <c r="AT506" s="85">
        <f>AS506*$F506</f>
        <v>135.47</v>
      </c>
      <c r="AU506" s="82">
        <f t="shared" si="406"/>
        <v>1</v>
      </c>
    </row>
    <row r="507" spans="1:47" ht="45">
      <c r="A507" s="16"/>
      <c r="B507" s="97" t="s">
        <v>1728</v>
      </c>
      <c r="C507" s="167" t="s">
        <v>1729</v>
      </c>
      <c r="D507" s="86" t="s">
        <v>1730</v>
      </c>
      <c r="E507" s="97" t="s">
        <v>28</v>
      </c>
      <c r="F507" s="172">
        <v>203.77</v>
      </c>
      <c r="G507" s="97">
        <v>52</v>
      </c>
      <c r="H507" s="85">
        <f t="shared" si="408"/>
        <v>10596.04</v>
      </c>
      <c r="I507" s="50">
        <f t="shared" si="407"/>
        <v>0</v>
      </c>
      <c r="J507" s="85">
        <f>I507*$F507</f>
        <v>0</v>
      </c>
      <c r="K507" s="82" t="str">
        <f t="shared" si="392"/>
        <v/>
      </c>
      <c r="L507" s="50"/>
      <c r="M507" s="85">
        <f>L507*$F507</f>
        <v>0</v>
      </c>
      <c r="N507" s="82" t="str">
        <f t="shared" si="393"/>
        <v/>
      </c>
      <c r="O507" s="50"/>
      <c r="P507" s="85">
        <f>O507*$F507</f>
        <v>0</v>
      </c>
      <c r="Q507" s="82" t="str">
        <f t="shared" si="394"/>
        <v/>
      </c>
      <c r="R507" s="50"/>
      <c r="S507" s="85">
        <f>R507*$F507</f>
        <v>0</v>
      </c>
      <c r="T507" s="82" t="str">
        <f t="shared" si="395"/>
        <v/>
      </c>
      <c r="U507" s="50"/>
      <c r="V507" s="85">
        <f>U507*$F507</f>
        <v>0</v>
      </c>
      <c r="W507" s="82" t="str">
        <f t="shared" si="396"/>
        <v/>
      </c>
      <c r="X507" s="50"/>
      <c r="Y507" s="85">
        <f>X507*$F507</f>
        <v>0</v>
      </c>
      <c r="Z507" s="82" t="str">
        <f t="shared" si="397"/>
        <v/>
      </c>
      <c r="AA507" s="50"/>
      <c r="AB507" s="85">
        <f>AA507*$F507</f>
        <v>0</v>
      </c>
      <c r="AC507" s="82" t="str">
        <f t="shared" si="398"/>
        <v/>
      </c>
      <c r="AD507" s="50"/>
      <c r="AE507" s="85">
        <f>AD507*$F507</f>
        <v>0</v>
      </c>
      <c r="AF507" s="82" t="str">
        <f t="shared" si="399"/>
        <v/>
      </c>
      <c r="AG507" s="50"/>
      <c r="AH507" s="85">
        <f>AG507*$F507</f>
        <v>0</v>
      </c>
      <c r="AI507" s="82" t="str">
        <f t="shared" si="400"/>
        <v/>
      </c>
      <c r="AJ507" s="50"/>
      <c r="AK507" s="85">
        <f>AJ507*$F507</f>
        <v>0</v>
      </c>
      <c r="AL507" s="82" t="str">
        <f t="shared" si="401"/>
        <v/>
      </c>
      <c r="AM507" s="50"/>
      <c r="AN507" s="85">
        <f>AM507*$F507</f>
        <v>0</v>
      </c>
      <c r="AO507" s="82" t="str">
        <f t="shared" si="402"/>
        <v/>
      </c>
      <c r="AP507" s="48">
        <f t="shared" si="403"/>
        <v>0</v>
      </c>
      <c r="AQ507" s="85">
        <f>AP507*$F507</f>
        <v>0</v>
      </c>
      <c r="AR507" s="82" t="str">
        <f t="shared" si="404"/>
        <v/>
      </c>
      <c r="AS507" s="48">
        <f t="shared" si="405"/>
        <v>52</v>
      </c>
      <c r="AT507" s="85">
        <f>AS507*$F507</f>
        <v>10596.04</v>
      </c>
      <c r="AU507" s="82">
        <f t="shared" si="406"/>
        <v>1</v>
      </c>
    </row>
    <row r="508" spans="1:47" ht="15" customHeight="1">
      <c r="A508" s="16"/>
      <c r="B508" s="99" t="s">
        <v>1731</v>
      </c>
      <c r="C508" s="183" t="s">
        <v>1732</v>
      </c>
      <c r="D508" s="184"/>
      <c r="E508" s="184"/>
      <c r="F508" s="184"/>
      <c r="G508" s="184"/>
      <c r="H508" s="185"/>
      <c r="I508" s="50">
        <f t="shared" si="407"/>
        <v>0</v>
      </c>
      <c r="J508" s="185"/>
      <c r="K508" s="82" t="str">
        <f t="shared" si="392"/>
        <v/>
      </c>
      <c r="L508" s="50"/>
      <c r="M508" s="185"/>
      <c r="N508" s="82" t="str">
        <f t="shared" si="393"/>
        <v/>
      </c>
      <c r="O508" s="50"/>
      <c r="P508" s="185"/>
      <c r="Q508" s="82" t="str">
        <f t="shared" si="394"/>
        <v/>
      </c>
      <c r="R508" s="50"/>
      <c r="S508" s="185"/>
      <c r="T508" s="82" t="str">
        <f t="shared" si="395"/>
        <v/>
      </c>
      <c r="U508" s="50"/>
      <c r="V508" s="185"/>
      <c r="W508" s="82" t="str">
        <f t="shared" si="396"/>
        <v/>
      </c>
      <c r="X508" s="50"/>
      <c r="Y508" s="185"/>
      <c r="Z508" s="82" t="str">
        <f t="shared" si="397"/>
        <v/>
      </c>
      <c r="AA508" s="50"/>
      <c r="AB508" s="185"/>
      <c r="AC508" s="82" t="str">
        <f t="shared" si="398"/>
        <v/>
      </c>
      <c r="AD508" s="50"/>
      <c r="AE508" s="185"/>
      <c r="AF508" s="82" t="str">
        <f t="shared" si="399"/>
        <v/>
      </c>
      <c r="AG508" s="50"/>
      <c r="AH508" s="185"/>
      <c r="AI508" s="82" t="str">
        <f t="shared" si="400"/>
        <v/>
      </c>
      <c r="AJ508" s="50"/>
      <c r="AK508" s="185"/>
      <c r="AL508" s="82" t="str">
        <f t="shared" si="401"/>
        <v/>
      </c>
      <c r="AM508" s="50"/>
      <c r="AN508" s="185"/>
      <c r="AO508" s="82" t="str">
        <f t="shared" si="402"/>
        <v/>
      </c>
      <c r="AP508" s="48">
        <f t="shared" si="403"/>
        <v>0</v>
      </c>
      <c r="AQ508" s="185"/>
      <c r="AR508" s="82" t="str">
        <f t="shared" si="404"/>
        <v/>
      </c>
      <c r="AS508" s="48">
        <f t="shared" si="405"/>
        <v>0</v>
      </c>
      <c r="AT508" s="185"/>
      <c r="AU508" s="82" t="str">
        <f t="shared" si="406"/>
        <v/>
      </c>
    </row>
    <row r="509" spans="1:47" ht="45">
      <c r="A509" s="16"/>
      <c r="B509" s="97" t="s">
        <v>1733</v>
      </c>
      <c r="C509" s="167" t="s">
        <v>1734</v>
      </c>
      <c r="D509" s="86" t="s">
        <v>1735</v>
      </c>
      <c r="E509" s="97" t="s">
        <v>28</v>
      </c>
      <c r="F509" s="172">
        <v>3162.79</v>
      </c>
      <c r="G509" s="97">
        <v>1</v>
      </c>
      <c r="H509" s="85">
        <f t="shared" si="408"/>
        <v>3162.79</v>
      </c>
      <c r="I509" s="50">
        <f t="shared" si="407"/>
        <v>0</v>
      </c>
      <c r="J509" s="85">
        <f t="shared" ref="J509:J521" si="435">I509*$F509</f>
        <v>0</v>
      </c>
      <c r="K509" s="82" t="str">
        <f t="shared" si="392"/>
        <v/>
      </c>
      <c r="L509" s="50"/>
      <c r="M509" s="85">
        <f t="shared" ref="M509:M521" si="436">L509*$F509</f>
        <v>0</v>
      </c>
      <c r="N509" s="82" t="str">
        <f t="shared" si="393"/>
        <v/>
      </c>
      <c r="O509" s="50"/>
      <c r="P509" s="85">
        <f t="shared" ref="P509:P521" si="437">O509*$F509</f>
        <v>0</v>
      </c>
      <c r="Q509" s="82" t="str">
        <f t="shared" si="394"/>
        <v/>
      </c>
      <c r="R509" s="50"/>
      <c r="S509" s="85">
        <f t="shared" ref="S509:S521" si="438">R509*$F509</f>
        <v>0</v>
      </c>
      <c r="T509" s="82" t="str">
        <f t="shared" si="395"/>
        <v/>
      </c>
      <c r="U509" s="50"/>
      <c r="V509" s="85">
        <f t="shared" ref="V509:V521" si="439">U509*$F509</f>
        <v>0</v>
      </c>
      <c r="W509" s="82" t="str">
        <f t="shared" si="396"/>
        <v/>
      </c>
      <c r="X509" s="50"/>
      <c r="Y509" s="85">
        <f t="shared" ref="Y509:Y521" si="440">X509*$F509</f>
        <v>0</v>
      </c>
      <c r="Z509" s="82" t="str">
        <f t="shared" si="397"/>
        <v/>
      </c>
      <c r="AA509" s="50"/>
      <c r="AB509" s="85">
        <f t="shared" ref="AB509:AB521" si="441">AA509*$F509</f>
        <v>0</v>
      </c>
      <c r="AC509" s="82" t="str">
        <f t="shared" si="398"/>
        <v/>
      </c>
      <c r="AD509" s="50"/>
      <c r="AE509" s="85">
        <f t="shared" ref="AE509:AE521" si="442">AD509*$F509</f>
        <v>0</v>
      </c>
      <c r="AF509" s="82" t="str">
        <f t="shared" si="399"/>
        <v/>
      </c>
      <c r="AG509" s="50"/>
      <c r="AH509" s="85">
        <f t="shared" ref="AH509:AH521" si="443">AG509*$F509</f>
        <v>0</v>
      </c>
      <c r="AI509" s="82" t="str">
        <f t="shared" si="400"/>
        <v/>
      </c>
      <c r="AJ509" s="50"/>
      <c r="AK509" s="85">
        <f t="shared" ref="AK509:AK521" si="444">AJ509*$F509</f>
        <v>0</v>
      </c>
      <c r="AL509" s="82" t="str">
        <f t="shared" si="401"/>
        <v/>
      </c>
      <c r="AM509" s="50"/>
      <c r="AN509" s="85">
        <f t="shared" ref="AN509:AN521" si="445">AM509*$F509</f>
        <v>0</v>
      </c>
      <c r="AO509" s="82" t="str">
        <f t="shared" si="402"/>
        <v/>
      </c>
      <c r="AP509" s="48">
        <f t="shared" si="403"/>
        <v>0</v>
      </c>
      <c r="AQ509" s="85">
        <f t="shared" ref="AQ509:AQ521" si="446">AP509*$F509</f>
        <v>0</v>
      </c>
      <c r="AR509" s="82" t="str">
        <f t="shared" si="404"/>
        <v/>
      </c>
      <c r="AS509" s="48">
        <f t="shared" si="405"/>
        <v>1</v>
      </c>
      <c r="AT509" s="85">
        <f t="shared" ref="AT509:AT521" si="447">AS509*$F509</f>
        <v>3162.79</v>
      </c>
      <c r="AU509" s="82">
        <f t="shared" si="406"/>
        <v>1</v>
      </c>
    </row>
    <row r="510" spans="1:47" ht="30">
      <c r="A510" s="16"/>
      <c r="B510" s="97" t="s">
        <v>1736</v>
      </c>
      <c r="C510" s="167" t="s">
        <v>1737</v>
      </c>
      <c r="D510" s="86" t="s">
        <v>1738</v>
      </c>
      <c r="E510" s="97" t="s">
        <v>28</v>
      </c>
      <c r="F510" s="172">
        <v>176.01</v>
      </c>
      <c r="G510" s="97">
        <v>2</v>
      </c>
      <c r="H510" s="85">
        <f t="shared" si="408"/>
        <v>352.02</v>
      </c>
      <c r="I510" s="50">
        <f t="shared" si="407"/>
        <v>0</v>
      </c>
      <c r="J510" s="85">
        <f t="shared" si="435"/>
        <v>0</v>
      </c>
      <c r="K510" s="82" t="str">
        <f t="shared" si="392"/>
        <v/>
      </c>
      <c r="L510" s="50"/>
      <c r="M510" s="85">
        <f t="shared" si="436"/>
        <v>0</v>
      </c>
      <c r="N510" s="82" t="str">
        <f t="shared" si="393"/>
        <v/>
      </c>
      <c r="O510" s="50"/>
      <c r="P510" s="85">
        <f t="shared" si="437"/>
        <v>0</v>
      </c>
      <c r="Q510" s="82" t="str">
        <f t="shared" si="394"/>
        <v/>
      </c>
      <c r="R510" s="50"/>
      <c r="S510" s="85">
        <f t="shared" si="438"/>
        <v>0</v>
      </c>
      <c r="T510" s="82" t="str">
        <f t="shared" si="395"/>
        <v/>
      </c>
      <c r="U510" s="50"/>
      <c r="V510" s="85">
        <f t="shared" si="439"/>
        <v>0</v>
      </c>
      <c r="W510" s="82" t="str">
        <f t="shared" si="396"/>
        <v/>
      </c>
      <c r="X510" s="50"/>
      <c r="Y510" s="85">
        <f t="shared" si="440"/>
        <v>0</v>
      </c>
      <c r="Z510" s="82" t="str">
        <f t="shared" si="397"/>
        <v/>
      </c>
      <c r="AA510" s="50"/>
      <c r="AB510" s="85">
        <f t="shared" si="441"/>
        <v>0</v>
      </c>
      <c r="AC510" s="82" t="str">
        <f t="shared" si="398"/>
        <v/>
      </c>
      <c r="AD510" s="50"/>
      <c r="AE510" s="85">
        <f t="shared" si="442"/>
        <v>0</v>
      </c>
      <c r="AF510" s="82" t="str">
        <f t="shared" si="399"/>
        <v/>
      </c>
      <c r="AG510" s="50"/>
      <c r="AH510" s="85">
        <f t="shared" si="443"/>
        <v>0</v>
      </c>
      <c r="AI510" s="82" t="str">
        <f t="shared" si="400"/>
        <v/>
      </c>
      <c r="AJ510" s="50"/>
      <c r="AK510" s="85">
        <f t="shared" si="444"/>
        <v>0</v>
      </c>
      <c r="AL510" s="82" t="str">
        <f t="shared" si="401"/>
        <v/>
      </c>
      <c r="AM510" s="50"/>
      <c r="AN510" s="85">
        <f t="shared" si="445"/>
        <v>0</v>
      </c>
      <c r="AO510" s="82" t="str">
        <f t="shared" si="402"/>
        <v/>
      </c>
      <c r="AP510" s="48">
        <f t="shared" si="403"/>
        <v>0</v>
      </c>
      <c r="AQ510" s="85">
        <f t="shared" si="446"/>
        <v>0</v>
      </c>
      <c r="AR510" s="82" t="str">
        <f t="shared" si="404"/>
        <v/>
      </c>
      <c r="AS510" s="48">
        <f t="shared" si="405"/>
        <v>2</v>
      </c>
      <c r="AT510" s="85">
        <f t="shared" si="447"/>
        <v>352.02</v>
      </c>
      <c r="AU510" s="82">
        <f t="shared" si="406"/>
        <v>1</v>
      </c>
    </row>
    <row r="511" spans="1:47" ht="30">
      <c r="A511" s="16"/>
      <c r="B511" s="97" t="s">
        <v>1739</v>
      </c>
      <c r="C511" s="167" t="s">
        <v>1740</v>
      </c>
      <c r="D511" s="86" t="s">
        <v>1741</v>
      </c>
      <c r="E511" s="97" t="s">
        <v>28</v>
      </c>
      <c r="F511" s="172">
        <v>391.53</v>
      </c>
      <c r="G511" s="97">
        <v>5</v>
      </c>
      <c r="H511" s="85">
        <f t="shared" si="408"/>
        <v>1957.6499999999999</v>
      </c>
      <c r="I511" s="50">
        <f t="shared" si="407"/>
        <v>0</v>
      </c>
      <c r="J511" s="85">
        <f t="shared" si="435"/>
        <v>0</v>
      </c>
      <c r="K511" s="82" t="str">
        <f t="shared" si="392"/>
        <v/>
      </c>
      <c r="L511" s="50"/>
      <c r="M511" s="85">
        <f t="shared" si="436"/>
        <v>0</v>
      </c>
      <c r="N511" s="82" t="str">
        <f t="shared" si="393"/>
        <v/>
      </c>
      <c r="O511" s="50"/>
      <c r="P511" s="85">
        <f t="shared" si="437"/>
        <v>0</v>
      </c>
      <c r="Q511" s="82" t="str">
        <f t="shared" si="394"/>
        <v/>
      </c>
      <c r="R511" s="50"/>
      <c r="S511" s="85">
        <f t="shared" si="438"/>
        <v>0</v>
      </c>
      <c r="T511" s="82" t="str">
        <f t="shared" si="395"/>
        <v/>
      </c>
      <c r="U511" s="50"/>
      <c r="V511" s="85">
        <f t="shared" si="439"/>
        <v>0</v>
      </c>
      <c r="W511" s="82" t="str">
        <f t="shared" si="396"/>
        <v/>
      </c>
      <c r="X511" s="50"/>
      <c r="Y511" s="85">
        <f t="shared" si="440"/>
        <v>0</v>
      </c>
      <c r="Z511" s="82" t="str">
        <f t="shared" si="397"/>
        <v/>
      </c>
      <c r="AA511" s="50"/>
      <c r="AB511" s="85">
        <f t="shared" si="441"/>
        <v>0</v>
      </c>
      <c r="AC511" s="82" t="str">
        <f t="shared" si="398"/>
        <v/>
      </c>
      <c r="AD511" s="50"/>
      <c r="AE511" s="85">
        <f t="shared" si="442"/>
        <v>0</v>
      </c>
      <c r="AF511" s="82" t="str">
        <f t="shared" si="399"/>
        <v/>
      </c>
      <c r="AG511" s="50"/>
      <c r="AH511" s="85">
        <f t="shared" si="443"/>
        <v>0</v>
      </c>
      <c r="AI511" s="82" t="str">
        <f t="shared" si="400"/>
        <v/>
      </c>
      <c r="AJ511" s="50"/>
      <c r="AK511" s="85">
        <f t="shared" si="444"/>
        <v>0</v>
      </c>
      <c r="AL511" s="82" t="str">
        <f t="shared" si="401"/>
        <v/>
      </c>
      <c r="AM511" s="50"/>
      <c r="AN511" s="85">
        <f t="shared" si="445"/>
        <v>0</v>
      </c>
      <c r="AO511" s="82" t="str">
        <f t="shared" si="402"/>
        <v/>
      </c>
      <c r="AP511" s="48">
        <f t="shared" si="403"/>
        <v>0</v>
      </c>
      <c r="AQ511" s="85">
        <f t="shared" si="446"/>
        <v>0</v>
      </c>
      <c r="AR511" s="82" t="str">
        <f t="shared" si="404"/>
        <v/>
      </c>
      <c r="AS511" s="48">
        <f t="shared" si="405"/>
        <v>5</v>
      </c>
      <c r="AT511" s="85">
        <f t="shared" si="447"/>
        <v>1957.6499999999999</v>
      </c>
      <c r="AU511" s="82">
        <f t="shared" si="406"/>
        <v>1</v>
      </c>
    </row>
    <row r="512" spans="1:47" ht="45">
      <c r="A512" s="16"/>
      <c r="B512" s="97" t="s">
        <v>1742</v>
      </c>
      <c r="C512" s="167" t="s">
        <v>1743</v>
      </c>
      <c r="D512" s="86" t="s">
        <v>1744</v>
      </c>
      <c r="E512" s="97" t="s">
        <v>28</v>
      </c>
      <c r="F512" s="172">
        <v>38.94</v>
      </c>
      <c r="G512" s="97">
        <v>17</v>
      </c>
      <c r="H512" s="85">
        <f t="shared" si="408"/>
        <v>661.98</v>
      </c>
      <c r="I512" s="50">
        <f t="shared" si="407"/>
        <v>0</v>
      </c>
      <c r="J512" s="85">
        <f t="shared" si="435"/>
        <v>0</v>
      </c>
      <c r="K512" s="82" t="str">
        <f t="shared" si="392"/>
        <v/>
      </c>
      <c r="L512" s="50"/>
      <c r="M512" s="85">
        <f t="shared" si="436"/>
        <v>0</v>
      </c>
      <c r="N512" s="82" t="str">
        <f t="shared" si="393"/>
        <v/>
      </c>
      <c r="O512" s="50"/>
      <c r="P512" s="85">
        <f t="shared" si="437"/>
        <v>0</v>
      </c>
      <c r="Q512" s="82" t="str">
        <f t="shared" si="394"/>
        <v/>
      </c>
      <c r="R512" s="50"/>
      <c r="S512" s="85">
        <f t="shared" si="438"/>
        <v>0</v>
      </c>
      <c r="T512" s="82" t="str">
        <f t="shared" si="395"/>
        <v/>
      </c>
      <c r="U512" s="50"/>
      <c r="V512" s="85">
        <f t="shared" si="439"/>
        <v>0</v>
      </c>
      <c r="W512" s="82" t="str">
        <f t="shared" si="396"/>
        <v/>
      </c>
      <c r="X512" s="50"/>
      <c r="Y512" s="85">
        <f t="shared" si="440"/>
        <v>0</v>
      </c>
      <c r="Z512" s="82" t="str">
        <f t="shared" si="397"/>
        <v/>
      </c>
      <c r="AA512" s="50"/>
      <c r="AB512" s="85">
        <f t="shared" si="441"/>
        <v>0</v>
      </c>
      <c r="AC512" s="82" t="str">
        <f t="shared" si="398"/>
        <v/>
      </c>
      <c r="AD512" s="50"/>
      <c r="AE512" s="85">
        <f t="shared" si="442"/>
        <v>0</v>
      </c>
      <c r="AF512" s="82" t="str">
        <f t="shared" si="399"/>
        <v/>
      </c>
      <c r="AG512" s="50"/>
      <c r="AH512" s="85">
        <f t="shared" si="443"/>
        <v>0</v>
      </c>
      <c r="AI512" s="82" t="str">
        <f t="shared" si="400"/>
        <v/>
      </c>
      <c r="AJ512" s="50"/>
      <c r="AK512" s="85">
        <f t="shared" si="444"/>
        <v>0</v>
      </c>
      <c r="AL512" s="82" t="str">
        <f t="shared" si="401"/>
        <v/>
      </c>
      <c r="AM512" s="50"/>
      <c r="AN512" s="85">
        <f t="shared" si="445"/>
        <v>0</v>
      </c>
      <c r="AO512" s="82" t="str">
        <f t="shared" si="402"/>
        <v/>
      </c>
      <c r="AP512" s="48">
        <f t="shared" si="403"/>
        <v>0</v>
      </c>
      <c r="AQ512" s="85">
        <f t="shared" si="446"/>
        <v>0</v>
      </c>
      <c r="AR512" s="82" t="str">
        <f t="shared" si="404"/>
        <v/>
      </c>
      <c r="AS512" s="48">
        <f t="shared" si="405"/>
        <v>17</v>
      </c>
      <c r="AT512" s="85">
        <f t="shared" si="447"/>
        <v>661.98</v>
      </c>
      <c r="AU512" s="82">
        <f t="shared" si="406"/>
        <v>1</v>
      </c>
    </row>
    <row r="513" spans="1:56" ht="30">
      <c r="A513" s="16"/>
      <c r="B513" s="97" t="s">
        <v>1745</v>
      </c>
      <c r="C513" s="167" t="s">
        <v>1746</v>
      </c>
      <c r="D513" s="86" t="s">
        <v>1747</v>
      </c>
      <c r="E513" s="97" t="s">
        <v>28</v>
      </c>
      <c r="F513" s="172">
        <v>43.06</v>
      </c>
      <c r="G513" s="97">
        <v>190</v>
      </c>
      <c r="H513" s="85">
        <f t="shared" si="408"/>
        <v>8181.4000000000005</v>
      </c>
      <c r="I513" s="50">
        <f t="shared" si="407"/>
        <v>0</v>
      </c>
      <c r="J513" s="85">
        <f t="shared" si="435"/>
        <v>0</v>
      </c>
      <c r="K513" s="82" t="str">
        <f t="shared" si="392"/>
        <v/>
      </c>
      <c r="L513" s="50"/>
      <c r="M513" s="85">
        <f t="shared" si="436"/>
        <v>0</v>
      </c>
      <c r="N513" s="82" t="str">
        <f t="shared" si="393"/>
        <v/>
      </c>
      <c r="O513" s="50"/>
      <c r="P513" s="85">
        <f t="shared" si="437"/>
        <v>0</v>
      </c>
      <c r="Q513" s="82" t="str">
        <f t="shared" si="394"/>
        <v/>
      </c>
      <c r="R513" s="50"/>
      <c r="S513" s="85">
        <f t="shared" si="438"/>
        <v>0</v>
      </c>
      <c r="T513" s="82" t="str">
        <f t="shared" si="395"/>
        <v/>
      </c>
      <c r="U513" s="50"/>
      <c r="V513" s="85">
        <f t="shared" si="439"/>
        <v>0</v>
      </c>
      <c r="W513" s="82" t="str">
        <f t="shared" si="396"/>
        <v/>
      </c>
      <c r="X513" s="50"/>
      <c r="Y513" s="85">
        <f t="shared" si="440"/>
        <v>0</v>
      </c>
      <c r="Z513" s="82" t="str">
        <f t="shared" si="397"/>
        <v/>
      </c>
      <c r="AA513" s="50"/>
      <c r="AB513" s="85">
        <f t="shared" si="441"/>
        <v>0</v>
      </c>
      <c r="AC513" s="82" t="str">
        <f t="shared" si="398"/>
        <v/>
      </c>
      <c r="AD513" s="50"/>
      <c r="AE513" s="85">
        <f t="shared" si="442"/>
        <v>0</v>
      </c>
      <c r="AF513" s="82" t="str">
        <f t="shared" si="399"/>
        <v/>
      </c>
      <c r="AG513" s="50"/>
      <c r="AH513" s="85">
        <f t="shared" si="443"/>
        <v>0</v>
      </c>
      <c r="AI513" s="82" t="str">
        <f t="shared" si="400"/>
        <v/>
      </c>
      <c r="AJ513" s="50"/>
      <c r="AK513" s="85">
        <f t="shared" si="444"/>
        <v>0</v>
      </c>
      <c r="AL513" s="82" t="str">
        <f t="shared" si="401"/>
        <v/>
      </c>
      <c r="AM513" s="50"/>
      <c r="AN513" s="85">
        <f t="shared" si="445"/>
        <v>0</v>
      </c>
      <c r="AO513" s="82" t="str">
        <f t="shared" si="402"/>
        <v/>
      </c>
      <c r="AP513" s="48">
        <f t="shared" si="403"/>
        <v>0</v>
      </c>
      <c r="AQ513" s="85">
        <f t="shared" si="446"/>
        <v>0</v>
      </c>
      <c r="AR513" s="82" t="str">
        <f t="shared" si="404"/>
        <v/>
      </c>
      <c r="AS513" s="48">
        <f t="shared" si="405"/>
        <v>190</v>
      </c>
      <c r="AT513" s="85">
        <f t="shared" si="447"/>
        <v>8181.4000000000005</v>
      </c>
      <c r="AU513" s="82">
        <f t="shared" si="406"/>
        <v>1</v>
      </c>
    </row>
    <row r="514" spans="1:56" ht="30">
      <c r="A514" s="16"/>
      <c r="B514" s="97" t="s">
        <v>1748</v>
      </c>
      <c r="C514" s="167" t="s">
        <v>1749</v>
      </c>
      <c r="D514" s="86" t="s">
        <v>1750</v>
      </c>
      <c r="E514" s="97" t="s">
        <v>28</v>
      </c>
      <c r="F514" s="172">
        <v>198.78</v>
      </c>
      <c r="G514" s="97">
        <v>1</v>
      </c>
      <c r="H514" s="85">
        <f t="shared" si="408"/>
        <v>198.78</v>
      </c>
      <c r="I514" s="50">
        <f t="shared" si="407"/>
        <v>0</v>
      </c>
      <c r="J514" s="85">
        <f t="shared" si="435"/>
        <v>0</v>
      </c>
      <c r="K514" s="82" t="str">
        <f t="shared" ref="K514:K577" si="448">IF(I514=0,"",I514/$G514)</f>
        <v/>
      </c>
      <c r="L514" s="50"/>
      <c r="M514" s="85">
        <f t="shared" si="436"/>
        <v>0</v>
      </c>
      <c r="N514" s="82" t="str">
        <f t="shared" ref="N514:N577" si="449">IF(L514=0,"",L514/$G514)</f>
        <v/>
      </c>
      <c r="O514" s="50"/>
      <c r="P514" s="85">
        <f t="shared" si="437"/>
        <v>0</v>
      </c>
      <c r="Q514" s="82" t="str">
        <f t="shared" ref="Q514:Q577" si="450">IF(O514=0,"",O514/$G514)</f>
        <v/>
      </c>
      <c r="R514" s="50"/>
      <c r="S514" s="85">
        <f t="shared" si="438"/>
        <v>0</v>
      </c>
      <c r="T514" s="82" t="str">
        <f t="shared" ref="T514:T577" si="451">IF(R514=0,"",R514/$G514)</f>
        <v/>
      </c>
      <c r="U514" s="50"/>
      <c r="V514" s="85">
        <f t="shared" si="439"/>
        <v>0</v>
      </c>
      <c r="W514" s="82" t="str">
        <f t="shared" ref="W514:W577" si="452">IF(U514=0,"",U514/$G514)</f>
        <v/>
      </c>
      <c r="X514" s="50"/>
      <c r="Y514" s="85">
        <f t="shared" si="440"/>
        <v>0</v>
      </c>
      <c r="Z514" s="82" t="str">
        <f t="shared" ref="Z514:Z577" si="453">IF(X514=0,"",X514/$G514)</f>
        <v/>
      </c>
      <c r="AA514" s="50"/>
      <c r="AB514" s="85">
        <f t="shared" si="441"/>
        <v>0</v>
      </c>
      <c r="AC514" s="82" t="str">
        <f t="shared" ref="AC514:AC577" si="454">IF(AA514=0,"",AA514/$G514)</f>
        <v/>
      </c>
      <c r="AD514" s="50"/>
      <c r="AE514" s="85">
        <f t="shared" si="442"/>
        <v>0</v>
      </c>
      <c r="AF514" s="82" t="str">
        <f t="shared" ref="AF514:AF577" si="455">IF(AD514=0,"",AD514/$G514)</f>
        <v/>
      </c>
      <c r="AG514" s="50"/>
      <c r="AH514" s="85">
        <f t="shared" si="443"/>
        <v>0</v>
      </c>
      <c r="AI514" s="82" t="str">
        <f t="shared" ref="AI514:AI577" si="456">IF(AG514=0,"",AG514/$G514)</f>
        <v/>
      </c>
      <c r="AJ514" s="50"/>
      <c r="AK514" s="85">
        <f t="shared" si="444"/>
        <v>0</v>
      </c>
      <c r="AL514" s="82" t="str">
        <f t="shared" ref="AL514:AL577" si="457">IF(AJ514=0,"",AJ514/$G514)</f>
        <v/>
      </c>
      <c r="AM514" s="50"/>
      <c r="AN514" s="85">
        <f t="shared" si="445"/>
        <v>0</v>
      </c>
      <c r="AO514" s="82" t="str">
        <f t="shared" ref="AO514:AO577" si="458">IF(AM514=0,"",AM514/$G514)</f>
        <v/>
      </c>
      <c r="AP514" s="48">
        <f t="shared" ref="AP514:AP577" si="459">AM514+AJ514+AG514+AD514+AA514+X514+U514+R514+O514+L514</f>
        <v>0</v>
      </c>
      <c r="AQ514" s="85">
        <f t="shared" si="446"/>
        <v>0</v>
      </c>
      <c r="AR514" s="82" t="str">
        <f t="shared" ref="AR514:AR577" si="460">IF(AP514=0,"",AP514/$G514)</f>
        <v/>
      </c>
      <c r="AS514" s="48">
        <f t="shared" ref="AS514:AS577" si="461">G514-AP514</f>
        <v>1</v>
      </c>
      <c r="AT514" s="85">
        <f t="shared" si="447"/>
        <v>198.78</v>
      </c>
      <c r="AU514" s="82">
        <f t="shared" ref="AU514:AU577" si="462">IF(AS514=0,"",AS514/$G514)</f>
        <v>1</v>
      </c>
    </row>
    <row r="515" spans="1:56" ht="30">
      <c r="A515" s="16"/>
      <c r="B515" s="97" t="s">
        <v>1751</v>
      </c>
      <c r="C515" s="167" t="s">
        <v>1752</v>
      </c>
      <c r="D515" s="86" t="s">
        <v>1753</v>
      </c>
      <c r="E515" s="97" t="s">
        <v>28</v>
      </c>
      <c r="F515" s="172">
        <v>138.32</v>
      </c>
      <c r="G515" s="97">
        <v>2</v>
      </c>
      <c r="H515" s="85">
        <f t="shared" si="408"/>
        <v>276.64</v>
      </c>
      <c r="I515" s="50">
        <f t="shared" si="407"/>
        <v>0</v>
      </c>
      <c r="J515" s="85">
        <f t="shared" si="435"/>
        <v>0</v>
      </c>
      <c r="K515" s="82" t="str">
        <f t="shared" si="448"/>
        <v/>
      </c>
      <c r="L515" s="50"/>
      <c r="M515" s="85">
        <f t="shared" si="436"/>
        <v>0</v>
      </c>
      <c r="N515" s="82" t="str">
        <f t="shared" si="449"/>
        <v/>
      </c>
      <c r="O515" s="50"/>
      <c r="P515" s="85">
        <f t="shared" si="437"/>
        <v>0</v>
      </c>
      <c r="Q515" s="82" t="str">
        <f t="shared" si="450"/>
        <v/>
      </c>
      <c r="R515" s="50"/>
      <c r="S515" s="85">
        <f t="shared" si="438"/>
        <v>0</v>
      </c>
      <c r="T515" s="82" t="str">
        <f t="shared" si="451"/>
        <v/>
      </c>
      <c r="U515" s="50"/>
      <c r="V515" s="85">
        <f t="shared" si="439"/>
        <v>0</v>
      </c>
      <c r="W515" s="82" t="str">
        <f t="shared" si="452"/>
        <v/>
      </c>
      <c r="X515" s="50"/>
      <c r="Y515" s="85">
        <f t="shared" si="440"/>
        <v>0</v>
      </c>
      <c r="Z515" s="82" t="str">
        <f t="shared" si="453"/>
        <v/>
      </c>
      <c r="AA515" s="50"/>
      <c r="AB515" s="85">
        <f t="shared" si="441"/>
        <v>0</v>
      </c>
      <c r="AC515" s="82" t="str">
        <f t="shared" si="454"/>
        <v/>
      </c>
      <c r="AD515" s="50"/>
      <c r="AE515" s="85">
        <f t="shared" si="442"/>
        <v>0</v>
      </c>
      <c r="AF515" s="82" t="str">
        <f t="shared" si="455"/>
        <v/>
      </c>
      <c r="AG515" s="50"/>
      <c r="AH515" s="85">
        <f t="shared" si="443"/>
        <v>0</v>
      </c>
      <c r="AI515" s="82" t="str">
        <f t="shared" si="456"/>
        <v/>
      </c>
      <c r="AJ515" s="50"/>
      <c r="AK515" s="85">
        <f t="shared" si="444"/>
        <v>0</v>
      </c>
      <c r="AL515" s="82" t="str">
        <f t="shared" si="457"/>
        <v/>
      </c>
      <c r="AM515" s="50"/>
      <c r="AN515" s="85">
        <f t="shared" si="445"/>
        <v>0</v>
      </c>
      <c r="AO515" s="82" t="str">
        <f t="shared" si="458"/>
        <v/>
      </c>
      <c r="AP515" s="48">
        <f t="shared" si="459"/>
        <v>0</v>
      </c>
      <c r="AQ515" s="85">
        <f t="shared" si="446"/>
        <v>0</v>
      </c>
      <c r="AR515" s="82" t="str">
        <f t="shared" si="460"/>
        <v/>
      </c>
      <c r="AS515" s="48">
        <f t="shared" si="461"/>
        <v>2</v>
      </c>
      <c r="AT515" s="85">
        <f t="shared" si="447"/>
        <v>276.64</v>
      </c>
      <c r="AU515" s="82">
        <f t="shared" si="462"/>
        <v>1</v>
      </c>
    </row>
    <row r="516" spans="1:56" ht="45">
      <c r="A516" s="16"/>
      <c r="B516" s="97" t="s">
        <v>1754</v>
      </c>
      <c r="C516" s="167" t="s">
        <v>1755</v>
      </c>
      <c r="D516" s="86" t="s">
        <v>1756</v>
      </c>
      <c r="E516" s="97" t="s">
        <v>28</v>
      </c>
      <c r="F516" s="172">
        <v>1627.77</v>
      </c>
      <c r="G516" s="97">
        <v>6</v>
      </c>
      <c r="H516" s="85">
        <f t="shared" si="408"/>
        <v>9766.619999999999</v>
      </c>
      <c r="I516" s="50">
        <f t="shared" si="407"/>
        <v>0</v>
      </c>
      <c r="J516" s="85">
        <f t="shared" si="435"/>
        <v>0</v>
      </c>
      <c r="K516" s="82" t="str">
        <f t="shared" si="448"/>
        <v/>
      </c>
      <c r="L516" s="50"/>
      <c r="M516" s="85">
        <f t="shared" si="436"/>
        <v>0</v>
      </c>
      <c r="N516" s="82" t="str">
        <f t="shared" si="449"/>
        <v/>
      </c>
      <c r="O516" s="50"/>
      <c r="P516" s="85">
        <f t="shared" si="437"/>
        <v>0</v>
      </c>
      <c r="Q516" s="82" t="str">
        <f t="shared" si="450"/>
        <v/>
      </c>
      <c r="R516" s="50"/>
      <c r="S516" s="85">
        <f t="shared" si="438"/>
        <v>0</v>
      </c>
      <c r="T516" s="82" t="str">
        <f t="shared" si="451"/>
        <v/>
      </c>
      <c r="U516" s="50"/>
      <c r="V516" s="85">
        <f t="shared" si="439"/>
        <v>0</v>
      </c>
      <c r="W516" s="82" t="str">
        <f t="shared" si="452"/>
        <v/>
      </c>
      <c r="X516" s="50"/>
      <c r="Y516" s="85">
        <f t="shared" si="440"/>
        <v>0</v>
      </c>
      <c r="Z516" s="82" t="str">
        <f t="shared" si="453"/>
        <v/>
      </c>
      <c r="AA516" s="50"/>
      <c r="AB516" s="85">
        <f t="shared" si="441"/>
        <v>0</v>
      </c>
      <c r="AC516" s="82" t="str">
        <f t="shared" si="454"/>
        <v/>
      </c>
      <c r="AD516" s="50"/>
      <c r="AE516" s="85">
        <f t="shared" si="442"/>
        <v>0</v>
      </c>
      <c r="AF516" s="82" t="str">
        <f t="shared" si="455"/>
        <v/>
      </c>
      <c r="AG516" s="50"/>
      <c r="AH516" s="85">
        <f t="shared" si="443"/>
        <v>0</v>
      </c>
      <c r="AI516" s="82" t="str">
        <f t="shared" si="456"/>
        <v/>
      </c>
      <c r="AJ516" s="50"/>
      <c r="AK516" s="85">
        <f t="shared" si="444"/>
        <v>0</v>
      </c>
      <c r="AL516" s="82" t="str">
        <f t="shared" si="457"/>
        <v/>
      </c>
      <c r="AM516" s="50"/>
      <c r="AN516" s="85">
        <f t="shared" si="445"/>
        <v>0</v>
      </c>
      <c r="AO516" s="82" t="str">
        <f t="shared" si="458"/>
        <v/>
      </c>
      <c r="AP516" s="48">
        <f t="shared" si="459"/>
        <v>0</v>
      </c>
      <c r="AQ516" s="85">
        <f t="shared" si="446"/>
        <v>0</v>
      </c>
      <c r="AR516" s="82" t="str">
        <f t="shared" si="460"/>
        <v/>
      </c>
      <c r="AS516" s="48">
        <f t="shared" si="461"/>
        <v>6</v>
      </c>
      <c r="AT516" s="85">
        <f t="shared" si="447"/>
        <v>9766.619999999999</v>
      </c>
      <c r="AU516" s="82">
        <f t="shared" si="462"/>
        <v>1</v>
      </c>
      <c r="AW516" s="51"/>
      <c r="AX516" s="51"/>
      <c r="AY516" s="51"/>
      <c r="AZ516" s="1927"/>
      <c r="BA516" s="1927"/>
      <c r="BB516" s="1927"/>
      <c r="BC516" s="1927"/>
      <c r="BD516" s="1927"/>
    </row>
    <row r="517" spans="1:56" ht="30">
      <c r="A517" s="16"/>
      <c r="B517" s="97" t="s">
        <v>1757</v>
      </c>
      <c r="C517" s="167" t="s">
        <v>1758</v>
      </c>
      <c r="D517" s="86" t="s">
        <v>1759</v>
      </c>
      <c r="E517" s="97" t="s">
        <v>28</v>
      </c>
      <c r="F517" s="172">
        <v>81.67</v>
      </c>
      <c r="G517" s="97">
        <v>82</v>
      </c>
      <c r="H517" s="85">
        <f t="shared" si="408"/>
        <v>6696.9400000000005</v>
      </c>
      <c r="I517" s="50">
        <f t="shared" si="407"/>
        <v>0</v>
      </c>
      <c r="J517" s="85">
        <f t="shared" si="435"/>
        <v>0</v>
      </c>
      <c r="K517" s="82" t="str">
        <f t="shared" si="448"/>
        <v/>
      </c>
      <c r="L517" s="50"/>
      <c r="M517" s="85">
        <f t="shared" si="436"/>
        <v>0</v>
      </c>
      <c r="N517" s="82" t="str">
        <f t="shared" si="449"/>
        <v/>
      </c>
      <c r="O517" s="50"/>
      <c r="P517" s="85">
        <f t="shared" si="437"/>
        <v>0</v>
      </c>
      <c r="Q517" s="82" t="str">
        <f t="shared" si="450"/>
        <v/>
      </c>
      <c r="R517" s="50"/>
      <c r="S517" s="85">
        <f t="shared" si="438"/>
        <v>0</v>
      </c>
      <c r="T517" s="82" t="str">
        <f t="shared" si="451"/>
        <v/>
      </c>
      <c r="U517" s="50"/>
      <c r="V517" s="85">
        <f t="shared" si="439"/>
        <v>0</v>
      </c>
      <c r="W517" s="82" t="str">
        <f t="shared" si="452"/>
        <v/>
      </c>
      <c r="X517" s="50"/>
      <c r="Y517" s="85">
        <f t="shared" si="440"/>
        <v>0</v>
      </c>
      <c r="Z517" s="82" t="str">
        <f t="shared" si="453"/>
        <v/>
      </c>
      <c r="AA517" s="50"/>
      <c r="AB517" s="85">
        <f t="shared" si="441"/>
        <v>0</v>
      </c>
      <c r="AC517" s="82" t="str">
        <f t="shared" si="454"/>
        <v/>
      </c>
      <c r="AD517" s="50"/>
      <c r="AE517" s="85">
        <f t="shared" si="442"/>
        <v>0</v>
      </c>
      <c r="AF517" s="82" t="str">
        <f t="shared" si="455"/>
        <v/>
      </c>
      <c r="AG517" s="50"/>
      <c r="AH517" s="85">
        <f t="shared" si="443"/>
        <v>0</v>
      </c>
      <c r="AI517" s="82" t="str">
        <f t="shared" si="456"/>
        <v/>
      </c>
      <c r="AJ517" s="50"/>
      <c r="AK517" s="85">
        <f t="shared" si="444"/>
        <v>0</v>
      </c>
      <c r="AL517" s="82" t="str">
        <f t="shared" si="457"/>
        <v/>
      </c>
      <c r="AM517" s="50"/>
      <c r="AN517" s="85">
        <f t="shared" si="445"/>
        <v>0</v>
      </c>
      <c r="AO517" s="82" t="str">
        <f t="shared" si="458"/>
        <v/>
      </c>
      <c r="AP517" s="48">
        <f t="shared" si="459"/>
        <v>0</v>
      </c>
      <c r="AQ517" s="85">
        <f t="shared" si="446"/>
        <v>0</v>
      </c>
      <c r="AR517" s="82" t="str">
        <f t="shared" si="460"/>
        <v/>
      </c>
      <c r="AS517" s="48">
        <f t="shared" si="461"/>
        <v>82</v>
      </c>
      <c r="AT517" s="85">
        <f t="shared" si="447"/>
        <v>6696.9400000000005</v>
      </c>
      <c r="AU517" s="82">
        <f t="shared" si="462"/>
        <v>1</v>
      </c>
      <c r="AW517" s="51"/>
      <c r="AX517" s="51"/>
      <c r="AY517" s="51"/>
      <c r="AZ517" s="1927"/>
      <c r="BA517" s="1927"/>
      <c r="BB517" s="1927"/>
      <c r="BC517" s="1927"/>
      <c r="BD517" s="1927"/>
    </row>
    <row r="518" spans="1:56" ht="30">
      <c r="A518" s="16"/>
      <c r="B518" s="97" t="s">
        <v>1760</v>
      </c>
      <c r="C518" s="167" t="s">
        <v>1761</v>
      </c>
      <c r="D518" s="86" t="s">
        <v>1762</v>
      </c>
      <c r="E518" s="97" t="s">
        <v>28</v>
      </c>
      <c r="F518" s="172">
        <v>941.21</v>
      </c>
      <c r="G518" s="97">
        <v>2</v>
      </c>
      <c r="H518" s="85">
        <f t="shared" si="408"/>
        <v>1882.42</v>
      </c>
      <c r="I518" s="50">
        <f t="shared" si="407"/>
        <v>0</v>
      </c>
      <c r="J518" s="85">
        <f t="shared" si="435"/>
        <v>0</v>
      </c>
      <c r="K518" s="82" t="str">
        <f t="shared" si="448"/>
        <v/>
      </c>
      <c r="L518" s="50"/>
      <c r="M518" s="85">
        <f t="shared" si="436"/>
        <v>0</v>
      </c>
      <c r="N518" s="82" t="str">
        <f t="shared" si="449"/>
        <v/>
      </c>
      <c r="O518" s="50"/>
      <c r="P518" s="85">
        <f t="shared" si="437"/>
        <v>0</v>
      </c>
      <c r="Q518" s="82" t="str">
        <f t="shared" si="450"/>
        <v/>
      </c>
      <c r="R518" s="50"/>
      <c r="S518" s="85">
        <f t="shared" si="438"/>
        <v>0</v>
      </c>
      <c r="T518" s="82" t="str">
        <f t="shared" si="451"/>
        <v/>
      </c>
      <c r="U518" s="50"/>
      <c r="V518" s="85">
        <f t="shared" si="439"/>
        <v>0</v>
      </c>
      <c r="W518" s="82" t="str">
        <f t="shared" si="452"/>
        <v/>
      </c>
      <c r="X518" s="50"/>
      <c r="Y518" s="85">
        <f t="shared" si="440"/>
        <v>0</v>
      </c>
      <c r="Z518" s="82" t="str">
        <f t="shared" si="453"/>
        <v/>
      </c>
      <c r="AA518" s="50"/>
      <c r="AB518" s="85">
        <f t="shared" si="441"/>
        <v>0</v>
      </c>
      <c r="AC518" s="82" t="str">
        <f t="shared" si="454"/>
        <v/>
      </c>
      <c r="AD518" s="50"/>
      <c r="AE518" s="85">
        <f t="shared" si="442"/>
        <v>0</v>
      </c>
      <c r="AF518" s="82" t="str">
        <f t="shared" si="455"/>
        <v/>
      </c>
      <c r="AG518" s="50"/>
      <c r="AH518" s="85">
        <f t="shared" si="443"/>
        <v>0</v>
      </c>
      <c r="AI518" s="82" t="str">
        <f t="shared" si="456"/>
        <v/>
      </c>
      <c r="AJ518" s="50"/>
      <c r="AK518" s="85">
        <f t="shared" si="444"/>
        <v>0</v>
      </c>
      <c r="AL518" s="82" t="str">
        <f t="shared" si="457"/>
        <v/>
      </c>
      <c r="AM518" s="50"/>
      <c r="AN518" s="85">
        <f t="shared" si="445"/>
        <v>0</v>
      </c>
      <c r="AO518" s="82" t="str">
        <f t="shared" si="458"/>
        <v/>
      </c>
      <c r="AP518" s="48">
        <f t="shared" si="459"/>
        <v>0</v>
      </c>
      <c r="AQ518" s="85">
        <f t="shared" si="446"/>
        <v>0</v>
      </c>
      <c r="AR518" s="82" t="str">
        <f t="shared" si="460"/>
        <v/>
      </c>
      <c r="AS518" s="48">
        <f t="shared" si="461"/>
        <v>2</v>
      </c>
      <c r="AT518" s="85">
        <f t="shared" si="447"/>
        <v>1882.42</v>
      </c>
      <c r="AU518" s="82">
        <f t="shared" si="462"/>
        <v>1</v>
      </c>
      <c r="AW518" s="51"/>
      <c r="AX518" s="51"/>
      <c r="AY518" s="51"/>
      <c r="AZ518" s="1927"/>
      <c r="BA518" s="1927"/>
      <c r="BB518" s="1927"/>
      <c r="BC518" s="1927"/>
      <c r="BD518" s="1927"/>
    </row>
    <row r="519" spans="1:56" ht="45">
      <c r="A519" s="16"/>
      <c r="B519" s="97" t="s">
        <v>1763</v>
      </c>
      <c r="C519" s="167" t="s">
        <v>1764</v>
      </c>
      <c r="D519" s="86" t="s">
        <v>1765</v>
      </c>
      <c r="E519" s="97" t="s">
        <v>28</v>
      </c>
      <c r="F519" s="172">
        <v>91.71</v>
      </c>
      <c r="G519" s="97">
        <v>8</v>
      </c>
      <c r="H519" s="85">
        <f t="shared" si="408"/>
        <v>733.68</v>
      </c>
      <c r="I519" s="50">
        <f t="shared" si="407"/>
        <v>0</v>
      </c>
      <c r="J519" s="85">
        <f t="shared" si="435"/>
        <v>0</v>
      </c>
      <c r="K519" s="82" t="str">
        <f t="shared" si="448"/>
        <v/>
      </c>
      <c r="L519" s="50"/>
      <c r="M519" s="85">
        <f t="shared" si="436"/>
        <v>0</v>
      </c>
      <c r="N519" s="82" t="str">
        <f t="shared" si="449"/>
        <v/>
      </c>
      <c r="O519" s="50"/>
      <c r="P519" s="85">
        <f t="shared" si="437"/>
        <v>0</v>
      </c>
      <c r="Q519" s="82" t="str">
        <f t="shared" si="450"/>
        <v/>
      </c>
      <c r="R519" s="50"/>
      <c r="S519" s="85">
        <f t="shared" si="438"/>
        <v>0</v>
      </c>
      <c r="T519" s="82" t="str">
        <f t="shared" si="451"/>
        <v/>
      </c>
      <c r="U519" s="50"/>
      <c r="V519" s="85">
        <f t="shared" si="439"/>
        <v>0</v>
      </c>
      <c r="W519" s="82" t="str">
        <f t="shared" si="452"/>
        <v/>
      </c>
      <c r="X519" s="50"/>
      <c r="Y519" s="85">
        <f t="shared" si="440"/>
        <v>0</v>
      </c>
      <c r="Z519" s="82" t="str">
        <f t="shared" si="453"/>
        <v/>
      </c>
      <c r="AA519" s="50"/>
      <c r="AB519" s="85">
        <f t="shared" si="441"/>
        <v>0</v>
      </c>
      <c r="AC519" s="82" t="str">
        <f t="shared" si="454"/>
        <v/>
      </c>
      <c r="AD519" s="50"/>
      <c r="AE519" s="85">
        <f t="shared" si="442"/>
        <v>0</v>
      </c>
      <c r="AF519" s="82" t="str">
        <f t="shared" si="455"/>
        <v/>
      </c>
      <c r="AG519" s="50"/>
      <c r="AH519" s="85">
        <f t="shared" si="443"/>
        <v>0</v>
      </c>
      <c r="AI519" s="82" t="str">
        <f t="shared" si="456"/>
        <v/>
      </c>
      <c r="AJ519" s="50"/>
      <c r="AK519" s="85">
        <f t="shared" si="444"/>
        <v>0</v>
      </c>
      <c r="AL519" s="82" t="str">
        <f t="shared" si="457"/>
        <v/>
      </c>
      <c r="AM519" s="50"/>
      <c r="AN519" s="85">
        <f t="shared" si="445"/>
        <v>0</v>
      </c>
      <c r="AO519" s="82" t="str">
        <f t="shared" si="458"/>
        <v/>
      </c>
      <c r="AP519" s="48">
        <f t="shared" si="459"/>
        <v>0</v>
      </c>
      <c r="AQ519" s="85">
        <f t="shared" si="446"/>
        <v>0</v>
      </c>
      <c r="AR519" s="82" t="str">
        <f t="shared" si="460"/>
        <v/>
      </c>
      <c r="AS519" s="48">
        <f t="shared" si="461"/>
        <v>8</v>
      </c>
      <c r="AT519" s="85">
        <f t="shared" si="447"/>
        <v>733.68</v>
      </c>
      <c r="AU519" s="82">
        <f t="shared" si="462"/>
        <v>1</v>
      </c>
      <c r="AW519" s="51"/>
      <c r="AX519" s="51"/>
      <c r="AY519" s="51"/>
      <c r="AZ519" s="1927"/>
      <c r="BA519" s="1927"/>
      <c r="BB519" s="1927"/>
      <c r="BC519" s="1927"/>
      <c r="BD519" s="1927"/>
    </row>
    <row r="520" spans="1:56" ht="30">
      <c r="A520" s="16"/>
      <c r="B520" s="97" t="s">
        <v>1766</v>
      </c>
      <c r="C520" s="167" t="s">
        <v>1767</v>
      </c>
      <c r="D520" s="86" t="s">
        <v>1768</v>
      </c>
      <c r="E520" s="97" t="s">
        <v>28</v>
      </c>
      <c r="F520" s="172">
        <v>13.3</v>
      </c>
      <c r="G520" s="97">
        <v>8</v>
      </c>
      <c r="H520" s="85">
        <f t="shared" si="408"/>
        <v>106.4</v>
      </c>
      <c r="I520" s="50">
        <f t="shared" si="407"/>
        <v>0</v>
      </c>
      <c r="J520" s="85">
        <f t="shared" si="435"/>
        <v>0</v>
      </c>
      <c r="K520" s="82" t="str">
        <f t="shared" si="448"/>
        <v/>
      </c>
      <c r="L520" s="50"/>
      <c r="M520" s="85">
        <f t="shared" si="436"/>
        <v>0</v>
      </c>
      <c r="N520" s="82" t="str">
        <f t="shared" si="449"/>
        <v/>
      </c>
      <c r="O520" s="50"/>
      <c r="P520" s="85">
        <f t="shared" si="437"/>
        <v>0</v>
      </c>
      <c r="Q520" s="82" t="str">
        <f t="shared" si="450"/>
        <v/>
      </c>
      <c r="R520" s="50"/>
      <c r="S520" s="85">
        <f t="shared" si="438"/>
        <v>0</v>
      </c>
      <c r="T520" s="82" t="str">
        <f t="shared" si="451"/>
        <v/>
      </c>
      <c r="U520" s="50"/>
      <c r="V520" s="85">
        <f t="shared" si="439"/>
        <v>0</v>
      </c>
      <c r="W520" s="82" t="str">
        <f t="shared" si="452"/>
        <v/>
      </c>
      <c r="X520" s="50"/>
      <c r="Y520" s="85">
        <f t="shared" si="440"/>
        <v>0</v>
      </c>
      <c r="Z520" s="82" t="str">
        <f t="shared" si="453"/>
        <v/>
      </c>
      <c r="AA520" s="50"/>
      <c r="AB520" s="85">
        <f t="shared" si="441"/>
        <v>0</v>
      </c>
      <c r="AC520" s="82" t="str">
        <f t="shared" si="454"/>
        <v/>
      </c>
      <c r="AD520" s="50"/>
      <c r="AE520" s="85">
        <f t="shared" si="442"/>
        <v>0</v>
      </c>
      <c r="AF520" s="82" t="str">
        <f t="shared" si="455"/>
        <v/>
      </c>
      <c r="AG520" s="50"/>
      <c r="AH520" s="85">
        <f t="shared" si="443"/>
        <v>0</v>
      </c>
      <c r="AI520" s="82" t="str">
        <f t="shared" si="456"/>
        <v/>
      </c>
      <c r="AJ520" s="50"/>
      <c r="AK520" s="85">
        <f t="shared" si="444"/>
        <v>0</v>
      </c>
      <c r="AL520" s="82" t="str">
        <f t="shared" si="457"/>
        <v/>
      </c>
      <c r="AM520" s="50"/>
      <c r="AN520" s="85">
        <f t="shared" si="445"/>
        <v>0</v>
      </c>
      <c r="AO520" s="82" t="str">
        <f t="shared" si="458"/>
        <v/>
      </c>
      <c r="AP520" s="48">
        <f t="shared" si="459"/>
        <v>0</v>
      </c>
      <c r="AQ520" s="85">
        <f t="shared" si="446"/>
        <v>0</v>
      </c>
      <c r="AR520" s="82" t="str">
        <f t="shared" si="460"/>
        <v/>
      </c>
      <c r="AS520" s="48">
        <f t="shared" si="461"/>
        <v>8</v>
      </c>
      <c r="AT520" s="85">
        <f t="shared" si="447"/>
        <v>106.4</v>
      </c>
      <c r="AU520" s="82">
        <f t="shared" si="462"/>
        <v>1</v>
      </c>
      <c r="AW520" s="51"/>
      <c r="AX520" s="51"/>
      <c r="AY520" s="51"/>
      <c r="AZ520" s="1940"/>
      <c r="BA520" s="1940"/>
      <c r="BB520" s="1940"/>
      <c r="BC520" s="1940"/>
      <c r="BD520" s="1940"/>
    </row>
    <row r="521" spans="1:56" ht="45">
      <c r="A521" s="16"/>
      <c r="B521" s="97" t="s">
        <v>1769</v>
      </c>
      <c r="C521" s="167" t="s">
        <v>1770</v>
      </c>
      <c r="D521" s="86" t="s">
        <v>1771</v>
      </c>
      <c r="E521" s="97" t="s">
        <v>28</v>
      </c>
      <c r="F521" s="172">
        <v>28.02</v>
      </c>
      <c r="G521" s="97">
        <v>152</v>
      </c>
      <c r="H521" s="85">
        <f t="shared" si="408"/>
        <v>4259.04</v>
      </c>
      <c r="I521" s="50">
        <f t="shared" si="407"/>
        <v>0</v>
      </c>
      <c r="J521" s="85">
        <f t="shared" si="435"/>
        <v>0</v>
      </c>
      <c r="K521" s="82" t="str">
        <f t="shared" si="448"/>
        <v/>
      </c>
      <c r="L521" s="50"/>
      <c r="M521" s="85">
        <f t="shared" si="436"/>
        <v>0</v>
      </c>
      <c r="N521" s="82" t="str">
        <f t="shared" si="449"/>
        <v/>
      </c>
      <c r="O521" s="50"/>
      <c r="P521" s="85">
        <f t="shared" si="437"/>
        <v>0</v>
      </c>
      <c r="Q521" s="82" t="str">
        <f t="shared" si="450"/>
        <v/>
      </c>
      <c r="R521" s="50"/>
      <c r="S521" s="85">
        <f t="shared" si="438"/>
        <v>0</v>
      </c>
      <c r="T521" s="82" t="str">
        <f t="shared" si="451"/>
        <v/>
      </c>
      <c r="U521" s="50"/>
      <c r="V521" s="85">
        <f t="shared" si="439"/>
        <v>0</v>
      </c>
      <c r="W521" s="82" t="str">
        <f t="shared" si="452"/>
        <v/>
      </c>
      <c r="X521" s="50"/>
      <c r="Y521" s="85">
        <f t="shared" si="440"/>
        <v>0</v>
      </c>
      <c r="Z521" s="82" t="str">
        <f t="shared" si="453"/>
        <v/>
      </c>
      <c r="AA521" s="50"/>
      <c r="AB521" s="85">
        <f t="shared" si="441"/>
        <v>0</v>
      </c>
      <c r="AC521" s="82" t="str">
        <f t="shared" si="454"/>
        <v/>
      </c>
      <c r="AD521" s="50"/>
      <c r="AE521" s="85">
        <f t="shared" si="442"/>
        <v>0</v>
      </c>
      <c r="AF521" s="82" t="str">
        <f t="shared" si="455"/>
        <v/>
      </c>
      <c r="AG521" s="50"/>
      <c r="AH521" s="85">
        <f t="shared" si="443"/>
        <v>0</v>
      </c>
      <c r="AI521" s="82" t="str">
        <f t="shared" si="456"/>
        <v/>
      </c>
      <c r="AJ521" s="50"/>
      <c r="AK521" s="85">
        <f t="shared" si="444"/>
        <v>0</v>
      </c>
      <c r="AL521" s="82" t="str">
        <f t="shared" si="457"/>
        <v/>
      </c>
      <c r="AM521" s="50"/>
      <c r="AN521" s="85">
        <f t="shared" si="445"/>
        <v>0</v>
      </c>
      <c r="AO521" s="82" t="str">
        <f t="shared" si="458"/>
        <v/>
      </c>
      <c r="AP521" s="48">
        <f t="shared" si="459"/>
        <v>0</v>
      </c>
      <c r="AQ521" s="85">
        <f t="shared" si="446"/>
        <v>0</v>
      </c>
      <c r="AR521" s="82" t="str">
        <f t="shared" si="460"/>
        <v/>
      </c>
      <c r="AS521" s="48">
        <f t="shared" si="461"/>
        <v>152</v>
      </c>
      <c r="AT521" s="85">
        <f t="shared" si="447"/>
        <v>4259.04</v>
      </c>
      <c r="AU521" s="82">
        <f t="shared" si="462"/>
        <v>1</v>
      </c>
      <c r="AW521" s="2"/>
      <c r="AX521" s="3"/>
      <c r="AY521" s="3"/>
      <c r="AZ521" s="4"/>
      <c r="BA521" s="3"/>
      <c r="BB521" s="1"/>
      <c r="BC521" s="5"/>
      <c r="BD521" s="1"/>
    </row>
    <row r="522" spans="1:56" s="136" customFormat="1" ht="30" customHeight="1">
      <c r="A522" s="94"/>
      <c r="B522" s="116" t="s">
        <v>1772</v>
      </c>
      <c r="C522" s="1934" t="s">
        <v>1773</v>
      </c>
      <c r="D522" s="1935"/>
      <c r="E522" s="1935"/>
      <c r="F522" s="1935"/>
      <c r="G522" s="1936"/>
      <c r="H522" s="132">
        <f>H524+H525+H526+H527+H528+H530+H531+H532+H533+H534+H535+H536+H538+H539+H540+H541+H542+H544+H545+H547+H548+H549+H550+H551+H552+H553+H554+H555+H556+H557+H558</f>
        <v>38629.609999999993</v>
      </c>
      <c r="I522" s="50">
        <f t="shared" si="407"/>
        <v>0</v>
      </c>
      <c r="J522" s="132">
        <f>J524+J525+J526+J527+J528+J530+J531+J532+J533+J534+J535+J536+J538+J539+J540+J541+J542+J544+J545+J547+J548+J549+J550+J551+J552+J553+J554+J555+J556+J557+J558</f>
        <v>0</v>
      </c>
      <c r="K522" s="102">
        <f>J522/$H522</f>
        <v>0</v>
      </c>
      <c r="L522" s="133"/>
      <c r="M522" s="132">
        <f>M524+M525+M526+M527+M528+M530+M531+M532+M533+M534+M535+M536+M538+M539+M540+M541+M542+M544+M545+M547+M548+M549+M550+M551+M552+M553+M554+M555+M556+M557+M558</f>
        <v>0</v>
      </c>
      <c r="N522" s="102">
        <f>M522/$H522</f>
        <v>0</v>
      </c>
      <c r="O522" s="133"/>
      <c r="P522" s="132">
        <f>P524+P525+P526+P527+P528+P530+P531+P532+P533+P534+P535+P536+P538+P539+P540+P541+P542+P544+P545+P547+P548+P549+P550+P551+P552+P553+P554+P555+P556+P557+P558</f>
        <v>0</v>
      </c>
      <c r="Q522" s="102">
        <f>P522/$H522</f>
        <v>0</v>
      </c>
      <c r="R522" s="133"/>
      <c r="S522" s="132">
        <f>S524+S525+S526+S527+S528+S530+S531+S532+S533+S534+S535+S536+S538+S539+S540+S541+S542+S544+S545+S547+S548+S549+S550+S551+S552+S553+S554+S555+S556+S557+S558</f>
        <v>0</v>
      </c>
      <c r="T522" s="102">
        <f>S522/$H522</f>
        <v>0</v>
      </c>
      <c r="U522" s="133"/>
      <c r="V522" s="132">
        <f>V524+V525+V526+V527+V528+V530+V531+V532+V533+V534+V535+V536+V538+V539+V540+V541+V542+V544+V545+V547+V548+V549+V550+V551+V552+V553+V554+V555+V556+V557+V558</f>
        <v>0</v>
      </c>
      <c r="W522" s="102">
        <f>V522/$H522</f>
        <v>0</v>
      </c>
      <c r="X522" s="133"/>
      <c r="Y522" s="132">
        <f>Y524+Y525+Y526+Y527+Y528+Y530+Y531+Y532+Y533+Y534+Y535+Y536+Y538+Y539+Y540+Y541+Y542+Y544+Y545+Y547+Y548+Y549+Y550+Y551+Y552+Y553+Y554+Y555+Y556+Y557+Y558</f>
        <v>0</v>
      </c>
      <c r="Z522" s="102">
        <f>Y522/$H522</f>
        <v>0</v>
      </c>
      <c r="AA522" s="133"/>
      <c r="AB522" s="132">
        <f>AB524+AB525+AB526+AB527+AB528+AB530+AB531+AB532+AB533+AB534+AB535+AB536+AB538+AB539+AB540+AB541+AB542+AB544+AB545+AB547+AB548+AB549+AB550+AB551+AB552+AB553+AB554+AB555+AB556+AB557+AB558</f>
        <v>0</v>
      </c>
      <c r="AC522" s="102">
        <f>AB522/$H522</f>
        <v>0</v>
      </c>
      <c r="AD522" s="133"/>
      <c r="AE522" s="132">
        <f>AE524+AE525+AE526+AE527+AE528+AE530+AE531+AE532+AE533+AE534+AE535+AE536+AE538+AE539+AE540+AE541+AE542+AE544+AE545+AE547+AE548+AE549+AE550+AE551+AE552+AE553+AE554+AE555+AE556+AE557+AE558</f>
        <v>0</v>
      </c>
      <c r="AF522" s="102">
        <f>AE522/$H522</f>
        <v>0</v>
      </c>
      <c r="AG522" s="133"/>
      <c r="AH522" s="132">
        <f>AH524+AH525+AH526+AH527+AH528+AH530+AH531+AH532+AH533+AH534+AH535+AH536+AH538+AH539+AH540+AH541+AH542+AH544+AH545+AH547+AH548+AH549+AH550+AH551+AH552+AH553+AH554+AH555+AH556+AH557+AH558</f>
        <v>0</v>
      </c>
      <c r="AI522" s="102">
        <f>AH522/$H522</f>
        <v>0</v>
      </c>
      <c r="AJ522" s="133"/>
      <c r="AK522" s="132">
        <f>AK524+AK525+AK526+AK527+AK528+AK530+AK531+AK532+AK533+AK534+AK535+AK536+AK538+AK539+AK540+AK541+AK542+AK544+AK545+AK547+AK548+AK549+AK550+AK551+AK552+AK553+AK554+AK555+AK556+AK557+AK558</f>
        <v>0</v>
      </c>
      <c r="AL522" s="102">
        <f>AK522/$H522</f>
        <v>0</v>
      </c>
      <c r="AM522" s="133"/>
      <c r="AN522" s="132">
        <f>AN524+AN525+AN526+AN527+AN528+AN530+AN531+AN532+AN533+AN534+AN535+AN536+AN538+AN539+AN540+AN541+AN542+AN544+AN545+AN547+AN548+AN549+AN550+AN551+AN552+AN553+AN554+AN555+AN556+AN557+AN558</f>
        <v>0</v>
      </c>
      <c r="AO522" s="102">
        <f>AN522/$H522</f>
        <v>0</v>
      </c>
      <c r="AP522" s="135">
        <f t="shared" si="459"/>
        <v>0</v>
      </c>
      <c r="AQ522" s="132">
        <f>AQ524+AQ525+AQ526+AQ527+AQ528+AQ530+AQ531+AQ532+AQ533+AQ534+AQ535+AQ536+AQ538+AQ539+AQ540+AQ541+AQ542+AQ544+AQ545+AQ547+AQ548+AQ549+AQ550+AQ551+AQ552+AQ553+AQ554+AQ555+AQ556+AQ557+AQ558</f>
        <v>0</v>
      </c>
      <c r="AR522" s="102">
        <f>AQ522/$H522</f>
        <v>0</v>
      </c>
      <c r="AS522" s="135">
        <f t="shared" si="461"/>
        <v>0</v>
      </c>
      <c r="AT522" s="132">
        <f>AT524+AT525+AT526+AT527+AT528+AT530+AT531+AT532+AT533+AT534+AT535+AT536+AT538+AT539+AT540+AT541+AT542+AT544+AT545+AT547+AT548+AT549+AT550+AT551+AT552+AT553+AT554+AT555+AT556+AT557+AT558</f>
        <v>38629.609999999993</v>
      </c>
      <c r="AU522" s="102">
        <f>AT522/$H522</f>
        <v>1</v>
      </c>
    </row>
    <row r="523" spans="1:56" ht="15" customHeight="1">
      <c r="A523" s="16"/>
      <c r="B523" s="99" t="s">
        <v>1774</v>
      </c>
      <c r="C523" s="183" t="s">
        <v>1775</v>
      </c>
      <c r="D523" s="184"/>
      <c r="E523" s="184"/>
      <c r="F523" s="184"/>
      <c r="G523" s="184"/>
      <c r="H523" s="185"/>
      <c r="I523" s="50">
        <f t="shared" si="407"/>
        <v>0</v>
      </c>
      <c r="J523" s="185"/>
      <c r="K523" s="82" t="str">
        <f t="shared" si="448"/>
        <v/>
      </c>
      <c r="L523" s="50"/>
      <c r="M523" s="185"/>
      <c r="N523" s="82" t="str">
        <f t="shared" si="449"/>
        <v/>
      </c>
      <c r="O523" s="50"/>
      <c r="P523" s="185"/>
      <c r="Q523" s="82" t="str">
        <f t="shared" si="450"/>
        <v/>
      </c>
      <c r="R523" s="50"/>
      <c r="S523" s="185"/>
      <c r="T523" s="82" t="str">
        <f t="shared" si="451"/>
        <v/>
      </c>
      <c r="U523" s="50"/>
      <c r="V523" s="185"/>
      <c r="W523" s="82" t="str">
        <f t="shared" si="452"/>
        <v/>
      </c>
      <c r="X523" s="50"/>
      <c r="Y523" s="185"/>
      <c r="Z523" s="82" t="str">
        <f t="shared" si="453"/>
        <v/>
      </c>
      <c r="AA523" s="50"/>
      <c r="AB523" s="185"/>
      <c r="AC523" s="82" t="str">
        <f t="shared" si="454"/>
        <v/>
      </c>
      <c r="AD523" s="50"/>
      <c r="AE523" s="185"/>
      <c r="AF523" s="82" t="str">
        <f t="shared" si="455"/>
        <v/>
      </c>
      <c r="AG523" s="50"/>
      <c r="AH523" s="185"/>
      <c r="AI523" s="82" t="str">
        <f t="shared" si="456"/>
        <v/>
      </c>
      <c r="AJ523" s="50"/>
      <c r="AK523" s="185"/>
      <c r="AL523" s="82" t="str">
        <f t="shared" si="457"/>
        <v/>
      </c>
      <c r="AM523" s="50"/>
      <c r="AN523" s="185"/>
      <c r="AO523" s="82" t="str">
        <f t="shared" si="458"/>
        <v/>
      </c>
      <c r="AP523" s="48">
        <f t="shared" si="459"/>
        <v>0</v>
      </c>
      <c r="AQ523" s="185"/>
      <c r="AR523" s="82" t="str">
        <f t="shared" si="460"/>
        <v/>
      </c>
      <c r="AS523" s="48">
        <f t="shared" si="461"/>
        <v>0</v>
      </c>
      <c r="AT523" s="185"/>
      <c r="AU523" s="82" t="str">
        <f t="shared" si="462"/>
        <v/>
      </c>
    </row>
    <row r="524" spans="1:56" ht="30">
      <c r="A524" s="16"/>
      <c r="B524" s="97" t="s">
        <v>1776</v>
      </c>
      <c r="C524" s="167" t="s">
        <v>1437</v>
      </c>
      <c r="D524" s="86" t="s">
        <v>1438</v>
      </c>
      <c r="E524" s="97" t="s">
        <v>28</v>
      </c>
      <c r="F524" s="172">
        <v>10.52</v>
      </c>
      <c r="G524" s="97">
        <v>27</v>
      </c>
      <c r="H524" s="85">
        <f t="shared" ref="H524:H558" si="463">G524*$F524</f>
        <v>284.03999999999996</v>
      </c>
      <c r="I524" s="50">
        <f t="shared" si="407"/>
        <v>0</v>
      </c>
      <c r="J524" s="85">
        <f>I524*$F524</f>
        <v>0</v>
      </c>
      <c r="K524" s="82" t="str">
        <f t="shared" si="448"/>
        <v/>
      </c>
      <c r="L524" s="50"/>
      <c r="M524" s="85">
        <f>L524*$F524</f>
        <v>0</v>
      </c>
      <c r="N524" s="82" t="str">
        <f t="shared" si="449"/>
        <v/>
      </c>
      <c r="O524" s="50"/>
      <c r="P524" s="85">
        <f>O524*$F524</f>
        <v>0</v>
      </c>
      <c r="Q524" s="82" t="str">
        <f t="shared" si="450"/>
        <v/>
      </c>
      <c r="R524" s="50"/>
      <c r="S524" s="85">
        <f>R524*$F524</f>
        <v>0</v>
      </c>
      <c r="T524" s="82" t="str">
        <f t="shared" si="451"/>
        <v/>
      </c>
      <c r="U524" s="50"/>
      <c r="V524" s="85">
        <f>U524*$F524</f>
        <v>0</v>
      </c>
      <c r="W524" s="82" t="str">
        <f t="shared" si="452"/>
        <v/>
      </c>
      <c r="X524" s="50"/>
      <c r="Y524" s="85">
        <f>X524*$F524</f>
        <v>0</v>
      </c>
      <c r="Z524" s="82" t="str">
        <f t="shared" si="453"/>
        <v/>
      </c>
      <c r="AA524" s="50"/>
      <c r="AB524" s="85">
        <f>AA524*$F524</f>
        <v>0</v>
      </c>
      <c r="AC524" s="82" t="str">
        <f t="shared" si="454"/>
        <v/>
      </c>
      <c r="AD524" s="50"/>
      <c r="AE524" s="85">
        <f>AD524*$F524</f>
        <v>0</v>
      </c>
      <c r="AF524" s="82" t="str">
        <f t="shared" si="455"/>
        <v/>
      </c>
      <c r="AG524" s="50"/>
      <c r="AH524" s="85">
        <f>AG524*$F524</f>
        <v>0</v>
      </c>
      <c r="AI524" s="82" t="str">
        <f t="shared" si="456"/>
        <v/>
      </c>
      <c r="AJ524" s="50"/>
      <c r="AK524" s="85">
        <f>AJ524*$F524</f>
        <v>0</v>
      </c>
      <c r="AL524" s="82" t="str">
        <f t="shared" si="457"/>
        <v/>
      </c>
      <c r="AM524" s="50"/>
      <c r="AN524" s="85">
        <f>AM524*$F524</f>
        <v>0</v>
      </c>
      <c r="AO524" s="82" t="str">
        <f t="shared" si="458"/>
        <v/>
      </c>
      <c r="AP524" s="48">
        <f t="shared" si="459"/>
        <v>0</v>
      </c>
      <c r="AQ524" s="85">
        <f>AP524*$F524</f>
        <v>0</v>
      </c>
      <c r="AR524" s="82" t="str">
        <f t="shared" si="460"/>
        <v/>
      </c>
      <c r="AS524" s="48">
        <f t="shared" si="461"/>
        <v>27</v>
      </c>
      <c r="AT524" s="85">
        <f>AS524*$F524</f>
        <v>284.03999999999996</v>
      </c>
      <c r="AU524" s="82">
        <f t="shared" si="462"/>
        <v>1</v>
      </c>
    </row>
    <row r="525" spans="1:56" ht="30">
      <c r="A525" s="16"/>
      <c r="B525" s="97" t="s">
        <v>1777</v>
      </c>
      <c r="C525" s="167" t="s">
        <v>1440</v>
      </c>
      <c r="D525" s="86" t="s">
        <v>1441</v>
      </c>
      <c r="E525" s="97" t="s">
        <v>28</v>
      </c>
      <c r="F525" s="172">
        <v>15.49</v>
      </c>
      <c r="G525" s="97">
        <v>4</v>
      </c>
      <c r="H525" s="85">
        <f t="shared" si="463"/>
        <v>61.96</v>
      </c>
      <c r="I525" s="50">
        <f t="shared" si="407"/>
        <v>0</v>
      </c>
      <c r="J525" s="85">
        <f>I525*$F525</f>
        <v>0</v>
      </c>
      <c r="K525" s="82" t="str">
        <f t="shared" si="448"/>
        <v/>
      </c>
      <c r="L525" s="50"/>
      <c r="M525" s="85">
        <f>L525*$F525</f>
        <v>0</v>
      </c>
      <c r="N525" s="82" t="str">
        <f t="shared" si="449"/>
        <v/>
      </c>
      <c r="O525" s="50"/>
      <c r="P525" s="85">
        <f>O525*$F525</f>
        <v>0</v>
      </c>
      <c r="Q525" s="82" t="str">
        <f t="shared" si="450"/>
        <v/>
      </c>
      <c r="R525" s="50"/>
      <c r="S525" s="85">
        <f>R525*$F525</f>
        <v>0</v>
      </c>
      <c r="T525" s="82" t="str">
        <f t="shared" si="451"/>
        <v/>
      </c>
      <c r="U525" s="50"/>
      <c r="V525" s="85">
        <f>U525*$F525</f>
        <v>0</v>
      </c>
      <c r="W525" s="82" t="str">
        <f t="shared" si="452"/>
        <v/>
      </c>
      <c r="X525" s="50"/>
      <c r="Y525" s="85">
        <f>X525*$F525</f>
        <v>0</v>
      </c>
      <c r="Z525" s="82" t="str">
        <f t="shared" si="453"/>
        <v/>
      </c>
      <c r="AA525" s="50"/>
      <c r="AB525" s="85">
        <f>AA525*$F525</f>
        <v>0</v>
      </c>
      <c r="AC525" s="82" t="str">
        <f t="shared" si="454"/>
        <v/>
      </c>
      <c r="AD525" s="50"/>
      <c r="AE525" s="85">
        <f>AD525*$F525</f>
        <v>0</v>
      </c>
      <c r="AF525" s="82" t="str">
        <f t="shared" si="455"/>
        <v/>
      </c>
      <c r="AG525" s="50"/>
      <c r="AH525" s="85">
        <f>AG525*$F525</f>
        <v>0</v>
      </c>
      <c r="AI525" s="82" t="str">
        <f t="shared" si="456"/>
        <v/>
      </c>
      <c r="AJ525" s="50"/>
      <c r="AK525" s="85">
        <f>AJ525*$F525</f>
        <v>0</v>
      </c>
      <c r="AL525" s="82" t="str">
        <f t="shared" si="457"/>
        <v/>
      </c>
      <c r="AM525" s="50"/>
      <c r="AN525" s="85">
        <f>AM525*$F525</f>
        <v>0</v>
      </c>
      <c r="AO525" s="82" t="str">
        <f t="shared" si="458"/>
        <v/>
      </c>
      <c r="AP525" s="48">
        <f t="shared" si="459"/>
        <v>0</v>
      </c>
      <c r="AQ525" s="85">
        <f>AP525*$F525</f>
        <v>0</v>
      </c>
      <c r="AR525" s="82" t="str">
        <f t="shared" si="460"/>
        <v/>
      </c>
      <c r="AS525" s="48">
        <f t="shared" si="461"/>
        <v>4</v>
      </c>
      <c r="AT525" s="85">
        <f>AS525*$F525</f>
        <v>61.96</v>
      </c>
      <c r="AU525" s="82">
        <f t="shared" si="462"/>
        <v>1</v>
      </c>
    </row>
    <row r="526" spans="1:56" ht="45">
      <c r="A526" s="16"/>
      <c r="B526" s="97" t="s">
        <v>1778</v>
      </c>
      <c r="C526" s="167" t="s">
        <v>1455</v>
      </c>
      <c r="D526" s="86" t="s">
        <v>1456</v>
      </c>
      <c r="E526" s="97" t="s">
        <v>28</v>
      </c>
      <c r="F526" s="172">
        <v>25.84</v>
      </c>
      <c r="G526" s="97">
        <v>1</v>
      </c>
      <c r="H526" s="85">
        <f t="shared" si="463"/>
        <v>25.84</v>
      </c>
      <c r="I526" s="50">
        <f t="shared" si="407"/>
        <v>0</v>
      </c>
      <c r="J526" s="85">
        <f>I526*$F526</f>
        <v>0</v>
      </c>
      <c r="K526" s="82" t="str">
        <f t="shared" si="448"/>
        <v/>
      </c>
      <c r="L526" s="50"/>
      <c r="M526" s="85">
        <f>L526*$F526</f>
        <v>0</v>
      </c>
      <c r="N526" s="82" t="str">
        <f t="shared" si="449"/>
        <v/>
      </c>
      <c r="O526" s="50"/>
      <c r="P526" s="85">
        <f>O526*$F526</f>
        <v>0</v>
      </c>
      <c r="Q526" s="82" t="str">
        <f t="shared" si="450"/>
        <v/>
      </c>
      <c r="R526" s="50"/>
      <c r="S526" s="85">
        <f>R526*$F526</f>
        <v>0</v>
      </c>
      <c r="T526" s="82" t="str">
        <f t="shared" si="451"/>
        <v/>
      </c>
      <c r="U526" s="50"/>
      <c r="V526" s="85">
        <f>U526*$F526</f>
        <v>0</v>
      </c>
      <c r="W526" s="82" t="str">
        <f t="shared" si="452"/>
        <v/>
      </c>
      <c r="X526" s="50"/>
      <c r="Y526" s="85">
        <f>X526*$F526</f>
        <v>0</v>
      </c>
      <c r="Z526" s="82" t="str">
        <f t="shared" si="453"/>
        <v/>
      </c>
      <c r="AA526" s="50"/>
      <c r="AB526" s="85">
        <f>AA526*$F526</f>
        <v>0</v>
      </c>
      <c r="AC526" s="82" t="str">
        <f t="shared" si="454"/>
        <v/>
      </c>
      <c r="AD526" s="50"/>
      <c r="AE526" s="85">
        <f>AD526*$F526</f>
        <v>0</v>
      </c>
      <c r="AF526" s="82" t="str">
        <f t="shared" si="455"/>
        <v/>
      </c>
      <c r="AG526" s="50"/>
      <c r="AH526" s="85">
        <f>AG526*$F526</f>
        <v>0</v>
      </c>
      <c r="AI526" s="82" t="str">
        <f t="shared" si="456"/>
        <v/>
      </c>
      <c r="AJ526" s="50"/>
      <c r="AK526" s="85">
        <f>AJ526*$F526</f>
        <v>0</v>
      </c>
      <c r="AL526" s="82" t="str">
        <f t="shared" si="457"/>
        <v/>
      </c>
      <c r="AM526" s="50"/>
      <c r="AN526" s="85">
        <f>AM526*$F526</f>
        <v>0</v>
      </c>
      <c r="AO526" s="82" t="str">
        <f t="shared" si="458"/>
        <v/>
      </c>
      <c r="AP526" s="48">
        <f t="shared" si="459"/>
        <v>0</v>
      </c>
      <c r="AQ526" s="85">
        <f>AP526*$F526</f>
        <v>0</v>
      </c>
      <c r="AR526" s="82" t="str">
        <f t="shared" si="460"/>
        <v/>
      </c>
      <c r="AS526" s="48">
        <f t="shared" si="461"/>
        <v>1</v>
      </c>
      <c r="AT526" s="85">
        <f>AS526*$F526</f>
        <v>25.84</v>
      </c>
      <c r="AU526" s="82">
        <f t="shared" si="462"/>
        <v>1</v>
      </c>
    </row>
    <row r="527" spans="1:56" ht="45">
      <c r="A527" s="16"/>
      <c r="B527" s="97" t="s">
        <v>1779</v>
      </c>
      <c r="C527" s="167" t="s">
        <v>1461</v>
      </c>
      <c r="D527" s="86" t="s">
        <v>1462</v>
      </c>
      <c r="E527" s="97" t="s">
        <v>28</v>
      </c>
      <c r="F527" s="172">
        <v>29.84</v>
      </c>
      <c r="G527" s="97">
        <v>8</v>
      </c>
      <c r="H527" s="85">
        <f t="shared" si="463"/>
        <v>238.72</v>
      </c>
      <c r="I527" s="50">
        <f t="shared" si="407"/>
        <v>0</v>
      </c>
      <c r="J527" s="85">
        <f>I527*$F527</f>
        <v>0</v>
      </c>
      <c r="K527" s="82" t="str">
        <f t="shared" si="448"/>
        <v/>
      </c>
      <c r="L527" s="50"/>
      <c r="M527" s="85">
        <f>L527*$F527</f>
        <v>0</v>
      </c>
      <c r="N527" s="82" t="str">
        <f t="shared" si="449"/>
        <v/>
      </c>
      <c r="O527" s="50"/>
      <c r="P527" s="85">
        <f>O527*$F527</f>
        <v>0</v>
      </c>
      <c r="Q527" s="82" t="str">
        <f t="shared" si="450"/>
        <v/>
      </c>
      <c r="R527" s="50"/>
      <c r="S527" s="85">
        <f>R527*$F527</f>
        <v>0</v>
      </c>
      <c r="T527" s="82" t="str">
        <f t="shared" si="451"/>
        <v/>
      </c>
      <c r="U527" s="50"/>
      <c r="V527" s="85">
        <f>U527*$F527</f>
        <v>0</v>
      </c>
      <c r="W527" s="82" t="str">
        <f t="shared" si="452"/>
        <v/>
      </c>
      <c r="X527" s="50"/>
      <c r="Y527" s="85">
        <f>X527*$F527</f>
        <v>0</v>
      </c>
      <c r="Z527" s="82" t="str">
        <f t="shared" si="453"/>
        <v/>
      </c>
      <c r="AA527" s="50"/>
      <c r="AB527" s="85">
        <f>AA527*$F527</f>
        <v>0</v>
      </c>
      <c r="AC527" s="82" t="str">
        <f t="shared" si="454"/>
        <v/>
      </c>
      <c r="AD527" s="50"/>
      <c r="AE527" s="85">
        <f>AD527*$F527</f>
        <v>0</v>
      </c>
      <c r="AF527" s="82" t="str">
        <f t="shared" si="455"/>
        <v/>
      </c>
      <c r="AG527" s="50"/>
      <c r="AH527" s="85">
        <f>AG527*$F527</f>
        <v>0</v>
      </c>
      <c r="AI527" s="82" t="str">
        <f t="shared" si="456"/>
        <v/>
      </c>
      <c r="AJ527" s="50"/>
      <c r="AK527" s="85">
        <f>AJ527*$F527</f>
        <v>0</v>
      </c>
      <c r="AL527" s="82" t="str">
        <f t="shared" si="457"/>
        <v/>
      </c>
      <c r="AM527" s="50"/>
      <c r="AN527" s="85">
        <f>AM527*$F527</f>
        <v>0</v>
      </c>
      <c r="AO527" s="82" t="str">
        <f t="shared" si="458"/>
        <v/>
      </c>
      <c r="AP527" s="48">
        <f t="shared" si="459"/>
        <v>0</v>
      </c>
      <c r="AQ527" s="85">
        <f>AP527*$F527</f>
        <v>0</v>
      </c>
      <c r="AR527" s="82" t="str">
        <f t="shared" si="460"/>
        <v/>
      </c>
      <c r="AS527" s="48">
        <f t="shared" si="461"/>
        <v>8</v>
      </c>
      <c r="AT527" s="85">
        <f>AS527*$F527</f>
        <v>238.72</v>
      </c>
      <c r="AU527" s="82">
        <f t="shared" si="462"/>
        <v>1</v>
      </c>
    </row>
    <row r="528" spans="1:56" ht="60">
      <c r="A528" s="16"/>
      <c r="B528" s="97" t="s">
        <v>1780</v>
      </c>
      <c r="C528" s="167" t="s">
        <v>1464</v>
      </c>
      <c r="D528" s="86" t="s">
        <v>1465</v>
      </c>
      <c r="E528" s="97" t="s">
        <v>28</v>
      </c>
      <c r="F528" s="172">
        <v>30.84</v>
      </c>
      <c r="G528" s="97">
        <v>12</v>
      </c>
      <c r="H528" s="85">
        <f t="shared" si="463"/>
        <v>370.08</v>
      </c>
      <c r="I528" s="50">
        <f t="shared" si="407"/>
        <v>0</v>
      </c>
      <c r="J528" s="85">
        <f>I528*$F528</f>
        <v>0</v>
      </c>
      <c r="K528" s="82" t="str">
        <f t="shared" si="448"/>
        <v/>
      </c>
      <c r="L528" s="50"/>
      <c r="M528" s="85">
        <f>L528*$F528</f>
        <v>0</v>
      </c>
      <c r="N528" s="82" t="str">
        <f t="shared" si="449"/>
        <v/>
      </c>
      <c r="O528" s="50"/>
      <c r="P528" s="85">
        <f>O528*$F528</f>
        <v>0</v>
      </c>
      <c r="Q528" s="82" t="str">
        <f t="shared" si="450"/>
        <v/>
      </c>
      <c r="R528" s="50"/>
      <c r="S528" s="85">
        <f>R528*$F528</f>
        <v>0</v>
      </c>
      <c r="T528" s="82" t="str">
        <f t="shared" si="451"/>
        <v/>
      </c>
      <c r="U528" s="50"/>
      <c r="V528" s="85">
        <f>U528*$F528</f>
        <v>0</v>
      </c>
      <c r="W528" s="82" t="str">
        <f t="shared" si="452"/>
        <v/>
      </c>
      <c r="X528" s="50"/>
      <c r="Y528" s="85">
        <f>X528*$F528</f>
        <v>0</v>
      </c>
      <c r="Z528" s="82" t="str">
        <f t="shared" si="453"/>
        <v/>
      </c>
      <c r="AA528" s="50"/>
      <c r="AB528" s="85">
        <f>AA528*$F528</f>
        <v>0</v>
      </c>
      <c r="AC528" s="82" t="str">
        <f t="shared" si="454"/>
        <v/>
      </c>
      <c r="AD528" s="50"/>
      <c r="AE528" s="85">
        <f>AD528*$F528</f>
        <v>0</v>
      </c>
      <c r="AF528" s="82" t="str">
        <f t="shared" si="455"/>
        <v/>
      </c>
      <c r="AG528" s="50"/>
      <c r="AH528" s="85">
        <f>AG528*$F528</f>
        <v>0</v>
      </c>
      <c r="AI528" s="82" t="str">
        <f t="shared" si="456"/>
        <v/>
      </c>
      <c r="AJ528" s="50"/>
      <c r="AK528" s="85">
        <f>AJ528*$F528</f>
        <v>0</v>
      </c>
      <c r="AL528" s="82" t="str">
        <f t="shared" si="457"/>
        <v/>
      </c>
      <c r="AM528" s="50"/>
      <c r="AN528" s="85">
        <f>AM528*$F528</f>
        <v>0</v>
      </c>
      <c r="AO528" s="82" t="str">
        <f t="shared" si="458"/>
        <v/>
      </c>
      <c r="AP528" s="48">
        <f t="shared" si="459"/>
        <v>0</v>
      </c>
      <c r="AQ528" s="85">
        <f>AP528*$F528</f>
        <v>0</v>
      </c>
      <c r="AR528" s="82" t="str">
        <f t="shared" si="460"/>
        <v/>
      </c>
      <c r="AS528" s="48">
        <f t="shared" si="461"/>
        <v>12</v>
      </c>
      <c r="AT528" s="85">
        <f>AS528*$F528</f>
        <v>370.08</v>
      </c>
      <c r="AU528" s="82">
        <f t="shared" si="462"/>
        <v>1</v>
      </c>
    </row>
    <row r="529" spans="1:47" ht="15" customHeight="1">
      <c r="A529" s="16"/>
      <c r="B529" s="99" t="s">
        <v>1781</v>
      </c>
      <c r="C529" s="183" t="s">
        <v>1782</v>
      </c>
      <c r="D529" s="184"/>
      <c r="E529" s="184"/>
      <c r="F529" s="184"/>
      <c r="G529" s="184"/>
      <c r="H529" s="185"/>
      <c r="I529" s="50">
        <f t="shared" si="407"/>
        <v>0</v>
      </c>
      <c r="J529" s="185"/>
      <c r="K529" s="82" t="str">
        <f t="shared" si="448"/>
        <v/>
      </c>
      <c r="L529" s="50"/>
      <c r="M529" s="185"/>
      <c r="N529" s="82" t="str">
        <f t="shared" si="449"/>
        <v/>
      </c>
      <c r="O529" s="50"/>
      <c r="P529" s="185"/>
      <c r="Q529" s="82" t="str">
        <f t="shared" si="450"/>
        <v/>
      </c>
      <c r="R529" s="50"/>
      <c r="S529" s="185"/>
      <c r="T529" s="82" t="str">
        <f t="shared" si="451"/>
        <v/>
      </c>
      <c r="U529" s="50"/>
      <c r="V529" s="185"/>
      <c r="W529" s="82" t="str">
        <f t="shared" si="452"/>
        <v/>
      </c>
      <c r="X529" s="50"/>
      <c r="Y529" s="185"/>
      <c r="Z529" s="82" t="str">
        <f t="shared" si="453"/>
        <v/>
      </c>
      <c r="AA529" s="50"/>
      <c r="AB529" s="185"/>
      <c r="AC529" s="82" t="str">
        <f t="shared" si="454"/>
        <v/>
      </c>
      <c r="AD529" s="50"/>
      <c r="AE529" s="185"/>
      <c r="AF529" s="82" t="str">
        <f t="shared" si="455"/>
        <v/>
      </c>
      <c r="AG529" s="50"/>
      <c r="AH529" s="185"/>
      <c r="AI529" s="82" t="str">
        <f t="shared" si="456"/>
        <v/>
      </c>
      <c r="AJ529" s="50"/>
      <c r="AK529" s="185"/>
      <c r="AL529" s="82" t="str">
        <f t="shared" si="457"/>
        <v/>
      </c>
      <c r="AM529" s="50"/>
      <c r="AN529" s="185"/>
      <c r="AO529" s="82" t="str">
        <f t="shared" si="458"/>
        <v/>
      </c>
      <c r="AP529" s="48">
        <f t="shared" si="459"/>
        <v>0</v>
      </c>
      <c r="AQ529" s="185"/>
      <c r="AR529" s="82" t="str">
        <f t="shared" si="460"/>
        <v/>
      </c>
      <c r="AS529" s="48">
        <f t="shared" si="461"/>
        <v>0</v>
      </c>
      <c r="AT529" s="185"/>
      <c r="AU529" s="82" t="str">
        <f t="shared" si="462"/>
        <v/>
      </c>
    </row>
    <row r="530" spans="1:47" ht="30">
      <c r="A530" s="16"/>
      <c r="B530" s="97" t="s">
        <v>1783</v>
      </c>
      <c r="C530" s="167" t="s">
        <v>1366</v>
      </c>
      <c r="D530" s="86" t="s">
        <v>1367</v>
      </c>
      <c r="E530" s="97" t="s">
        <v>44</v>
      </c>
      <c r="F530" s="172">
        <v>10.050000000000001</v>
      </c>
      <c r="G530" s="97">
        <v>52</v>
      </c>
      <c r="H530" s="85">
        <f t="shared" si="463"/>
        <v>522.6</v>
      </c>
      <c r="I530" s="50">
        <f t="shared" si="407"/>
        <v>0</v>
      </c>
      <c r="J530" s="85">
        <f t="shared" ref="J530:J536" si="464">I530*$F530</f>
        <v>0</v>
      </c>
      <c r="K530" s="82" t="str">
        <f t="shared" si="448"/>
        <v/>
      </c>
      <c r="L530" s="50"/>
      <c r="M530" s="85">
        <f t="shared" ref="M530:M536" si="465">L530*$F530</f>
        <v>0</v>
      </c>
      <c r="N530" s="82" t="str">
        <f t="shared" si="449"/>
        <v/>
      </c>
      <c r="O530" s="50"/>
      <c r="P530" s="85">
        <f t="shared" ref="P530:P536" si="466">O530*$F530</f>
        <v>0</v>
      </c>
      <c r="Q530" s="82" t="str">
        <f t="shared" si="450"/>
        <v/>
      </c>
      <c r="R530" s="50"/>
      <c r="S530" s="85">
        <f t="shared" ref="S530:S536" si="467">R530*$F530</f>
        <v>0</v>
      </c>
      <c r="T530" s="82" t="str">
        <f t="shared" si="451"/>
        <v/>
      </c>
      <c r="U530" s="50"/>
      <c r="V530" s="85">
        <f t="shared" ref="V530:V536" si="468">U530*$F530</f>
        <v>0</v>
      </c>
      <c r="W530" s="82" t="str">
        <f t="shared" si="452"/>
        <v/>
      </c>
      <c r="X530" s="50"/>
      <c r="Y530" s="85">
        <f t="shared" ref="Y530:Y536" si="469">X530*$F530</f>
        <v>0</v>
      </c>
      <c r="Z530" s="82" t="str">
        <f t="shared" si="453"/>
        <v/>
      </c>
      <c r="AA530" s="50"/>
      <c r="AB530" s="85">
        <f t="shared" ref="AB530:AB536" si="470">AA530*$F530</f>
        <v>0</v>
      </c>
      <c r="AC530" s="82" t="str">
        <f t="shared" si="454"/>
        <v/>
      </c>
      <c r="AD530" s="50"/>
      <c r="AE530" s="85">
        <f t="shared" ref="AE530:AE536" si="471">AD530*$F530</f>
        <v>0</v>
      </c>
      <c r="AF530" s="82" t="str">
        <f t="shared" si="455"/>
        <v/>
      </c>
      <c r="AG530" s="50"/>
      <c r="AH530" s="85">
        <f t="shared" ref="AH530:AH536" si="472">AG530*$F530</f>
        <v>0</v>
      </c>
      <c r="AI530" s="82" t="str">
        <f t="shared" si="456"/>
        <v/>
      </c>
      <c r="AJ530" s="50"/>
      <c r="AK530" s="85">
        <f t="shared" ref="AK530:AK536" si="473">AJ530*$F530</f>
        <v>0</v>
      </c>
      <c r="AL530" s="82" t="str">
        <f t="shared" si="457"/>
        <v/>
      </c>
      <c r="AM530" s="50"/>
      <c r="AN530" s="85">
        <f t="shared" ref="AN530:AN536" si="474">AM530*$F530</f>
        <v>0</v>
      </c>
      <c r="AO530" s="82" t="str">
        <f t="shared" si="458"/>
        <v/>
      </c>
      <c r="AP530" s="48">
        <f t="shared" si="459"/>
        <v>0</v>
      </c>
      <c r="AQ530" s="85">
        <f t="shared" ref="AQ530:AQ536" si="475">AP530*$F530</f>
        <v>0</v>
      </c>
      <c r="AR530" s="82" t="str">
        <f t="shared" si="460"/>
        <v/>
      </c>
      <c r="AS530" s="48">
        <f t="shared" si="461"/>
        <v>52</v>
      </c>
      <c r="AT530" s="85">
        <f t="shared" ref="AT530:AT536" si="476">AS530*$F530</f>
        <v>522.6</v>
      </c>
      <c r="AU530" s="82">
        <f t="shared" si="462"/>
        <v>1</v>
      </c>
    </row>
    <row r="531" spans="1:47" ht="30">
      <c r="A531" s="16"/>
      <c r="B531" s="97" t="s">
        <v>1784</v>
      </c>
      <c r="C531" s="167" t="s">
        <v>312</v>
      </c>
      <c r="D531" s="86" t="s">
        <v>313</v>
      </c>
      <c r="E531" s="97" t="s">
        <v>44</v>
      </c>
      <c r="F531" s="172">
        <v>19.72</v>
      </c>
      <c r="G531" s="97">
        <v>16</v>
      </c>
      <c r="H531" s="85">
        <f t="shared" si="463"/>
        <v>315.52</v>
      </c>
      <c r="I531" s="50">
        <f t="shared" ref="I531:I594" si="477">L531+O531</f>
        <v>0</v>
      </c>
      <c r="J531" s="85">
        <f t="shared" si="464"/>
        <v>0</v>
      </c>
      <c r="K531" s="82" t="str">
        <f t="shared" si="448"/>
        <v/>
      </c>
      <c r="L531" s="50"/>
      <c r="M531" s="85">
        <f t="shared" si="465"/>
        <v>0</v>
      </c>
      <c r="N531" s="82" t="str">
        <f t="shared" si="449"/>
        <v/>
      </c>
      <c r="O531" s="50"/>
      <c r="P531" s="85">
        <f t="shared" si="466"/>
        <v>0</v>
      </c>
      <c r="Q531" s="82" t="str">
        <f t="shared" si="450"/>
        <v/>
      </c>
      <c r="R531" s="50"/>
      <c r="S531" s="85">
        <f t="shared" si="467"/>
        <v>0</v>
      </c>
      <c r="T531" s="82" t="str">
        <f t="shared" si="451"/>
        <v/>
      </c>
      <c r="U531" s="50"/>
      <c r="V531" s="85">
        <f t="shared" si="468"/>
        <v>0</v>
      </c>
      <c r="W531" s="82" t="str">
        <f t="shared" si="452"/>
        <v/>
      </c>
      <c r="X531" s="50"/>
      <c r="Y531" s="85">
        <f t="shared" si="469"/>
        <v>0</v>
      </c>
      <c r="Z531" s="82" t="str">
        <f t="shared" si="453"/>
        <v/>
      </c>
      <c r="AA531" s="50"/>
      <c r="AB531" s="85">
        <f t="shared" si="470"/>
        <v>0</v>
      </c>
      <c r="AC531" s="82" t="str">
        <f t="shared" si="454"/>
        <v/>
      </c>
      <c r="AD531" s="50"/>
      <c r="AE531" s="85">
        <f t="shared" si="471"/>
        <v>0</v>
      </c>
      <c r="AF531" s="82" t="str">
        <f t="shared" si="455"/>
        <v/>
      </c>
      <c r="AG531" s="50"/>
      <c r="AH531" s="85">
        <f t="shared" si="472"/>
        <v>0</v>
      </c>
      <c r="AI531" s="82" t="str">
        <f t="shared" si="456"/>
        <v/>
      </c>
      <c r="AJ531" s="50"/>
      <c r="AK531" s="85">
        <f t="shared" si="473"/>
        <v>0</v>
      </c>
      <c r="AL531" s="82" t="str">
        <f t="shared" si="457"/>
        <v/>
      </c>
      <c r="AM531" s="50"/>
      <c r="AN531" s="85">
        <f t="shared" si="474"/>
        <v>0</v>
      </c>
      <c r="AO531" s="82" t="str">
        <f t="shared" si="458"/>
        <v/>
      </c>
      <c r="AP531" s="48">
        <f t="shared" si="459"/>
        <v>0</v>
      </c>
      <c r="AQ531" s="85">
        <f t="shared" si="475"/>
        <v>0</v>
      </c>
      <c r="AR531" s="82" t="str">
        <f t="shared" si="460"/>
        <v/>
      </c>
      <c r="AS531" s="48">
        <f t="shared" si="461"/>
        <v>16</v>
      </c>
      <c r="AT531" s="85">
        <f t="shared" si="476"/>
        <v>315.52</v>
      </c>
      <c r="AU531" s="82">
        <f t="shared" si="462"/>
        <v>1</v>
      </c>
    </row>
    <row r="532" spans="1:47" ht="30">
      <c r="A532" s="16"/>
      <c r="B532" s="97" t="s">
        <v>1785</v>
      </c>
      <c r="C532" s="167" t="s">
        <v>315</v>
      </c>
      <c r="D532" s="86" t="s">
        <v>316</v>
      </c>
      <c r="E532" s="97" t="s">
        <v>44</v>
      </c>
      <c r="F532" s="172">
        <v>29.61</v>
      </c>
      <c r="G532" s="97">
        <v>2</v>
      </c>
      <c r="H532" s="85">
        <f t="shared" si="463"/>
        <v>59.22</v>
      </c>
      <c r="I532" s="50">
        <f t="shared" si="477"/>
        <v>0</v>
      </c>
      <c r="J532" s="85">
        <f t="shared" si="464"/>
        <v>0</v>
      </c>
      <c r="K532" s="82" t="str">
        <f t="shared" si="448"/>
        <v/>
      </c>
      <c r="L532" s="50"/>
      <c r="M532" s="85">
        <f t="shared" si="465"/>
        <v>0</v>
      </c>
      <c r="N532" s="82" t="str">
        <f t="shared" si="449"/>
        <v/>
      </c>
      <c r="O532" s="50"/>
      <c r="P532" s="85">
        <f t="shared" si="466"/>
        <v>0</v>
      </c>
      <c r="Q532" s="82" t="str">
        <f t="shared" si="450"/>
        <v/>
      </c>
      <c r="R532" s="50"/>
      <c r="S532" s="85">
        <f t="shared" si="467"/>
        <v>0</v>
      </c>
      <c r="T532" s="82" t="str">
        <f t="shared" si="451"/>
        <v/>
      </c>
      <c r="U532" s="50"/>
      <c r="V532" s="85">
        <f t="shared" si="468"/>
        <v>0</v>
      </c>
      <c r="W532" s="82" t="str">
        <f t="shared" si="452"/>
        <v/>
      </c>
      <c r="X532" s="50"/>
      <c r="Y532" s="85">
        <f t="shared" si="469"/>
        <v>0</v>
      </c>
      <c r="Z532" s="82" t="str">
        <f t="shared" si="453"/>
        <v/>
      </c>
      <c r="AA532" s="50"/>
      <c r="AB532" s="85">
        <f t="shared" si="470"/>
        <v>0</v>
      </c>
      <c r="AC532" s="82" t="str">
        <f t="shared" si="454"/>
        <v/>
      </c>
      <c r="AD532" s="50"/>
      <c r="AE532" s="85">
        <f t="shared" si="471"/>
        <v>0</v>
      </c>
      <c r="AF532" s="82" t="str">
        <f t="shared" si="455"/>
        <v/>
      </c>
      <c r="AG532" s="50"/>
      <c r="AH532" s="85">
        <f t="shared" si="472"/>
        <v>0</v>
      </c>
      <c r="AI532" s="82" t="str">
        <f t="shared" si="456"/>
        <v/>
      </c>
      <c r="AJ532" s="50"/>
      <c r="AK532" s="85">
        <f t="shared" si="473"/>
        <v>0</v>
      </c>
      <c r="AL532" s="82" t="str">
        <f t="shared" si="457"/>
        <v/>
      </c>
      <c r="AM532" s="50"/>
      <c r="AN532" s="85">
        <f t="shared" si="474"/>
        <v>0</v>
      </c>
      <c r="AO532" s="82" t="str">
        <f t="shared" si="458"/>
        <v/>
      </c>
      <c r="AP532" s="48">
        <f t="shared" si="459"/>
        <v>0</v>
      </c>
      <c r="AQ532" s="85">
        <f t="shared" si="475"/>
        <v>0</v>
      </c>
      <c r="AR532" s="82" t="str">
        <f t="shared" si="460"/>
        <v/>
      </c>
      <c r="AS532" s="48">
        <f t="shared" si="461"/>
        <v>2</v>
      </c>
      <c r="AT532" s="85">
        <f t="shared" si="476"/>
        <v>59.22</v>
      </c>
      <c r="AU532" s="82">
        <f t="shared" si="462"/>
        <v>1</v>
      </c>
    </row>
    <row r="533" spans="1:47" ht="45">
      <c r="A533" s="16"/>
      <c r="B533" s="97" t="s">
        <v>1786</v>
      </c>
      <c r="C533" s="167" t="s">
        <v>318</v>
      </c>
      <c r="D533" s="86" t="s">
        <v>319</v>
      </c>
      <c r="E533" s="97" t="s">
        <v>44</v>
      </c>
      <c r="F533" s="172">
        <v>36.58</v>
      </c>
      <c r="G533" s="97">
        <v>40</v>
      </c>
      <c r="H533" s="85">
        <f t="shared" si="463"/>
        <v>1463.1999999999998</v>
      </c>
      <c r="I533" s="50">
        <f t="shared" si="477"/>
        <v>0</v>
      </c>
      <c r="J533" s="85">
        <f t="shared" si="464"/>
        <v>0</v>
      </c>
      <c r="K533" s="82" t="str">
        <f t="shared" si="448"/>
        <v/>
      </c>
      <c r="L533" s="50"/>
      <c r="M533" s="85">
        <f t="shared" si="465"/>
        <v>0</v>
      </c>
      <c r="N533" s="82" t="str">
        <f t="shared" si="449"/>
        <v/>
      </c>
      <c r="O533" s="50"/>
      <c r="P533" s="85">
        <f t="shared" si="466"/>
        <v>0</v>
      </c>
      <c r="Q533" s="82" t="str">
        <f t="shared" si="450"/>
        <v/>
      </c>
      <c r="R533" s="50"/>
      <c r="S533" s="85">
        <f t="shared" si="467"/>
        <v>0</v>
      </c>
      <c r="T533" s="82" t="str">
        <f t="shared" si="451"/>
        <v/>
      </c>
      <c r="U533" s="50"/>
      <c r="V533" s="85">
        <f t="shared" si="468"/>
        <v>0</v>
      </c>
      <c r="W533" s="82" t="str">
        <f t="shared" si="452"/>
        <v/>
      </c>
      <c r="X533" s="50"/>
      <c r="Y533" s="85">
        <f t="shared" si="469"/>
        <v>0</v>
      </c>
      <c r="Z533" s="82" t="str">
        <f t="shared" si="453"/>
        <v/>
      </c>
      <c r="AA533" s="50"/>
      <c r="AB533" s="85">
        <f t="shared" si="470"/>
        <v>0</v>
      </c>
      <c r="AC533" s="82" t="str">
        <f t="shared" si="454"/>
        <v/>
      </c>
      <c r="AD533" s="50"/>
      <c r="AE533" s="85">
        <f t="shared" si="471"/>
        <v>0</v>
      </c>
      <c r="AF533" s="82" t="str">
        <f t="shared" si="455"/>
        <v/>
      </c>
      <c r="AG533" s="50"/>
      <c r="AH533" s="85">
        <f t="shared" si="472"/>
        <v>0</v>
      </c>
      <c r="AI533" s="82" t="str">
        <f t="shared" si="456"/>
        <v/>
      </c>
      <c r="AJ533" s="50"/>
      <c r="AK533" s="85">
        <f t="shared" si="473"/>
        <v>0</v>
      </c>
      <c r="AL533" s="82" t="str">
        <f t="shared" si="457"/>
        <v/>
      </c>
      <c r="AM533" s="50"/>
      <c r="AN533" s="85">
        <f t="shared" si="474"/>
        <v>0</v>
      </c>
      <c r="AO533" s="82" t="str">
        <f t="shared" si="458"/>
        <v/>
      </c>
      <c r="AP533" s="48">
        <f t="shared" si="459"/>
        <v>0</v>
      </c>
      <c r="AQ533" s="85">
        <f t="shared" si="475"/>
        <v>0</v>
      </c>
      <c r="AR533" s="82" t="str">
        <f t="shared" si="460"/>
        <v/>
      </c>
      <c r="AS533" s="48">
        <f t="shared" si="461"/>
        <v>40</v>
      </c>
      <c r="AT533" s="85">
        <f t="shared" si="476"/>
        <v>1463.1999999999998</v>
      </c>
      <c r="AU533" s="82">
        <f t="shared" si="462"/>
        <v>1</v>
      </c>
    </row>
    <row r="534" spans="1:47" ht="30">
      <c r="A534" s="16"/>
      <c r="B534" s="97" t="s">
        <v>1787</v>
      </c>
      <c r="C534" s="167" t="s">
        <v>1372</v>
      </c>
      <c r="D534" s="86" t="s">
        <v>1373</v>
      </c>
      <c r="E534" s="97" t="s">
        <v>44</v>
      </c>
      <c r="F534" s="172">
        <v>87.73</v>
      </c>
      <c r="G534" s="97">
        <v>62</v>
      </c>
      <c r="H534" s="85">
        <f t="shared" si="463"/>
        <v>5439.26</v>
      </c>
      <c r="I534" s="50">
        <f t="shared" si="477"/>
        <v>0</v>
      </c>
      <c r="J534" s="85">
        <f t="shared" si="464"/>
        <v>0</v>
      </c>
      <c r="K534" s="82" t="str">
        <f t="shared" si="448"/>
        <v/>
      </c>
      <c r="L534" s="50"/>
      <c r="M534" s="85">
        <f t="shared" si="465"/>
        <v>0</v>
      </c>
      <c r="N534" s="82" t="str">
        <f t="shared" si="449"/>
        <v/>
      </c>
      <c r="O534" s="50"/>
      <c r="P534" s="85">
        <f t="shared" si="466"/>
        <v>0</v>
      </c>
      <c r="Q534" s="82" t="str">
        <f t="shared" si="450"/>
        <v/>
      </c>
      <c r="R534" s="50"/>
      <c r="S534" s="85">
        <f t="shared" si="467"/>
        <v>0</v>
      </c>
      <c r="T534" s="82" t="str">
        <f t="shared" si="451"/>
        <v/>
      </c>
      <c r="U534" s="50"/>
      <c r="V534" s="85">
        <f t="shared" si="468"/>
        <v>0</v>
      </c>
      <c r="W534" s="82" t="str">
        <f t="shared" si="452"/>
        <v/>
      </c>
      <c r="X534" s="50"/>
      <c r="Y534" s="85">
        <f t="shared" si="469"/>
        <v>0</v>
      </c>
      <c r="Z534" s="82" t="str">
        <f t="shared" si="453"/>
        <v/>
      </c>
      <c r="AA534" s="50"/>
      <c r="AB534" s="85">
        <f t="shared" si="470"/>
        <v>0</v>
      </c>
      <c r="AC534" s="82" t="str">
        <f t="shared" si="454"/>
        <v/>
      </c>
      <c r="AD534" s="50"/>
      <c r="AE534" s="85">
        <f t="shared" si="471"/>
        <v>0</v>
      </c>
      <c r="AF534" s="82" t="str">
        <f t="shared" si="455"/>
        <v/>
      </c>
      <c r="AG534" s="50"/>
      <c r="AH534" s="85">
        <f t="shared" si="472"/>
        <v>0</v>
      </c>
      <c r="AI534" s="82" t="str">
        <f t="shared" si="456"/>
        <v/>
      </c>
      <c r="AJ534" s="50"/>
      <c r="AK534" s="85">
        <f t="shared" si="473"/>
        <v>0</v>
      </c>
      <c r="AL534" s="82" t="str">
        <f t="shared" si="457"/>
        <v/>
      </c>
      <c r="AM534" s="50"/>
      <c r="AN534" s="85">
        <f t="shared" si="474"/>
        <v>0</v>
      </c>
      <c r="AO534" s="82" t="str">
        <f t="shared" si="458"/>
        <v/>
      </c>
      <c r="AP534" s="48">
        <f t="shared" si="459"/>
        <v>0</v>
      </c>
      <c r="AQ534" s="85">
        <f t="shared" si="475"/>
        <v>0</v>
      </c>
      <c r="AR534" s="82" t="str">
        <f t="shared" si="460"/>
        <v/>
      </c>
      <c r="AS534" s="48">
        <f t="shared" si="461"/>
        <v>62</v>
      </c>
      <c r="AT534" s="85">
        <f t="shared" si="476"/>
        <v>5439.26</v>
      </c>
      <c r="AU534" s="82">
        <f t="shared" si="462"/>
        <v>1</v>
      </c>
    </row>
    <row r="535" spans="1:47" ht="45">
      <c r="A535" s="16"/>
      <c r="B535" s="97" t="s">
        <v>1788</v>
      </c>
      <c r="C535" s="167" t="s">
        <v>1393</v>
      </c>
      <c r="D535" s="86" t="s">
        <v>1394</v>
      </c>
      <c r="E535" s="97" t="s">
        <v>28</v>
      </c>
      <c r="F535" s="172">
        <v>10.26</v>
      </c>
      <c r="G535" s="97">
        <v>45</v>
      </c>
      <c r="H535" s="85">
        <f t="shared" si="463"/>
        <v>461.7</v>
      </c>
      <c r="I535" s="50">
        <f t="shared" si="477"/>
        <v>0</v>
      </c>
      <c r="J535" s="85">
        <f t="shared" si="464"/>
        <v>0</v>
      </c>
      <c r="K535" s="82" t="str">
        <f t="shared" si="448"/>
        <v/>
      </c>
      <c r="L535" s="50"/>
      <c r="M535" s="85">
        <f t="shared" si="465"/>
        <v>0</v>
      </c>
      <c r="N535" s="82" t="str">
        <f t="shared" si="449"/>
        <v/>
      </c>
      <c r="O535" s="50"/>
      <c r="P535" s="85">
        <f t="shared" si="466"/>
        <v>0</v>
      </c>
      <c r="Q535" s="82" t="str">
        <f t="shared" si="450"/>
        <v/>
      </c>
      <c r="R535" s="50"/>
      <c r="S535" s="85">
        <f t="shared" si="467"/>
        <v>0</v>
      </c>
      <c r="T535" s="82" t="str">
        <f t="shared" si="451"/>
        <v/>
      </c>
      <c r="U535" s="50"/>
      <c r="V535" s="85">
        <f t="shared" si="468"/>
        <v>0</v>
      </c>
      <c r="W535" s="82" t="str">
        <f t="shared" si="452"/>
        <v/>
      </c>
      <c r="X535" s="50"/>
      <c r="Y535" s="85">
        <f t="shared" si="469"/>
        <v>0</v>
      </c>
      <c r="Z535" s="82" t="str">
        <f t="shared" si="453"/>
        <v/>
      </c>
      <c r="AA535" s="50"/>
      <c r="AB535" s="85">
        <f t="shared" si="470"/>
        <v>0</v>
      </c>
      <c r="AC535" s="82" t="str">
        <f t="shared" si="454"/>
        <v/>
      </c>
      <c r="AD535" s="50"/>
      <c r="AE535" s="85">
        <f t="shared" si="471"/>
        <v>0</v>
      </c>
      <c r="AF535" s="82" t="str">
        <f t="shared" si="455"/>
        <v/>
      </c>
      <c r="AG535" s="50"/>
      <c r="AH535" s="85">
        <f t="shared" si="472"/>
        <v>0</v>
      </c>
      <c r="AI535" s="82" t="str">
        <f t="shared" si="456"/>
        <v/>
      </c>
      <c r="AJ535" s="50"/>
      <c r="AK535" s="85">
        <f t="shared" si="473"/>
        <v>0</v>
      </c>
      <c r="AL535" s="82" t="str">
        <f t="shared" si="457"/>
        <v/>
      </c>
      <c r="AM535" s="50"/>
      <c r="AN535" s="85">
        <f t="shared" si="474"/>
        <v>0</v>
      </c>
      <c r="AO535" s="82" t="str">
        <f t="shared" si="458"/>
        <v/>
      </c>
      <c r="AP535" s="48">
        <f t="shared" si="459"/>
        <v>0</v>
      </c>
      <c r="AQ535" s="85">
        <f t="shared" si="475"/>
        <v>0</v>
      </c>
      <c r="AR535" s="82" t="str">
        <f t="shared" si="460"/>
        <v/>
      </c>
      <c r="AS535" s="48">
        <f t="shared" si="461"/>
        <v>45</v>
      </c>
      <c r="AT535" s="85">
        <f t="shared" si="476"/>
        <v>461.7</v>
      </c>
      <c r="AU535" s="82">
        <f t="shared" si="462"/>
        <v>1</v>
      </c>
    </row>
    <row r="536" spans="1:47" ht="75">
      <c r="A536" s="16"/>
      <c r="B536" s="97" t="s">
        <v>1789</v>
      </c>
      <c r="C536" s="167" t="s">
        <v>1432</v>
      </c>
      <c r="D536" s="86" t="s">
        <v>1433</v>
      </c>
      <c r="E536" s="97" t="s">
        <v>28</v>
      </c>
      <c r="F536" s="172">
        <v>27.53</v>
      </c>
      <c r="G536" s="97">
        <v>64</v>
      </c>
      <c r="H536" s="85">
        <f t="shared" si="463"/>
        <v>1761.92</v>
      </c>
      <c r="I536" s="50">
        <f t="shared" si="477"/>
        <v>0</v>
      </c>
      <c r="J536" s="85">
        <f t="shared" si="464"/>
        <v>0</v>
      </c>
      <c r="K536" s="82" t="str">
        <f t="shared" si="448"/>
        <v/>
      </c>
      <c r="L536" s="50"/>
      <c r="M536" s="85">
        <f t="shared" si="465"/>
        <v>0</v>
      </c>
      <c r="N536" s="82" t="str">
        <f t="shared" si="449"/>
        <v/>
      </c>
      <c r="O536" s="50"/>
      <c r="P536" s="85">
        <f t="shared" si="466"/>
        <v>0</v>
      </c>
      <c r="Q536" s="82" t="str">
        <f t="shared" si="450"/>
        <v/>
      </c>
      <c r="R536" s="50"/>
      <c r="S536" s="85">
        <f t="shared" si="467"/>
        <v>0</v>
      </c>
      <c r="T536" s="82" t="str">
        <f t="shared" si="451"/>
        <v/>
      </c>
      <c r="U536" s="50"/>
      <c r="V536" s="85">
        <f t="shared" si="468"/>
        <v>0</v>
      </c>
      <c r="W536" s="82" t="str">
        <f t="shared" si="452"/>
        <v/>
      </c>
      <c r="X536" s="50"/>
      <c r="Y536" s="85">
        <f t="shared" si="469"/>
        <v>0</v>
      </c>
      <c r="Z536" s="82" t="str">
        <f t="shared" si="453"/>
        <v/>
      </c>
      <c r="AA536" s="50"/>
      <c r="AB536" s="85">
        <f t="shared" si="470"/>
        <v>0</v>
      </c>
      <c r="AC536" s="82" t="str">
        <f t="shared" si="454"/>
        <v/>
      </c>
      <c r="AD536" s="50"/>
      <c r="AE536" s="85">
        <f t="shared" si="471"/>
        <v>0</v>
      </c>
      <c r="AF536" s="82" t="str">
        <f t="shared" si="455"/>
        <v/>
      </c>
      <c r="AG536" s="50"/>
      <c r="AH536" s="85">
        <f t="shared" si="472"/>
        <v>0</v>
      </c>
      <c r="AI536" s="82" t="str">
        <f t="shared" si="456"/>
        <v/>
      </c>
      <c r="AJ536" s="50"/>
      <c r="AK536" s="85">
        <f t="shared" si="473"/>
        <v>0</v>
      </c>
      <c r="AL536" s="82" t="str">
        <f t="shared" si="457"/>
        <v/>
      </c>
      <c r="AM536" s="50"/>
      <c r="AN536" s="85">
        <f t="shared" si="474"/>
        <v>0</v>
      </c>
      <c r="AO536" s="82" t="str">
        <f t="shared" si="458"/>
        <v/>
      </c>
      <c r="AP536" s="48">
        <f t="shared" si="459"/>
        <v>0</v>
      </c>
      <c r="AQ536" s="85">
        <f t="shared" si="475"/>
        <v>0</v>
      </c>
      <c r="AR536" s="82" t="str">
        <f t="shared" si="460"/>
        <v/>
      </c>
      <c r="AS536" s="48">
        <f t="shared" si="461"/>
        <v>64</v>
      </c>
      <c r="AT536" s="85">
        <f t="shared" si="476"/>
        <v>1761.92</v>
      </c>
      <c r="AU536" s="82">
        <f t="shared" si="462"/>
        <v>1</v>
      </c>
    </row>
    <row r="537" spans="1:47">
      <c r="A537" s="16"/>
      <c r="B537" s="99" t="s">
        <v>1790</v>
      </c>
      <c r="C537" s="175" t="s">
        <v>1707</v>
      </c>
      <c r="D537" s="176"/>
      <c r="E537" s="176"/>
      <c r="F537" s="176"/>
      <c r="G537" s="176"/>
      <c r="H537" s="177"/>
      <c r="I537" s="50">
        <f t="shared" si="477"/>
        <v>0</v>
      </c>
      <c r="J537" s="177"/>
      <c r="K537" s="82" t="str">
        <f t="shared" si="448"/>
        <v/>
      </c>
      <c r="L537" s="50"/>
      <c r="M537" s="177"/>
      <c r="N537" s="82" t="str">
        <f t="shared" si="449"/>
        <v/>
      </c>
      <c r="O537" s="50"/>
      <c r="P537" s="177"/>
      <c r="Q537" s="82" t="str">
        <f t="shared" si="450"/>
        <v/>
      </c>
      <c r="R537" s="50"/>
      <c r="S537" s="177"/>
      <c r="T537" s="82" t="str">
        <f t="shared" si="451"/>
        <v/>
      </c>
      <c r="U537" s="50"/>
      <c r="V537" s="177"/>
      <c r="W537" s="82" t="str">
        <f t="shared" si="452"/>
        <v/>
      </c>
      <c r="X537" s="50"/>
      <c r="Y537" s="177"/>
      <c r="Z537" s="82" t="str">
        <f t="shared" si="453"/>
        <v/>
      </c>
      <c r="AA537" s="50"/>
      <c r="AB537" s="177"/>
      <c r="AC537" s="82" t="str">
        <f t="shared" si="454"/>
        <v/>
      </c>
      <c r="AD537" s="50"/>
      <c r="AE537" s="177"/>
      <c r="AF537" s="82" t="str">
        <f t="shared" si="455"/>
        <v/>
      </c>
      <c r="AG537" s="50"/>
      <c r="AH537" s="177"/>
      <c r="AI537" s="82" t="str">
        <f t="shared" si="456"/>
        <v/>
      </c>
      <c r="AJ537" s="50"/>
      <c r="AK537" s="177"/>
      <c r="AL537" s="82" t="str">
        <f t="shared" si="457"/>
        <v/>
      </c>
      <c r="AM537" s="50"/>
      <c r="AN537" s="177"/>
      <c r="AO537" s="82" t="str">
        <f t="shared" si="458"/>
        <v/>
      </c>
      <c r="AP537" s="48">
        <f t="shared" si="459"/>
        <v>0</v>
      </c>
      <c r="AQ537" s="177"/>
      <c r="AR537" s="82" t="str">
        <f t="shared" si="460"/>
        <v/>
      </c>
      <c r="AS537" s="48">
        <f t="shared" si="461"/>
        <v>0</v>
      </c>
      <c r="AT537" s="177"/>
      <c r="AU537" s="82" t="str">
        <f t="shared" si="462"/>
        <v/>
      </c>
    </row>
    <row r="538" spans="1:47" ht="30">
      <c r="A538" s="16"/>
      <c r="B538" s="97" t="s">
        <v>1791</v>
      </c>
      <c r="C538" s="167" t="s">
        <v>1712</v>
      </c>
      <c r="D538" s="86" t="s">
        <v>1713</v>
      </c>
      <c r="E538" s="97" t="s">
        <v>44</v>
      </c>
      <c r="F538" s="172">
        <v>6.48</v>
      </c>
      <c r="G538" s="147">
        <v>1427</v>
      </c>
      <c r="H538" s="85">
        <f t="shared" si="463"/>
        <v>9246.9600000000009</v>
      </c>
      <c r="I538" s="50">
        <f t="shared" si="477"/>
        <v>0</v>
      </c>
      <c r="J538" s="85">
        <f>I538*$F538</f>
        <v>0</v>
      </c>
      <c r="K538" s="82" t="str">
        <f t="shared" si="448"/>
        <v/>
      </c>
      <c r="L538" s="50"/>
      <c r="M538" s="85">
        <f>L538*$F538</f>
        <v>0</v>
      </c>
      <c r="N538" s="82" t="str">
        <f t="shared" si="449"/>
        <v/>
      </c>
      <c r="O538" s="50"/>
      <c r="P538" s="85">
        <f>O538*$F538</f>
        <v>0</v>
      </c>
      <c r="Q538" s="82" t="str">
        <f t="shared" si="450"/>
        <v/>
      </c>
      <c r="R538" s="50"/>
      <c r="S538" s="85">
        <f>R538*$F538</f>
        <v>0</v>
      </c>
      <c r="T538" s="82" t="str">
        <f t="shared" si="451"/>
        <v/>
      </c>
      <c r="U538" s="50"/>
      <c r="V538" s="85">
        <f>U538*$F538</f>
        <v>0</v>
      </c>
      <c r="W538" s="82" t="str">
        <f t="shared" si="452"/>
        <v/>
      </c>
      <c r="X538" s="50"/>
      <c r="Y538" s="85">
        <f>X538*$F538</f>
        <v>0</v>
      </c>
      <c r="Z538" s="82" t="str">
        <f t="shared" si="453"/>
        <v/>
      </c>
      <c r="AA538" s="50"/>
      <c r="AB538" s="85">
        <f>AA538*$F538</f>
        <v>0</v>
      </c>
      <c r="AC538" s="82" t="str">
        <f t="shared" si="454"/>
        <v/>
      </c>
      <c r="AD538" s="50"/>
      <c r="AE538" s="85">
        <f>AD538*$F538</f>
        <v>0</v>
      </c>
      <c r="AF538" s="82" t="str">
        <f t="shared" si="455"/>
        <v/>
      </c>
      <c r="AG538" s="50"/>
      <c r="AH538" s="85">
        <f>AG538*$F538</f>
        <v>0</v>
      </c>
      <c r="AI538" s="82" t="str">
        <f t="shared" si="456"/>
        <v/>
      </c>
      <c r="AJ538" s="50"/>
      <c r="AK538" s="85">
        <f>AJ538*$F538</f>
        <v>0</v>
      </c>
      <c r="AL538" s="82" t="str">
        <f t="shared" si="457"/>
        <v/>
      </c>
      <c r="AM538" s="50"/>
      <c r="AN538" s="85">
        <f>AM538*$F538</f>
        <v>0</v>
      </c>
      <c r="AO538" s="82" t="str">
        <f t="shared" si="458"/>
        <v/>
      </c>
      <c r="AP538" s="48">
        <f t="shared" si="459"/>
        <v>0</v>
      </c>
      <c r="AQ538" s="85">
        <f>AP538*$F538</f>
        <v>0</v>
      </c>
      <c r="AR538" s="82" t="str">
        <f t="shared" si="460"/>
        <v/>
      </c>
      <c r="AS538" s="48">
        <f t="shared" si="461"/>
        <v>1427</v>
      </c>
      <c r="AT538" s="85">
        <f>AS538*$F538</f>
        <v>9246.9600000000009</v>
      </c>
      <c r="AU538" s="82">
        <f t="shared" si="462"/>
        <v>1</v>
      </c>
    </row>
    <row r="539" spans="1:47" ht="30">
      <c r="A539" s="16"/>
      <c r="B539" s="97" t="s">
        <v>1792</v>
      </c>
      <c r="C539" s="167" t="s">
        <v>1793</v>
      </c>
      <c r="D539" s="86" t="s">
        <v>1794</v>
      </c>
      <c r="E539" s="97" t="s">
        <v>44</v>
      </c>
      <c r="F539" s="172">
        <v>12.54</v>
      </c>
      <c r="G539" s="97">
        <v>427</v>
      </c>
      <c r="H539" s="85">
        <f t="shared" si="463"/>
        <v>5354.58</v>
      </c>
      <c r="I539" s="50">
        <f t="shared" si="477"/>
        <v>0</v>
      </c>
      <c r="J539" s="85">
        <f>I539*$F539</f>
        <v>0</v>
      </c>
      <c r="K539" s="82" t="str">
        <f t="shared" si="448"/>
        <v/>
      </c>
      <c r="L539" s="50"/>
      <c r="M539" s="85">
        <f>L539*$F539</f>
        <v>0</v>
      </c>
      <c r="N539" s="82" t="str">
        <f t="shared" si="449"/>
        <v/>
      </c>
      <c r="O539" s="50"/>
      <c r="P539" s="85">
        <f>O539*$F539</f>
        <v>0</v>
      </c>
      <c r="Q539" s="82" t="str">
        <f t="shared" si="450"/>
        <v/>
      </c>
      <c r="R539" s="50"/>
      <c r="S539" s="85">
        <f>R539*$F539</f>
        <v>0</v>
      </c>
      <c r="T539" s="82" t="str">
        <f t="shared" si="451"/>
        <v/>
      </c>
      <c r="U539" s="50"/>
      <c r="V539" s="85">
        <f>U539*$F539</f>
        <v>0</v>
      </c>
      <c r="W539" s="82" t="str">
        <f t="shared" si="452"/>
        <v/>
      </c>
      <c r="X539" s="50"/>
      <c r="Y539" s="85">
        <f>X539*$F539</f>
        <v>0</v>
      </c>
      <c r="Z539" s="82" t="str">
        <f t="shared" si="453"/>
        <v/>
      </c>
      <c r="AA539" s="50"/>
      <c r="AB539" s="85">
        <f>AA539*$F539</f>
        <v>0</v>
      </c>
      <c r="AC539" s="82" t="str">
        <f t="shared" si="454"/>
        <v/>
      </c>
      <c r="AD539" s="50"/>
      <c r="AE539" s="85">
        <f>AD539*$F539</f>
        <v>0</v>
      </c>
      <c r="AF539" s="82" t="str">
        <f t="shared" si="455"/>
        <v/>
      </c>
      <c r="AG539" s="50"/>
      <c r="AH539" s="85">
        <f>AG539*$F539</f>
        <v>0</v>
      </c>
      <c r="AI539" s="82" t="str">
        <f t="shared" si="456"/>
        <v/>
      </c>
      <c r="AJ539" s="50"/>
      <c r="AK539" s="85">
        <f>AJ539*$F539</f>
        <v>0</v>
      </c>
      <c r="AL539" s="82" t="str">
        <f t="shared" si="457"/>
        <v/>
      </c>
      <c r="AM539" s="50"/>
      <c r="AN539" s="85">
        <f>AM539*$F539</f>
        <v>0</v>
      </c>
      <c r="AO539" s="82" t="str">
        <f t="shared" si="458"/>
        <v/>
      </c>
      <c r="AP539" s="48">
        <f t="shared" si="459"/>
        <v>0</v>
      </c>
      <c r="AQ539" s="85">
        <f>AP539*$F539</f>
        <v>0</v>
      </c>
      <c r="AR539" s="82" t="str">
        <f t="shared" si="460"/>
        <v/>
      </c>
      <c r="AS539" s="48">
        <f t="shared" si="461"/>
        <v>427</v>
      </c>
      <c r="AT539" s="85">
        <f>AS539*$F539</f>
        <v>5354.58</v>
      </c>
      <c r="AU539" s="82">
        <f t="shared" si="462"/>
        <v>1</v>
      </c>
    </row>
    <row r="540" spans="1:47" ht="30">
      <c r="A540" s="16"/>
      <c r="B540" s="97" t="s">
        <v>1795</v>
      </c>
      <c r="C540" s="167" t="s">
        <v>1796</v>
      </c>
      <c r="D540" s="86" t="s">
        <v>1797</v>
      </c>
      <c r="E540" s="97" t="s">
        <v>44</v>
      </c>
      <c r="F540" s="172">
        <v>7.71</v>
      </c>
      <c r="G540" s="97">
        <v>143</v>
      </c>
      <c r="H540" s="85">
        <f t="shared" si="463"/>
        <v>1102.53</v>
      </c>
      <c r="I540" s="50">
        <f t="shared" si="477"/>
        <v>0</v>
      </c>
      <c r="J540" s="85">
        <f>I540*$F540</f>
        <v>0</v>
      </c>
      <c r="K540" s="82" t="str">
        <f t="shared" si="448"/>
        <v/>
      </c>
      <c r="L540" s="50"/>
      <c r="M540" s="85">
        <f>L540*$F540</f>
        <v>0</v>
      </c>
      <c r="N540" s="82" t="str">
        <f t="shared" si="449"/>
        <v/>
      </c>
      <c r="O540" s="50"/>
      <c r="P540" s="85">
        <f>O540*$F540</f>
        <v>0</v>
      </c>
      <c r="Q540" s="82" t="str">
        <f t="shared" si="450"/>
        <v/>
      </c>
      <c r="R540" s="50"/>
      <c r="S540" s="85">
        <f>R540*$F540</f>
        <v>0</v>
      </c>
      <c r="T540" s="82" t="str">
        <f t="shared" si="451"/>
        <v/>
      </c>
      <c r="U540" s="50"/>
      <c r="V540" s="85">
        <f>U540*$F540</f>
        <v>0</v>
      </c>
      <c r="W540" s="82" t="str">
        <f t="shared" si="452"/>
        <v/>
      </c>
      <c r="X540" s="50"/>
      <c r="Y540" s="85">
        <f>X540*$F540</f>
        <v>0</v>
      </c>
      <c r="Z540" s="82" t="str">
        <f t="shared" si="453"/>
        <v/>
      </c>
      <c r="AA540" s="50"/>
      <c r="AB540" s="85">
        <f>AA540*$F540</f>
        <v>0</v>
      </c>
      <c r="AC540" s="82" t="str">
        <f t="shared" si="454"/>
        <v/>
      </c>
      <c r="AD540" s="50"/>
      <c r="AE540" s="85">
        <f>AD540*$F540</f>
        <v>0</v>
      </c>
      <c r="AF540" s="82" t="str">
        <f t="shared" si="455"/>
        <v/>
      </c>
      <c r="AG540" s="50"/>
      <c r="AH540" s="85">
        <f>AG540*$F540</f>
        <v>0</v>
      </c>
      <c r="AI540" s="82" t="str">
        <f t="shared" si="456"/>
        <v/>
      </c>
      <c r="AJ540" s="50"/>
      <c r="AK540" s="85">
        <f>AJ540*$F540</f>
        <v>0</v>
      </c>
      <c r="AL540" s="82" t="str">
        <f t="shared" si="457"/>
        <v/>
      </c>
      <c r="AM540" s="50"/>
      <c r="AN540" s="85">
        <f>AM540*$F540</f>
        <v>0</v>
      </c>
      <c r="AO540" s="82" t="str">
        <f t="shared" si="458"/>
        <v/>
      </c>
      <c r="AP540" s="48">
        <f t="shared" si="459"/>
        <v>0</v>
      </c>
      <c r="AQ540" s="85">
        <f>AP540*$F540</f>
        <v>0</v>
      </c>
      <c r="AR540" s="82" t="str">
        <f t="shared" si="460"/>
        <v/>
      </c>
      <c r="AS540" s="48">
        <f t="shared" si="461"/>
        <v>143</v>
      </c>
      <c r="AT540" s="85">
        <f>AS540*$F540</f>
        <v>1102.53</v>
      </c>
      <c r="AU540" s="82">
        <f t="shared" si="462"/>
        <v>1</v>
      </c>
    </row>
    <row r="541" spans="1:47" ht="30">
      <c r="A541" s="16"/>
      <c r="B541" s="97" t="s">
        <v>1798</v>
      </c>
      <c r="C541" s="167" t="s">
        <v>1799</v>
      </c>
      <c r="D541" s="86" t="s">
        <v>1800</v>
      </c>
      <c r="E541" s="97" t="s">
        <v>44</v>
      </c>
      <c r="F541" s="172">
        <v>8.34</v>
      </c>
      <c r="G541" s="97">
        <v>45</v>
      </c>
      <c r="H541" s="85">
        <f t="shared" si="463"/>
        <v>375.3</v>
      </c>
      <c r="I541" s="50">
        <f t="shared" si="477"/>
        <v>0</v>
      </c>
      <c r="J541" s="85">
        <f>I541*$F541</f>
        <v>0</v>
      </c>
      <c r="K541" s="82" t="str">
        <f t="shared" si="448"/>
        <v/>
      </c>
      <c r="L541" s="50"/>
      <c r="M541" s="85">
        <f>L541*$F541</f>
        <v>0</v>
      </c>
      <c r="N541" s="82" t="str">
        <f t="shared" si="449"/>
        <v/>
      </c>
      <c r="O541" s="50"/>
      <c r="P541" s="85">
        <f>O541*$F541</f>
        <v>0</v>
      </c>
      <c r="Q541" s="82" t="str">
        <f t="shared" si="450"/>
        <v/>
      </c>
      <c r="R541" s="50"/>
      <c r="S541" s="85">
        <f>R541*$F541</f>
        <v>0</v>
      </c>
      <c r="T541" s="82" t="str">
        <f t="shared" si="451"/>
        <v/>
      </c>
      <c r="U541" s="50"/>
      <c r="V541" s="85">
        <f>U541*$F541</f>
        <v>0</v>
      </c>
      <c r="W541" s="82" t="str">
        <f t="shared" si="452"/>
        <v/>
      </c>
      <c r="X541" s="50"/>
      <c r="Y541" s="85">
        <f>X541*$F541</f>
        <v>0</v>
      </c>
      <c r="Z541" s="82" t="str">
        <f t="shared" si="453"/>
        <v/>
      </c>
      <c r="AA541" s="50"/>
      <c r="AB541" s="85">
        <f>AA541*$F541</f>
        <v>0</v>
      </c>
      <c r="AC541" s="82" t="str">
        <f t="shared" si="454"/>
        <v/>
      </c>
      <c r="AD541" s="50"/>
      <c r="AE541" s="85">
        <f>AD541*$F541</f>
        <v>0</v>
      </c>
      <c r="AF541" s="82" t="str">
        <f t="shared" si="455"/>
        <v/>
      </c>
      <c r="AG541" s="50"/>
      <c r="AH541" s="85">
        <f>AG541*$F541</f>
        <v>0</v>
      </c>
      <c r="AI541" s="82" t="str">
        <f t="shared" si="456"/>
        <v/>
      </c>
      <c r="AJ541" s="50"/>
      <c r="AK541" s="85">
        <f>AJ541*$F541</f>
        <v>0</v>
      </c>
      <c r="AL541" s="82" t="str">
        <f t="shared" si="457"/>
        <v/>
      </c>
      <c r="AM541" s="50"/>
      <c r="AN541" s="85">
        <f>AM541*$F541</f>
        <v>0</v>
      </c>
      <c r="AO541" s="82" t="str">
        <f t="shared" si="458"/>
        <v/>
      </c>
      <c r="AP541" s="48">
        <f t="shared" si="459"/>
        <v>0</v>
      </c>
      <c r="AQ541" s="85">
        <f>AP541*$F541</f>
        <v>0</v>
      </c>
      <c r="AR541" s="82" t="str">
        <f t="shared" si="460"/>
        <v/>
      </c>
      <c r="AS541" s="48">
        <f t="shared" si="461"/>
        <v>45</v>
      </c>
      <c r="AT541" s="85">
        <f>AS541*$F541</f>
        <v>375.3</v>
      </c>
      <c r="AU541" s="82">
        <f t="shared" si="462"/>
        <v>1</v>
      </c>
    </row>
    <row r="542" spans="1:47" ht="45">
      <c r="A542" s="16"/>
      <c r="B542" s="97" t="s">
        <v>1801</v>
      </c>
      <c r="C542" s="167" t="s">
        <v>1770</v>
      </c>
      <c r="D542" s="86" t="s">
        <v>1771</v>
      </c>
      <c r="E542" s="97" t="s">
        <v>28</v>
      </c>
      <c r="F542" s="172">
        <v>28.02</v>
      </c>
      <c r="G542" s="97">
        <v>56</v>
      </c>
      <c r="H542" s="85">
        <f t="shared" si="463"/>
        <v>1569.12</v>
      </c>
      <c r="I542" s="50">
        <f t="shared" si="477"/>
        <v>0</v>
      </c>
      <c r="J542" s="85">
        <f>I542*$F542</f>
        <v>0</v>
      </c>
      <c r="K542" s="82" t="str">
        <f t="shared" si="448"/>
        <v/>
      </c>
      <c r="L542" s="50"/>
      <c r="M542" s="85">
        <f>L542*$F542</f>
        <v>0</v>
      </c>
      <c r="N542" s="82" t="str">
        <f t="shared" si="449"/>
        <v/>
      </c>
      <c r="O542" s="50"/>
      <c r="P542" s="85">
        <f>O542*$F542</f>
        <v>0</v>
      </c>
      <c r="Q542" s="82" t="str">
        <f t="shared" si="450"/>
        <v/>
      </c>
      <c r="R542" s="50"/>
      <c r="S542" s="85">
        <f>R542*$F542</f>
        <v>0</v>
      </c>
      <c r="T542" s="82" t="str">
        <f t="shared" si="451"/>
        <v/>
      </c>
      <c r="U542" s="50"/>
      <c r="V542" s="85">
        <f>U542*$F542</f>
        <v>0</v>
      </c>
      <c r="W542" s="82" t="str">
        <f t="shared" si="452"/>
        <v/>
      </c>
      <c r="X542" s="50"/>
      <c r="Y542" s="85">
        <f>X542*$F542</f>
        <v>0</v>
      </c>
      <c r="Z542" s="82" t="str">
        <f t="shared" si="453"/>
        <v/>
      </c>
      <c r="AA542" s="50"/>
      <c r="AB542" s="85">
        <f>AA542*$F542</f>
        <v>0</v>
      </c>
      <c r="AC542" s="82" t="str">
        <f t="shared" si="454"/>
        <v/>
      </c>
      <c r="AD542" s="50"/>
      <c r="AE542" s="85">
        <f>AD542*$F542</f>
        <v>0</v>
      </c>
      <c r="AF542" s="82" t="str">
        <f t="shared" si="455"/>
        <v/>
      </c>
      <c r="AG542" s="50"/>
      <c r="AH542" s="85">
        <f>AG542*$F542</f>
        <v>0</v>
      </c>
      <c r="AI542" s="82" t="str">
        <f t="shared" si="456"/>
        <v/>
      </c>
      <c r="AJ542" s="50"/>
      <c r="AK542" s="85">
        <f>AJ542*$F542</f>
        <v>0</v>
      </c>
      <c r="AL542" s="82" t="str">
        <f t="shared" si="457"/>
        <v/>
      </c>
      <c r="AM542" s="50"/>
      <c r="AN542" s="85">
        <f>AM542*$F542</f>
        <v>0</v>
      </c>
      <c r="AO542" s="82" t="str">
        <f t="shared" si="458"/>
        <v/>
      </c>
      <c r="AP542" s="48">
        <f t="shared" si="459"/>
        <v>0</v>
      </c>
      <c r="AQ542" s="85">
        <f>AP542*$F542</f>
        <v>0</v>
      </c>
      <c r="AR542" s="82" t="str">
        <f t="shared" si="460"/>
        <v/>
      </c>
      <c r="AS542" s="48">
        <f t="shared" si="461"/>
        <v>56</v>
      </c>
      <c r="AT542" s="85">
        <f>AS542*$F542</f>
        <v>1569.12</v>
      </c>
      <c r="AU542" s="82">
        <f t="shared" si="462"/>
        <v>1</v>
      </c>
    </row>
    <row r="543" spans="1:47">
      <c r="A543" s="16"/>
      <c r="B543" s="99" t="s">
        <v>1802</v>
      </c>
      <c r="C543" s="183" t="s">
        <v>1718</v>
      </c>
      <c r="D543" s="184"/>
      <c r="E543" s="184"/>
      <c r="F543" s="184"/>
      <c r="G543" s="184"/>
      <c r="H543" s="185"/>
      <c r="I543" s="50">
        <f t="shared" si="477"/>
        <v>0</v>
      </c>
      <c r="J543" s="185"/>
      <c r="K543" s="82" t="str">
        <f t="shared" si="448"/>
        <v/>
      </c>
      <c r="L543" s="50"/>
      <c r="M543" s="185"/>
      <c r="N543" s="82" t="str">
        <f t="shared" si="449"/>
        <v/>
      </c>
      <c r="O543" s="50"/>
      <c r="P543" s="185"/>
      <c r="Q543" s="82" t="str">
        <f t="shared" si="450"/>
        <v/>
      </c>
      <c r="R543" s="50"/>
      <c r="S543" s="185"/>
      <c r="T543" s="82" t="str">
        <f t="shared" si="451"/>
        <v/>
      </c>
      <c r="U543" s="50"/>
      <c r="V543" s="185"/>
      <c r="W543" s="82" t="str">
        <f t="shared" si="452"/>
        <v/>
      </c>
      <c r="X543" s="50"/>
      <c r="Y543" s="185"/>
      <c r="Z543" s="82" t="str">
        <f t="shared" si="453"/>
        <v/>
      </c>
      <c r="AA543" s="50"/>
      <c r="AB543" s="185"/>
      <c r="AC543" s="82" t="str">
        <f t="shared" si="454"/>
        <v/>
      </c>
      <c r="AD543" s="50"/>
      <c r="AE543" s="185"/>
      <c r="AF543" s="82" t="str">
        <f t="shared" si="455"/>
        <v/>
      </c>
      <c r="AG543" s="50"/>
      <c r="AH543" s="185"/>
      <c r="AI543" s="82" t="str">
        <f t="shared" si="456"/>
        <v/>
      </c>
      <c r="AJ543" s="50"/>
      <c r="AK543" s="185"/>
      <c r="AL543" s="82" t="str">
        <f t="shared" si="457"/>
        <v/>
      </c>
      <c r="AM543" s="50"/>
      <c r="AN543" s="185"/>
      <c r="AO543" s="82" t="str">
        <f t="shared" si="458"/>
        <v/>
      </c>
      <c r="AP543" s="48">
        <f t="shared" si="459"/>
        <v>0</v>
      </c>
      <c r="AQ543" s="185"/>
      <c r="AR543" s="82" t="str">
        <f t="shared" si="460"/>
        <v/>
      </c>
      <c r="AS543" s="48">
        <f t="shared" si="461"/>
        <v>0</v>
      </c>
      <c r="AT543" s="185"/>
      <c r="AU543" s="82" t="str">
        <f t="shared" si="462"/>
        <v/>
      </c>
    </row>
    <row r="544" spans="1:47" ht="30">
      <c r="A544" s="16"/>
      <c r="B544" s="97" t="s">
        <v>1803</v>
      </c>
      <c r="C544" s="167" t="s">
        <v>1720</v>
      </c>
      <c r="D544" s="86" t="s">
        <v>1721</v>
      </c>
      <c r="E544" s="97" t="s">
        <v>28</v>
      </c>
      <c r="F544" s="172">
        <v>35.58</v>
      </c>
      <c r="G544" s="97">
        <v>18</v>
      </c>
      <c r="H544" s="85">
        <f t="shared" si="463"/>
        <v>640.43999999999994</v>
      </c>
      <c r="I544" s="50">
        <f t="shared" si="477"/>
        <v>0</v>
      </c>
      <c r="J544" s="85">
        <f>I544*$F544</f>
        <v>0</v>
      </c>
      <c r="K544" s="82" t="str">
        <f t="shared" si="448"/>
        <v/>
      </c>
      <c r="L544" s="50"/>
      <c r="M544" s="85">
        <f>L544*$F544</f>
        <v>0</v>
      </c>
      <c r="N544" s="82" t="str">
        <f t="shared" si="449"/>
        <v/>
      </c>
      <c r="O544" s="50"/>
      <c r="P544" s="85">
        <f>O544*$F544</f>
        <v>0</v>
      </c>
      <c r="Q544" s="82" t="str">
        <f t="shared" si="450"/>
        <v/>
      </c>
      <c r="R544" s="50"/>
      <c r="S544" s="85">
        <f>R544*$F544</f>
        <v>0</v>
      </c>
      <c r="T544" s="82" t="str">
        <f t="shared" si="451"/>
        <v/>
      </c>
      <c r="U544" s="50"/>
      <c r="V544" s="85">
        <f>U544*$F544</f>
        <v>0</v>
      </c>
      <c r="W544" s="82" t="str">
        <f t="shared" si="452"/>
        <v/>
      </c>
      <c r="X544" s="50"/>
      <c r="Y544" s="85">
        <f>X544*$F544</f>
        <v>0</v>
      </c>
      <c r="Z544" s="82" t="str">
        <f t="shared" si="453"/>
        <v/>
      </c>
      <c r="AA544" s="50"/>
      <c r="AB544" s="85">
        <f>AA544*$F544</f>
        <v>0</v>
      </c>
      <c r="AC544" s="82" t="str">
        <f t="shared" si="454"/>
        <v/>
      </c>
      <c r="AD544" s="50"/>
      <c r="AE544" s="85">
        <f>AD544*$F544</f>
        <v>0</v>
      </c>
      <c r="AF544" s="82" t="str">
        <f t="shared" si="455"/>
        <v/>
      </c>
      <c r="AG544" s="50"/>
      <c r="AH544" s="85">
        <f>AG544*$F544</f>
        <v>0</v>
      </c>
      <c r="AI544" s="82" t="str">
        <f t="shared" si="456"/>
        <v/>
      </c>
      <c r="AJ544" s="50"/>
      <c r="AK544" s="85">
        <f>AJ544*$F544</f>
        <v>0</v>
      </c>
      <c r="AL544" s="82" t="str">
        <f t="shared" si="457"/>
        <v/>
      </c>
      <c r="AM544" s="50"/>
      <c r="AN544" s="85">
        <f>AM544*$F544</f>
        <v>0</v>
      </c>
      <c r="AO544" s="82" t="str">
        <f t="shared" si="458"/>
        <v/>
      </c>
      <c r="AP544" s="48">
        <f t="shared" si="459"/>
        <v>0</v>
      </c>
      <c r="AQ544" s="85">
        <f>AP544*$F544</f>
        <v>0</v>
      </c>
      <c r="AR544" s="82" t="str">
        <f t="shared" si="460"/>
        <v/>
      </c>
      <c r="AS544" s="48">
        <f t="shared" si="461"/>
        <v>18</v>
      </c>
      <c r="AT544" s="85">
        <f>AS544*$F544</f>
        <v>640.43999999999994</v>
      </c>
      <c r="AU544" s="82">
        <f t="shared" si="462"/>
        <v>1</v>
      </c>
    </row>
    <row r="545" spans="1:47" ht="30">
      <c r="A545" s="16"/>
      <c r="B545" s="97" t="s">
        <v>1804</v>
      </c>
      <c r="C545" s="167" t="s">
        <v>1805</v>
      </c>
      <c r="D545" s="86" t="s">
        <v>1806</v>
      </c>
      <c r="E545" s="97" t="s">
        <v>28</v>
      </c>
      <c r="F545" s="172">
        <v>48.26</v>
      </c>
      <c r="G545" s="97">
        <v>3</v>
      </c>
      <c r="H545" s="85">
        <f t="shared" si="463"/>
        <v>144.78</v>
      </c>
      <c r="I545" s="50">
        <f t="shared" si="477"/>
        <v>0</v>
      </c>
      <c r="J545" s="85">
        <f>I545*$F545</f>
        <v>0</v>
      </c>
      <c r="K545" s="82" t="str">
        <f t="shared" si="448"/>
        <v/>
      </c>
      <c r="L545" s="50"/>
      <c r="M545" s="85">
        <f>L545*$F545</f>
        <v>0</v>
      </c>
      <c r="N545" s="82" t="str">
        <f t="shared" si="449"/>
        <v/>
      </c>
      <c r="O545" s="50"/>
      <c r="P545" s="85">
        <f>O545*$F545</f>
        <v>0</v>
      </c>
      <c r="Q545" s="82" t="str">
        <f t="shared" si="450"/>
        <v/>
      </c>
      <c r="R545" s="50"/>
      <c r="S545" s="85">
        <f>R545*$F545</f>
        <v>0</v>
      </c>
      <c r="T545" s="82" t="str">
        <f t="shared" si="451"/>
        <v/>
      </c>
      <c r="U545" s="50"/>
      <c r="V545" s="85">
        <f>U545*$F545</f>
        <v>0</v>
      </c>
      <c r="W545" s="82" t="str">
        <f t="shared" si="452"/>
        <v/>
      </c>
      <c r="X545" s="50"/>
      <c r="Y545" s="85">
        <f>X545*$F545</f>
        <v>0</v>
      </c>
      <c r="Z545" s="82" t="str">
        <f t="shared" si="453"/>
        <v/>
      </c>
      <c r="AA545" s="50"/>
      <c r="AB545" s="85">
        <f>AA545*$F545</f>
        <v>0</v>
      </c>
      <c r="AC545" s="82" t="str">
        <f t="shared" si="454"/>
        <v/>
      </c>
      <c r="AD545" s="50"/>
      <c r="AE545" s="85">
        <f>AD545*$F545</f>
        <v>0</v>
      </c>
      <c r="AF545" s="82" t="str">
        <f t="shared" si="455"/>
        <v/>
      </c>
      <c r="AG545" s="50"/>
      <c r="AH545" s="85">
        <f>AG545*$F545</f>
        <v>0</v>
      </c>
      <c r="AI545" s="82" t="str">
        <f t="shared" si="456"/>
        <v/>
      </c>
      <c r="AJ545" s="50"/>
      <c r="AK545" s="85">
        <f>AJ545*$F545</f>
        <v>0</v>
      </c>
      <c r="AL545" s="82" t="str">
        <f t="shared" si="457"/>
        <v/>
      </c>
      <c r="AM545" s="50"/>
      <c r="AN545" s="85">
        <f>AM545*$F545</f>
        <v>0</v>
      </c>
      <c r="AO545" s="82" t="str">
        <f t="shared" si="458"/>
        <v/>
      </c>
      <c r="AP545" s="48">
        <f t="shared" si="459"/>
        <v>0</v>
      </c>
      <c r="AQ545" s="85">
        <f>AP545*$F545</f>
        <v>0</v>
      </c>
      <c r="AR545" s="82" t="str">
        <f t="shared" si="460"/>
        <v/>
      </c>
      <c r="AS545" s="48">
        <f t="shared" si="461"/>
        <v>3</v>
      </c>
      <c r="AT545" s="85">
        <f>AS545*$F545</f>
        <v>144.78</v>
      </c>
      <c r="AU545" s="82">
        <f t="shared" si="462"/>
        <v>1</v>
      </c>
    </row>
    <row r="546" spans="1:47" ht="15" customHeight="1">
      <c r="A546" s="16"/>
      <c r="B546" s="99" t="s">
        <v>1807</v>
      </c>
      <c r="C546" s="183" t="s">
        <v>1732</v>
      </c>
      <c r="D546" s="184"/>
      <c r="E546" s="184"/>
      <c r="F546" s="184"/>
      <c r="G546" s="184"/>
      <c r="H546" s="185"/>
      <c r="I546" s="50">
        <f t="shared" si="477"/>
        <v>0</v>
      </c>
      <c r="J546" s="185"/>
      <c r="K546" s="82" t="str">
        <f t="shared" si="448"/>
        <v/>
      </c>
      <c r="L546" s="50"/>
      <c r="M546" s="185"/>
      <c r="N546" s="82" t="str">
        <f t="shared" si="449"/>
        <v/>
      </c>
      <c r="O546" s="50"/>
      <c r="P546" s="185"/>
      <c r="Q546" s="82" t="str">
        <f t="shared" si="450"/>
        <v/>
      </c>
      <c r="R546" s="50"/>
      <c r="S546" s="185"/>
      <c r="T546" s="82" t="str">
        <f t="shared" si="451"/>
        <v/>
      </c>
      <c r="U546" s="50"/>
      <c r="V546" s="185"/>
      <c r="W546" s="82" t="str">
        <f t="shared" si="452"/>
        <v/>
      </c>
      <c r="X546" s="50"/>
      <c r="Y546" s="185"/>
      <c r="Z546" s="82" t="str">
        <f t="shared" si="453"/>
        <v/>
      </c>
      <c r="AA546" s="50"/>
      <c r="AB546" s="185"/>
      <c r="AC546" s="82" t="str">
        <f t="shared" si="454"/>
        <v/>
      </c>
      <c r="AD546" s="50"/>
      <c r="AE546" s="185"/>
      <c r="AF546" s="82" t="str">
        <f t="shared" si="455"/>
        <v/>
      </c>
      <c r="AG546" s="50"/>
      <c r="AH546" s="185"/>
      <c r="AI546" s="82" t="str">
        <f t="shared" si="456"/>
        <v/>
      </c>
      <c r="AJ546" s="50"/>
      <c r="AK546" s="185"/>
      <c r="AL546" s="82" t="str">
        <f t="shared" si="457"/>
        <v/>
      </c>
      <c r="AM546" s="50"/>
      <c r="AN546" s="185"/>
      <c r="AO546" s="82" t="str">
        <f t="shared" si="458"/>
        <v/>
      </c>
      <c r="AP546" s="48">
        <f t="shared" si="459"/>
        <v>0</v>
      </c>
      <c r="AQ546" s="185"/>
      <c r="AR546" s="82" t="str">
        <f t="shared" si="460"/>
        <v/>
      </c>
      <c r="AS546" s="48">
        <f t="shared" si="461"/>
        <v>0</v>
      </c>
      <c r="AT546" s="185"/>
      <c r="AU546" s="82" t="str">
        <f t="shared" si="462"/>
        <v/>
      </c>
    </row>
    <row r="547" spans="1:47" ht="30">
      <c r="A547" s="16"/>
      <c r="B547" s="97" t="s">
        <v>1808</v>
      </c>
      <c r="C547" s="167" t="s">
        <v>1740</v>
      </c>
      <c r="D547" s="86" t="s">
        <v>1741</v>
      </c>
      <c r="E547" s="97" t="s">
        <v>28</v>
      </c>
      <c r="F547" s="172">
        <v>391.53</v>
      </c>
      <c r="G547" s="97">
        <v>1</v>
      </c>
      <c r="H547" s="85">
        <f t="shared" si="463"/>
        <v>391.53</v>
      </c>
      <c r="I547" s="50">
        <f t="shared" si="477"/>
        <v>0</v>
      </c>
      <c r="J547" s="85">
        <f t="shared" ref="J547:J558" si="478">I547*$F547</f>
        <v>0</v>
      </c>
      <c r="K547" s="82" t="str">
        <f t="shared" si="448"/>
        <v/>
      </c>
      <c r="L547" s="50"/>
      <c r="M547" s="85">
        <f t="shared" ref="M547:M558" si="479">L547*$F547</f>
        <v>0</v>
      </c>
      <c r="N547" s="82" t="str">
        <f t="shared" si="449"/>
        <v/>
      </c>
      <c r="O547" s="50"/>
      <c r="P547" s="85">
        <f t="shared" ref="P547:P558" si="480">O547*$F547</f>
        <v>0</v>
      </c>
      <c r="Q547" s="82" t="str">
        <f t="shared" si="450"/>
        <v/>
      </c>
      <c r="R547" s="50"/>
      <c r="S547" s="85">
        <f t="shared" ref="S547:S558" si="481">R547*$F547</f>
        <v>0</v>
      </c>
      <c r="T547" s="82" t="str">
        <f t="shared" si="451"/>
        <v/>
      </c>
      <c r="U547" s="50"/>
      <c r="V547" s="85">
        <f t="shared" ref="V547:V558" si="482">U547*$F547</f>
        <v>0</v>
      </c>
      <c r="W547" s="82" t="str">
        <f t="shared" si="452"/>
        <v/>
      </c>
      <c r="X547" s="50"/>
      <c r="Y547" s="85">
        <f t="shared" ref="Y547:Y558" si="483">X547*$F547</f>
        <v>0</v>
      </c>
      <c r="Z547" s="82" t="str">
        <f t="shared" si="453"/>
        <v/>
      </c>
      <c r="AA547" s="50"/>
      <c r="AB547" s="85">
        <f t="shared" ref="AB547:AB558" si="484">AA547*$F547</f>
        <v>0</v>
      </c>
      <c r="AC547" s="82" t="str">
        <f t="shared" si="454"/>
        <v/>
      </c>
      <c r="AD547" s="50"/>
      <c r="AE547" s="85">
        <f t="shared" ref="AE547:AE558" si="485">AD547*$F547</f>
        <v>0</v>
      </c>
      <c r="AF547" s="82" t="str">
        <f t="shared" si="455"/>
        <v/>
      </c>
      <c r="AG547" s="50"/>
      <c r="AH547" s="85">
        <f t="shared" ref="AH547:AH558" si="486">AG547*$F547</f>
        <v>0</v>
      </c>
      <c r="AI547" s="82" t="str">
        <f t="shared" si="456"/>
        <v/>
      </c>
      <c r="AJ547" s="50"/>
      <c r="AK547" s="85">
        <f t="shared" ref="AK547:AK558" si="487">AJ547*$F547</f>
        <v>0</v>
      </c>
      <c r="AL547" s="82" t="str">
        <f t="shared" si="457"/>
        <v/>
      </c>
      <c r="AM547" s="50"/>
      <c r="AN547" s="85">
        <f t="shared" ref="AN547:AN558" si="488">AM547*$F547</f>
        <v>0</v>
      </c>
      <c r="AO547" s="82" t="str">
        <f t="shared" si="458"/>
        <v/>
      </c>
      <c r="AP547" s="48">
        <f t="shared" si="459"/>
        <v>0</v>
      </c>
      <c r="AQ547" s="85">
        <f t="shared" ref="AQ547:AQ558" si="489">AP547*$F547</f>
        <v>0</v>
      </c>
      <c r="AR547" s="82" t="str">
        <f t="shared" si="460"/>
        <v/>
      </c>
      <c r="AS547" s="48">
        <f t="shared" si="461"/>
        <v>1</v>
      </c>
      <c r="AT547" s="85">
        <f t="shared" ref="AT547:AT558" si="490">AS547*$F547</f>
        <v>391.53</v>
      </c>
      <c r="AU547" s="82">
        <f t="shared" si="462"/>
        <v>1</v>
      </c>
    </row>
    <row r="548" spans="1:47" ht="45">
      <c r="A548" s="16"/>
      <c r="B548" s="97" t="s">
        <v>1809</v>
      </c>
      <c r="C548" s="167" t="s">
        <v>1743</v>
      </c>
      <c r="D548" s="86" t="s">
        <v>1744</v>
      </c>
      <c r="E548" s="97" t="s">
        <v>28</v>
      </c>
      <c r="F548" s="172">
        <v>38.94</v>
      </c>
      <c r="G548" s="97">
        <v>1</v>
      </c>
      <c r="H548" s="85">
        <f t="shared" si="463"/>
        <v>38.94</v>
      </c>
      <c r="I548" s="50">
        <f t="shared" si="477"/>
        <v>0</v>
      </c>
      <c r="J548" s="85">
        <f t="shared" si="478"/>
        <v>0</v>
      </c>
      <c r="K548" s="82" t="str">
        <f t="shared" si="448"/>
        <v/>
      </c>
      <c r="L548" s="50"/>
      <c r="M548" s="85">
        <f t="shared" si="479"/>
        <v>0</v>
      </c>
      <c r="N548" s="82" t="str">
        <f t="shared" si="449"/>
        <v/>
      </c>
      <c r="O548" s="50"/>
      <c r="P548" s="85">
        <f t="shared" si="480"/>
        <v>0</v>
      </c>
      <c r="Q548" s="82" t="str">
        <f t="shared" si="450"/>
        <v/>
      </c>
      <c r="R548" s="50"/>
      <c r="S548" s="85">
        <f t="shared" si="481"/>
        <v>0</v>
      </c>
      <c r="T548" s="82" t="str">
        <f t="shared" si="451"/>
        <v/>
      </c>
      <c r="U548" s="50"/>
      <c r="V548" s="85">
        <f t="shared" si="482"/>
        <v>0</v>
      </c>
      <c r="W548" s="82" t="str">
        <f t="shared" si="452"/>
        <v/>
      </c>
      <c r="X548" s="50"/>
      <c r="Y548" s="85">
        <f t="shared" si="483"/>
        <v>0</v>
      </c>
      <c r="Z548" s="82" t="str">
        <f t="shared" si="453"/>
        <v/>
      </c>
      <c r="AA548" s="50"/>
      <c r="AB548" s="85">
        <f t="shared" si="484"/>
        <v>0</v>
      </c>
      <c r="AC548" s="82" t="str">
        <f t="shared" si="454"/>
        <v/>
      </c>
      <c r="AD548" s="50"/>
      <c r="AE548" s="85">
        <f t="shared" si="485"/>
        <v>0</v>
      </c>
      <c r="AF548" s="82" t="str">
        <f t="shared" si="455"/>
        <v/>
      </c>
      <c r="AG548" s="50"/>
      <c r="AH548" s="85">
        <f t="shared" si="486"/>
        <v>0</v>
      </c>
      <c r="AI548" s="82" t="str">
        <f t="shared" si="456"/>
        <v/>
      </c>
      <c r="AJ548" s="50"/>
      <c r="AK548" s="85">
        <f t="shared" si="487"/>
        <v>0</v>
      </c>
      <c r="AL548" s="82" t="str">
        <f t="shared" si="457"/>
        <v/>
      </c>
      <c r="AM548" s="50"/>
      <c r="AN548" s="85">
        <f t="shared" si="488"/>
        <v>0</v>
      </c>
      <c r="AO548" s="82" t="str">
        <f t="shared" si="458"/>
        <v/>
      </c>
      <c r="AP548" s="48">
        <f t="shared" si="459"/>
        <v>0</v>
      </c>
      <c r="AQ548" s="85">
        <f t="shared" si="489"/>
        <v>0</v>
      </c>
      <c r="AR548" s="82" t="str">
        <f t="shared" si="460"/>
        <v/>
      </c>
      <c r="AS548" s="48">
        <f t="shared" si="461"/>
        <v>1</v>
      </c>
      <c r="AT548" s="85">
        <f t="shared" si="490"/>
        <v>38.94</v>
      </c>
      <c r="AU548" s="82">
        <f t="shared" si="462"/>
        <v>1</v>
      </c>
    </row>
    <row r="549" spans="1:47" ht="30">
      <c r="A549" s="16"/>
      <c r="B549" s="97" t="s">
        <v>1810</v>
      </c>
      <c r="C549" s="167" t="s">
        <v>1746</v>
      </c>
      <c r="D549" s="86" t="s">
        <v>1747</v>
      </c>
      <c r="E549" s="97" t="s">
        <v>28</v>
      </c>
      <c r="F549" s="172">
        <v>43.06</v>
      </c>
      <c r="G549" s="97">
        <v>26</v>
      </c>
      <c r="H549" s="85">
        <f t="shared" si="463"/>
        <v>1119.56</v>
      </c>
      <c r="I549" s="50">
        <f t="shared" si="477"/>
        <v>0</v>
      </c>
      <c r="J549" s="85">
        <f t="shared" si="478"/>
        <v>0</v>
      </c>
      <c r="K549" s="82" t="str">
        <f t="shared" si="448"/>
        <v/>
      </c>
      <c r="L549" s="50"/>
      <c r="M549" s="85">
        <f t="shared" si="479"/>
        <v>0</v>
      </c>
      <c r="N549" s="82" t="str">
        <f t="shared" si="449"/>
        <v/>
      </c>
      <c r="O549" s="50"/>
      <c r="P549" s="85">
        <f t="shared" si="480"/>
        <v>0</v>
      </c>
      <c r="Q549" s="82" t="str">
        <f t="shared" si="450"/>
        <v/>
      </c>
      <c r="R549" s="50"/>
      <c r="S549" s="85">
        <f t="shared" si="481"/>
        <v>0</v>
      </c>
      <c r="T549" s="82" t="str">
        <f t="shared" si="451"/>
        <v/>
      </c>
      <c r="U549" s="50"/>
      <c r="V549" s="85">
        <f t="shared" si="482"/>
        <v>0</v>
      </c>
      <c r="W549" s="82" t="str">
        <f t="shared" si="452"/>
        <v/>
      </c>
      <c r="X549" s="50"/>
      <c r="Y549" s="85">
        <f t="shared" si="483"/>
        <v>0</v>
      </c>
      <c r="Z549" s="82" t="str">
        <f t="shared" si="453"/>
        <v/>
      </c>
      <c r="AA549" s="50"/>
      <c r="AB549" s="85">
        <f t="shared" si="484"/>
        <v>0</v>
      </c>
      <c r="AC549" s="82" t="str">
        <f t="shared" si="454"/>
        <v/>
      </c>
      <c r="AD549" s="50"/>
      <c r="AE549" s="85">
        <f t="shared" si="485"/>
        <v>0</v>
      </c>
      <c r="AF549" s="82" t="str">
        <f t="shared" si="455"/>
        <v/>
      </c>
      <c r="AG549" s="50"/>
      <c r="AH549" s="85">
        <f t="shared" si="486"/>
        <v>0</v>
      </c>
      <c r="AI549" s="82" t="str">
        <f t="shared" si="456"/>
        <v/>
      </c>
      <c r="AJ549" s="50"/>
      <c r="AK549" s="85">
        <f t="shared" si="487"/>
        <v>0</v>
      </c>
      <c r="AL549" s="82" t="str">
        <f t="shared" si="457"/>
        <v/>
      </c>
      <c r="AM549" s="50"/>
      <c r="AN549" s="85">
        <f t="shared" si="488"/>
        <v>0</v>
      </c>
      <c r="AO549" s="82" t="str">
        <f t="shared" si="458"/>
        <v/>
      </c>
      <c r="AP549" s="48">
        <f t="shared" si="459"/>
        <v>0</v>
      </c>
      <c r="AQ549" s="85">
        <f t="shared" si="489"/>
        <v>0</v>
      </c>
      <c r="AR549" s="82" t="str">
        <f t="shared" si="460"/>
        <v/>
      </c>
      <c r="AS549" s="48">
        <f t="shared" si="461"/>
        <v>26</v>
      </c>
      <c r="AT549" s="85">
        <f t="shared" si="490"/>
        <v>1119.56</v>
      </c>
      <c r="AU549" s="82">
        <f t="shared" si="462"/>
        <v>1</v>
      </c>
    </row>
    <row r="550" spans="1:47" ht="30">
      <c r="A550" s="16"/>
      <c r="B550" s="97" t="s">
        <v>1811</v>
      </c>
      <c r="C550" s="167" t="s">
        <v>1737</v>
      </c>
      <c r="D550" s="86" t="s">
        <v>1738</v>
      </c>
      <c r="E550" s="97" t="s">
        <v>28</v>
      </c>
      <c r="F550" s="172">
        <v>176.01</v>
      </c>
      <c r="G550" s="97">
        <v>2</v>
      </c>
      <c r="H550" s="85">
        <f t="shared" si="463"/>
        <v>352.02</v>
      </c>
      <c r="I550" s="50">
        <f t="shared" si="477"/>
        <v>0</v>
      </c>
      <c r="J550" s="85">
        <f t="shared" si="478"/>
        <v>0</v>
      </c>
      <c r="K550" s="82" t="str">
        <f t="shared" si="448"/>
        <v/>
      </c>
      <c r="L550" s="50"/>
      <c r="M550" s="85">
        <f t="shared" si="479"/>
        <v>0</v>
      </c>
      <c r="N550" s="82" t="str">
        <f t="shared" si="449"/>
        <v/>
      </c>
      <c r="O550" s="50"/>
      <c r="P550" s="85">
        <f t="shared" si="480"/>
        <v>0</v>
      </c>
      <c r="Q550" s="82" t="str">
        <f t="shared" si="450"/>
        <v/>
      </c>
      <c r="R550" s="50"/>
      <c r="S550" s="85">
        <f t="shared" si="481"/>
        <v>0</v>
      </c>
      <c r="T550" s="82" t="str">
        <f t="shared" si="451"/>
        <v/>
      </c>
      <c r="U550" s="50"/>
      <c r="V550" s="85">
        <f t="shared" si="482"/>
        <v>0</v>
      </c>
      <c r="W550" s="82" t="str">
        <f t="shared" si="452"/>
        <v/>
      </c>
      <c r="X550" s="50"/>
      <c r="Y550" s="85">
        <f t="shared" si="483"/>
        <v>0</v>
      </c>
      <c r="Z550" s="82" t="str">
        <f t="shared" si="453"/>
        <v/>
      </c>
      <c r="AA550" s="50"/>
      <c r="AB550" s="85">
        <f t="shared" si="484"/>
        <v>0</v>
      </c>
      <c r="AC550" s="82" t="str">
        <f t="shared" si="454"/>
        <v/>
      </c>
      <c r="AD550" s="50"/>
      <c r="AE550" s="85">
        <f t="shared" si="485"/>
        <v>0</v>
      </c>
      <c r="AF550" s="82" t="str">
        <f t="shared" si="455"/>
        <v/>
      </c>
      <c r="AG550" s="50"/>
      <c r="AH550" s="85">
        <f t="shared" si="486"/>
        <v>0</v>
      </c>
      <c r="AI550" s="82" t="str">
        <f t="shared" si="456"/>
        <v/>
      </c>
      <c r="AJ550" s="50"/>
      <c r="AK550" s="85">
        <f t="shared" si="487"/>
        <v>0</v>
      </c>
      <c r="AL550" s="82" t="str">
        <f t="shared" si="457"/>
        <v/>
      </c>
      <c r="AM550" s="50"/>
      <c r="AN550" s="85">
        <f t="shared" si="488"/>
        <v>0</v>
      </c>
      <c r="AO550" s="82" t="str">
        <f t="shared" si="458"/>
        <v/>
      </c>
      <c r="AP550" s="48">
        <f t="shared" si="459"/>
        <v>0</v>
      </c>
      <c r="AQ550" s="85">
        <f t="shared" si="489"/>
        <v>0</v>
      </c>
      <c r="AR550" s="82" t="str">
        <f t="shared" si="460"/>
        <v/>
      </c>
      <c r="AS550" s="48">
        <f t="shared" si="461"/>
        <v>2</v>
      </c>
      <c r="AT550" s="85">
        <f t="shared" si="490"/>
        <v>352.02</v>
      </c>
      <c r="AU550" s="82">
        <f t="shared" si="462"/>
        <v>1</v>
      </c>
    </row>
    <row r="551" spans="1:47" ht="90">
      <c r="A551" s="16"/>
      <c r="B551" s="97" t="s">
        <v>1812</v>
      </c>
      <c r="C551" s="167" t="s">
        <v>1813</v>
      </c>
      <c r="D551" s="86" t="s">
        <v>1814</v>
      </c>
      <c r="E551" s="97" t="s">
        <v>28</v>
      </c>
      <c r="F551" s="172">
        <v>666.57</v>
      </c>
      <c r="G551" s="97">
        <v>1</v>
      </c>
      <c r="H551" s="85">
        <f t="shared" si="463"/>
        <v>666.57</v>
      </c>
      <c r="I551" s="50">
        <f t="shared" si="477"/>
        <v>0</v>
      </c>
      <c r="J551" s="85">
        <f t="shared" si="478"/>
        <v>0</v>
      </c>
      <c r="K551" s="82" t="str">
        <f t="shared" si="448"/>
        <v/>
      </c>
      <c r="L551" s="50"/>
      <c r="M551" s="85">
        <f t="shared" si="479"/>
        <v>0</v>
      </c>
      <c r="N551" s="82" t="str">
        <f t="shared" si="449"/>
        <v/>
      </c>
      <c r="O551" s="50"/>
      <c r="P551" s="85">
        <f t="shared" si="480"/>
        <v>0</v>
      </c>
      <c r="Q551" s="82" t="str">
        <f t="shared" si="450"/>
        <v/>
      </c>
      <c r="R551" s="50"/>
      <c r="S551" s="85">
        <f t="shared" si="481"/>
        <v>0</v>
      </c>
      <c r="T551" s="82" t="str">
        <f t="shared" si="451"/>
        <v/>
      </c>
      <c r="U551" s="50"/>
      <c r="V551" s="85">
        <f t="shared" si="482"/>
        <v>0</v>
      </c>
      <c r="W551" s="82" t="str">
        <f t="shared" si="452"/>
        <v/>
      </c>
      <c r="X551" s="50"/>
      <c r="Y551" s="85">
        <f t="shared" si="483"/>
        <v>0</v>
      </c>
      <c r="Z551" s="82" t="str">
        <f t="shared" si="453"/>
        <v/>
      </c>
      <c r="AA551" s="50"/>
      <c r="AB551" s="85">
        <f t="shared" si="484"/>
        <v>0</v>
      </c>
      <c r="AC551" s="82" t="str">
        <f t="shared" si="454"/>
        <v/>
      </c>
      <c r="AD551" s="50"/>
      <c r="AE551" s="85">
        <f t="shared" si="485"/>
        <v>0</v>
      </c>
      <c r="AF551" s="82" t="str">
        <f t="shared" si="455"/>
        <v/>
      </c>
      <c r="AG551" s="50"/>
      <c r="AH551" s="85">
        <f t="shared" si="486"/>
        <v>0</v>
      </c>
      <c r="AI551" s="82" t="str">
        <f t="shared" si="456"/>
        <v/>
      </c>
      <c r="AJ551" s="50"/>
      <c r="AK551" s="85">
        <f t="shared" si="487"/>
        <v>0</v>
      </c>
      <c r="AL551" s="82" t="str">
        <f t="shared" si="457"/>
        <v/>
      </c>
      <c r="AM551" s="50"/>
      <c r="AN551" s="85">
        <f t="shared" si="488"/>
        <v>0</v>
      </c>
      <c r="AO551" s="82" t="str">
        <f t="shared" si="458"/>
        <v/>
      </c>
      <c r="AP551" s="48">
        <f t="shared" si="459"/>
        <v>0</v>
      </c>
      <c r="AQ551" s="85">
        <f t="shared" si="489"/>
        <v>0</v>
      </c>
      <c r="AR551" s="82" t="str">
        <f t="shared" si="460"/>
        <v/>
      </c>
      <c r="AS551" s="48">
        <f t="shared" si="461"/>
        <v>1</v>
      </c>
      <c r="AT551" s="85">
        <f t="shared" si="490"/>
        <v>666.57</v>
      </c>
      <c r="AU551" s="82">
        <f t="shared" si="462"/>
        <v>1</v>
      </c>
    </row>
    <row r="552" spans="1:47" ht="45">
      <c r="A552" s="16"/>
      <c r="B552" s="97" t="s">
        <v>1815</v>
      </c>
      <c r="C552" s="167" t="s">
        <v>1816</v>
      </c>
      <c r="D552" s="86" t="s">
        <v>1817</v>
      </c>
      <c r="E552" s="97" t="s">
        <v>28</v>
      </c>
      <c r="F552" s="172">
        <v>341.26</v>
      </c>
      <c r="G552" s="97">
        <v>10</v>
      </c>
      <c r="H552" s="85">
        <f t="shared" si="463"/>
        <v>3412.6</v>
      </c>
      <c r="I552" s="50">
        <f t="shared" si="477"/>
        <v>0</v>
      </c>
      <c r="J552" s="85">
        <f t="shared" si="478"/>
        <v>0</v>
      </c>
      <c r="K552" s="82" t="str">
        <f t="shared" si="448"/>
        <v/>
      </c>
      <c r="L552" s="50"/>
      <c r="M552" s="85">
        <f t="shared" si="479"/>
        <v>0</v>
      </c>
      <c r="N552" s="82" t="str">
        <f t="shared" si="449"/>
        <v/>
      </c>
      <c r="O552" s="50"/>
      <c r="P552" s="85">
        <f t="shared" si="480"/>
        <v>0</v>
      </c>
      <c r="Q552" s="82" t="str">
        <f t="shared" si="450"/>
        <v/>
      </c>
      <c r="R552" s="50"/>
      <c r="S552" s="85">
        <f t="shared" si="481"/>
        <v>0</v>
      </c>
      <c r="T552" s="82" t="str">
        <f t="shared" si="451"/>
        <v/>
      </c>
      <c r="U552" s="50"/>
      <c r="V552" s="85">
        <f t="shared" si="482"/>
        <v>0</v>
      </c>
      <c r="W552" s="82" t="str">
        <f t="shared" si="452"/>
        <v/>
      </c>
      <c r="X552" s="50"/>
      <c r="Y552" s="85">
        <f t="shared" si="483"/>
        <v>0</v>
      </c>
      <c r="Z552" s="82" t="str">
        <f t="shared" si="453"/>
        <v/>
      </c>
      <c r="AA552" s="50"/>
      <c r="AB552" s="85">
        <f t="shared" si="484"/>
        <v>0</v>
      </c>
      <c r="AC552" s="82" t="str">
        <f t="shared" si="454"/>
        <v/>
      </c>
      <c r="AD552" s="50"/>
      <c r="AE552" s="85">
        <f t="shared" si="485"/>
        <v>0</v>
      </c>
      <c r="AF552" s="82" t="str">
        <f t="shared" si="455"/>
        <v/>
      </c>
      <c r="AG552" s="50"/>
      <c r="AH552" s="85">
        <f t="shared" si="486"/>
        <v>0</v>
      </c>
      <c r="AI552" s="82" t="str">
        <f t="shared" si="456"/>
        <v/>
      </c>
      <c r="AJ552" s="50"/>
      <c r="AK552" s="85">
        <f t="shared" si="487"/>
        <v>0</v>
      </c>
      <c r="AL552" s="82" t="str">
        <f t="shared" si="457"/>
        <v/>
      </c>
      <c r="AM552" s="50"/>
      <c r="AN552" s="85">
        <f t="shared" si="488"/>
        <v>0</v>
      </c>
      <c r="AO552" s="82" t="str">
        <f t="shared" si="458"/>
        <v/>
      </c>
      <c r="AP552" s="48">
        <f t="shared" si="459"/>
        <v>0</v>
      </c>
      <c r="AQ552" s="85">
        <f t="shared" si="489"/>
        <v>0</v>
      </c>
      <c r="AR552" s="82" t="str">
        <f t="shared" si="460"/>
        <v/>
      </c>
      <c r="AS552" s="48">
        <f t="shared" si="461"/>
        <v>10</v>
      </c>
      <c r="AT552" s="85">
        <f t="shared" si="490"/>
        <v>3412.6</v>
      </c>
      <c r="AU552" s="82">
        <f t="shared" si="462"/>
        <v>1</v>
      </c>
    </row>
    <row r="553" spans="1:47" ht="60">
      <c r="A553" s="16"/>
      <c r="B553" s="97" t="s">
        <v>1818</v>
      </c>
      <c r="C553" s="167" t="s">
        <v>1819</v>
      </c>
      <c r="D553" s="86" t="s">
        <v>1820</v>
      </c>
      <c r="E553" s="97" t="s">
        <v>28</v>
      </c>
      <c r="F553" s="172">
        <v>648.9</v>
      </c>
      <c r="G553" s="97">
        <v>1</v>
      </c>
      <c r="H553" s="85">
        <f t="shared" si="463"/>
        <v>648.9</v>
      </c>
      <c r="I553" s="50">
        <f t="shared" si="477"/>
        <v>0</v>
      </c>
      <c r="J553" s="85">
        <f t="shared" si="478"/>
        <v>0</v>
      </c>
      <c r="K553" s="82" t="str">
        <f t="shared" si="448"/>
        <v/>
      </c>
      <c r="L553" s="50"/>
      <c r="M553" s="85">
        <f t="shared" si="479"/>
        <v>0</v>
      </c>
      <c r="N553" s="82" t="str">
        <f t="shared" si="449"/>
        <v/>
      </c>
      <c r="O553" s="50"/>
      <c r="P553" s="85">
        <f t="shared" si="480"/>
        <v>0</v>
      </c>
      <c r="Q553" s="82" t="str">
        <f t="shared" si="450"/>
        <v/>
      </c>
      <c r="R553" s="50"/>
      <c r="S553" s="85">
        <f t="shared" si="481"/>
        <v>0</v>
      </c>
      <c r="T553" s="82" t="str">
        <f t="shared" si="451"/>
        <v/>
      </c>
      <c r="U553" s="50"/>
      <c r="V553" s="85">
        <f t="shared" si="482"/>
        <v>0</v>
      </c>
      <c r="W553" s="82" t="str">
        <f t="shared" si="452"/>
        <v/>
      </c>
      <c r="X553" s="50"/>
      <c r="Y553" s="85">
        <f t="shared" si="483"/>
        <v>0</v>
      </c>
      <c r="Z553" s="82" t="str">
        <f t="shared" si="453"/>
        <v/>
      </c>
      <c r="AA553" s="50"/>
      <c r="AB553" s="85">
        <f t="shared" si="484"/>
        <v>0</v>
      </c>
      <c r="AC553" s="82" t="str">
        <f t="shared" si="454"/>
        <v/>
      </c>
      <c r="AD553" s="50"/>
      <c r="AE553" s="85">
        <f t="shared" si="485"/>
        <v>0</v>
      </c>
      <c r="AF553" s="82" t="str">
        <f t="shared" si="455"/>
        <v/>
      </c>
      <c r="AG553" s="50"/>
      <c r="AH553" s="85">
        <f t="shared" si="486"/>
        <v>0</v>
      </c>
      <c r="AI553" s="82" t="str">
        <f t="shared" si="456"/>
        <v/>
      </c>
      <c r="AJ553" s="50"/>
      <c r="AK553" s="85">
        <f t="shared" si="487"/>
        <v>0</v>
      </c>
      <c r="AL553" s="82" t="str">
        <f t="shared" si="457"/>
        <v/>
      </c>
      <c r="AM553" s="50"/>
      <c r="AN553" s="85">
        <f t="shared" si="488"/>
        <v>0</v>
      </c>
      <c r="AO553" s="82" t="str">
        <f t="shared" si="458"/>
        <v/>
      </c>
      <c r="AP553" s="48">
        <f t="shared" si="459"/>
        <v>0</v>
      </c>
      <c r="AQ553" s="85">
        <f t="shared" si="489"/>
        <v>0</v>
      </c>
      <c r="AR553" s="82" t="str">
        <f t="shared" si="460"/>
        <v/>
      </c>
      <c r="AS553" s="48">
        <f t="shared" si="461"/>
        <v>1</v>
      </c>
      <c r="AT553" s="85">
        <f t="shared" si="490"/>
        <v>648.9</v>
      </c>
      <c r="AU553" s="82">
        <f t="shared" si="462"/>
        <v>1</v>
      </c>
    </row>
    <row r="554" spans="1:47" ht="45">
      <c r="A554" s="16"/>
      <c r="B554" s="97" t="s">
        <v>1821</v>
      </c>
      <c r="C554" s="167" t="s">
        <v>1822</v>
      </c>
      <c r="D554" s="86" t="s">
        <v>1823</v>
      </c>
      <c r="E554" s="97" t="s">
        <v>28</v>
      </c>
      <c r="F554" s="172">
        <v>171.11</v>
      </c>
      <c r="G554" s="97">
        <v>3</v>
      </c>
      <c r="H554" s="85">
        <f t="shared" si="463"/>
        <v>513.33000000000004</v>
      </c>
      <c r="I554" s="50">
        <f t="shared" si="477"/>
        <v>0</v>
      </c>
      <c r="J554" s="85">
        <f t="shared" si="478"/>
        <v>0</v>
      </c>
      <c r="K554" s="82" t="str">
        <f t="shared" si="448"/>
        <v/>
      </c>
      <c r="L554" s="50"/>
      <c r="M554" s="85">
        <f t="shared" si="479"/>
        <v>0</v>
      </c>
      <c r="N554" s="82" t="str">
        <f t="shared" si="449"/>
        <v/>
      </c>
      <c r="O554" s="50"/>
      <c r="P554" s="85">
        <f t="shared" si="480"/>
        <v>0</v>
      </c>
      <c r="Q554" s="82" t="str">
        <f t="shared" si="450"/>
        <v/>
      </c>
      <c r="R554" s="50"/>
      <c r="S554" s="85">
        <f t="shared" si="481"/>
        <v>0</v>
      </c>
      <c r="T554" s="82" t="str">
        <f t="shared" si="451"/>
        <v/>
      </c>
      <c r="U554" s="50"/>
      <c r="V554" s="85">
        <f t="shared" si="482"/>
        <v>0</v>
      </c>
      <c r="W554" s="82" t="str">
        <f t="shared" si="452"/>
        <v/>
      </c>
      <c r="X554" s="50"/>
      <c r="Y554" s="85">
        <f t="shared" si="483"/>
        <v>0</v>
      </c>
      <c r="Z554" s="82" t="str">
        <f t="shared" si="453"/>
        <v/>
      </c>
      <c r="AA554" s="50"/>
      <c r="AB554" s="85">
        <f t="shared" si="484"/>
        <v>0</v>
      </c>
      <c r="AC554" s="82" t="str">
        <f t="shared" si="454"/>
        <v/>
      </c>
      <c r="AD554" s="50"/>
      <c r="AE554" s="85">
        <f t="shared" si="485"/>
        <v>0</v>
      </c>
      <c r="AF554" s="82" t="str">
        <f t="shared" si="455"/>
        <v/>
      </c>
      <c r="AG554" s="50"/>
      <c r="AH554" s="85">
        <f t="shared" si="486"/>
        <v>0</v>
      </c>
      <c r="AI554" s="82" t="str">
        <f t="shared" si="456"/>
        <v/>
      </c>
      <c r="AJ554" s="50"/>
      <c r="AK554" s="85">
        <f t="shared" si="487"/>
        <v>0</v>
      </c>
      <c r="AL554" s="82" t="str">
        <f t="shared" si="457"/>
        <v/>
      </c>
      <c r="AM554" s="50"/>
      <c r="AN554" s="85">
        <f t="shared" si="488"/>
        <v>0</v>
      </c>
      <c r="AO554" s="82" t="str">
        <f t="shared" si="458"/>
        <v/>
      </c>
      <c r="AP554" s="48">
        <f t="shared" si="459"/>
        <v>0</v>
      </c>
      <c r="AQ554" s="85">
        <f t="shared" si="489"/>
        <v>0</v>
      </c>
      <c r="AR554" s="82" t="str">
        <f t="shared" si="460"/>
        <v/>
      </c>
      <c r="AS554" s="48">
        <f t="shared" si="461"/>
        <v>3</v>
      </c>
      <c r="AT554" s="85">
        <f t="shared" si="490"/>
        <v>513.33000000000004</v>
      </c>
      <c r="AU554" s="82">
        <f t="shared" si="462"/>
        <v>1</v>
      </c>
    </row>
    <row r="555" spans="1:47" ht="45">
      <c r="A555" s="16"/>
      <c r="B555" s="97" t="s">
        <v>1824</v>
      </c>
      <c r="C555" s="167" t="s">
        <v>1825</v>
      </c>
      <c r="D555" s="86" t="s">
        <v>1826</v>
      </c>
      <c r="E555" s="97" t="s">
        <v>28</v>
      </c>
      <c r="F555" s="172">
        <v>308.55</v>
      </c>
      <c r="G555" s="97">
        <v>2</v>
      </c>
      <c r="H555" s="85">
        <f t="shared" si="463"/>
        <v>617.1</v>
      </c>
      <c r="I555" s="50">
        <f t="shared" si="477"/>
        <v>0</v>
      </c>
      <c r="J555" s="85">
        <f t="shared" si="478"/>
        <v>0</v>
      </c>
      <c r="K555" s="82" t="str">
        <f t="shared" si="448"/>
        <v/>
      </c>
      <c r="L555" s="50"/>
      <c r="M555" s="85">
        <f t="shared" si="479"/>
        <v>0</v>
      </c>
      <c r="N555" s="82" t="str">
        <f t="shared" si="449"/>
        <v/>
      </c>
      <c r="O555" s="50"/>
      <c r="P555" s="85">
        <f t="shared" si="480"/>
        <v>0</v>
      </c>
      <c r="Q555" s="82" t="str">
        <f t="shared" si="450"/>
        <v/>
      </c>
      <c r="R555" s="50"/>
      <c r="S555" s="85">
        <f t="shared" si="481"/>
        <v>0</v>
      </c>
      <c r="T555" s="82" t="str">
        <f t="shared" si="451"/>
        <v/>
      </c>
      <c r="U555" s="50"/>
      <c r="V555" s="85">
        <f t="shared" si="482"/>
        <v>0</v>
      </c>
      <c r="W555" s="82" t="str">
        <f t="shared" si="452"/>
        <v/>
      </c>
      <c r="X555" s="50"/>
      <c r="Y555" s="85">
        <f t="shared" si="483"/>
        <v>0</v>
      </c>
      <c r="Z555" s="82" t="str">
        <f t="shared" si="453"/>
        <v/>
      </c>
      <c r="AA555" s="50"/>
      <c r="AB555" s="85">
        <f t="shared" si="484"/>
        <v>0</v>
      </c>
      <c r="AC555" s="82" t="str">
        <f t="shared" si="454"/>
        <v/>
      </c>
      <c r="AD555" s="50"/>
      <c r="AE555" s="85">
        <f t="shared" si="485"/>
        <v>0</v>
      </c>
      <c r="AF555" s="82" t="str">
        <f t="shared" si="455"/>
        <v/>
      </c>
      <c r="AG555" s="50"/>
      <c r="AH555" s="85">
        <f t="shared" si="486"/>
        <v>0</v>
      </c>
      <c r="AI555" s="82" t="str">
        <f t="shared" si="456"/>
        <v/>
      </c>
      <c r="AJ555" s="50"/>
      <c r="AK555" s="85">
        <f t="shared" si="487"/>
        <v>0</v>
      </c>
      <c r="AL555" s="82" t="str">
        <f t="shared" si="457"/>
        <v/>
      </c>
      <c r="AM555" s="50"/>
      <c r="AN555" s="85">
        <f t="shared" si="488"/>
        <v>0</v>
      </c>
      <c r="AO555" s="82" t="str">
        <f t="shared" si="458"/>
        <v/>
      </c>
      <c r="AP555" s="48">
        <f t="shared" si="459"/>
        <v>0</v>
      </c>
      <c r="AQ555" s="85">
        <f t="shared" si="489"/>
        <v>0</v>
      </c>
      <c r="AR555" s="82" t="str">
        <f t="shared" si="460"/>
        <v/>
      </c>
      <c r="AS555" s="48">
        <f t="shared" si="461"/>
        <v>2</v>
      </c>
      <c r="AT555" s="85">
        <f t="shared" si="490"/>
        <v>617.1</v>
      </c>
      <c r="AU555" s="82">
        <f t="shared" si="462"/>
        <v>1</v>
      </c>
    </row>
    <row r="556" spans="1:47" ht="45">
      <c r="A556" s="16"/>
      <c r="B556" s="97" t="s">
        <v>1827</v>
      </c>
      <c r="C556" s="167" t="s">
        <v>1828</v>
      </c>
      <c r="D556" s="86" t="s">
        <v>1829</v>
      </c>
      <c r="E556" s="97" t="s">
        <v>28</v>
      </c>
      <c r="F556" s="172">
        <v>145.9</v>
      </c>
      <c r="G556" s="97">
        <v>2</v>
      </c>
      <c r="H556" s="85">
        <f t="shared" si="463"/>
        <v>291.8</v>
      </c>
      <c r="I556" s="50">
        <f t="shared" si="477"/>
        <v>0</v>
      </c>
      <c r="J556" s="85">
        <f t="shared" si="478"/>
        <v>0</v>
      </c>
      <c r="K556" s="82" t="str">
        <f t="shared" si="448"/>
        <v/>
      </c>
      <c r="L556" s="50"/>
      <c r="M556" s="85">
        <f t="shared" si="479"/>
        <v>0</v>
      </c>
      <c r="N556" s="82" t="str">
        <f t="shared" si="449"/>
        <v/>
      </c>
      <c r="O556" s="50"/>
      <c r="P556" s="85">
        <f t="shared" si="480"/>
        <v>0</v>
      </c>
      <c r="Q556" s="82" t="str">
        <f t="shared" si="450"/>
        <v/>
      </c>
      <c r="R556" s="50"/>
      <c r="S556" s="85">
        <f t="shared" si="481"/>
        <v>0</v>
      </c>
      <c r="T556" s="82" t="str">
        <f t="shared" si="451"/>
        <v/>
      </c>
      <c r="U556" s="50"/>
      <c r="V556" s="85">
        <f t="shared" si="482"/>
        <v>0</v>
      </c>
      <c r="W556" s="82" t="str">
        <f t="shared" si="452"/>
        <v/>
      </c>
      <c r="X556" s="50"/>
      <c r="Y556" s="85">
        <f t="shared" si="483"/>
        <v>0</v>
      </c>
      <c r="Z556" s="82" t="str">
        <f t="shared" si="453"/>
        <v/>
      </c>
      <c r="AA556" s="50"/>
      <c r="AB556" s="85">
        <f t="shared" si="484"/>
        <v>0</v>
      </c>
      <c r="AC556" s="82" t="str">
        <f t="shared" si="454"/>
        <v/>
      </c>
      <c r="AD556" s="50"/>
      <c r="AE556" s="85">
        <f t="shared" si="485"/>
        <v>0</v>
      </c>
      <c r="AF556" s="82" t="str">
        <f t="shared" si="455"/>
        <v/>
      </c>
      <c r="AG556" s="50"/>
      <c r="AH556" s="85">
        <f t="shared" si="486"/>
        <v>0</v>
      </c>
      <c r="AI556" s="82" t="str">
        <f t="shared" si="456"/>
        <v/>
      </c>
      <c r="AJ556" s="50"/>
      <c r="AK556" s="85">
        <f t="shared" si="487"/>
        <v>0</v>
      </c>
      <c r="AL556" s="82" t="str">
        <f t="shared" si="457"/>
        <v/>
      </c>
      <c r="AM556" s="50"/>
      <c r="AN556" s="85">
        <f t="shared" si="488"/>
        <v>0</v>
      </c>
      <c r="AO556" s="82" t="str">
        <f t="shared" si="458"/>
        <v/>
      </c>
      <c r="AP556" s="48">
        <f t="shared" si="459"/>
        <v>0</v>
      </c>
      <c r="AQ556" s="85">
        <f t="shared" si="489"/>
        <v>0</v>
      </c>
      <c r="AR556" s="82" t="str">
        <f t="shared" si="460"/>
        <v/>
      </c>
      <c r="AS556" s="48">
        <f t="shared" si="461"/>
        <v>2</v>
      </c>
      <c r="AT556" s="85">
        <f t="shared" si="490"/>
        <v>291.8</v>
      </c>
      <c r="AU556" s="82">
        <f t="shared" si="462"/>
        <v>1</v>
      </c>
    </row>
    <row r="557" spans="1:47" ht="30">
      <c r="A557" s="16"/>
      <c r="B557" s="97" t="s">
        <v>1830</v>
      </c>
      <c r="C557" s="167" t="s">
        <v>1749</v>
      </c>
      <c r="D557" s="86" t="s">
        <v>1750</v>
      </c>
      <c r="E557" s="97" t="s">
        <v>28</v>
      </c>
      <c r="F557" s="172">
        <v>198.78</v>
      </c>
      <c r="G557" s="97">
        <v>1</v>
      </c>
      <c r="H557" s="85">
        <f t="shared" si="463"/>
        <v>198.78</v>
      </c>
      <c r="I557" s="50">
        <f t="shared" si="477"/>
        <v>0</v>
      </c>
      <c r="J557" s="85">
        <f t="shared" si="478"/>
        <v>0</v>
      </c>
      <c r="K557" s="82" t="str">
        <f t="shared" si="448"/>
        <v/>
      </c>
      <c r="L557" s="50"/>
      <c r="M557" s="85">
        <f t="shared" si="479"/>
        <v>0</v>
      </c>
      <c r="N557" s="82" t="str">
        <f t="shared" si="449"/>
        <v/>
      </c>
      <c r="O557" s="50"/>
      <c r="P557" s="85">
        <f t="shared" si="480"/>
        <v>0</v>
      </c>
      <c r="Q557" s="82" t="str">
        <f t="shared" si="450"/>
        <v/>
      </c>
      <c r="R557" s="50"/>
      <c r="S557" s="85">
        <f t="shared" si="481"/>
        <v>0</v>
      </c>
      <c r="T557" s="82" t="str">
        <f t="shared" si="451"/>
        <v/>
      </c>
      <c r="U557" s="50"/>
      <c r="V557" s="85">
        <f t="shared" si="482"/>
        <v>0</v>
      </c>
      <c r="W557" s="82" t="str">
        <f t="shared" si="452"/>
        <v/>
      </c>
      <c r="X557" s="50"/>
      <c r="Y557" s="85">
        <f t="shared" si="483"/>
        <v>0</v>
      </c>
      <c r="Z557" s="82" t="str">
        <f t="shared" si="453"/>
        <v/>
      </c>
      <c r="AA557" s="50"/>
      <c r="AB557" s="85">
        <f t="shared" si="484"/>
        <v>0</v>
      </c>
      <c r="AC557" s="82" t="str">
        <f t="shared" si="454"/>
        <v/>
      </c>
      <c r="AD557" s="50"/>
      <c r="AE557" s="85">
        <f t="shared" si="485"/>
        <v>0</v>
      </c>
      <c r="AF557" s="82" t="str">
        <f t="shared" si="455"/>
        <v/>
      </c>
      <c r="AG557" s="50"/>
      <c r="AH557" s="85">
        <f t="shared" si="486"/>
        <v>0</v>
      </c>
      <c r="AI557" s="82" t="str">
        <f t="shared" si="456"/>
        <v/>
      </c>
      <c r="AJ557" s="50"/>
      <c r="AK557" s="85">
        <f t="shared" si="487"/>
        <v>0</v>
      </c>
      <c r="AL557" s="82" t="str">
        <f t="shared" si="457"/>
        <v/>
      </c>
      <c r="AM557" s="50"/>
      <c r="AN557" s="85">
        <f t="shared" si="488"/>
        <v>0</v>
      </c>
      <c r="AO557" s="82" t="str">
        <f t="shared" si="458"/>
        <v/>
      </c>
      <c r="AP557" s="48">
        <f t="shared" si="459"/>
        <v>0</v>
      </c>
      <c r="AQ557" s="85">
        <f t="shared" si="489"/>
        <v>0</v>
      </c>
      <c r="AR557" s="82" t="str">
        <f t="shared" si="460"/>
        <v/>
      </c>
      <c r="AS557" s="48">
        <f t="shared" si="461"/>
        <v>1</v>
      </c>
      <c r="AT557" s="85">
        <f t="shared" si="490"/>
        <v>198.78</v>
      </c>
      <c r="AU557" s="82">
        <f t="shared" si="462"/>
        <v>1</v>
      </c>
    </row>
    <row r="558" spans="1:47" ht="60">
      <c r="A558" s="16"/>
      <c r="B558" s="97" t="s">
        <v>1831</v>
      </c>
      <c r="C558" s="167" t="s">
        <v>1832</v>
      </c>
      <c r="D558" s="86" t="s">
        <v>1833</v>
      </c>
      <c r="E558" s="97" t="s">
        <v>28</v>
      </c>
      <c r="F558" s="172">
        <v>313.57</v>
      </c>
      <c r="G558" s="97">
        <v>3</v>
      </c>
      <c r="H558" s="85">
        <f t="shared" si="463"/>
        <v>940.71</v>
      </c>
      <c r="I558" s="50">
        <f t="shared" si="477"/>
        <v>0</v>
      </c>
      <c r="J558" s="85">
        <f t="shared" si="478"/>
        <v>0</v>
      </c>
      <c r="K558" s="82" t="str">
        <f t="shared" si="448"/>
        <v/>
      </c>
      <c r="L558" s="50"/>
      <c r="M558" s="85">
        <f t="shared" si="479"/>
        <v>0</v>
      </c>
      <c r="N558" s="82" t="str">
        <f t="shared" si="449"/>
        <v/>
      </c>
      <c r="O558" s="50"/>
      <c r="P558" s="85">
        <f t="shared" si="480"/>
        <v>0</v>
      </c>
      <c r="Q558" s="82" t="str">
        <f t="shared" si="450"/>
        <v/>
      </c>
      <c r="R558" s="50"/>
      <c r="S558" s="85">
        <f t="shared" si="481"/>
        <v>0</v>
      </c>
      <c r="T558" s="82" t="str">
        <f t="shared" si="451"/>
        <v/>
      </c>
      <c r="U558" s="50"/>
      <c r="V558" s="85">
        <f t="shared" si="482"/>
        <v>0</v>
      </c>
      <c r="W558" s="82" t="str">
        <f t="shared" si="452"/>
        <v/>
      </c>
      <c r="X558" s="50"/>
      <c r="Y558" s="85">
        <f t="shared" si="483"/>
        <v>0</v>
      </c>
      <c r="Z558" s="82" t="str">
        <f t="shared" si="453"/>
        <v/>
      </c>
      <c r="AA558" s="50"/>
      <c r="AB558" s="85">
        <f t="shared" si="484"/>
        <v>0</v>
      </c>
      <c r="AC558" s="82" t="str">
        <f t="shared" si="454"/>
        <v/>
      </c>
      <c r="AD558" s="50"/>
      <c r="AE558" s="85">
        <f t="shared" si="485"/>
        <v>0</v>
      </c>
      <c r="AF558" s="82" t="str">
        <f t="shared" si="455"/>
        <v/>
      </c>
      <c r="AG558" s="50"/>
      <c r="AH558" s="85">
        <f t="shared" si="486"/>
        <v>0</v>
      </c>
      <c r="AI558" s="82" t="str">
        <f t="shared" si="456"/>
        <v/>
      </c>
      <c r="AJ558" s="50"/>
      <c r="AK558" s="85">
        <f t="shared" si="487"/>
        <v>0</v>
      </c>
      <c r="AL558" s="82" t="str">
        <f t="shared" si="457"/>
        <v/>
      </c>
      <c r="AM558" s="50"/>
      <c r="AN558" s="85">
        <f t="shared" si="488"/>
        <v>0</v>
      </c>
      <c r="AO558" s="82" t="str">
        <f t="shared" si="458"/>
        <v/>
      </c>
      <c r="AP558" s="48">
        <f t="shared" si="459"/>
        <v>0</v>
      </c>
      <c r="AQ558" s="85">
        <f t="shared" si="489"/>
        <v>0</v>
      </c>
      <c r="AR558" s="82" t="str">
        <f t="shared" si="460"/>
        <v/>
      </c>
      <c r="AS558" s="48">
        <f t="shared" si="461"/>
        <v>3</v>
      </c>
      <c r="AT558" s="85">
        <f t="shared" si="490"/>
        <v>940.71</v>
      </c>
      <c r="AU558" s="82">
        <f t="shared" si="462"/>
        <v>1</v>
      </c>
    </row>
    <row r="559" spans="1:47" s="115" customFormat="1" ht="15.75">
      <c r="A559" s="109"/>
      <c r="B559" s="118" t="s">
        <v>1834</v>
      </c>
      <c r="C559" s="1937" t="s">
        <v>1835</v>
      </c>
      <c r="D559" s="1938"/>
      <c r="E559" s="1938"/>
      <c r="F559" s="1938"/>
      <c r="G559" s="1939"/>
      <c r="H559" s="112">
        <f>H560+H568+H573+H578</f>
        <v>101483.25019999999</v>
      </c>
      <c r="I559" s="50">
        <f t="shared" si="477"/>
        <v>0</v>
      </c>
      <c r="J559" s="112">
        <f>J560+J568+J573+J578</f>
        <v>0</v>
      </c>
      <c r="K559" s="113">
        <f>J559/$H559</f>
        <v>0</v>
      </c>
      <c r="L559" s="111"/>
      <c r="M559" s="112">
        <f>M560+M568+M573+M578</f>
        <v>0</v>
      </c>
      <c r="N559" s="113">
        <f>M559/$H559</f>
        <v>0</v>
      </c>
      <c r="O559" s="111"/>
      <c r="P559" s="112">
        <f>P560+P568+P573+P578</f>
        <v>0</v>
      </c>
      <c r="Q559" s="113">
        <f>P559/$H559</f>
        <v>0</v>
      </c>
      <c r="R559" s="111"/>
      <c r="S559" s="112">
        <f>S560+S568+S573+S578</f>
        <v>0</v>
      </c>
      <c r="T559" s="113">
        <f>S559/$H559</f>
        <v>0</v>
      </c>
      <c r="U559" s="111"/>
      <c r="V559" s="112">
        <f>V560+V568+V573+V578</f>
        <v>0</v>
      </c>
      <c r="W559" s="113">
        <f>V559/$H559</f>
        <v>0</v>
      </c>
      <c r="X559" s="111"/>
      <c r="Y559" s="112">
        <f>Y560+Y568+Y573+Y578</f>
        <v>0</v>
      </c>
      <c r="Z559" s="113">
        <f>Y559/$H559</f>
        <v>0</v>
      </c>
      <c r="AA559" s="111"/>
      <c r="AB559" s="112">
        <f>AB560+AB568+AB573+AB578</f>
        <v>0</v>
      </c>
      <c r="AC559" s="113">
        <f>AB559/$H559</f>
        <v>0</v>
      </c>
      <c r="AD559" s="111"/>
      <c r="AE559" s="112">
        <f>AE560+AE568+AE573+AE578</f>
        <v>0</v>
      </c>
      <c r="AF559" s="113">
        <f>AE559/$H559</f>
        <v>0</v>
      </c>
      <c r="AG559" s="111"/>
      <c r="AH559" s="112">
        <f>AH560+AH568+AH573+AH578</f>
        <v>0</v>
      </c>
      <c r="AI559" s="113">
        <f>AH559/$H559</f>
        <v>0</v>
      </c>
      <c r="AJ559" s="111"/>
      <c r="AK559" s="112">
        <f>AK560+AK568+AK573+AK578</f>
        <v>0</v>
      </c>
      <c r="AL559" s="113">
        <f>AK559/$H559</f>
        <v>0</v>
      </c>
      <c r="AM559" s="111"/>
      <c r="AN559" s="112">
        <f>AN560+AN568+AN573+AN578</f>
        <v>0</v>
      </c>
      <c r="AO559" s="113">
        <f>AN559/$H559</f>
        <v>0</v>
      </c>
      <c r="AP559" s="114">
        <f t="shared" si="459"/>
        <v>0</v>
      </c>
      <c r="AQ559" s="112">
        <f>AQ560+AQ568+AQ573+AQ578</f>
        <v>0</v>
      </c>
      <c r="AR559" s="113">
        <f>AQ559/$H559</f>
        <v>0</v>
      </c>
      <c r="AS559" s="114">
        <f t="shared" si="461"/>
        <v>0</v>
      </c>
      <c r="AT559" s="112">
        <f>AT560+AT568+AT573+AT578</f>
        <v>101483.25019999999</v>
      </c>
      <c r="AU559" s="113">
        <f>AT559/$H559</f>
        <v>1</v>
      </c>
    </row>
    <row r="560" spans="1:47" s="136" customFormat="1">
      <c r="A560" s="94"/>
      <c r="B560" s="116" t="s">
        <v>1836</v>
      </c>
      <c r="C560" s="1934" t="s">
        <v>1837</v>
      </c>
      <c r="D560" s="1935"/>
      <c r="E560" s="1935"/>
      <c r="F560" s="1935"/>
      <c r="G560" s="1936"/>
      <c r="H560" s="134">
        <f>SUM(H561:H567)</f>
        <v>55586.429999999993</v>
      </c>
      <c r="I560" s="50">
        <f t="shared" si="477"/>
        <v>0</v>
      </c>
      <c r="J560" s="134">
        <f>SUM(J561:J567)</f>
        <v>0</v>
      </c>
      <c r="K560" s="102">
        <f>J560/$H560</f>
        <v>0</v>
      </c>
      <c r="L560" s="133"/>
      <c r="M560" s="134">
        <f>SUM(M561:M567)</f>
        <v>0</v>
      </c>
      <c r="N560" s="102">
        <f>M560/$H560</f>
        <v>0</v>
      </c>
      <c r="O560" s="133"/>
      <c r="P560" s="134">
        <f>SUM(P561:P567)</f>
        <v>0</v>
      </c>
      <c r="Q560" s="102">
        <f>P560/$H560</f>
        <v>0</v>
      </c>
      <c r="R560" s="133"/>
      <c r="S560" s="134">
        <f>SUM(S561:S567)</f>
        <v>0</v>
      </c>
      <c r="T560" s="102">
        <f>S560/$H560</f>
        <v>0</v>
      </c>
      <c r="U560" s="133"/>
      <c r="V560" s="134">
        <f>SUM(V561:V567)</f>
        <v>0</v>
      </c>
      <c r="W560" s="102">
        <f>V560/$H560</f>
        <v>0</v>
      </c>
      <c r="X560" s="133"/>
      <c r="Y560" s="134">
        <f>SUM(Y561:Y567)</f>
        <v>0</v>
      </c>
      <c r="Z560" s="102">
        <f>Y560/$H560</f>
        <v>0</v>
      </c>
      <c r="AA560" s="133"/>
      <c r="AB560" s="134">
        <f>SUM(AB561:AB567)</f>
        <v>0</v>
      </c>
      <c r="AC560" s="102">
        <f>AB560/$H560</f>
        <v>0</v>
      </c>
      <c r="AD560" s="133"/>
      <c r="AE560" s="134">
        <f>SUM(AE561:AE567)</f>
        <v>0</v>
      </c>
      <c r="AF560" s="102">
        <f>AE560/$H560</f>
        <v>0</v>
      </c>
      <c r="AG560" s="133"/>
      <c r="AH560" s="134">
        <f>SUM(AH561:AH567)</f>
        <v>0</v>
      </c>
      <c r="AI560" s="102">
        <f>AH560/$H560</f>
        <v>0</v>
      </c>
      <c r="AJ560" s="133"/>
      <c r="AK560" s="134">
        <f>SUM(AK561:AK567)</f>
        <v>0</v>
      </c>
      <c r="AL560" s="102">
        <f>AK560/$H560</f>
        <v>0</v>
      </c>
      <c r="AM560" s="133"/>
      <c r="AN560" s="134">
        <f>SUM(AN561:AN567)</f>
        <v>0</v>
      </c>
      <c r="AO560" s="102">
        <f>AN560/$H560</f>
        <v>0</v>
      </c>
      <c r="AP560" s="135">
        <f t="shared" si="459"/>
        <v>0</v>
      </c>
      <c r="AQ560" s="134">
        <f>SUM(AQ561:AQ567)</f>
        <v>0</v>
      </c>
      <c r="AR560" s="102">
        <f>AQ560/$H560</f>
        <v>0</v>
      </c>
      <c r="AS560" s="135">
        <f t="shared" si="461"/>
        <v>0</v>
      </c>
      <c r="AT560" s="134">
        <f>SUM(AT561:AT567)</f>
        <v>55586.429999999993</v>
      </c>
      <c r="AU560" s="102">
        <f>AT560/$H560</f>
        <v>1</v>
      </c>
    </row>
    <row r="561" spans="1:56" ht="75">
      <c r="A561" s="16"/>
      <c r="B561" s="97" t="s">
        <v>1838</v>
      </c>
      <c r="C561" s="167" t="s">
        <v>1839</v>
      </c>
      <c r="D561" s="86" t="s">
        <v>1840</v>
      </c>
      <c r="E561" s="97" t="s">
        <v>28</v>
      </c>
      <c r="F561" s="172">
        <v>1171.06</v>
      </c>
      <c r="G561" s="97">
        <v>12</v>
      </c>
      <c r="H561" s="85">
        <f t="shared" ref="H561:H589" si="491">G561*$F561</f>
        <v>14052.72</v>
      </c>
      <c r="I561" s="50">
        <f t="shared" si="477"/>
        <v>0</v>
      </c>
      <c r="J561" s="85">
        <f t="shared" ref="J561:J567" si="492">I561*$F561</f>
        <v>0</v>
      </c>
      <c r="K561" s="82" t="str">
        <f t="shared" si="448"/>
        <v/>
      </c>
      <c r="L561" s="50"/>
      <c r="M561" s="85">
        <f t="shared" ref="M561:M567" si="493">L561*$F561</f>
        <v>0</v>
      </c>
      <c r="N561" s="82" t="str">
        <f t="shared" si="449"/>
        <v/>
      </c>
      <c r="O561" s="50"/>
      <c r="P561" s="85">
        <f t="shared" ref="P561:P567" si="494">O561*$F561</f>
        <v>0</v>
      </c>
      <c r="Q561" s="82" t="str">
        <f t="shared" si="450"/>
        <v/>
      </c>
      <c r="R561" s="50"/>
      <c r="S561" s="85">
        <f t="shared" ref="S561:S567" si="495">R561*$F561</f>
        <v>0</v>
      </c>
      <c r="T561" s="82" t="str">
        <f t="shared" si="451"/>
        <v/>
      </c>
      <c r="U561" s="50"/>
      <c r="V561" s="85">
        <f t="shared" ref="V561:V567" si="496">U561*$F561</f>
        <v>0</v>
      </c>
      <c r="W561" s="82" t="str">
        <f t="shared" si="452"/>
        <v/>
      </c>
      <c r="X561" s="50"/>
      <c r="Y561" s="85">
        <f t="shared" ref="Y561:Y567" si="497">X561*$F561</f>
        <v>0</v>
      </c>
      <c r="Z561" s="82" t="str">
        <f t="shared" si="453"/>
        <v/>
      </c>
      <c r="AA561" s="50"/>
      <c r="AB561" s="85">
        <f t="shared" ref="AB561:AB567" si="498">AA561*$F561</f>
        <v>0</v>
      </c>
      <c r="AC561" s="82" t="str">
        <f t="shared" si="454"/>
        <v/>
      </c>
      <c r="AD561" s="50"/>
      <c r="AE561" s="85">
        <f t="shared" ref="AE561:AE567" si="499">AD561*$F561</f>
        <v>0</v>
      </c>
      <c r="AF561" s="82" t="str">
        <f t="shared" si="455"/>
        <v/>
      </c>
      <c r="AG561" s="50"/>
      <c r="AH561" s="85">
        <f t="shared" ref="AH561:AH567" si="500">AG561*$F561</f>
        <v>0</v>
      </c>
      <c r="AI561" s="82" t="str">
        <f t="shared" si="456"/>
        <v/>
      </c>
      <c r="AJ561" s="50"/>
      <c r="AK561" s="85">
        <f t="shared" ref="AK561:AK567" si="501">AJ561*$F561</f>
        <v>0</v>
      </c>
      <c r="AL561" s="82" t="str">
        <f t="shared" si="457"/>
        <v/>
      </c>
      <c r="AM561" s="50"/>
      <c r="AN561" s="85">
        <f t="shared" ref="AN561:AN567" si="502">AM561*$F561</f>
        <v>0</v>
      </c>
      <c r="AO561" s="82" t="str">
        <f t="shared" si="458"/>
        <v/>
      </c>
      <c r="AP561" s="48">
        <f t="shared" si="459"/>
        <v>0</v>
      </c>
      <c r="AQ561" s="85">
        <f t="shared" ref="AQ561:AQ567" si="503">AP561*$F561</f>
        <v>0</v>
      </c>
      <c r="AR561" s="82" t="str">
        <f t="shared" si="460"/>
        <v/>
      </c>
      <c r="AS561" s="48">
        <f t="shared" si="461"/>
        <v>12</v>
      </c>
      <c r="AT561" s="85">
        <f t="shared" ref="AT561:AT567" si="504">AS561*$F561</f>
        <v>14052.72</v>
      </c>
      <c r="AU561" s="82">
        <f t="shared" si="462"/>
        <v>1</v>
      </c>
    </row>
    <row r="562" spans="1:56" ht="105">
      <c r="A562" s="16"/>
      <c r="B562" s="97" t="s">
        <v>1841</v>
      </c>
      <c r="C562" s="167" t="s">
        <v>248</v>
      </c>
      <c r="D562" s="86" t="s">
        <v>249</v>
      </c>
      <c r="E562" s="97" t="s">
        <v>28</v>
      </c>
      <c r="F562" s="172">
        <v>2597.0700000000002</v>
      </c>
      <c r="G562" s="97">
        <v>5</v>
      </c>
      <c r="H562" s="85">
        <f t="shared" si="491"/>
        <v>12985.35</v>
      </c>
      <c r="I562" s="50">
        <f t="shared" si="477"/>
        <v>0</v>
      </c>
      <c r="J562" s="85">
        <f t="shared" si="492"/>
        <v>0</v>
      </c>
      <c r="K562" s="82" t="str">
        <f t="shared" si="448"/>
        <v/>
      </c>
      <c r="L562" s="50"/>
      <c r="M562" s="85">
        <f t="shared" si="493"/>
        <v>0</v>
      </c>
      <c r="N562" s="82" t="str">
        <f t="shared" si="449"/>
        <v/>
      </c>
      <c r="O562" s="50"/>
      <c r="P562" s="85">
        <f t="shared" si="494"/>
        <v>0</v>
      </c>
      <c r="Q562" s="82" t="str">
        <f t="shared" si="450"/>
        <v/>
      </c>
      <c r="R562" s="50"/>
      <c r="S562" s="85">
        <f t="shared" si="495"/>
        <v>0</v>
      </c>
      <c r="T562" s="82" t="str">
        <f t="shared" si="451"/>
        <v/>
      </c>
      <c r="U562" s="50"/>
      <c r="V562" s="85">
        <f t="shared" si="496"/>
        <v>0</v>
      </c>
      <c r="W562" s="82" t="str">
        <f t="shared" si="452"/>
        <v/>
      </c>
      <c r="X562" s="50"/>
      <c r="Y562" s="85">
        <f t="shared" si="497"/>
        <v>0</v>
      </c>
      <c r="Z562" s="82" t="str">
        <f t="shared" si="453"/>
        <v/>
      </c>
      <c r="AA562" s="50"/>
      <c r="AB562" s="85">
        <f t="shared" si="498"/>
        <v>0</v>
      </c>
      <c r="AC562" s="82" t="str">
        <f t="shared" si="454"/>
        <v/>
      </c>
      <c r="AD562" s="50"/>
      <c r="AE562" s="85">
        <f t="shared" si="499"/>
        <v>0</v>
      </c>
      <c r="AF562" s="82" t="str">
        <f t="shared" si="455"/>
        <v/>
      </c>
      <c r="AG562" s="50"/>
      <c r="AH562" s="85">
        <f t="shared" si="500"/>
        <v>0</v>
      </c>
      <c r="AI562" s="82" t="str">
        <f t="shared" si="456"/>
        <v/>
      </c>
      <c r="AJ562" s="50"/>
      <c r="AK562" s="85">
        <f t="shared" si="501"/>
        <v>0</v>
      </c>
      <c r="AL562" s="82" t="str">
        <f t="shared" si="457"/>
        <v/>
      </c>
      <c r="AM562" s="50"/>
      <c r="AN562" s="85">
        <f t="shared" si="502"/>
        <v>0</v>
      </c>
      <c r="AO562" s="82" t="str">
        <f t="shared" si="458"/>
        <v/>
      </c>
      <c r="AP562" s="48">
        <f t="shared" si="459"/>
        <v>0</v>
      </c>
      <c r="AQ562" s="85">
        <f t="shared" si="503"/>
        <v>0</v>
      </c>
      <c r="AR562" s="82" t="str">
        <f t="shared" si="460"/>
        <v/>
      </c>
      <c r="AS562" s="48">
        <f t="shared" si="461"/>
        <v>5</v>
      </c>
      <c r="AT562" s="85">
        <f t="shared" si="504"/>
        <v>12985.35</v>
      </c>
      <c r="AU562" s="82">
        <f t="shared" si="462"/>
        <v>1</v>
      </c>
    </row>
    <row r="563" spans="1:56" ht="105">
      <c r="A563" s="16"/>
      <c r="B563" s="97" t="s">
        <v>1842</v>
      </c>
      <c r="C563" s="167" t="s">
        <v>1843</v>
      </c>
      <c r="D563" s="86" t="s">
        <v>1844</v>
      </c>
      <c r="E563" s="97" t="s">
        <v>28</v>
      </c>
      <c r="F563" s="172">
        <v>1746.28</v>
      </c>
      <c r="G563" s="97">
        <v>1</v>
      </c>
      <c r="H563" s="85">
        <f t="shared" si="491"/>
        <v>1746.28</v>
      </c>
      <c r="I563" s="50">
        <f t="shared" si="477"/>
        <v>0</v>
      </c>
      <c r="J563" s="85">
        <f t="shared" si="492"/>
        <v>0</v>
      </c>
      <c r="K563" s="82" t="str">
        <f t="shared" si="448"/>
        <v/>
      </c>
      <c r="L563" s="50"/>
      <c r="M563" s="85">
        <f t="shared" si="493"/>
        <v>0</v>
      </c>
      <c r="N563" s="82" t="str">
        <f t="shared" si="449"/>
        <v/>
      </c>
      <c r="O563" s="50"/>
      <c r="P563" s="85">
        <f t="shared" si="494"/>
        <v>0</v>
      </c>
      <c r="Q563" s="82" t="str">
        <f t="shared" si="450"/>
        <v/>
      </c>
      <c r="R563" s="50"/>
      <c r="S563" s="85">
        <f t="shared" si="495"/>
        <v>0</v>
      </c>
      <c r="T563" s="82" t="str">
        <f t="shared" si="451"/>
        <v/>
      </c>
      <c r="U563" s="50"/>
      <c r="V563" s="85">
        <f t="shared" si="496"/>
        <v>0</v>
      </c>
      <c r="W563" s="82" t="str">
        <f t="shared" si="452"/>
        <v/>
      </c>
      <c r="X563" s="50"/>
      <c r="Y563" s="85">
        <f t="shared" si="497"/>
        <v>0</v>
      </c>
      <c r="Z563" s="82" t="str">
        <f t="shared" si="453"/>
        <v/>
      </c>
      <c r="AA563" s="50"/>
      <c r="AB563" s="85">
        <f t="shared" si="498"/>
        <v>0</v>
      </c>
      <c r="AC563" s="82" t="str">
        <f t="shared" si="454"/>
        <v/>
      </c>
      <c r="AD563" s="50"/>
      <c r="AE563" s="85">
        <f t="shared" si="499"/>
        <v>0</v>
      </c>
      <c r="AF563" s="82" t="str">
        <f t="shared" si="455"/>
        <v/>
      </c>
      <c r="AG563" s="50"/>
      <c r="AH563" s="85">
        <f t="shared" si="500"/>
        <v>0</v>
      </c>
      <c r="AI563" s="82" t="str">
        <f t="shared" si="456"/>
        <v/>
      </c>
      <c r="AJ563" s="50"/>
      <c r="AK563" s="85">
        <f t="shared" si="501"/>
        <v>0</v>
      </c>
      <c r="AL563" s="82" t="str">
        <f t="shared" si="457"/>
        <v/>
      </c>
      <c r="AM563" s="50"/>
      <c r="AN563" s="85">
        <f t="shared" si="502"/>
        <v>0</v>
      </c>
      <c r="AO563" s="82" t="str">
        <f t="shared" si="458"/>
        <v/>
      </c>
      <c r="AP563" s="48">
        <f t="shared" si="459"/>
        <v>0</v>
      </c>
      <c r="AQ563" s="85">
        <f t="shared" si="503"/>
        <v>0</v>
      </c>
      <c r="AR563" s="82" t="str">
        <f t="shared" si="460"/>
        <v/>
      </c>
      <c r="AS563" s="48">
        <f t="shared" si="461"/>
        <v>1</v>
      </c>
      <c r="AT563" s="85">
        <f t="shared" si="504"/>
        <v>1746.28</v>
      </c>
      <c r="AU563" s="82">
        <f t="shared" si="462"/>
        <v>1</v>
      </c>
    </row>
    <row r="564" spans="1:56" ht="45">
      <c r="A564" s="16"/>
      <c r="B564" s="97" t="s">
        <v>1845</v>
      </c>
      <c r="C564" s="167" t="s">
        <v>1846</v>
      </c>
      <c r="D564" s="86" t="s">
        <v>1847</v>
      </c>
      <c r="E564" s="97" t="s">
        <v>28</v>
      </c>
      <c r="F564" s="172">
        <v>423.98</v>
      </c>
      <c r="G564" s="97">
        <v>1</v>
      </c>
      <c r="H564" s="85">
        <f t="shared" si="491"/>
        <v>423.98</v>
      </c>
      <c r="I564" s="50">
        <f t="shared" si="477"/>
        <v>0</v>
      </c>
      <c r="J564" s="85">
        <f t="shared" si="492"/>
        <v>0</v>
      </c>
      <c r="K564" s="82" t="str">
        <f t="shared" si="448"/>
        <v/>
      </c>
      <c r="L564" s="50"/>
      <c r="M564" s="85">
        <f t="shared" si="493"/>
        <v>0</v>
      </c>
      <c r="N564" s="82" t="str">
        <f t="shared" si="449"/>
        <v/>
      </c>
      <c r="O564" s="50"/>
      <c r="P564" s="85">
        <f t="shared" si="494"/>
        <v>0</v>
      </c>
      <c r="Q564" s="82" t="str">
        <f t="shared" si="450"/>
        <v/>
      </c>
      <c r="R564" s="50"/>
      <c r="S564" s="85">
        <f t="shared" si="495"/>
        <v>0</v>
      </c>
      <c r="T564" s="82" t="str">
        <f t="shared" si="451"/>
        <v/>
      </c>
      <c r="U564" s="50"/>
      <c r="V564" s="85">
        <f t="shared" si="496"/>
        <v>0</v>
      </c>
      <c r="W564" s="82" t="str">
        <f t="shared" si="452"/>
        <v/>
      </c>
      <c r="X564" s="50"/>
      <c r="Y564" s="85">
        <f t="shared" si="497"/>
        <v>0</v>
      </c>
      <c r="Z564" s="82" t="str">
        <f t="shared" si="453"/>
        <v/>
      </c>
      <c r="AA564" s="50"/>
      <c r="AB564" s="85">
        <f t="shared" si="498"/>
        <v>0</v>
      </c>
      <c r="AC564" s="82" t="str">
        <f t="shared" si="454"/>
        <v/>
      </c>
      <c r="AD564" s="50"/>
      <c r="AE564" s="85">
        <f t="shared" si="499"/>
        <v>0</v>
      </c>
      <c r="AF564" s="82" t="str">
        <f t="shared" si="455"/>
        <v/>
      </c>
      <c r="AG564" s="50"/>
      <c r="AH564" s="85">
        <f t="shared" si="500"/>
        <v>0</v>
      </c>
      <c r="AI564" s="82" t="str">
        <f t="shared" si="456"/>
        <v/>
      </c>
      <c r="AJ564" s="50"/>
      <c r="AK564" s="85">
        <f t="shared" si="501"/>
        <v>0</v>
      </c>
      <c r="AL564" s="82" t="str">
        <f t="shared" si="457"/>
        <v/>
      </c>
      <c r="AM564" s="50"/>
      <c r="AN564" s="85">
        <f t="shared" si="502"/>
        <v>0</v>
      </c>
      <c r="AO564" s="82" t="str">
        <f t="shared" si="458"/>
        <v/>
      </c>
      <c r="AP564" s="48">
        <f t="shared" si="459"/>
        <v>0</v>
      </c>
      <c r="AQ564" s="85">
        <f t="shared" si="503"/>
        <v>0</v>
      </c>
      <c r="AR564" s="82" t="str">
        <f t="shared" si="460"/>
        <v/>
      </c>
      <c r="AS564" s="48">
        <f t="shared" si="461"/>
        <v>1</v>
      </c>
      <c r="AT564" s="85">
        <f t="shared" si="504"/>
        <v>423.98</v>
      </c>
      <c r="AU564" s="82">
        <f t="shared" si="462"/>
        <v>1</v>
      </c>
    </row>
    <row r="565" spans="1:56" ht="60">
      <c r="A565" s="16"/>
      <c r="B565" s="97" t="s">
        <v>1848</v>
      </c>
      <c r="C565" s="167" t="s">
        <v>1849</v>
      </c>
      <c r="D565" s="86" t="s">
        <v>1850</v>
      </c>
      <c r="E565" s="97" t="s">
        <v>28</v>
      </c>
      <c r="F565" s="172">
        <v>1436.83</v>
      </c>
      <c r="G565" s="97">
        <v>9</v>
      </c>
      <c r="H565" s="85">
        <f t="shared" si="491"/>
        <v>12931.47</v>
      </c>
      <c r="I565" s="50">
        <f t="shared" si="477"/>
        <v>0</v>
      </c>
      <c r="J565" s="85">
        <f t="shared" si="492"/>
        <v>0</v>
      </c>
      <c r="K565" s="82" t="str">
        <f t="shared" si="448"/>
        <v/>
      </c>
      <c r="L565" s="50"/>
      <c r="M565" s="85">
        <f t="shared" si="493"/>
        <v>0</v>
      </c>
      <c r="N565" s="82" t="str">
        <f t="shared" si="449"/>
        <v/>
      </c>
      <c r="O565" s="50"/>
      <c r="P565" s="85">
        <f t="shared" si="494"/>
        <v>0</v>
      </c>
      <c r="Q565" s="82" t="str">
        <f t="shared" si="450"/>
        <v/>
      </c>
      <c r="R565" s="50"/>
      <c r="S565" s="85">
        <f t="shared" si="495"/>
        <v>0</v>
      </c>
      <c r="T565" s="82" t="str">
        <f t="shared" si="451"/>
        <v/>
      </c>
      <c r="U565" s="50"/>
      <c r="V565" s="85">
        <f t="shared" si="496"/>
        <v>0</v>
      </c>
      <c r="W565" s="82" t="str">
        <f t="shared" si="452"/>
        <v/>
      </c>
      <c r="X565" s="50"/>
      <c r="Y565" s="85">
        <f t="shared" si="497"/>
        <v>0</v>
      </c>
      <c r="Z565" s="82" t="str">
        <f t="shared" si="453"/>
        <v/>
      </c>
      <c r="AA565" s="50"/>
      <c r="AB565" s="85">
        <f t="shared" si="498"/>
        <v>0</v>
      </c>
      <c r="AC565" s="82" t="str">
        <f t="shared" si="454"/>
        <v/>
      </c>
      <c r="AD565" s="50"/>
      <c r="AE565" s="85">
        <f t="shared" si="499"/>
        <v>0</v>
      </c>
      <c r="AF565" s="82" t="str">
        <f t="shared" si="455"/>
        <v/>
      </c>
      <c r="AG565" s="50"/>
      <c r="AH565" s="85">
        <f t="shared" si="500"/>
        <v>0</v>
      </c>
      <c r="AI565" s="82" t="str">
        <f t="shared" si="456"/>
        <v/>
      </c>
      <c r="AJ565" s="50"/>
      <c r="AK565" s="85">
        <f t="shared" si="501"/>
        <v>0</v>
      </c>
      <c r="AL565" s="82" t="str">
        <f t="shared" si="457"/>
        <v/>
      </c>
      <c r="AM565" s="50"/>
      <c r="AN565" s="85">
        <f t="shared" si="502"/>
        <v>0</v>
      </c>
      <c r="AO565" s="82" t="str">
        <f t="shared" si="458"/>
        <v/>
      </c>
      <c r="AP565" s="48">
        <f t="shared" si="459"/>
        <v>0</v>
      </c>
      <c r="AQ565" s="85">
        <f t="shared" si="503"/>
        <v>0</v>
      </c>
      <c r="AR565" s="82" t="str">
        <f t="shared" si="460"/>
        <v/>
      </c>
      <c r="AS565" s="48">
        <f t="shared" si="461"/>
        <v>9</v>
      </c>
      <c r="AT565" s="85">
        <f t="shared" si="504"/>
        <v>12931.47</v>
      </c>
      <c r="AU565" s="82">
        <f t="shared" si="462"/>
        <v>1</v>
      </c>
    </row>
    <row r="566" spans="1:56" ht="75">
      <c r="A566" s="16"/>
      <c r="B566" s="97" t="s">
        <v>1851</v>
      </c>
      <c r="C566" s="167" t="s">
        <v>1852</v>
      </c>
      <c r="D566" s="86" t="s">
        <v>1853</v>
      </c>
      <c r="E566" s="97" t="s">
        <v>28</v>
      </c>
      <c r="F566" s="172">
        <v>1011.03</v>
      </c>
      <c r="G566" s="97">
        <v>5</v>
      </c>
      <c r="H566" s="85">
        <f t="shared" si="491"/>
        <v>5055.1499999999996</v>
      </c>
      <c r="I566" s="50">
        <f t="shared" si="477"/>
        <v>0</v>
      </c>
      <c r="J566" s="85">
        <f t="shared" si="492"/>
        <v>0</v>
      </c>
      <c r="K566" s="82" t="str">
        <f t="shared" si="448"/>
        <v/>
      </c>
      <c r="L566" s="50"/>
      <c r="M566" s="85">
        <f t="shared" si="493"/>
        <v>0</v>
      </c>
      <c r="N566" s="82" t="str">
        <f t="shared" si="449"/>
        <v/>
      </c>
      <c r="O566" s="50"/>
      <c r="P566" s="85">
        <f t="shared" si="494"/>
        <v>0</v>
      </c>
      <c r="Q566" s="82" t="str">
        <f t="shared" si="450"/>
        <v/>
      </c>
      <c r="R566" s="50"/>
      <c r="S566" s="85">
        <f t="shared" si="495"/>
        <v>0</v>
      </c>
      <c r="T566" s="82" t="str">
        <f t="shared" si="451"/>
        <v/>
      </c>
      <c r="U566" s="50"/>
      <c r="V566" s="85">
        <f t="shared" si="496"/>
        <v>0</v>
      </c>
      <c r="W566" s="82" t="str">
        <f t="shared" si="452"/>
        <v/>
      </c>
      <c r="X566" s="50"/>
      <c r="Y566" s="85">
        <f t="shared" si="497"/>
        <v>0</v>
      </c>
      <c r="Z566" s="82" t="str">
        <f t="shared" si="453"/>
        <v/>
      </c>
      <c r="AA566" s="50"/>
      <c r="AB566" s="85">
        <f t="shared" si="498"/>
        <v>0</v>
      </c>
      <c r="AC566" s="82" t="str">
        <f t="shared" si="454"/>
        <v/>
      </c>
      <c r="AD566" s="50"/>
      <c r="AE566" s="85">
        <f t="shared" si="499"/>
        <v>0</v>
      </c>
      <c r="AF566" s="82" t="str">
        <f t="shared" si="455"/>
        <v/>
      </c>
      <c r="AG566" s="50"/>
      <c r="AH566" s="85">
        <f t="shared" si="500"/>
        <v>0</v>
      </c>
      <c r="AI566" s="82" t="str">
        <f t="shared" si="456"/>
        <v/>
      </c>
      <c r="AJ566" s="50"/>
      <c r="AK566" s="85">
        <f t="shared" si="501"/>
        <v>0</v>
      </c>
      <c r="AL566" s="82" t="str">
        <f t="shared" si="457"/>
        <v/>
      </c>
      <c r="AM566" s="50"/>
      <c r="AN566" s="85">
        <f t="shared" si="502"/>
        <v>0</v>
      </c>
      <c r="AO566" s="82" t="str">
        <f t="shared" si="458"/>
        <v/>
      </c>
      <c r="AP566" s="48">
        <f t="shared" si="459"/>
        <v>0</v>
      </c>
      <c r="AQ566" s="85">
        <f t="shared" si="503"/>
        <v>0</v>
      </c>
      <c r="AR566" s="82" t="str">
        <f t="shared" si="460"/>
        <v/>
      </c>
      <c r="AS566" s="48">
        <f t="shared" si="461"/>
        <v>5</v>
      </c>
      <c r="AT566" s="85">
        <f t="shared" si="504"/>
        <v>5055.1499999999996</v>
      </c>
      <c r="AU566" s="82">
        <f t="shared" si="462"/>
        <v>1</v>
      </c>
    </row>
    <row r="567" spans="1:56" ht="30">
      <c r="A567" s="16"/>
      <c r="B567" s="97" t="s">
        <v>1854</v>
      </c>
      <c r="C567" s="167" t="s">
        <v>1855</v>
      </c>
      <c r="D567" s="86" t="s">
        <v>1856</v>
      </c>
      <c r="E567" s="97" t="s">
        <v>28</v>
      </c>
      <c r="F567" s="172">
        <v>2097.87</v>
      </c>
      <c r="G567" s="97">
        <v>4</v>
      </c>
      <c r="H567" s="85">
        <f t="shared" si="491"/>
        <v>8391.48</v>
      </c>
      <c r="I567" s="50">
        <f t="shared" si="477"/>
        <v>0</v>
      </c>
      <c r="J567" s="85">
        <f t="shared" si="492"/>
        <v>0</v>
      </c>
      <c r="K567" s="82" t="str">
        <f t="shared" si="448"/>
        <v/>
      </c>
      <c r="L567" s="50"/>
      <c r="M567" s="85">
        <f t="shared" si="493"/>
        <v>0</v>
      </c>
      <c r="N567" s="82" t="str">
        <f t="shared" si="449"/>
        <v/>
      </c>
      <c r="O567" s="50"/>
      <c r="P567" s="85">
        <f t="shared" si="494"/>
        <v>0</v>
      </c>
      <c r="Q567" s="82" t="str">
        <f t="shared" si="450"/>
        <v/>
      </c>
      <c r="R567" s="50"/>
      <c r="S567" s="85">
        <f t="shared" si="495"/>
        <v>0</v>
      </c>
      <c r="T567" s="82" t="str">
        <f t="shared" si="451"/>
        <v/>
      </c>
      <c r="U567" s="50"/>
      <c r="V567" s="85">
        <f t="shared" si="496"/>
        <v>0</v>
      </c>
      <c r="W567" s="82" t="str">
        <f t="shared" si="452"/>
        <v/>
      </c>
      <c r="X567" s="50"/>
      <c r="Y567" s="85">
        <f t="shared" si="497"/>
        <v>0</v>
      </c>
      <c r="Z567" s="82" t="str">
        <f t="shared" si="453"/>
        <v/>
      </c>
      <c r="AA567" s="50"/>
      <c r="AB567" s="85">
        <f t="shared" si="498"/>
        <v>0</v>
      </c>
      <c r="AC567" s="82" t="str">
        <f t="shared" si="454"/>
        <v/>
      </c>
      <c r="AD567" s="50"/>
      <c r="AE567" s="85">
        <f t="shared" si="499"/>
        <v>0</v>
      </c>
      <c r="AF567" s="82" t="str">
        <f t="shared" si="455"/>
        <v/>
      </c>
      <c r="AG567" s="50"/>
      <c r="AH567" s="85">
        <f t="shared" si="500"/>
        <v>0</v>
      </c>
      <c r="AI567" s="82" t="str">
        <f t="shared" si="456"/>
        <v/>
      </c>
      <c r="AJ567" s="50"/>
      <c r="AK567" s="85">
        <f t="shared" si="501"/>
        <v>0</v>
      </c>
      <c r="AL567" s="82" t="str">
        <f t="shared" si="457"/>
        <v/>
      </c>
      <c r="AM567" s="50"/>
      <c r="AN567" s="85">
        <f t="shared" si="502"/>
        <v>0</v>
      </c>
      <c r="AO567" s="82" t="str">
        <f t="shared" si="458"/>
        <v/>
      </c>
      <c r="AP567" s="48">
        <f t="shared" si="459"/>
        <v>0</v>
      </c>
      <c r="AQ567" s="85">
        <f t="shared" si="503"/>
        <v>0</v>
      </c>
      <c r="AR567" s="82" t="str">
        <f t="shared" si="460"/>
        <v/>
      </c>
      <c r="AS567" s="48">
        <f t="shared" si="461"/>
        <v>4</v>
      </c>
      <c r="AT567" s="85">
        <f t="shared" si="504"/>
        <v>8391.48</v>
      </c>
      <c r="AU567" s="82">
        <f t="shared" si="462"/>
        <v>1</v>
      </c>
    </row>
    <row r="568" spans="1:56" s="136" customFormat="1">
      <c r="A568" s="94"/>
      <c r="B568" s="116" t="s">
        <v>1857</v>
      </c>
      <c r="C568" s="1934" t="s">
        <v>1858</v>
      </c>
      <c r="D568" s="1935"/>
      <c r="E568" s="1935"/>
      <c r="F568" s="1935"/>
      <c r="G568" s="1936"/>
      <c r="H568" s="134">
        <f>SUM(H569:H572)</f>
        <v>8321.7001999999993</v>
      </c>
      <c r="I568" s="50">
        <f t="shared" si="477"/>
        <v>0</v>
      </c>
      <c r="J568" s="134">
        <f>SUM(J569:J572)</f>
        <v>0</v>
      </c>
      <c r="K568" s="102">
        <f>J568/$H568</f>
        <v>0</v>
      </c>
      <c r="L568" s="133"/>
      <c r="M568" s="134">
        <f>SUM(M569:M572)</f>
        <v>0</v>
      </c>
      <c r="N568" s="102">
        <f>M568/$H568</f>
        <v>0</v>
      </c>
      <c r="O568" s="133"/>
      <c r="P568" s="134">
        <f>SUM(P569:P572)</f>
        <v>0</v>
      </c>
      <c r="Q568" s="102">
        <f>P568/$H568</f>
        <v>0</v>
      </c>
      <c r="R568" s="133"/>
      <c r="S568" s="134">
        <f>SUM(S569:S572)</f>
        <v>0</v>
      </c>
      <c r="T568" s="102">
        <f>S568/$H568</f>
        <v>0</v>
      </c>
      <c r="U568" s="133"/>
      <c r="V568" s="134">
        <f>SUM(V569:V572)</f>
        <v>0</v>
      </c>
      <c r="W568" s="102">
        <f>V568/$H568</f>
        <v>0</v>
      </c>
      <c r="X568" s="133"/>
      <c r="Y568" s="134">
        <f>SUM(Y569:Y572)</f>
        <v>0</v>
      </c>
      <c r="Z568" s="102">
        <f>Y568/$H568</f>
        <v>0</v>
      </c>
      <c r="AA568" s="133"/>
      <c r="AB568" s="134">
        <f>SUM(AB569:AB572)</f>
        <v>0</v>
      </c>
      <c r="AC568" s="102">
        <f>AB568/$H568</f>
        <v>0</v>
      </c>
      <c r="AD568" s="133"/>
      <c r="AE568" s="134">
        <f>SUM(AE569:AE572)</f>
        <v>0</v>
      </c>
      <c r="AF568" s="102">
        <f>AE568/$H568</f>
        <v>0</v>
      </c>
      <c r="AG568" s="133"/>
      <c r="AH568" s="134">
        <f>SUM(AH569:AH572)</f>
        <v>0</v>
      </c>
      <c r="AI568" s="102">
        <f>AH568/$H568</f>
        <v>0</v>
      </c>
      <c r="AJ568" s="133"/>
      <c r="AK568" s="134">
        <f>SUM(AK569:AK572)</f>
        <v>0</v>
      </c>
      <c r="AL568" s="102">
        <f>AK568/$H568</f>
        <v>0</v>
      </c>
      <c r="AM568" s="133"/>
      <c r="AN568" s="134">
        <f>SUM(AN569:AN572)</f>
        <v>0</v>
      </c>
      <c r="AO568" s="102">
        <f>AN568/$H568</f>
        <v>0</v>
      </c>
      <c r="AP568" s="135">
        <f t="shared" si="459"/>
        <v>0</v>
      </c>
      <c r="AQ568" s="134">
        <f>SUM(AQ569:AQ572)</f>
        <v>0</v>
      </c>
      <c r="AR568" s="102">
        <f>AQ568/$H568</f>
        <v>0</v>
      </c>
      <c r="AS568" s="135">
        <f t="shared" si="461"/>
        <v>0</v>
      </c>
      <c r="AT568" s="134">
        <f>SUM(AT569:AT572)</f>
        <v>8321.7001999999993</v>
      </c>
      <c r="AU568" s="102">
        <f>AT568/$H568</f>
        <v>1</v>
      </c>
    </row>
    <row r="569" spans="1:56" ht="30">
      <c r="A569" s="16"/>
      <c r="B569" s="97" t="s">
        <v>1859</v>
      </c>
      <c r="C569" s="167" t="s">
        <v>1860</v>
      </c>
      <c r="D569" s="86" t="s">
        <v>1861</v>
      </c>
      <c r="E569" s="97" t="s">
        <v>12</v>
      </c>
      <c r="F569" s="172">
        <v>680.05</v>
      </c>
      <c r="G569" s="97">
        <v>6.82</v>
      </c>
      <c r="H569" s="85">
        <f t="shared" si="491"/>
        <v>4637.9409999999998</v>
      </c>
      <c r="I569" s="50">
        <f t="shared" si="477"/>
        <v>0</v>
      </c>
      <c r="J569" s="85">
        <f>I569*$F569</f>
        <v>0</v>
      </c>
      <c r="K569" s="82" t="str">
        <f t="shared" si="448"/>
        <v/>
      </c>
      <c r="L569" s="50"/>
      <c r="M569" s="85">
        <f>L569*$F569</f>
        <v>0</v>
      </c>
      <c r="N569" s="82" t="str">
        <f t="shared" si="449"/>
        <v/>
      </c>
      <c r="O569" s="50"/>
      <c r="P569" s="85">
        <f>O569*$F569</f>
        <v>0</v>
      </c>
      <c r="Q569" s="82" t="str">
        <f t="shared" si="450"/>
        <v/>
      </c>
      <c r="R569" s="50"/>
      <c r="S569" s="85">
        <f>R569*$F569</f>
        <v>0</v>
      </c>
      <c r="T569" s="82" t="str">
        <f t="shared" si="451"/>
        <v/>
      </c>
      <c r="U569" s="50"/>
      <c r="V569" s="85">
        <f>U569*$F569</f>
        <v>0</v>
      </c>
      <c r="W569" s="82" t="str">
        <f t="shared" si="452"/>
        <v/>
      </c>
      <c r="X569" s="50"/>
      <c r="Y569" s="85">
        <f>X569*$F569</f>
        <v>0</v>
      </c>
      <c r="Z569" s="82" t="str">
        <f t="shared" si="453"/>
        <v/>
      </c>
      <c r="AA569" s="50"/>
      <c r="AB569" s="85">
        <f>AA569*$F569</f>
        <v>0</v>
      </c>
      <c r="AC569" s="82" t="str">
        <f t="shared" si="454"/>
        <v/>
      </c>
      <c r="AD569" s="50"/>
      <c r="AE569" s="85">
        <f>AD569*$F569</f>
        <v>0</v>
      </c>
      <c r="AF569" s="82" t="str">
        <f t="shared" si="455"/>
        <v/>
      </c>
      <c r="AG569" s="50"/>
      <c r="AH569" s="85">
        <f>AG569*$F569</f>
        <v>0</v>
      </c>
      <c r="AI569" s="82" t="str">
        <f t="shared" si="456"/>
        <v/>
      </c>
      <c r="AJ569" s="50"/>
      <c r="AK569" s="85">
        <f>AJ569*$F569</f>
        <v>0</v>
      </c>
      <c r="AL569" s="82" t="str">
        <f t="shared" si="457"/>
        <v/>
      </c>
      <c r="AM569" s="50"/>
      <c r="AN569" s="85">
        <f>AM569*$F569</f>
        <v>0</v>
      </c>
      <c r="AO569" s="82" t="str">
        <f t="shared" si="458"/>
        <v/>
      </c>
      <c r="AP569" s="48">
        <f t="shared" si="459"/>
        <v>0</v>
      </c>
      <c r="AQ569" s="85">
        <f>AP569*$F569</f>
        <v>0</v>
      </c>
      <c r="AR569" s="82" t="str">
        <f t="shared" si="460"/>
        <v/>
      </c>
      <c r="AS569" s="48">
        <f t="shared" si="461"/>
        <v>6.82</v>
      </c>
      <c r="AT569" s="85">
        <f>AS569*$F569</f>
        <v>4637.9409999999998</v>
      </c>
      <c r="AU569" s="82">
        <f t="shared" si="462"/>
        <v>1</v>
      </c>
    </row>
    <row r="570" spans="1:56" ht="90">
      <c r="A570" s="16"/>
      <c r="B570" s="97" t="s">
        <v>1862</v>
      </c>
      <c r="C570" s="167" t="s">
        <v>1863</v>
      </c>
      <c r="D570" s="86" t="s">
        <v>1864</v>
      </c>
      <c r="E570" s="97" t="s">
        <v>44</v>
      </c>
      <c r="F570" s="172">
        <v>82.7</v>
      </c>
      <c r="G570" s="97">
        <v>23.31</v>
      </c>
      <c r="H570" s="85">
        <f t="shared" si="491"/>
        <v>1927.7369999999999</v>
      </c>
      <c r="I570" s="50">
        <f t="shared" si="477"/>
        <v>0</v>
      </c>
      <c r="J570" s="85">
        <f>I570*$F570</f>
        <v>0</v>
      </c>
      <c r="K570" s="82" t="str">
        <f t="shared" si="448"/>
        <v/>
      </c>
      <c r="L570" s="50"/>
      <c r="M570" s="85">
        <f>L570*$F570</f>
        <v>0</v>
      </c>
      <c r="N570" s="82" t="str">
        <f t="shared" si="449"/>
        <v/>
      </c>
      <c r="O570" s="50"/>
      <c r="P570" s="85">
        <f>O570*$F570</f>
        <v>0</v>
      </c>
      <c r="Q570" s="82" t="str">
        <f t="shared" si="450"/>
        <v/>
      </c>
      <c r="R570" s="50"/>
      <c r="S570" s="85">
        <f>R570*$F570</f>
        <v>0</v>
      </c>
      <c r="T570" s="82" t="str">
        <f t="shared" si="451"/>
        <v/>
      </c>
      <c r="U570" s="50"/>
      <c r="V570" s="85">
        <f>U570*$F570</f>
        <v>0</v>
      </c>
      <c r="W570" s="82" t="str">
        <f t="shared" si="452"/>
        <v/>
      </c>
      <c r="X570" s="50"/>
      <c r="Y570" s="85">
        <f>X570*$F570</f>
        <v>0</v>
      </c>
      <c r="Z570" s="82" t="str">
        <f t="shared" si="453"/>
        <v/>
      </c>
      <c r="AA570" s="50"/>
      <c r="AB570" s="85">
        <f>AA570*$F570</f>
        <v>0</v>
      </c>
      <c r="AC570" s="82" t="str">
        <f t="shared" si="454"/>
        <v/>
      </c>
      <c r="AD570" s="50"/>
      <c r="AE570" s="85">
        <f>AD570*$F570</f>
        <v>0</v>
      </c>
      <c r="AF570" s="82" t="str">
        <f t="shared" si="455"/>
        <v/>
      </c>
      <c r="AG570" s="50"/>
      <c r="AH570" s="85">
        <f>AG570*$F570</f>
        <v>0</v>
      </c>
      <c r="AI570" s="82" t="str">
        <f t="shared" si="456"/>
        <v/>
      </c>
      <c r="AJ570" s="50"/>
      <c r="AK570" s="85">
        <f>AJ570*$F570</f>
        <v>0</v>
      </c>
      <c r="AL570" s="82" t="str">
        <f t="shared" si="457"/>
        <v/>
      </c>
      <c r="AM570" s="50"/>
      <c r="AN570" s="85">
        <f>AM570*$F570</f>
        <v>0</v>
      </c>
      <c r="AO570" s="82" t="str">
        <f t="shared" si="458"/>
        <v/>
      </c>
      <c r="AP570" s="48">
        <f t="shared" si="459"/>
        <v>0</v>
      </c>
      <c r="AQ570" s="85">
        <f>AP570*$F570</f>
        <v>0</v>
      </c>
      <c r="AR570" s="82" t="str">
        <f t="shared" si="460"/>
        <v/>
      </c>
      <c r="AS570" s="48">
        <f t="shared" si="461"/>
        <v>23.31</v>
      </c>
      <c r="AT570" s="85">
        <f>AS570*$F570</f>
        <v>1927.7369999999999</v>
      </c>
      <c r="AU570" s="82">
        <f t="shared" si="462"/>
        <v>1</v>
      </c>
    </row>
    <row r="571" spans="1:56" ht="90">
      <c r="A571" s="16"/>
      <c r="B571" s="97" t="s">
        <v>1865</v>
      </c>
      <c r="C571" s="167" t="s">
        <v>1866</v>
      </c>
      <c r="D571" s="86" t="s">
        <v>1867</v>
      </c>
      <c r="E571" s="97" t="s">
        <v>44</v>
      </c>
      <c r="F571" s="172">
        <v>63.91</v>
      </c>
      <c r="G571" s="97">
        <v>18.420000000000002</v>
      </c>
      <c r="H571" s="85">
        <f t="shared" si="491"/>
        <v>1177.2222000000002</v>
      </c>
      <c r="I571" s="50">
        <f t="shared" si="477"/>
        <v>0</v>
      </c>
      <c r="J571" s="85">
        <f>I571*$F571</f>
        <v>0</v>
      </c>
      <c r="K571" s="82" t="str">
        <f t="shared" si="448"/>
        <v/>
      </c>
      <c r="L571" s="50"/>
      <c r="M571" s="85">
        <f>L571*$F571</f>
        <v>0</v>
      </c>
      <c r="N571" s="82" t="str">
        <f t="shared" si="449"/>
        <v/>
      </c>
      <c r="O571" s="50"/>
      <c r="P571" s="85">
        <f>O571*$F571</f>
        <v>0</v>
      </c>
      <c r="Q571" s="82" t="str">
        <f t="shared" si="450"/>
        <v/>
      </c>
      <c r="R571" s="50"/>
      <c r="S571" s="85">
        <f>R571*$F571</f>
        <v>0</v>
      </c>
      <c r="T571" s="82" t="str">
        <f t="shared" si="451"/>
        <v/>
      </c>
      <c r="U571" s="50"/>
      <c r="V571" s="85">
        <f>U571*$F571</f>
        <v>0</v>
      </c>
      <c r="W571" s="82" t="str">
        <f t="shared" si="452"/>
        <v/>
      </c>
      <c r="X571" s="50"/>
      <c r="Y571" s="85">
        <f>X571*$F571</f>
        <v>0</v>
      </c>
      <c r="Z571" s="82" t="str">
        <f t="shared" si="453"/>
        <v/>
      </c>
      <c r="AA571" s="50"/>
      <c r="AB571" s="85">
        <f>AA571*$F571</f>
        <v>0</v>
      </c>
      <c r="AC571" s="82" t="str">
        <f t="shared" si="454"/>
        <v/>
      </c>
      <c r="AD571" s="50"/>
      <c r="AE571" s="85">
        <f>AD571*$F571</f>
        <v>0</v>
      </c>
      <c r="AF571" s="82" t="str">
        <f t="shared" si="455"/>
        <v/>
      </c>
      <c r="AG571" s="50"/>
      <c r="AH571" s="85">
        <f>AG571*$F571</f>
        <v>0</v>
      </c>
      <c r="AI571" s="82" t="str">
        <f t="shared" si="456"/>
        <v/>
      </c>
      <c r="AJ571" s="50"/>
      <c r="AK571" s="85">
        <f>AJ571*$F571</f>
        <v>0</v>
      </c>
      <c r="AL571" s="82" t="str">
        <f t="shared" si="457"/>
        <v/>
      </c>
      <c r="AM571" s="50"/>
      <c r="AN571" s="85">
        <f>AM571*$F571</f>
        <v>0</v>
      </c>
      <c r="AO571" s="82" t="str">
        <f t="shared" si="458"/>
        <v/>
      </c>
      <c r="AP571" s="48">
        <f t="shared" si="459"/>
        <v>0</v>
      </c>
      <c r="AQ571" s="85">
        <f>AP571*$F571</f>
        <v>0</v>
      </c>
      <c r="AR571" s="82" t="str">
        <f t="shared" si="460"/>
        <v/>
      </c>
      <c r="AS571" s="48">
        <f t="shared" si="461"/>
        <v>18.420000000000002</v>
      </c>
      <c r="AT571" s="85">
        <f>AS571*$F571</f>
        <v>1177.2222000000002</v>
      </c>
      <c r="AU571" s="82">
        <f t="shared" si="462"/>
        <v>1</v>
      </c>
    </row>
    <row r="572" spans="1:56" ht="90">
      <c r="A572" s="16"/>
      <c r="B572" s="97" t="s">
        <v>1868</v>
      </c>
      <c r="C572" s="167" t="s">
        <v>1869</v>
      </c>
      <c r="D572" s="86" t="s">
        <v>1870</v>
      </c>
      <c r="E572" s="97" t="s">
        <v>28</v>
      </c>
      <c r="F572" s="172">
        <v>72.349999999999994</v>
      </c>
      <c r="G572" s="97">
        <v>8</v>
      </c>
      <c r="H572" s="85">
        <f t="shared" si="491"/>
        <v>578.79999999999995</v>
      </c>
      <c r="I572" s="50">
        <f t="shared" si="477"/>
        <v>0</v>
      </c>
      <c r="J572" s="85">
        <f>I572*$F572</f>
        <v>0</v>
      </c>
      <c r="K572" s="82" t="str">
        <f t="shared" si="448"/>
        <v/>
      </c>
      <c r="L572" s="50"/>
      <c r="M572" s="85">
        <f>L572*$F572</f>
        <v>0</v>
      </c>
      <c r="N572" s="82" t="str">
        <f t="shared" si="449"/>
        <v/>
      </c>
      <c r="O572" s="50"/>
      <c r="P572" s="85">
        <f>O572*$F572</f>
        <v>0</v>
      </c>
      <c r="Q572" s="82" t="str">
        <f t="shared" si="450"/>
        <v/>
      </c>
      <c r="R572" s="50"/>
      <c r="S572" s="85">
        <f>R572*$F572</f>
        <v>0</v>
      </c>
      <c r="T572" s="82" t="str">
        <f t="shared" si="451"/>
        <v/>
      </c>
      <c r="U572" s="50"/>
      <c r="V572" s="85">
        <f>U572*$F572</f>
        <v>0</v>
      </c>
      <c r="W572" s="82" t="str">
        <f t="shared" si="452"/>
        <v/>
      </c>
      <c r="X572" s="50"/>
      <c r="Y572" s="85">
        <f>X572*$F572</f>
        <v>0</v>
      </c>
      <c r="Z572" s="82" t="str">
        <f t="shared" si="453"/>
        <v/>
      </c>
      <c r="AA572" s="50"/>
      <c r="AB572" s="85">
        <f>AA572*$F572</f>
        <v>0</v>
      </c>
      <c r="AC572" s="82" t="str">
        <f t="shared" si="454"/>
        <v/>
      </c>
      <c r="AD572" s="50"/>
      <c r="AE572" s="85">
        <f>AD572*$F572</f>
        <v>0</v>
      </c>
      <c r="AF572" s="82" t="str">
        <f t="shared" si="455"/>
        <v/>
      </c>
      <c r="AG572" s="50"/>
      <c r="AH572" s="85">
        <f>AG572*$F572</f>
        <v>0</v>
      </c>
      <c r="AI572" s="82" t="str">
        <f t="shared" si="456"/>
        <v/>
      </c>
      <c r="AJ572" s="50"/>
      <c r="AK572" s="85">
        <f>AJ572*$F572</f>
        <v>0</v>
      </c>
      <c r="AL572" s="82" t="str">
        <f t="shared" si="457"/>
        <v/>
      </c>
      <c r="AM572" s="50"/>
      <c r="AN572" s="85">
        <f>AM572*$F572</f>
        <v>0</v>
      </c>
      <c r="AO572" s="82" t="str">
        <f t="shared" si="458"/>
        <v/>
      </c>
      <c r="AP572" s="48">
        <f t="shared" si="459"/>
        <v>0</v>
      </c>
      <c r="AQ572" s="85">
        <f>AP572*$F572</f>
        <v>0</v>
      </c>
      <c r="AR572" s="82" t="str">
        <f t="shared" si="460"/>
        <v/>
      </c>
      <c r="AS572" s="48">
        <f t="shared" si="461"/>
        <v>8</v>
      </c>
      <c r="AT572" s="85">
        <f>AS572*$F572</f>
        <v>578.79999999999995</v>
      </c>
      <c r="AU572" s="82">
        <f t="shared" si="462"/>
        <v>1</v>
      </c>
    </row>
    <row r="573" spans="1:56" s="136" customFormat="1">
      <c r="A573" s="94"/>
      <c r="B573" s="116" t="s">
        <v>1871</v>
      </c>
      <c r="C573" s="1934" t="s">
        <v>1872</v>
      </c>
      <c r="D573" s="1935"/>
      <c r="E573" s="1935"/>
      <c r="F573" s="1935"/>
      <c r="G573" s="1936"/>
      <c r="H573" s="134">
        <f>SUM(H574:H577)</f>
        <v>10696.56</v>
      </c>
      <c r="I573" s="50">
        <f t="shared" si="477"/>
        <v>0</v>
      </c>
      <c r="J573" s="134">
        <f>SUM(J574:J577)</f>
        <v>0</v>
      </c>
      <c r="K573" s="102">
        <f>J573/$H573</f>
        <v>0</v>
      </c>
      <c r="L573" s="133"/>
      <c r="M573" s="134">
        <f>SUM(M574:M577)</f>
        <v>0</v>
      </c>
      <c r="N573" s="102">
        <f>M573/$H573</f>
        <v>0</v>
      </c>
      <c r="O573" s="133"/>
      <c r="P573" s="134">
        <f>SUM(P574:P577)</f>
        <v>0</v>
      </c>
      <c r="Q573" s="102">
        <f>P573/$H573</f>
        <v>0</v>
      </c>
      <c r="R573" s="133"/>
      <c r="S573" s="134">
        <f>SUM(S574:S577)</f>
        <v>0</v>
      </c>
      <c r="T573" s="102">
        <f>S573/$H573</f>
        <v>0</v>
      </c>
      <c r="U573" s="133"/>
      <c r="V573" s="134">
        <f>SUM(V574:V577)</f>
        <v>0</v>
      </c>
      <c r="W573" s="102">
        <f>V573/$H573</f>
        <v>0</v>
      </c>
      <c r="X573" s="133"/>
      <c r="Y573" s="134">
        <f>SUM(Y574:Y577)</f>
        <v>0</v>
      </c>
      <c r="Z573" s="102">
        <f>Y573/$H573</f>
        <v>0</v>
      </c>
      <c r="AA573" s="133"/>
      <c r="AB573" s="134">
        <f>SUM(AB574:AB577)</f>
        <v>0</v>
      </c>
      <c r="AC573" s="102">
        <f>AB573/$H573</f>
        <v>0</v>
      </c>
      <c r="AD573" s="133"/>
      <c r="AE573" s="134">
        <f>SUM(AE574:AE577)</f>
        <v>0</v>
      </c>
      <c r="AF573" s="102">
        <f>AE573/$H573</f>
        <v>0</v>
      </c>
      <c r="AG573" s="133"/>
      <c r="AH573" s="134">
        <f>SUM(AH574:AH577)</f>
        <v>0</v>
      </c>
      <c r="AI573" s="102">
        <f>AH573/$H573</f>
        <v>0</v>
      </c>
      <c r="AJ573" s="133"/>
      <c r="AK573" s="134">
        <f>SUM(AK574:AK577)</f>
        <v>0</v>
      </c>
      <c r="AL573" s="102">
        <f>AK573/$H573</f>
        <v>0</v>
      </c>
      <c r="AM573" s="133"/>
      <c r="AN573" s="134">
        <f>SUM(AN574:AN577)</f>
        <v>0</v>
      </c>
      <c r="AO573" s="102">
        <f>AN573/$H573</f>
        <v>0</v>
      </c>
      <c r="AP573" s="135">
        <f t="shared" si="459"/>
        <v>0</v>
      </c>
      <c r="AQ573" s="134">
        <f>SUM(AQ574:AQ577)</f>
        <v>0</v>
      </c>
      <c r="AR573" s="102">
        <f>AQ573/$H573</f>
        <v>0</v>
      </c>
      <c r="AS573" s="135">
        <f t="shared" si="461"/>
        <v>0</v>
      </c>
      <c r="AT573" s="134">
        <f>SUM(AT574:AT577)</f>
        <v>10696.56</v>
      </c>
      <c r="AU573" s="102">
        <f>AT573/$H573</f>
        <v>1</v>
      </c>
    </row>
    <row r="574" spans="1:56" ht="75">
      <c r="A574" s="16"/>
      <c r="B574" s="97" t="s">
        <v>1873</v>
      </c>
      <c r="C574" s="167" t="s">
        <v>1874</v>
      </c>
      <c r="D574" s="86" t="s">
        <v>1875</v>
      </c>
      <c r="E574" s="97" t="s">
        <v>28</v>
      </c>
      <c r="F574" s="172">
        <v>395.02</v>
      </c>
      <c r="G574" s="97">
        <v>2</v>
      </c>
      <c r="H574" s="85">
        <f t="shared" si="491"/>
        <v>790.04</v>
      </c>
      <c r="I574" s="50">
        <f t="shared" si="477"/>
        <v>0</v>
      </c>
      <c r="J574" s="85">
        <f>I574*$F574</f>
        <v>0</v>
      </c>
      <c r="K574" s="82" t="str">
        <f t="shared" si="448"/>
        <v/>
      </c>
      <c r="L574" s="50"/>
      <c r="M574" s="85">
        <f>L574*$F574</f>
        <v>0</v>
      </c>
      <c r="N574" s="82" t="str">
        <f t="shared" si="449"/>
        <v/>
      </c>
      <c r="O574" s="50"/>
      <c r="P574" s="85">
        <f>O574*$F574</f>
        <v>0</v>
      </c>
      <c r="Q574" s="82" t="str">
        <f t="shared" si="450"/>
        <v/>
      </c>
      <c r="R574" s="50"/>
      <c r="S574" s="85">
        <f>R574*$F574</f>
        <v>0</v>
      </c>
      <c r="T574" s="82" t="str">
        <f t="shared" si="451"/>
        <v/>
      </c>
      <c r="U574" s="50"/>
      <c r="V574" s="85">
        <f>U574*$F574</f>
        <v>0</v>
      </c>
      <c r="W574" s="82" t="str">
        <f t="shared" si="452"/>
        <v/>
      </c>
      <c r="X574" s="50"/>
      <c r="Y574" s="85">
        <f>X574*$F574</f>
        <v>0</v>
      </c>
      <c r="Z574" s="82" t="str">
        <f t="shared" si="453"/>
        <v/>
      </c>
      <c r="AA574" s="50"/>
      <c r="AB574" s="85">
        <f>AA574*$F574</f>
        <v>0</v>
      </c>
      <c r="AC574" s="82" t="str">
        <f t="shared" si="454"/>
        <v/>
      </c>
      <c r="AD574" s="50"/>
      <c r="AE574" s="85">
        <f>AD574*$F574</f>
        <v>0</v>
      </c>
      <c r="AF574" s="82" t="str">
        <f t="shared" si="455"/>
        <v/>
      </c>
      <c r="AG574" s="50"/>
      <c r="AH574" s="85">
        <f>AG574*$F574</f>
        <v>0</v>
      </c>
      <c r="AI574" s="82" t="str">
        <f t="shared" si="456"/>
        <v/>
      </c>
      <c r="AJ574" s="50"/>
      <c r="AK574" s="85">
        <f>AJ574*$F574</f>
        <v>0</v>
      </c>
      <c r="AL574" s="82" t="str">
        <f t="shared" si="457"/>
        <v/>
      </c>
      <c r="AM574" s="50"/>
      <c r="AN574" s="85">
        <f>AM574*$F574</f>
        <v>0</v>
      </c>
      <c r="AO574" s="82" t="str">
        <f t="shared" si="458"/>
        <v/>
      </c>
      <c r="AP574" s="48">
        <f t="shared" si="459"/>
        <v>0</v>
      </c>
      <c r="AQ574" s="85">
        <f>AP574*$F574</f>
        <v>0</v>
      </c>
      <c r="AR574" s="82" t="str">
        <f t="shared" si="460"/>
        <v/>
      </c>
      <c r="AS574" s="48">
        <f t="shared" si="461"/>
        <v>2</v>
      </c>
      <c r="AT574" s="85">
        <f>AS574*$F574</f>
        <v>790.04</v>
      </c>
      <c r="AU574" s="82">
        <f t="shared" si="462"/>
        <v>1</v>
      </c>
    </row>
    <row r="575" spans="1:56" ht="60">
      <c r="A575" s="16"/>
      <c r="B575" s="97" t="s">
        <v>1876</v>
      </c>
      <c r="C575" s="167" t="s">
        <v>1877</v>
      </c>
      <c r="D575" s="86" t="s">
        <v>1878</v>
      </c>
      <c r="E575" s="97" t="s">
        <v>28</v>
      </c>
      <c r="F575" s="172">
        <v>389.84</v>
      </c>
      <c r="G575" s="97">
        <v>5</v>
      </c>
      <c r="H575" s="85">
        <f t="shared" si="491"/>
        <v>1949.1999999999998</v>
      </c>
      <c r="I575" s="50">
        <f t="shared" si="477"/>
        <v>0</v>
      </c>
      <c r="J575" s="85">
        <f>I575*$F575</f>
        <v>0</v>
      </c>
      <c r="K575" s="82" t="str">
        <f t="shared" si="448"/>
        <v/>
      </c>
      <c r="L575" s="50"/>
      <c r="M575" s="85">
        <f>L575*$F575</f>
        <v>0</v>
      </c>
      <c r="N575" s="82" t="str">
        <f t="shared" si="449"/>
        <v/>
      </c>
      <c r="O575" s="50"/>
      <c r="P575" s="85">
        <f>O575*$F575</f>
        <v>0</v>
      </c>
      <c r="Q575" s="82" t="str">
        <f t="shared" si="450"/>
        <v/>
      </c>
      <c r="R575" s="50"/>
      <c r="S575" s="85">
        <f>R575*$F575</f>
        <v>0</v>
      </c>
      <c r="T575" s="82" t="str">
        <f t="shared" si="451"/>
        <v/>
      </c>
      <c r="U575" s="50"/>
      <c r="V575" s="85">
        <f>U575*$F575</f>
        <v>0</v>
      </c>
      <c r="W575" s="82" t="str">
        <f t="shared" si="452"/>
        <v/>
      </c>
      <c r="X575" s="50"/>
      <c r="Y575" s="85">
        <f>X575*$F575</f>
        <v>0</v>
      </c>
      <c r="Z575" s="82" t="str">
        <f t="shared" si="453"/>
        <v/>
      </c>
      <c r="AA575" s="50"/>
      <c r="AB575" s="85">
        <f>AA575*$F575</f>
        <v>0</v>
      </c>
      <c r="AC575" s="82" t="str">
        <f t="shared" si="454"/>
        <v/>
      </c>
      <c r="AD575" s="50"/>
      <c r="AE575" s="85">
        <f>AD575*$F575</f>
        <v>0</v>
      </c>
      <c r="AF575" s="82" t="str">
        <f t="shared" si="455"/>
        <v/>
      </c>
      <c r="AG575" s="50"/>
      <c r="AH575" s="85">
        <f>AG575*$F575</f>
        <v>0</v>
      </c>
      <c r="AI575" s="82" t="str">
        <f t="shared" si="456"/>
        <v/>
      </c>
      <c r="AJ575" s="50"/>
      <c r="AK575" s="85">
        <f>AJ575*$F575</f>
        <v>0</v>
      </c>
      <c r="AL575" s="82" t="str">
        <f t="shared" si="457"/>
        <v/>
      </c>
      <c r="AM575" s="50"/>
      <c r="AN575" s="85">
        <f>AM575*$F575</f>
        <v>0</v>
      </c>
      <c r="AO575" s="82" t="str">
        <f t="shared" si="458"/>
        <v/>
      </c>
      <c r="AP575" s="48">
        <f t="shared" si="459"/>
        <v>0</v>
      </c>
      <c r="AQ575" s="85">
        <f>AP575*$F575</f>
        <v>0</v>
      </c>
      <c r="AR575" s="82" t="str">
        <f t="shared" si="460"/>
        <v/>
      </c>
      <c r="AS575" s="48">
        <f t="shared" si="461"/>
        <v>5</v>
      </c>
      <c r="AT575" s="85">
        <f>AS575*$F575</f>
        <v>1949.1999999999998</v>
      </c>
      <c r="AU575" s="82">
        <f t="shared" si="462"/>
        <v>1</v>
      </c>
      <c r="AW575" s="51"/>
      <c r="AX575" s="51"/>
      <c r="AY575" s="51"/>
      <c r="AZ575" s="1927"/>
      <c r="BA575" s="1927"/>
      <c r="BB575" s="1927"/>
      <c r="BC575" s="1927"/>
      <c r="BD575" s="1927"/>
    </row>
    <row r="576" spans="1:56" ht="60">
      <c r="A576" s="16"/>
      <c r="B576" s="97" t="s">
        <v>1879</v>
      </c>
      <c r="C576" s="167" t="s">
        <v>1880</v>
      </c>
      <c r="D576" s="86" t="s">
        <v>1881</v>
      </c>
      <c r="E576" s="97" t="s">
        <v>28</v>
      </c>
      <c r="F576" s="172">
        <v>641.98</v>
      </c>
      <c r="G576" s="97">
        <v>12</v>
      </c>
      <c r="H576" s="85">
        <f t="shared" si="491"/>
        <v>7703.76</v>
      </c>
      <c r="I576" s="50">
        <f t="shared" si="477"/>
        <v>0</v>
      </c>
      <c r="J576" s="85">
        <f>I576*$F576</f>
        <v>0</v>
      </c>
      <c r="K576" s="82" t="str">
        <f t="shared" si="448"/>
        <v/>
      </c>
      <c r="L576" s="50"/>
      <c r="M576" s="85">
        <f>L576*$F576</f>
        <v>0</v>
      </c>
      <c r="N576" s="82" t="str">
        <f t="shared" si="449"/>
        <v/>
      </c>
      <c r="O576" s="50"/>
      <c r="P576" s="85">
        <f>O576*$F576</f>
        <v>0</v>
      </c>
      <c r="Q576" s="82" t="str">
        <f t="shared" si="450"/>
        <v/>
      </c>
      <c r="R576" s="50"/>
      <c r="S576" s="85">
        <f>R576*$F576</f>
        <v>0</v>
      </c>
      <c r="T576" s="82" t="str">
        <f t="shared" si="451"/>
        <v/>
      </c>
      <c r="U576" s="50"/>
      <c r="V576" s="85">
        <f>U576*$F576</f>
        <v>0</v>
      </c>
      <c r="W576" s="82" t="str">
        <f t="shared" si="452"/>
        <v/>
      </c>
      <c r="X576" s="50"/>
      <c r="Y576" s="85">
        <f>X576*$F576</f>
        <v>0</v>
      </c>
      <c r="Z576" s="82" t="str">
        <f t="shared" si="453"/>
        <v/>
      </c>
      <c r="AA576" s="50"/>
      <c r="AB576" s="85">
        <f>AA576*$F576</f>
        <v>0</v>
      </c>
      <c r="AC576" s="82" t="str">
        <f t="shared" si="454"/>
        <v/>
      </c>
      <c r="AD576" s="50"/>
      <c r="AE576" s="85">
        <f>AD576*$F576</f>
        <v>0</v>
      </c>
      <c r="AF576" s="82" t="str">
        <f t="shared" si="455"/>
        <v/>
      </c>
      <c r="AG576" s="50"/>
      <c r="AH576" s="85">
        <f>AG576*$F576</f>
        <v>0</v>
      </c>
      <c r="AI576" s="82" t="str">
        <f t="shared" si="456"/>
        <v/>
      </c>
      <c r="AJ576" s="50"/>
      <c r="AK576" s="85">
        <f>AJ576*$F576</f>
        <v>0</v>
      </c>
      <c r="AL576" s="82" t="str">
        <f t="shared" si="457"/>
        <v/>
      </c>
      <c r="AM576" s="50"/>
      <c r="AN576" s="85">
        <f>AM576*$F576</f>
        <v>0</v>
      </c>
      <c r="AO576" s="82" t="str">
        <f t="shared" si="458"/>
        <v/>
      </c>
      <c r="AP576" s="48">
        <f t="shared" si="459"/>
        <v>0</v>
      </c>
      <c r="AQ576" s="85">
        <f>AP576*$F576</f>
        <v>0</v>
      </c>
      <c r="AR576" s="82" t="str">
        <f t="shared" si="460"/>
        <v/>
      </c>
      <c r="AS576" s="48">
        <f t="shared" si="461"/>
        <v>12</v>
      </c>
      <c r="AT576" s="85">
        <f>AS576*$F576</f>
        <v>7703.76</v>
      </c>
      <c r="AU576" s="82">
        <f t="shared" si="462"/>
        <v>1</v>
      </c>
      <c r="AW576" s="51"/>
      <c r="AX576" s="51"/>
      <c r="AY576" s="51"/>
      <c r="AZ576" s="1927"/>
      <c r="BA576" s="1927"/>
      <c r="BB576" s="1927"/>
      <c r="BC576" s="1927"/>
      <c r="BD576" s="1927"/>
    </row>
    <row r="577" spans="1:56" ht="45">
      <c r="A577" s="16"/>
      <c r="B577" s="97" t="s">
        <v>1882</v>
      </c>
      <c r="C577" s="167" t="s">
        <v>1883</v>
      </c>
      <c r="D577" s="86" t="s">
        <v>1884</v>
      </c>
      <c r="E577" s="97" t="s">
        <v>28</v>
      </c>
      <c r="F577" s="172">
        <v>126.78</v>
      </c>
      <c r="G577" s="97">
        <v>2</v>
      </c>
      <c r="H577" s="85">
        <f t="shared" si="491"/>
        <v>253.56</v>
      </c>
      <c r="I577" s="50">
        <f t="shared" si="477"/>
        <v>0</v>
      </c>
      <c r="J577" s="85">
        <f>I577*$F577</f>
        <v>0</v>
      </c>
      <c r="K577" s="82" t="str">
        <f t="shared" si="448"/>
        <v/>
      </c>
      <c r="L577" s="50"/>
      <c r="M577" s="85">
        <f>L577*$F577</f>
        <v>0</v>
      </c>
      <c r="N577" s="82" t="str">
        <f t="shared" si="449"/>
        <v/>
      </c>
      <c r="O577" s="50"/>
      <c r="P577" s="85">
        <f>O577*$F577</f>
        <v>0</v>
      </c>
      <c r="Q577" s="82" t="str">
        <f t="shared" si="450"/>
        <v/>
      </c>
      <c r="R577" s="50"/>
      <c r="S577" s="85">
        <f>R577*$F577</f>
        <v>0</v>
      </c>
      <c r="T577" s="82" t="str">
        <f t="shared" si="451"/>
        <v/>
      </c>
      <c r="U577" s="50"/>
      <c r="V577" s="85">
        <f>U577*$F577</f>
        <v>0</v>
      </c>
      <c r="W577" s="82" t="str">
        <f t="shared" si="452"/>
        <v/>
      </c>
      <c r="X577" s="50"/>
      <c r="Y577" s="85">
        <f>X577*$F577</f>
        <v>0</v>
      </c>
      <c r="Z577" s="82" t="str">
        <f t="shared" si="453"/>
        <v/>
      </c>
      <c r="AA577" s="50"/>
      <c r="AB577" s="85">
        <f>AA577*$F577</f>
        <v>0</v>
      </c>
      <c r="AC577" s="82" t="str">
        <f t="shared" si="454"/>
        <v/>
      </c>
      <c r="AD577" s="50"/>
      <c r="AE577" s="85">
        <f>AD577*$F577</f>
        <v>0</v>
      </c>
      <c r="AF577" s="82" t="str">
        <f t="shared" si="455"/>
        <v/>
      </c>
      <c r="AG577" s="50"/>
      <c r="AH577" s="85">
        <f>AG577*$F577</f>
        <v>0</v>
      </c>
      <c r="AI577" s="82" t="str">
        <f t="shared" si="456"/>
        <v/>
      </c>
      <c r="AJ577" s="50"/>
      <c r="AK577" s="85">
        <f>AJ577*$F577</f>
        <v>0</v>
      </c>
      <c r="AL577" s="82" t="str">
        <f t="shared" si="457"/>
        <v/>
      </c>
      <c r="AM577" s="50"/>
      <c r="AN577" s="85">
        <f>AM577*$F577</f>
        <v>0</v>
      </c>
      <c r="AO577" s="82" t="str">
        <f t="shared" si="458"/>
        <v/>
      </c>
      <c r="AP577" s="48">
        <f t="shared" si="459"/>
        <v>0</v>
      </c>
      <c r="AQ577" s="85">
        <f>AP577*$F577</f>
        <v>0</v>
      </c>
      <c r="AR577" s="82" t="str">
        <f t="shared" si="460"/>
        <v/>
      </c>
      <c r="AS577" s="48">
        <f t="shared" si="461"/>
        <v>2</v>
      </c>
      <c r="AT577" s="85">
        <f>AS577*$F577</f>
        <v>253.56</v>
      </c>
      <c r="AU577" s="82">
        <f t="shared" si="462"/>
        <v>1</v>
      </c>
      <c r="AW577" s="51"/>
      <c r="AX577" s="51"/>
      <c r="AY577" s="51"/>
      <c r="AZ577" s="1927"/>
      <c r="BA577" s="1927"/>
      <c r="BB577" s="1927"/>
      <c r="BC577" s="1927"/>
      <c r="BD577" s="1927"/>
    </row>
    <row r="578" spans="1:56" s="136" customFormat="1" ht="15.75">
      <c r="A578" s="94"/>
      <c r="B578" s="116" t="s">
        <v>1885</v>
      </c>
      <c r="C578" s="1934" t="s">
        <v>1886</v>
      </c>
      <c r="D578" s="1935"/>
      <c r="E578" s="1935"/>
      <c r="F578" s="1935"/>
      <c r="G578" s="1936"/>
      <c r="H578" s="134">
        <f>SUM(H579:H589)</f>
        <v>26878.559999999994</v>
      </c>
      <c r="I578" s="50">
        <f t="shared" si="477"/>
        <v>0</v>
      </c>
      <c r="J578" s="134">
        <f>SUM(J579:J589)</f>
        <v>0</v>
      </c>
      <c r="K578" s="102">
        <f>J578/$H578</f>
        <v>0</v>
      </c>
      <c r="L578" s="133"/>
      <c r="M578" s="134">
        <f>SUM(M579:M589)</f>
        <v>0</v>
      </c>
      <c r="N578" s="102">
        <f>M578/$H578</f>
        <v>0</v>
      </c>
      <c r="O578" s="133"/>
      <c r="P578" s="134">
        <f>SUM(P579:P589)</f>
        <v>0</v>
      </c>
      <c r="Q578" s="102">
        <f>P578/$H578</f>
        <v>0</v>
      </c>
      <c r="R578" s="133"/>
      <c r="S578" s="134">
        <f>SUM(S579:S589)</f>
        <v>0</v>
      </c>
      <c r="T578" s="102">
        <f>S578/$H578</f>
        <v>0</v>
      </c>
      <c r="U578" s="133"/>
      <c r="V578" s="134">
        <f>SUM(V579:V589)</f>
        <v>0</v>
      </c>
      <c r="W578" s="102">
        <f>V578/$H578</f>
        <v>0</v>
      </c>
      <c r="X578" s="133"/>
      <c r="Y578" s="134">
        <f>SUM(Y579:Y589)</f>
        <v>0</v>
      </c>
      <c r="Z578" s="102">
        <f>Y578/$H578</f>
        <v>0</v>
      </c>
      <c r="AA578" s="133"/>
      <c r="AB578" s="134">
        <f>SUM(AB579:AB589)</f>
        <v>0</v>
      </c>
      <c r="AC578" s="102">
        <f>AB578/$H578</f>
        <v>0</v>
      </c>
      <c r="AD578" s="133"/>
      <c r="AE578" s="134">
        <f>SUM(AE579:AE589)</f>
        <v>0</v>
      </c>
      <c r="AF578" s="102">
        <f>AE578/$H578</f>
        <v>0</v>
      </c>
      <c r="AG578" s="133"/>
      <c r="AH578" s="134">
        <f>SUM(AH579:AH589)</f>
        <v>0</v>
      </c>
      <c r="AI578" s="102">
        <f>AH578/$H578</f>
        <v>0</v>
      </c>
      <c r="AJ578" s="133"/>
      <c r="AK578" s="134">
        <f>SUM(AK579:AK589)</f>
        <v>0</v>
      </c>
      <c r="AL578" s="102">
        <f>AK578/$H578</f>
        <v>0</v>
      </c>
      <c r="AM578" s="133"/>
      <c r="AN578" s="134">
        <f>SUM(AN579:AN589)</f>
        <v>0</v>
      </c>
      <c r="AO578" s="102">
        <f>AN578/$H578</f>
        <v>0</v>
      </c>
      <c r="AP578" s="135">
        <f t="shared" ref="AP578:AP641" si="505">AM578+AJ578+AG578+AD578+AA578+X578+U578+R578+O578+L578</f>
        <v>0</v>
      </c>
      <c r="AQ578" s="134">
        <f>SUM(AQ579:AQ589)</f>
        <v>0</v>
      </c>
      <c r="AR578" s="102">
        <f>AQ578/$H578</f>
        <v>0</v>
      </c>
      <c r="AS578" s="135">
        <f t="shared" ref="AS578:AS641" si="506">G578-AP578</f>
        <v>0</v>
      </c>
      <c r="AT578" s="134">
        <f>SUM(AT579:AT589)</f>
        <v>26878.559999999994</v>
      </c>
      <c r="AU578" s="102">
        <f>AT578/$H578</f>
        <v>1</v>
      </c>
      <c r="AW578" s="158"/>
      <c r="AX578" s="158"/>
      <c r="AY578" s="158"/>
      <c r="AZ578" s="1951"/>
      <c r="BA578" s="1951"/>
      <c r="BB578" s="1951"/>
      <c r="BC578" s="1951"/>
      <c r="BD578" s="1951"/>
    </row>
    <row r="579" spans="1:56" ht="60">
      <c r="A579" s="16"/>
      <c r="B579" s="97" t="s">
        <v>1887</v>
      </c>
      <c r="C579" s="167" t="s">
        <v>269</v>
      </c>
      <c r="D579" s="86" t="s">
        <v>270</v>
      </c>
      <c r="E579" s="97" t="s">
        <v>28</v>
      </c>
      <c r="F579" s="172">
        <v>360.86</v>
      </c>
      <c r="G579" s="97">
        <v>17</v>
      </c>
      <c r="H579" s="85">
        <f t="shared" si="491"/>
        <v>6134.62</v>
      </c>
      <c r="I579" s="50">
        <f t="shared" si="477"/>
        <v>0</v>
      </c>
      <c r="J579" s="85">
        <f t="shared" ref="J579:J589" si="507">I579*$F579</f>
        <v>0</v>
      </c>
      <c r="K579" s="82" t="str">
        <f t="shared" ref="K579:K642" si="508">IF(I579=0,"",I579/$G579)</f>
        <v/>
      </c>
      <c r="L579" s="50"/>
      <c r="M579" s="85">
        <f t="shared" ref="M579:M589" si="509">L579*$F579</f>
        <v>0</v>
      </c>
      <c r="N579" s="82" t="str">
        <f t="shared" ref="N579:N642" si="510">IF(L579=0,"",L579/$G579)</f>
        <v/>
      </c>
      <c r="O579" s="50"/>
      <c r="P579" s="85">
        <f t="shared" ref="P579:P589" si="511">O579*$F579</f>
        <v>0</v>
      </c>
      <c r="Q579" s="82" t="str">
        <f t="shared" ref="Q579:Q642" si="512">IF(O579=0,"",O579/$G579)</f>
        <v/>
      </c>
      <c r="R579" s="50"/>
      <c r="S579" s="85">
        <f t="shared" ref="S579:S589" si="513">R579*$F579</f>
        <v>0</v>
      </c>
      <c r="T579" s="82" t="str">
        <f t="shared" ref="T579:T642" si="514">IF(R579=0,"",R579/$G579)</f>
        <v/>
      </c>
      <c r="U579" s="50"/>
      <c r="V579" s="85">
        <f t="shared" ref="V579:V589" si="515">U579*$F579</f>
        <v>0</v>
      </c>
      <c r="W579" s="82" t="str">
        <f t="shared" ref="W579:W642" si="516">IF(U579=0,"",U579/$G579)</f>
        <v/>
      </c>
      <c r="X579" s="50"/>
      <c r="Y579" s="85">
        <f t="shared" ref="Y579:Y589" si="517">X579*$F579</f>
        <v>0</v>
      </c>
      <c r="Z579" s="82" t="str">
        <f t="shared" ref="Z579:Z642" si="518">IF(X579=0,"",X579/$G579)</f>
        <v/>
      </c>
      <c r="AA579" s="50"/>
      <c r="AB579" s="85">
        <f t="shared" ref="AB579:AB589" si="519">AA579*$F579</f>
        <v>0</v>
      </c>
      <c r="AC579" s="82" t="str">
        <f t="shared" ref="AC579:AC642" si="520">IF(AA579=0,"",AA579/$G579)</f>
        <v/>
      </c>
      <c r="AD579" s="50"/>
      <c r="AE579" s="85">
        <f t="shared" ref="AE579:AE589" si="521">AD579*$F579</f>
        <v>0</v>
      </c>
      <c r="AF579" s="82" t="str">
        <f t="shared" ref="AF579:AF642" si="522">IF(AD579=0,"",AD579/$G579)</f>
        <v/>
      </c>
      <c r="AG579" s="50"/>
      <c r="AH579" s="85">
        <f t="shared" ref="AH579:AH589" si="523">AG579*$F579</f>
        <v>0</v>
      </c>
      <c r="AI579" s="82" t="str">
        <f t="shared" ref="AI579:AI642" si="524">IF(AG579=0,"",AG579/$G579)</f>
        <v/>
      </c>
      <c r="AJ579" s="50"/>
      <c r="AK579" s="85">
        <f t="shared" ref="AK579:AK589" si="525">AJ579*$F579</f>
        <v>0</v>
      </c>
      <c r="AL579" s="82" t="str">
        <f t="shared" ref="AL579:AL642" si="526">IF(AJ579=0,"",AJ579/$G579)</f>
        <v/>
      </c>
      <c r="AM579" s="50"/>
      <c r="AN579" s="85">
        <f t="shared" ref="AN579:AN589" si="527">AM579*$F579</f>
        <v>0</v>
      </c>
      <c r="AO579" s="82" t="str">
        <f t="shared" ref="AO579:AO642" si="528">IF(AM579=0,"",AM579/$G579)</f>
        <v/>
      </c>
      <c r="AP579" s="48">
        <f t="shared" si="505"/>
        <v>0</v>
      </c>
      <c r="AQ579" s="85">
        <f t="shared" ref="AQ579:AQ589" si="529">AP579*$F579</f>
        <v>0</v>
      </c>
      <c r="AR579" s="82" t="str">
        <f t="shared" ref="AR579:AR642" si="530">IF(AP579=0,"",AP579/$G579)</f>
        <v/>
      </c>
      <c r="AS579" s="48">
        <f t="shared" si="506"/>
        <v>17</v>
      </c>
      <c r="AT579" s="85">
        <f t="shared" ref="AT579:AT589" si="531">AS579*$F579</f>
        <v>6134.62</v>
      </c>
      <c r="AU579" s="82">
        <f t="shared" ref="AU579:AU642" si="532">IF(AS579=0,"",AS579/$G579)</f>
        <v>1</v>
      </c>
      <c r="AW579" s="51"/>
      <c r="AX579" s="51"/>
      <c r="AY579" s="51"/>
      <c r="AZ579" s="1940"/>
      <c r="BA579" s="1940"/>
      <c r="BB579" s="1940"/>
      <c r="BC579" s="1940"/>
      <c r="BD579" s="1940"/>
    </row>
    <row r="580" spans="1:56" ht="45">
      <c r="A580" s="16"/>
      <c r="B580" s="97" t="s">
        <v>1888</v>
      </c>
      <c r="C580" s="167" t="s">
        <v>1889</v>
      </c>
      <c r="D580" s="86" t="s">
        <v>1890</v>
      </c>
      <c r="E580" s="97" t="s">
        <v>28</v>
      </c>
      <c r="F580" s="172">
        <v>139.91999999999999</v>
      </c>
      <c r="G580" s="97">
        <v>3</v>
      </c>
      <c r="H580" s="85">
        <f t="shared" si="491"/>
        <v>419.76</v>
      </c>
      <c r="I580" s="50">
        <f t="shared" si="477"/>
        <v>0</v>
      </c>
      <c r="J580" s="85">
        <f t="shared" si="507"/>
        <v>0</v>
      </c>
      <c r="K580" s="82" t="str">
        <f t="shared" si="508"/>
        <v/>
      </c>
      <c r="L580" s="50"/>
      <c r="M580" s="85">
        <f t="shared" si="509"/>
        <v>0</v>
      </c>
      <c r="N580" s="82" t="str">
        <f t="shared" si="510"/>
        <v/>
      </c>
      <c r="O580" s="50"/>
      <c r="P580" s="85">
        <f t="shared" si="511"/>
        <v>0</v>
      </c>
      <c r="Q580" s="82" t="str">
        <f t="shared" si="512"/>
        <v/>
      </c>
      <c r="R580" s="50"/>
      <c r="S580" s="85">
        <f t="shared" si="513"/>
        <v>0</v>
      </c>
      <c r="T580" s="82" t="str">
        <f t="shared" si="514"/>
        <v/>
      </c>
      <c r="U580" s="50"/>
      <c r="V580" s="85">
        <f t="shared" si="515"/>
        <v>0</v>
      </c>
      <c r="W580" s="82" t="str">
        <f t="shared" si="516"/>
        <v/>
      </c>
      <c r="X580" s="50"/>
      <c r="Y580" s="85">
        <f t="shared" si="517"/>
        <v>0</v>
      </c>
      <c r="Z580" s="82" t="str">
        <f t="shared" si="518"/>
        <v/>
      </c>
      <c r="AA580" s="50"/>
      <c r="AB580" s="85">
        <f t="shared" si="519"/>
        <v>0</v>
      </c>
      <c r="AC580" s="82" t="str">
        <f t="shared" si="520"/>
        <v/>
      </c>
      <c r="AD580" s="50"/>
      <c r="AE580" s="85">
        <f t="shared" si="521"/>
        <v>0</v>
      </c>
      <c r="AF580" s="82" t="str">
        <f t="shared" si="522"/>
        <v/>
      </c>
      <c r="AG580" s="50"/>
      <c r="AH580" s="85">
        <f t="shared" si="523"/>
        <v>0</v>
      </c>
      <c r="AI580" s="82" t="str">
        <f t="shared" si="524"/>
        <v/>
      </c>
      <c r="AJ580" s="50"/>
      <c r="AK580" s="85">
        <f t="shared" si="525"/>
        <v>0</v>
      </c>
      <c r="AL580" s="82" t="str">
        <f t="shared" si="526"/>
        <v/>
      </c>
      <c r="AM580" s="50"/>
      <c r="AN580" s="85">
        <f t="shared" si="527"/>
        <v>0</v>
      </c>
      <c r="AO580" s="82" t="str">
        <f t="shared" si="528"/>
        <v/>
      </c>
      <c r="AP580" s="48">
        <f t="shared" si="505"/>
        <v>0</v>
      </c>
      <c r="AQ580" s="85">
        <f t="shared" si="529"/>
        <v>0</v>
      </c>
      <c r="AR580" s="82" t="str">
        <f t="shared" si="530"/>
        <v/>
      </c>
      <c r="AS580" s="48">
        <f t="shared" si="506"/>
        <v>3</v>
      </c>
      <c r="AT580" s="85">
        <f t="shared" si="531"/>
        <v>419.76</v>
      </c>
      <c r="AU580" s="82">
        <f t="shared" si="532"/>
        <v>1</v>
      </c>
      <c r="AW580" s="2"/>
      <c r="AX580" s="3"/>
      <c r="AY580" s="3"/>
      <c r="AZ580" s="4"/>
      <c r="BA580" s="3"/>
      <c r="BB580" s="1"/>
      <c r="BC580" s="5"/>
      <c r="BD580" s="1"/>
    </row>
    <row r="581" spans="1:56" ht="45">
      <c r="A581" s="16"/>
      <c r="B581" s="97" t="s">
        <v>1891</v>
      </c>
      <c r="C581" s="167" t="s">
        <v>1892</v>
      </c>
      <c r="D581" s="86" t="s">
        <v>1893</v>
      </c>
      <c r="E581" s="97" t="s">
        <v>28</v>
      </c>
      <c r="F581" s="172">
        <v>135.16</v>
      </c>
      <c r="G581" s="97">
        <v>17</v>
      </c>
      <c r="H581" s="85">
        <f t="shared" si="491"/>
        <v>2297.7199999999998</v>
      </c>
      <c r="I581" s="50">
        <f t="shared" si="477"/>
        <v>0</v>
      </c>
      <c r="J581" s="85">
        <f t="shared" si="507"/>
        <v>0</v>
      </c>
      <c r="K581" s="82" t="str">
        <f t="shared" si="508"/>
        <v/>
      </c>
      <c r="L581" s="50"/>
      <c r="M581" s="85">
        <f t="shared" si="509"/>
        <v>0</v>
      </c>
      <c r="N581" s="82" t="str">
        <f t="shared" si="510"/>
        <v/>
      </c>
      <c r="O581" s="50"/>
      <c r="P581" s="85">
        <f t="shared" si="511"/>
        <v>0</v>
      </c>
      <c r="Q581" s="82" t="str">
        <f t="shared" si="512"/>
        <v/>
      </c>
      <c r="R581" s="50"/>
      <c r="S581" s="85">
        <f t="shared" si="513"/>
        <v>0</v>
      </c>
      <c r="T581" s="82" t="str">
        <f t="shared" si="514"/>
        <v/>
      </c>
      <c r="U581" s="50"/>
      <c r="V581" s="85">
        <f t="shared" si="515"/>
        <v>0</v>
      </c>
      <c r="W581" s="82" t="str">
        <f t="shared" si="516"/>
        <v/>
      </c>
      <c r="X581" s="50"/>
      <c r="Y581" s="85">
        <f t="shared" si="517"/>
        <v>0</v>
      </c>
      <c r="Z581" s="82" t="str">
        <f t="shared" si="518"/>
        <v/>
      </c>
      <c r="AA581" s="50"/>
      <c r="AB581" s="85">
        <f t="shared" si="519"/>
        <v>0</v>
      </c>
      <c r="AC581" s="82" t="str">
        <f t="shared" si="520"/>
        <v/>
      </c>
      <c r="AD581" s="50"/>
      <c r="AE581" s="85">
        <f t="shared" si="521"/>
        <v>0</v>
      </c>
      <c r="AF581" s="82" t="str">
        <f t="shared" si="522"/>
        <v/>
      </c>
      <c r="AG581" s="50"/>
      <c r="AH581" s="85">
        <f t="shared" si="523"/>
        <v>0</v>
      </c>
      <c r="AI581" s="82" t="str">
        <f t="shared" si="524"/>
        <v/>
      </c>
      <c r="AJ581" s="50"/>
      <c r="AK581" s="85">
        <f t="shared" si="525"/>
        <v>0</v>
      </c>
      <c r="AL581" s="82" t="str">
        <f t="shared" si="526"/>
        <v/>
      </c>
      <c r="AM581" s="50"/>
      <c r="AN581" s="85">
        <f t="shared" si="527"/>
        <v>0</v>
      </c>
      <c r="AO581" s="82" t="str">
        <f t="shared" si="528"/>
        <v/>
      </c>
      <c r="AP581" s="48">
        <f t="shared" si="505"/>
        <v>0</v>
      </c>
      <c r="AQ581" s="85">
        <f t="shared" si="529"/>
        <v>0</v>
      </c>
      <c r="AR581" s="82" t="str">
        <f t="shared" si="530"/>
        <v/>
      </c>
      <c r="AS581" s="48">
        <f t="shared" si="506"/>
        <v>17</v>
      </c>
      <c r="AT581" s="85">
        <f t="shared" si="531"/>
        <v>2297.7199999999998</v>
      </c>
      <c r="AU581" s="82">
        <f t="shared" si="532"/>
        <v>1</v>
      </c>
    </row>
    <row r="582" spans="1:56" ht="75">
      <c r="A582" s="16"/>
      <c r="B582" s="97" t="s">
        <v>1894</v>
      </c>
      <c r="C582" s="167" t="s">
        <v>1895</v>
      </c>
      <c r="D582" s="86" t="s">
        <v>1896</v>
      </c>
      <c r="E582" s="97" t="s">
        <v>28</v>
      </c>
      <c r="F582" s="172">
        <v>123.87</v>
      </c>
      <c r="G582" s="97">
        <v>18</v>
      </c>
      <c r="H582" s="85">
        <f t="shared" si="491"/>
        <v>2229.66</v>
      </c>
      <c r="I582" s="50">
        <f t="shared" si="477"/>
        <v>0</v>
      </c>
      <c r="J582" s="85">
        <f t="shared" si="507"/>
        <v>0</v>
      </c>
      <c r="K582" s="82" t="str">
        <f t="shared" si="508"/>
        <v/>
      </c>
      <c r="L582" s="50"/>
      <c r="M582" s="85">
        <f t="shared" si="509"/>
        <v>0</v>
      </c>
      <c r="N582" s="82" t="str">
        <f t="shared" si="510"/>
        <v/>
      </c>
      <c r="O582" s="50"/>
      <c r="P582" s="85">
        <f t="shared" si="511"/>
        <v>0</v>
      </c>
      <c r="Q582" s="82" t="str">
        <f t="shared" si="512"/>
        <v/>
      </c>
      <c r="R582" s="50"/>
      <c r="S582" s="85">
        <f t="shared" si="513"/>
        <v>0</v>
      </c>
      <c r="T582" s="82" t="str">
        <f t="shared" si="514"/>
        <v/>
      </c>
      <c r="U582" s="50"/>
      <c r="V582" s="85">
        <f t="shared" si="515"/>
        <v>0</v>
      </c>
      <c r="W582" s="82" t="str">
        <f t="shared" si="516"/>
        <v/>
      </c>
      <c r="X582" s="50"/>
      <c r="Y582" s="85">
        <f t="shared" si="517"/>
        <v>0</v>
      </c>
      <c r="Z582" s="82" t="str">
        <f t="shared" si="518"/>
        <v/>
      </c>
      <c r="AA582" s="50"/>
      <c r="AB582" s="85">
        <f t="shared" si="519"/>
        <v>0</v>
      </c>
      <c r="AC582" s="82" t="str">
        <f t="shared" si="520"/>
        <v/>
      </c>
      <c r="AD582" s="50"/>
      <c r="AE582" s="85">
        <f t="shared" si="521"/>
        <v>0</v>
      </c>
      <c r="AF582" s="82" t="str">
        <f t="shared" si="522"/>
        <v/>
      </c>
      <c r="AG582" s="50"/>
      <c r="AH582" s="85">
        <f t="shared" si="523"/>
        <v>0</v>
      </c>
      <c r="AI582" s="82" t="str">
        <f t="shared" si="524"/>
        <v/>
      </c>
      <c r="AJ582" s="50"/>
      <c r="AK582" s="85">
        <f t="shared" si="525"/>
        <v>0</v>
      </c>
      <c r="AL582" s="82" t="str">
        <f t="shared" si="526"/>
        <v/>
      </c>
      <c r="AM582" s="50"/>
      <c r="AN582" s="85">
        <f t="shared" si="527"/>
        <v>0</v>
      </c>
      <c r="AO582" s="82" t="str">
        <f t="shared" si="528"/>
        <v/>
      </c>
      <c r="AP582" s="48">
        <f t="shared" si="505"/>
        <v>0</v>
      </c>
      <c r="AQ582" s="85">
        <f t="shared" si="529"/>
        <v>0</v>
      </c>
      <c r="AR582" s="82" t="str">
        <f t="shared" si="530"/>
        <v/>
      </c>
      <c r="AS582" s="48">
        <f t="shared" si="506"/>
        <v>18</v>
      </c>
      <c r="AT582" s="85">
        <f t="shared" si="531"/>
        <v>2229.66</v>
      </c>
      <c r="AU582" s="82">
        <f t="shared" si="532"/>
        <v>1</v>
      </c>
    </row>
    <row r="583" spans="1:56" ht="45">
      <c r="A583" s="16"/>
      <c r="B583" s="97" t="s">
        <v>1897</v>
      </c>
      <c r="C583" s="167" t="s">
        <v>1898</v>
      </c>
      <c r="D583" s="86" t="s">
        <v>1899</v>
      </c>
      <c r="E583" s="97" t="s">
        <v>28</v>
      </c>
      <c r="F583" s="172">
        <v>98.58</v>
      </c>
      <c r="G583" s="97">
        <v>18</v>
      </c>
      <c r="H583" s="85">
        <f t="shared" si="491"/>
        <v>1774.44</v>
      </c>
      <c r="I583" s="50">
        <f t="shared" si="477"/>
        <v>0</v>
      </c>
      <c r="J583" s="85">
        <f t="shared" si="507"/>
        <v>0</v>
      </c>
      <c r="K583" s="82" t="str">
        <f t="shared" si="508"/>
        <v/>
      </c>
      <c r="L583" s="50"/>
      <c r="M583" s="85">
        <f t="shared" si="509"/>
        <v>0</v>
      </c>
      <c r="N583" s="82" t="str">
        <f t="shared" si="510"/>
        <v/>
      </c>
      <c r="O583" s="50"/>
      <c r="P583" s="85">
        <f t="shared" si="511"/>
        <v>0</v>
      </c>
      <c r="Q583" s="82" t="str">
        <f t="shared" si="512"/>
        <v/>
      </c>
      <c r="R583" s="50"/>
      <c r="S583" s="85">
        <f t="shared" si="513"/>
        <v>0</v>
      </c>
      <c r="T583" s="82" t="str">
        <f t="shared" si="514"/>
        <v/>
      </c>
      <c r="U583" s="50"/>
      <c r="V583" s="85">
        <f t="shared" si="515"/>
        <v>0</v>
      </c>
      <c r="W583" s="82" t="str">
        <f t="shared" si="516"/>
        <v/>
      </c>
      <c r="X583" s="50"/>
      <c r="Y583" s="85">
        <f t="shared" si="517"/>
        <v>0</v>
      </c>
      <c r="Z583" s="82" t="str">
        <f t="shared" si="518"/>
        <v/>
      </c>
      <c r="AA583" s="50"/>
      <c r="AB583" s="85">
        <f t="shared" si="519"/>
        <v>0</v>
      </c>
      <c r="AC583" s="82" t="str">
        <f t="shared" si="520"/>
        <v/>
      </c>
      <c r="AD583" s="50"/>
      <c r="AE583" s="85">
        <f t="shared" si="521"/>
        <v>0</v>
      </c>
      <c r="AF583" s="82" t="str">
        <f t="shared" si="522"/>
        <v/>
      </c>
      <c r="AG583" s="50"/>
      <c r="AH583" s="85">
        <f t="shared" si="523"/>
        <v>0</v>
      </c>
      <c r="AI583" s="82" t="str">
        <f t="shared" si="524"/>
        <v/>
      </c>
      <c r="AJ583" s="50"/>
      <c r="AK583" s="85">
        <f t="shared" si="525"/>
        <v>0</v>
      </c>
      <c r="AL583" s="82" t="str">
        <f t="shared" si="526"/>
        <v/>
      </c>
      <c r="AM583" s="50"/>
      <c r="AN583" s="85">
        <f t="shared" si="527"/>
        <v>0</v>
      </c>
      <c r="AO583" s="82" t="str">
        <f t="shared" si="528"/>
        <v/>
      </c>
      <c r="AP583" s="48">
        <f t="shared" si="505"/>
        <v>0</v>
      </c>
      <c r="AQ583" s="85">
        <f t="shared" si="529"/>
        <v>0</v>
      </c>
      <c r="AR583" s="82" t="str">
        <f t="shared" si="530"/>
        <v/>
      </c>
      <c r="AS583" s="48">
        <f t="shared" si="506"/>
        <v>18</v>
      </c>
      <c r="AT583" s="85">
        <f t="shared" si="531"/>
        <v>1774.44</v>
      </c>
      <c r="AU583" s="82">
        <f t="shared" si="532"/>
        <v>1</v>
      </c>
    </row>
    <row r="584" spans="1:56" ht="75">
      <c r="A584" s="16"/>
      <c r="B584" s="97" t="s">
        <v>1900</v>
      </c>
      <c r="C584" s="167" t="s">
        <v>1901</v>
      </c>
      <c r="D584" s="86" t="s">
        <v>1902</v>
      </c>
      <c r="E584" s="97" t="s">
        <v>28</v>
      </c>
      <c r="F584" s="172">
        <v>593.99</v>
      </c>
      <c r="G584" s="97">
        <v>2</v>
      </c>
      <c r="H584" s="85">
        <f t="shared" si="491"/>
        <v>1187.98</v>
      </c>
      <c r="I584" s="50">
        <f t="shared" si="477"/>
        <v>0</v>
      </c>
      <c r="J584" s="85">
        <f t="shared" si="507"/>
        <v>0</v>
      </c>
      <c r="K584" s="82" t="str">
        <f t="shared" si="508"/>
        <v/>
      </c>
      <c r="L584" s="50"/>
      <c r="M584" s="85">
        <f t="shared" si="509"/>
        <v>0</v>
      </c>
      <c r="N584" s="82" t="str">
        <f t="shared" si="510"/>
        <v/>
      </c>
      <c r="O584" s="50"/>
      <c r="P584" s="85">
        <f t="shared" si="511"/>
        <v>0</v>
      </c>
      <c r="Q584" s="82" t="str">
        <f t="shared" si="512"/>
        <v/>
      </c>
      <c r="R584" s="50"/>
      <c r="S584" s="85">
        <f t="shared" si="513"/>
        <v>0</v>
      </c>
      <c r="T584" s="82" t="str">
        <f t="shared" si="514"/>
        <v/>
      </c>
      <c r="U584" s="50"/>
      <c r="V584" s="85">
        <f t="shared" si="515"/>
        <v>0</v>
      </c>
      <c r="W584" s="82" t="str">
        <f t="shared" si="516"/>
        <v/>
      </c>
      <c r="X584" s="50"/>
      <c r="Y584" s="85">
        <f t="shared" si="517"/>
        <v>0</v>
      </c>
      <c r="Z584" s="82" t="str">
        <f t="shared" si="518"/>
        <v/>
      </c>
      <c r="AA584" s="50"/>
      <c r="AB584" s="85">
        <f t="shared" si="519"/>
        <v>0</v>
      </c>
      <c r="AC584" s="82" t="str">
        <f t="shared" si="520"/>
        <v/>
      </c>
      <c r="AD584" s="50"/>
      <c r="AE584" s="85">
        <f t="shared" si="521"/>
        <v>0</v>
      </c>
      <c r="AF584" s="82" t="str">
        <f t="shared" si="522"/>
        <v/>
      </c>
      <c r="AG584" s="50"/>
      <c r="AH584" s="85">
        <f t="shared" si="523"/>
        <v>0</v>
      </c>
      <c r="AI584" s="82" t="str">
        <f t="shared" si="524"/>
        <v/>
      </c>
      <c r="AJ584" s="50"/>
      <c r="AK584" s="85">
        <f t="shared" si="525"/>
        <v>0</v>
      </c>
      <c r="AL584" s="82" t="str">
        <f t="shared" si="526"/>
        <v/>
      </c>
      <c r="AM584" s="50"/>
      <c r="AN584" s="85">
        <f t="shared" si="527"/>
        <v>0</v>
      </c>
      <c r="AO584" s="82" t="str">
        <f t="shared" si="528"/>
        <v/>
      </c>
      <c r="AP584" s="48">
        <f t="shared" si="505"/>
        <v>0</v>
      </c>
      <c r="AQ584" s="85">
        <f t="shared" si="529"/>
        <v>0</v>
      </c>
      <c r="AR584" s="82" t="str">
        <f t="shared" si="530"/>
        <v/>
      </c>
      <c r="AS584" s="48">
        <f t="shared" si="506"/>
        <v>2</v>
      </c>
      <c r="AT584" s="85">
        <f t="shared" si="531"/>
        <v>1187.98</v>
      </c>
      <c r="AU584" s="82">
        <f t="shared" si="532"/>
        <v>1</v>
      </c>
    </row>
    <row r="585" spans="1:56" ht="75">
      <c r="A585" s="16"/>
      <c r="B585" s="97" t="s">
        <v>1903</v>
      </c>
      <c r="C585" s="167" t="s">
        <v>1904</v>
      </c>
      <c r="D585" s="86" t="s">
        <v>1905</v>
      </c>
      <c r="E585" s="97" t="s">
        <v>28</v>
      </c>
      <c r="F585" s="172">
        <v>2000.12</v>
      </c>
      <c r="G585" s="97">
        <v>2</v>
      </c>
      <c r="H585" s="85">
        <f t="shared" si="491"/>
        <v>4000.24</v>
      </c>
      <c r="I585" s="50">
        <f t="shared" si="477"/>
        <v>0</v>
      </c>
      <c r="J585" s="85">
        <f t="shared" si="507"/>
        <v>0</v>
      </c>
      <c r="K585" s="82" t="str">
        <f t="shared" si="508"/>
        <v/>
      </c>
      <c r="L585" s="50"/>
      <c r="M585" s="85">
        <f t="shared" si="509"/>
        <v>0</v>
      </c>
      <c r="N585" s="82" t="str">
        <f t="shared" si="510"/>
        <v/>
      </c>
      <c r="O585" s="50"/>
      <c r="P585" s="85">
        <f t="shared" si="511"/>
        <v>0</v>
      </c>
      <c r="Q585" s="82" t="str">
        <f t="shared" si="512"/>
        <v/>
      </c>
      <c r="R585" s="50"/>
      <c r="S585" s="85">
        <f t="shared" si="513"/>
        <v>0</v>
      </c>
      <c r="T585" s="82" t="str">
        <f t="shared" si="514"/>
        <v/>
      </c>
      <c r="U585" s="50"/>
      <c r="V585" s="85">
        <f t="shared" si="515"/>
        <v>0</v>
      </c>
      <c r="W585" s="82" t="str">
        <f t="shared" si="516"/>
        <v/>
      </c>
      <c r="X585" s="50"/>
      <c r="Y585" s="85">
        <f t="shared" si="517"/>
        <v>0</v>
      </c>
      <c r="Z585" s="82" t="str">
        <f t="shared" si="518"/>
        <v/>
      </c>
      <c r="AA585" s="50"/>
      <c r="AB585" s="85">
        <f t="shared" si="519"/>
        <v>0</v>
      </c>
      <c r="AC585" s="82" t="str">
        <f t="shared" si="520"/>
        <v/>
      </c>
      <c r="AD585" s="50"/>
      <c r="AE585" s="85">
        <f t="shared" si="521"/>
        <v>0</v>
      </c>
      <c r="AF585" s="82" t="str">
        <f t="shared" si="522"/>
        <v/>
      </c>
      <c r="AG585" s="50"/>
      <c r="AH585" s="85">
        <f t="shared" si="523"/>
        <v>0</v>
      </c>
      <c r="AI585" s="82" t="str">
        <f t="shared" si="524"/>
        <v/>
      </c>
      <c r="AJ585" s="50"/>
      <c r="AK585" s="85">
        <f t="shared" si="525"/>
        <v>0</v>
      </c>
      <c r="AL585" s="82" t="str">
        <f t="shared" si="526"/>
        <v/>
      </c>
      <c r="AM585" s="50"/>
      <c r="AN585" s="85">
        <f t="shared" si="527"/>
        <v>0</v>
      </c>
      <c r="AO585" s="82" t="str">
        <f t="shared" si="528"/>
        <v/>
      </c>
      <c r="AP585" s="48">
        <f t="shared" si="505"/>
        <v>0</v>
      </c>
      <c r="AQ585" s="85">
        <f t="shared" si="529"/>
        <v>0</v>
      </c>
      <c r="AR585" s="82" t="str">
        <f t="shared" si="530"/>
        <v/>
      </c>
      <c r="AS585" s="48">
        <f t="shared" si="506"/>
        <v>2</v>
      </c>
      <c r="AT585" s="85">
        <f t="shared" si="531"/>
        <v>4000.24</v>
      </c>
      <c r="AU585" s="82">
        <f t="shared" si="532"/>
        <v>1</v>
      </c>
    </row>
    <row r="586" spans="1:56" ht="45">
      <c r="A586" s="16"/>
      <c r="B586" s="97" t="s">
        <v>1906</v>
      </c>
      <c r="C586" s="167" t="s">
        <v>1907</v>
      </c>
      <c r="D586" s="86" t="s">
        <v>1908</v>
      </c>
      <c r="E586" s="97" t="s">
        <v>28</v>
      </c>
      <c r="F586" s="172">
        <v>219.67</v>
      </c>
      <c r="G586" s="97">
        <v>7</v>
      </c>
      <c r="H586" s="85">
        <f t="shared" si="491"/>
        <v>1537.6899999999998</v>
      </c>
      <c r="I586" s="50">
        <f t="shared" si="477"/>
        <v>0</v>
      </c>
      <c r="J586" s="85">
        <f t="shared" si="507"/>
        <v>0</v>
      </c>
      <c r="K586" s="82" t="str">
        <f t="shared" si="508"/>
        <v/>
      </c>
      <c r="L586" s="50"/>
      <c r="M586" s="85">
        <f t="shared" si="509"/>
        <v>0</v>
      </c>
      <c r="N586" s="82" t="str">
        <f t="shared" si="510"/>
        <v/>
      </c>
      <c r="O586" s="50"/>
      <c r="P586" s="85">
        <f t="shared" si="511"/>
        <v>0</v>
      </c>
      <c r="Q586" s="82" t="str">
        <f t="shared" si="512"/>
        <v/>
      </c>
      <c r="R586" s="50"/>
      <c r="S586" s="85">
        <f t="shared" si="513"/>
        <v>0</v>
      </c>
      <c r="T586" s="82" t="str">
        <f t="shared" si="514"/>
        <v/>
      </c>
      <c r="U586" s="50"/>
      <c r="V586" s="85">
        <f t="shared" si="515"/>
        <v>0</v>
      </c>
      <c r="W586" s="82" t="str">
        <f t="shared" si="516"/>
        <v/>
      </c>
      <c r="X586" s="50"/>
      <c r="Y586" s="85">
        <f t="shared" si="517"/>
        <v>0</v>
      </c>
      <c r="Z586" s="82" t="str">
        <f t="shared" si="518"/>
        <v/>
      </c>
      <c r="AA586" s="50"/>
      <c r="AB586" s="85">
        <f t="shared" si="519"/>
        <v>0</v>
      </c>
      <c r="AC586" s="82" t="str">
        <f t="shared" si="520"/>
        <v/>
      </c>
      <c r="AD586" s="50"/>
      <c r="AE586" s="85">
        <f t="shared" si="521"/>
        <v>0</v>
      </c>
      <c r="AF586" s="82" t="str">
        <f t="shared" si="522"/>
        <v/>
      </c>
      <c r="AG586" s="50"/>
      <c r="AH586" s="85">
        <f t="shared" si="523"/>
        <v>0</v>
      </c>
      <c r="AI586" s="82" t="str">
        <f t="shared" si="524"/>
        <v/>
      </c>
      <c r="AJ586" s="50"/>
      <c r="AK586" s="85">
        <f t="shared" si="525"/>
        <v>0</v>
      </c>
      <c r="AL586" s="82" t="str">
        <f t="shared" si="526"/>
        <v/>
      </c>
      <c r="AM586" s="50"/>
      <c r="AN586" s="85">
        <f t="shared" si="527"/>
        <v>0</v>
      </c>
      <c r="AO586" s="82" t="str">
        <f t="shared" si="528"/>
        <v/>
      </c>
      <c r="AP586" s="48">
        <f t="shared" si="505"/>
        <v>0</v>
      </c>
      <c r="AQ586" s="85">
        <f t="shared" si="529"/>
        <v>0</v>
      </c>
      <c r="AR586" s="82" t="str">
        <f t="shared" si="530"/>
        <v/>
      </c>
      <c r="AS586" s="48">
        <f t="shared" si="506"/>
        <v>7</v>
      </c>
      <c r="AT586" s="85">
        <f t="shared" si="531"/>
        <v>1537.6899999999998</v>
      </c>
      <c r="AU586" s="82">
        <f t="shared" si="532"/>
        <v>1</v>
      </c>
    </row>
    <row r="587" spans="1:56" ht="60">
      <c r="A587" s="16"/>
      <c r="B587" s="97" t="s">
        <v>1909</v>
      </c>
      <c r="C587" s="167" t="s">
        <v>1910</v>
      </c>
      <c r="D587" s="86" t="s">
        <v>1911</v>
      </c>
      <c r="E587" s="97" t="s">
        <v>28</v>
      </c>
      <c r="F587" s="172">
        <v>480.2</v>
      </c>
      <c r="G587" s="97">
        <v>10</v>
      </c>
      <c r="H587" s="85">
        <f t="shared" si="491"/>
        <v>4802</v>
      </c>
      <c r="I587" s="50">
        <f t="shared" si="477"/>
        <v>0</v>
      </c>
      <c r="J587" s="85">
        <f t="shared" si="507"/>
        <v>0</v>
      </c>
      <c r="K587" s="82" t="str">
        <f t="shared" si="508"/>
        <v/>
      </c>
      <c r="L587" s="50"/>
      <c r="M587" s="85">
        <f t="shared" si="509"/>
        <v>0</v>
      </c>
      <c r="N587" s="82" t="str">
        <f t="shared" si="510"/>
        <v/>
      </c>
      <c r="O587" s="50"/>
      <c r="P587" s="85">
        <f t="shared" si="511"/>
        <v>0</v>
      </c>
      <c r="Q587" s="82" t="str">
        <f t="shared" si="512"/>
        <v/>
      </c>
      <c r="R587" s="50"/>
      <c r="S587" s="85">
        <f t="shared" si="513"/>
        <v>0</v>
      </c>
      <c r="T587" s="82" t="str">
        <f t="shared" si="514"/>
        <v/>
      </c>
      <c r="U587" s="50"/>
      <c r="V587" s="85">
        <f t="shared" si="515"/>
        <v>0</v>
      </c>
      <c r="W587" s="82" t="str">
        <f t="shared" si="516"/>
        <v/>
      </c>
      <c r="X587" s="50"/>
      <c r="Y587" s="85">
        <f t="shared" si="517"/>
        <v>0</v>
      </c>
      <c r="Z587" s="82" t="str">
        <f t="shared" si="518"/>
        <v/>
      </c>
      <c r="AA587" s="50"/>
      <c r="AB587" s="85">
        <f t="shared" si="519"/>
        <v>0</v>
      </c>
      <c r="AC587" s="82" t="str">
        <f t="shared" si="520"/>
        <v/>
      </c>
      <c r="AD587" s="50"/>
      <c r="AE587" s="85">
        <f t="shared" si="521"/>
        <v>0</v>
      </c>
      <c r="AF587" s="82" t="str">
        <f t="shared" si="522"/>
        <v/>
      </c>
      <c r="AG587" s="50"/>
      <c r="AH587" s="85">
        <f t="shared" si="523"/>
        <v>0</v>
      </c>
      <c r="AI587" s="82" t="str">
        <f t="shared" si="524"/>
        <v/>
      </c>
      <c r="AJ587" s="50"/>
      <c r="AK587" s="85">
        <f t="shared" si="525"/>
        <v>0</v>
      </c>
      <c r="AL587" s="82" t="str">
        <f t="shared" si="526"/>
        <v/>
      </c>
      <c r="AM587" s="50"/>
      <c r="AN587" s="85">
        <f t="shared" si="527"/>
        <v>0</v>
      </c>
      <c r="AO587" s="82" t="str">
        <f t="shared" si="528"/>
        <v/>
      </c>
      <c r="AP587" s="48">
        <f t="shared" si="505"/>
        <v>0</v>
      </c>
      <c r="AQ587" s="85">
        <f t="shared" si="529"/>
        <v>0</v>
      </c>
      <c r="AR587" s="82" t="str">
        <f t="shared" si="530"/>
        <v/>
      </c>
      <c r="AS587" s="48">
        <f t="shared" si="506"/>
        <v>10</v>
      </c>
      <c r="AT587" s="85">
        <f t="shared" si="531"/>
        <v>4802</v>
      </c>
      <c r="AU587" s="82">
        <f t="shared" si="532"/>
        <v>1</v>
      </c>
    </row>
    <row r="588" spans="1:56" ht="45">
      <c r="A588" s="16"/>
      <c r="B588" s="97" t="s">
        <v>1912</v>
      </c>
      <c r="C588" s="167" t="s">
        <v>263</v>
      </c>
      <c r="D588" s="86" t="s">
        <v>264</v>
      </c>
      <c r="E588" s="97" t="s">
        <v>28</v>
      </c>
      <c r="F588" s="172">
        <v>178.57</v>
      </c>
      <c r="G588" s="97">
        <v>5</v>
      </c>
      <c r="H588" s="85">
        <f t="shared" si="491"/>
        <v>892.84999999999991</v>
      </c>
      <c r="I588" s="50">
        <f t="shared" si="477"/>
        <v>0</v>
      </c>
      <c r="J588" s="85">
        <f t="shared" si="507"/>
        <v>0</v>
      </c>
      <c r="K588" s="82" t="str">
        <f t="shared" si="508"/>
        <v/>
      </c>
      <c r="L588" s="50"/>
      <c r="M588" s="85">
        <f t="shared" si="509"/>
        <v>0</v>
      </c>
      <c r="N588" s="82" t="str">
        <f t="shared" si="510"/>
        <v/>
      </c>
      <c r="O588" s="50"/>
      <c r="P588" s="85">
        <f t="shared" si="511"/>
        <v>0</v>
      </c>
      <c r="Q588" s="82" t="str">
        <f t="shared" si="512"/>
        <v/>
      </c>
      <c r="R588" s="50"/>
      <c r="S588" s="85">
        <f t="shared" si="513"/>
        <v>0</v>
      </c>
      <c r="T588" s="82" t="str">
        <f t="shared" si="514"/>
        <v/>
      </c>
      <c r="U588" s="50"/>
      <c r="V588" s="85">
        <f t="shared" si="515"/>
        <v>0</v>
      </c>
      <c r="W588" s="82" t="str">
        <f t="shared" si="516"/>
        <v/>
      </c>
      <c r="X588" s="50"/>
      <c r="Y588" s="85">
        <f t="shared" si="517"/>
        <v>0</v>
      </c>
      <c r="Z588" s="82" t="str">
        <f t="shared" si="518"/>
        <v/>
      </c>
      <c r="AA588" s="50"/>
      <c r="AB588" s="85">
        <f t="shared" si="519"/>
        <v>0</v>
      </c>
      <c r="AC588" s="82" t="str">
        <f t="shared" si="520"/>
        <v/>
      </c>
      <c r="AD588" s="50"/>
      <c r="AE588" s="85">
        <f t="shared" si="521"/>
        <v>0</v>
      </c>
      <c r="AF588" s="82" t="str">
        <f t="shared" si="522"/>
        <v/>
      </c>
      <c r="AG588" s="50"/>
      <c r="AH588" s="85">
        <f t="shared" si="523"/>
        <v>0</v>
      </c>
      <c r="AI588" s="82" t="str">
        <f t="shared" si="524"/>
        <v/>
      </c>
      <c r="AJ588" s="50"/>
      <c r="AK588" s="85">
        <f t="shared" si="525"/>
        <v>0</v>
      </c>
      <c r="AL588" s="82" t="str">
        <f t="shared" si="526"/>
        <v/>
      </c>
      <c r="AM588" s="50"/>
      <c r="AN588" s="85">
        <f t="shared" si="527"/>
        <v>0</v>
      </c>
      <c r="AO588" s="82" t="str">
        <f t="shared" si="528"/>
        <v/>
      </c>
      <c r="AP588" s="48">
        <f t="shared" si="505"/>
        <v>0</v>
      </c>
      <c r="AQ588" s="85">
        <f t="shared" si="529"/>
        <v>0</v>
      </c>
      <c r="AR588" s="82" t="str">
        <f t="shared" si="530"/>
        <v/>
      </c>
      <c r="AS588" s="48">
        <f t="shared" si="506"/>
        <v>5</v>
      </c>
      <c r="AT588" s="85">
        <f t="shared" si="531"/>
        <v>892.84999999999991</v>
      </c>
      <c r="AU588" s="82">
        <f t="shared" si="532"/>
        <v>1</v>
      </c>
    </row>
    <row r="589" spans="1:56" ht="30">
      <c r="A589" s="16"/>
      <c r="B589" s="97" t="s">
        <v>1913</v>
      </c>
      <c r="C589" s="167" t="s">
        <v>1914</v>
      </c>
      <c r="D589" s="86" t="s">
        <v>1915</v>
      </c>
      <c r="E589" s="97" t="s">
        <v>28</v>
      </c>
      <c r="F589" s="172">
        <v>320.32</v>
      </c>
      <c r="G589" s="97">
        <v>5</v>
      </c>
      <c r="H589" s="85">
        <f t="shared" si="491"/>
        <v>1601.6</v>
      </c>
      <c r="I589" s="50">
        <f t="shared" si="477"/>
        <v>0</v>
      </c>
      <c r="J589" s="85">
        <f t="shared" si="507"/>
        <v>0</v>
      </c>
      <c r="K589" s="82" t="str">
        <f t="shared" si="508"/>
        <v/>
      </c>
      <c r="L589" s="50"/>
      <c r="M589" s="85">
        <f t="shared" si="509"/>
        <v>0</v>
      </c>
      <c r="N589" s="82" t="str">
        <f t="shared" si="510"/>
        <v/>
      </c>
      <c r="O589" s="50"/>
      <c r="P589" s="85">
        <f t="shared" si="511"/>
        <v>0</v>
      </c>
      <c r="Q589" s="82" t="str">
        <f t="shared" si="512"/>
        <v/>
      </c>
      <c r="R589" s="50"/>
      <c r="S589" s="85">
        <f t="shared" si="513"/>
        <v>0</v>
      </c>
      <c r="T589" s="82" t="str">
        <f t="shared" si="514"/>
        <v/>
      </c>
      <c r="U589" s="50"/>
      <c r="V589" s="85">
        <f t="shared" si="515"/>
        <v>0</v>
      </c>
      <c r="W589" s="82" t="str">
        <f t="shared" si="516"/>
        <v/>
      </c>
      <c r="X589" s="50"/>
      <c r="Y589" s="85">
        <f t="shared" si="517"/>
        <v>0</v>
      </c>
      <c r="Z589" s="82" t="str">
        <f t="shared" si="518"/>
        <v/>
      </c>
      <c r="AA589" s="50"/>
      <c r="AB589" s="85">
        <f t="shared" si="519"/>
        <v>0</v>
      </c>
      <c r="AC589" s="82" t="str">
        <f t="shared" si="520"/>
        <v/>
      </c>
      <c r="AD589" s="50"/>
      <c r="AE589" s="85">
        <f t="shared" si="521"/>
        <v>0</v>
      </c>
      <c r="AF589" s="82" t="str">
        <f t="shared" si="522"/>
        <v/>
      </c>
      <c r="AG589" s="50"/>
      <c r="AH589" s="85">
        <f t="shared" si="523"/>
        <v>0</v>
      </c>
      <c r="AI589" s="82" t="str">
        <f t="shared" si="524"/>
        <v/>
      </c>
      <c r="AJ589" s="50"/>
      <c r="AK589" s="85">
        <f t="shared" si="525"/>
        <v>0</v>
      </c>
      <c r="AL589" s="82" t="str">
        <f t="shared" si="526"/>
        <v/>
      </c>
      <c r="AM589" s="50"/>
      <c r="AN589" s="85">
        <f t="shared" si="527"/>
        <v>0</v>
      </c>
      <c r="AO589" s="82" t="str">
        <f t="shared" si="528"/>
        <v/>
      </c>
      <c r="AP589" s="48">
        <f t="shared" si="505"/>
        <v>0</v>
      </c>
      <c r="AQ589" s="85">
        <f t="shared" si="529"/>
        <v>0</v>
      </c>
      <c r="AR589" s="82" t="str">
        <f t="shared" si="530"/>
        <v/>
      </c>
      <c r="AS589" s="48">
        <f t="shared" si="506"/>
        <v>5</v>
      </c>
      <c r="AT589" s="85">
        <f t="shared" si="531"/>
        <v>1601.6</v>
      </c>
      <c r="AU589" s="82">
        <f t="shared" si="532"/>
        <v>1</v>
      </c>
    </row>
    <row r="590" spans="1:56" s="115" customFormat="1" ht="15.75">
      <c r="A590" s="109"/>
      <c r="B590" s="118" t="s">
        <v>1916</v>
      </c>
      <c r="C590" s="1937" t="s">
        <v>1917</v>
      </c>
      <c r="D590" s="1938"/>
      <c r="E590" s="1938"/>
      <c r="F590" s="1938"/>
      <c r="G590" s="1939"/>
      <c r="H590" s="112">
        <f>H591+H595+H601+H607+H613+H625</f>
        <v>279874.17200000002</v>
      </c>
      <c r="I590" s="50">
        <f t="shared" si="477"/>
        <v>0</v>
      </c>
      <c r="J590" s="112">
        <f>J591+J595+J601+J607+J613+J625</f>
        <v>0</v>
      </c>
      <c r="K590" s="113">
        <f>J590/$H590</f>
        <v>0</v>
      </c>
      <c r="L590" s="111"/>
      <c r="M590" s="112">
        <f>M591+M595+M601+M607+M613+M625</f>
        <v>0</v>
      </c>
      <c r="N590" s="113">
        <f>M590/$H590</f>
        <v>0</v>
      </c>
      <c r="O590" s="111"/>
      <c r="P590" s="112">
        <f>P591+P595+P601+P607+P613+P625</f>
        <v>0</v>
      </c>
      <c r="Q590" s="113">
        <f>P590/$H590</f>
        <v>0</v>
      </c>
      <c r="R590" s="111"/>
      <c r="S590" s="112">
        <f>S591+S595+S601+S607+S613+S625</f>
        <v>0</v>
      </c>
      <c r="T590" s="113">
        <f>S590/$H590</f>
        <v>0</v>
      </c>
      <c r="U590" s="111"/>
      <c r="V590" s="112">
        <f>V591+V595+V601+V607+V613+V625</f>
        <v>0</v>
      </c>
      <c r="W590" s="113">
        <f>V590/$H590</f>
        <v>0</v>
      </c>
      <c r="X590" s="111"/>
      <c r="Y590" s="112">
        <f>Y591+Y595+Y601+Y607+Y613+Y625</f>
        <v>0</v>
      </c>
      <c r="Z590" s="113">
        <f>Y590/$H590</f>
        <v>0</v>
      </c>
      <c r="AA590" s="111"/>
      <c r="AB590" s="112">
        <f>AB591+AB595+AB601+AB607+AB613+AB625</f>
        <v>0</v>
      </c>
      <c r="AC590" s="113">
        <f>AB590/$H590</f>
        <v>0</v>
      </c>
      <c r="AD590" s="111"/>
      <c r="AE590" s="112">
        <f>AE591+AE595+AE601+AE607+AE613+AE625</f>
        <v>0</v>
      </c>
      <c r="AF590" s="113">
        <f>AE590/$H590</f>
        <v>0</v>
      </c>
      <c r="AG590" s="111"/>
      <c r="AH590" s="112">
        <f>AH591+AH595+AH601+AH607+AH613+AH625</f>
        <v>0</v>
      </c>
      <c r="AI590" s="113">
        <f>AH590/$H590</f>
        <v>0</v>
      </c>
      <c r="AJ590" s="111"/>
      <c r="AK590" s="112">
        <f>AK591+AK595+AK601+AK607+AK613+AK625</f>
        <v>0</v>
      </c>
      <c r="AL590" s="113">
        <f>AK590/$H590</f>
        <v>0</v>
      </c>
      <c r="AM590" s="111"/>
      <c r="AN590" s="112">
        <f>AN591+AN595+AN601+AN607+AN613+AN625</f>
        <v>0</v>
      </c>
      <c r="AO590" s="113">
        <f>AN590/$H590</f>
        <v>0</v>
      </c>
      <c r="AP590" s="114">
        <f t="shared" si="505"/>
        <v>0</v>
      </c>
      <c r="AQ590" s="112">
        <f>AQ591+AQ595+AQ601+AQ607+AQ613+AQ625</f>
        <v>0</v>
      </c>
      <c r="AR590" s="113">
        <f>AQ590/$H590</f>
        <v>0</v>
      </c>
      <c r="AS590" s="114">
        <f t="shared" si="506"/>
        <v>0</v>
      </c>
      <c r="AT590" s="112">
        <f>AT591+AT595+AT601+AT607+AT613+AT625</f>
        <v>279874.17200000002</v>
      </c>
      <c r="AU590" s="113">
        <f>AT590/$H590</f>
        <v>1</v>
      </c>
    </row>
    <row r="591" spans="1:56" s="161" customFormat="1">
      <c r="A591" s="94"/>
      <c r="B591" s="116" t="s">
        <v>1918</v>
      </c>
      <c r="C591" s="1945" t="s">
        <v>1919</v>
      </c>
      <c r="D591" s="1946"/>
      <c r="E591" s="1946"/>
      <c r="F591" s="1946"/>
      <c r="G591" s="1947"/>
      <c r="H591" s="159">
        <f>H592+H593+H594</f>
        <v>73047.94</v>
      </c>
      <c r="I591" s="50">
        <f t="shared" si="477"/>
        <v>0</v>
      </c>
      <c r="J591" s="159">
        <f>J592+J593+J594</f>
        <v>0</v>
      </c>
      <c r="K591" s="102">
        <f>J591/$H591</f>
        <v>0</v>
      </c>
      <c r="L591" s="101"/>
      <c r="M591" s="159">
        <f>M592+M593+M594</f>
        <v>0</v>
      </c>
      <c r="N591" s="102">
        <f>M591/$H591</f>
        <v>0</v>
      </c>
      <c r="O591" s="101"/>
      <c r="P591" s="159">
        <f>P592+P593+P594</f>
        <v>0</v>
      </c>
      <c r="Q591" s="102">
        <f>P591/$H591</f>
        <v>0</v>
      </c>
      <c r="R591" s="101"/>
      <c r="S591" s="159">
        <f>S592+S593+S594</f>
        <v>0</v>
      </c>
      <c r="T591" s="102">
        <f>S591/$H591</f>
        <v>0</v>
      </c>
      <c r="U591" s="101"/>
      <c r="V591" s="159">
        <f>V592+V593+V594</f>
        <v>0</v>
      </c>
      <c r="W591" s="102">
        <f>V591/$H591</f>
        <v>0</v>
      </c>
      <c r="X591" s="101"/>
      <c r="Y591" s="159">
        <f>Y592+Y593+Y594</f>
        <v>0</v>
      </c>
      <c r="Z591" s="102">
        <f>Y591/$H591</f>
        <v>0</v>
      </c>
      <c r="AA591" s="101"/>
      <c r="AB591" s="159">
        <f>AB592+AB593+AB594</f>
        <v>0</v>
      </c>
      <c r="AC591" s="102">
        <f>AB591/$H591</f>
        <v>0</v>
      </c>
      <c r="AD591" s="101"/>
      <c r="AE591" s="159">
        <f>AE592+AE593+AE594</f>
        <v>0</v>
      </c>
      <c r="AF591" s="102">
        <f>AE591/$H591</f>
        <v>0</v>
      </c>
      <c r="AG591" s="101"/>
      <c r="AH591" s="159">
        <f>AH592+AH593+AH594</f>
        <v>0</v>
      </c>
      <c r="AI591" s="102">
        <f>AH591/$H591</f>
        <v>0</v>
      </c>
      <c r="AJ591" s="101"/>
      <c r="AK591" s="159">
        <f>AK592+AK593+AK594</f>
        <v>0</v>
      </c>
      <c r="AL591" s="102">
        <f>AK591/$H591</f>
        <v>0</v>
      </c>
      <c r="AM591" s="101"/>
      <c r="AN591" s="159">
        <f>AN592+AN593+AN594</f>
        <v>0</v>
      </c>
      <c r="AO591" s="102">
        <f>AN591/$H591</f>
        <v>0</v>
      </c>
      <c r="AP591" s="160">
        <f t="shared" si="505"/>
        <v>0</v>
      </c>
      <c r="AQ591" s="159">
        <f>AQ592+AQ593+AQ594</f>
        <v>0</v>
      </c>
      <c r="AR591" s="102">
        <f>AQ591/$H591</f>
        <v>0</v>
      </c>
      <c r="AS591" s="160">
        <f t="shared" si="506"/>
        <v>0</v>
      </c>
      <c r="AT591" s="159">
        <f>AT592+AT593+AT594</f>
        <v>73047.94</v>
      </c>
      <c r="AU591" s="102">
        <f>AT591/$H591</f>
        <v>1</v>
      </c>
    </row>
    <row r="592" spans="1:56" ht="90">
      <c r="A592" s="16"/>
      <c r="B592" s="97" t="s">
        <v>1920</v>
      </c>
      <c r="C592" s="167" t="s">
        <v>1921</v>
      </c>
      <c r="D592" s="86" t="s">
        <v>1922</v>
      </c>
      <c r="E592" s="97" t="s">
        <v>44</v>
      </c>
      <c r="F592" s="172">
        <v>125.6</v>
      </c>
      <c r="G592" s="97">
        <v>510</v>
      </c>
      <c r="H592" s="85">
        <f t="shared" ref="H592:H600" si="533">G592*$F592</f>
        <v>64056</v>
      </c>
      <c r="I592" s="50">
        <f t="shared" si="477"/>
        <v>0</v>
      </c>
      <c r="J592" s="85">
        <f>I592*$F592</f>
        <v>0</v>
      </c>
      <c r="K592" s="82" t="str">
        <f t="shared" si="508"/>
        <v/>
      </c>
      <c r="L592" s="50"/>
      <c r="M592" s="85">
        <f>L592*$F592</f>
        <v>0</v>
      </c>
      <c r="N592" s="82" t="str">
        <f t="shared" si="510"/>
        <v/>
      </c>
      <c r="O592" s="50"/>
      <c r="P592" s="85">
        <f>O592*$F592</f>
        <v>0</v>
      </c>
      <c r="Q592" s="82" t="str">
        <f t="shared" si="512"/>
        <v/>
      </c>
      <c r="R592" s="50"/>
      <c r="S592" s="85">
        <f>R592*$F592</f>
        <v>0</v>
      </c>
      <c r="T592" s="82" t="str">
        <f t="shared" si="514"/>
        <v/>
      </c>
      <c r="U592" s="50"/>
      <c r="V592" s="85">
        <f>U592*$F592</f>
        <v>0</v>
      </c>
      <c r="W592" s="82" t="str">
        <f t="shared" si="516"/>
        <v/>
      </c>
      <c r="X592" s="50"/>
      <c r="Y592" s="85">
        <f>X592*$F592</f>
        <v>0</v>
      </c>
      <c r="Z592" s="82" t="str">
        <f t="shared" si="518"/>
        <v/>
      </c>
      <c r="AA592" s="50"/>
      <c r="AB592" s="85">
        <f>AA592*$F592</f>
        <v>0</v>
      </c>
      <c r="AC592" s="82" t="str">
        <f t="shared" si="520"/>
        <v/>
      </c>
      <c r="AD592" s="50"/>
      <c r="AE592" s="85">
        <f>AD592*$F592</f>
        <v>0</v>
      </c>
      <c r="AF592" s="82" t="str">
        <f t="shared" si="522"/>
        <v/>
      </c>
      <c r="AG592" s="50"/>
      <c r="AH592" s="85">
        <f>AG592*$F592</f>
        <v>0</v>
      </c>
      <c r="AI592" s="82" t="str">
        <f t="shared" si="524"/>
        <v/>
      </c>
      <c r="AJ592" s="50"/>
      <c r="AK592" s="85">
        <f>AJ592*$F592</f>
        <v>0</v>
      </c>
      <c r="AL592" s="82" t="str">
        <f t="shared" si="526"/>
        <v/>
      </c>
      <c r="AM592" s="50"/>
      <c r="AN592" s="85">
        <f>AM592*$F592</f>
        <v>0</v>
      </c>
      <c r="AO592" s="82" t="str">
        <f t="shared" si="528"/>
        <v/>
      </c>
      <c r="AP592" s="48">
        <f t="shared" si="505"/>
        <v>0</v>
      </c>
      <c r="AQ592" s="85">
        <f>AP592*$F592</f>
        <v>0</v>
      </c>
      <c r="AR592" s="82" t="str">
        <f t="shared" si="530"/>
        <v/>
      </c>
      <c r="AS592" s="48">
        <f t="shared" si="506"/>
        <v>510</v>
      </c>
      <c r="AT592" s="85">
        <f>AS592*$F592</f>
        <v>64056</v>
      </c>
      <c r="AU592" s="82">
        <f t="shared" si="532"/>
        <v>1</v>
      </c>
    </row>
    <row r="593" spans="1:47" ht="90">
      <c r="A593" s="16"/>
      <c r="B593" s="97" t="s">
        <v>1923</v>
      </c>
      <c r="C593" s="167" t="s">
        <v>1924</v>
      </c>
      <c r="D593" s="86" t="s">
        <v>1925</v>
      </c>
      <c r="E593" s="97" t="s">
        <v>44</v>
      </c>
      <c r="F593" s="172">
        <v>142.80000000000001</v>
      </c>
      <c r="G593" s="97">
        <v>19</v>
      </c>
      <c r="H593" s="85">
        <f t="shared" si="533"/>
        <v>2713.2000000000003</v>
      </c>
      <c r="I593" s="50">
        <f t="shared" si="477"/>
        <v>0</v>
      </c>
      <c r="J593" s="85">
        <f>I593*$F593</f>
        <v>0</v>
      </c>
      <c r="K593" s="82" t="str">
        <f t="shared" si="508"/>
        <v/>
      </c>
      <c r="L593" s="50"/>
      <c r="M593" s="85">
        <f>L593*$F593</f>
        <v>0</v>
      </c>
      <c r="N593" s="82" t="str">
        <f t="shared" si="510"/>
        <v/>
      </c>
      <c r="O593" s="50"/>
      <c r="P593" s="85">
        <f>O593*$F593</f>
        <v>0</v>
      </c>
      <c r="Q593" s="82" t="str">
        <f t="shared" si="512"/>
        <v/>
      </c>
      <c r="R593" s="50"/>
      <c r="S593" s="85">
        <f>R593*$F593</f>
        <v>0</v>
      </c>
      <c r="T593" s="82" t="str">
        <f t="shared" si="514"/>
        <v/>
      </c>
      <c r="U593" s="50"/>
      <c r="V593" s="85">
        <f>U593*$F593</f>
        <v>0</v>
      </c>
      <c r="W593" s="82" t="str">
        <f t="shared" si="516"/>
        <v/>
      </c>
      <c r="X593" s="50"/>
      <c r="Y593" s="85">
        <f>X593*$F593</f>
        <v>0</v>
      </c>
      <c r="Z593" s="82" t="str">
        <f t="shared" si="518"/>
        <v/>
      </c>
      <c r="AA593" s="50"/>
      <c r="AB593" s="85">
        <f>AA593*$F593</f>
        <v>0</v>
      </c>
      <c r="AC593" s="82" t="str">
        <f t="shared" si="520"/>
        <v/>
      </c>
      <c r="AD593" s="50"/>
      <c r="AE593" s="85">
        <f>AD593*$F593</f>
        <v>0</v>
      </c>
      <c r="AF593" s="82" t="str">
        <f t="shared" si="522"/>
        <v/>
      </c>
      <c r="AG593" s="50"/>
      <c r="AH593" s="85">
        <f>AG593*$F593</f>
        <v>0</v>
      </c>
      <c r="AI593" s="82" t="str">
        <f t="shared" si="524"/>
        <v/>
      </c>
      <c r="AJ593" s="50"/>
      <c r="AK593" s="85">
        <f>AJ593*$F593</f>
        <v>0</v>
      </c>
      <c r="AL593" s="82" t="str">
        <f t="shared" si="526"/>
        <v/>
      </c>
      <c r="AM593" s="50"/>
      <c r="AN593" s="85">
        <f>AM593*$F593</f>
        <v>0</v>
      </c>
      <c r="AO593" s="82" t="str">
        <f t="shared" si="528"/>
        <v/>
      </c>
      <c r="AP593" s="48">
        <f t="shared" si="505"/>
        <v>0</v>
      </c>
      <c r="AQ593" s="85">
        <f>AP593*$F593</f>
        <v>0</v>
      </c>
      <c r="AR593" s="82" t="str">
        <f t="shared" si="530"/>
        <v/>
      </c>
      <c r="AS593" s="48">
        <f t="shared" si="506"/>
        <v>19</v>
      </c>
      <c r="AT593" s="85">
        <f>AS593*$F593</f>
        <v>2713.2000000000003</v>
      </c>
      <c r="AU593" s="82">
        <f t="shared" si="532"/>
        <v>1</v>
      </c>
    </row>
    <row r="594" spans="1:47" ht="105">
      <c r="A594" s="16"/>
      <c r="B594" s="97" t="s">
        <v>1926</v>
      </c>
      <c r="C594" s="167" t="s">
        <v>1927</v>
      </c>
      <c r="D594" s="86" t="s">
        <v>1928</v>
      </c>
      <c r="E594" s="97" t="s">
        <v>44</v>
      </c>
      <c r="F594" s="172">
        <v>153.13999999999999</v>
      </c>
      <c r="G594" s="97">
        <v>41</v>
      </c>
      <c r="H594" s="85">
        <f t="shared" si="533"/>
        <v>6278.74</v>
      </c>
      <c r="I594" s="50">
        <f t="shared" si="477"/>
        <v>0</v>
      </c>
      <c r="J594" s="85">
        <f>I594*$F594</f>
        <v>0</v>
      </c>
      <c r="K594" s="82" t="str">
        <f t="shared" si="508"/>
        <v/>
      </c>
      <c r="L594" s="50"/>
      <c r="M594" s="85">
        <f>L594*$F594</f>
        <v>0</v>
      </c>
      <c r="N594" s="82" t="str">
        <f t="shared" si="510"/>
        <v/>
      </c>
      <c r="O594" s="50"/>
      <c r="P594" s="85">
        <f>O594*$F594</f>
        <v>0</v>
      </c>
      <c r="Q594" s="82" t="str">
        <f t="shared" si="512"/>
        <v/>
      </c>
      <c r="R594" s="50"/>
      <c r="S594" s="85">
        <f>R594*$F594</f>
        <v>0</v>
      </c>
      <c r="T594" s="82" t="str">
        <f t="shared" si="514"/>
        <v/>
      </c>
      <c r="U594" s="50"/>
      <c r="V594" s="85">
        <f>U594*$F594</f>
        <v>0</v>
      </c>
      <c r="W594" s="82" t="str">
        <f t="shared" si="516"/>
        <v/>
      </c>
      <c r="X594" s="50"/>
      <c r="Y594" s="85">
        <f>X594*$F594</f>
        <v>0</v>
      </c>
      <c r="Z594" s="82" t="str">
        <f t="shared" si="518"/>
        <v/>
      </c>
      <c r="AA594" s="50"/>
      <c r="AB594" s="85">
        <f>AA594*$F594</f>
        <v>0</v>
      </c>
      <c r="AC594" s="82" t="str">
        <f t="shared" si="520"/>
        <v/>
      </c>
      <c r="AD594" s="50"/>
      <c r="AE594" s="85">
        <f>AD594*$F594</f>
        <v>0</v>
      </c>
      <c r="AF594" s="82" t="str">
        <f t="shared" si="522"/>
        <v/>
      </c>
      <c r="AG594" s="50"/>
      <c r="AH594" s="85">
        <f>AG594*$F594</f>
        <v>0</v>
      </c>
      <c r="AI594" s="82" t="str">
        <f t="shared" si="524"/>
        <v/>
      </c>
      <c r="AJ594" s="50"/>
      <c r="AK594" s="85">
        <f>AJ594*$F594</f>
        <v>0</v>
      </c>
      <c r="AL594" s="82" t="str">
        <f t="shared" si="526"/>
        <v/>
      </c>
      <c r="AM594" s="50"/>
      <c r="AN594" s="85">
        <f>AM594*$F594</f>
        <v>0</v>
      </c>
      <c r="AO594" s="82" t="str">
        <f t="shared" si="528"/>
        <v/>
      </c>
      <c r="AP594" s="48">
        <f t="shared" si="505"/>
        <v>0</v>
      </c>
      <c r="AQ594" s="85">
        <f>AP594*$F594</f>
        <v>0</v>
      </c>
      <c r="AR594" s="82" t="str">
        <f t="shared" si="530"/>
        <v/>
      </c>
      <c r="AS594" s="48">
        <f t="shared" si="506"/>
        <v>41</v>
      </c>
      <c r="AT594" s="85">
        <f>AS594*$F594</f>
        <v>6278.74</v>
      </c>
      <c r="AU594" s="82">
        <f t="shared" si="532"/>
        <v>1</v>
      </c>
    </row>
    <row r="595" spans="1:47" s="161" customFormat="1" ht="45" customHeight="1">
      <c r="A595" s="94"/>
      <c r="B595" s="116" t="s">
        <v>1929</v>
      </c>
      <c r="C595" s="1945" t="s">
        <v>1930</v>
      </c>
      <c r="D595" s="1946"/>
      <c r="E595" s="1946"/>
      <c r="F595" s="1946"/>
      <c r="G595" s="1947"/>
      <c r="H595" s="159">
        <f>SUM(H596:H600)</f>
        <v>80798.169999999984</v>
      </c>
      <c r="I595" s="50">
        <f t="shared" ref="I595:I658" si="534">L595+O595</f>
        <v>0</v>
      </c>
      <c r="J595" s="159">
        <f>SUM(J596:J600)</f>
        <v>0</v>
      </c>
      <c r="K595" s="102">
        <f>J595/$H595</f>
        <v>0</v>
      </c>
      <c r="L595" s="101"/>
      <c r="M595" s="159">
        <f>SUM(M596:M600)</f>
        <v>0</v>
      </c>
      <c r="N595" s="102">
        <f>M595/$H595</f>
        <v>0</v>
      </c>
      <c r="O595" s="101"/>
      <c r="P595" s="159">
        <f>SUM(P596:P600)</f>
        <v>0</v>
      </c>
      <c r="Q595" s="102">
        <f>P595/$H595</f>
        <v>0</v>
      </c>
      <c r="R595" s="101"/>
      <c r="S595" s="159">
        <f>SUM(S596:S600)</f>
        <v>0</v>
      </c>
      <c r="T595" s="102">
        <f>S595/$H595</f>
        <v>0</v>
      </c>
      <c r="U595" s="101"/>
      <c r="V595" s="159">
        <f>SUM(V596:V600)</f>
        <v>0</v>
      </c>
      <c r="W595" s="102">
        <f>V595/$H595</f>
        <v>0</v>
      </c>
      <c r="X595" s="101"/>
      <c r="Y595" s="159">
        <f>SUM(Y596:Y600)</f>
        <v>0</v>
      </c>
      <c r="Z595" s="102">
        <f>Y595/$H595</f>
        <v>0</v>
      </c>
      <c r="AA595" s="101"/>
      <c r="AB595" s="159">
        <f>SUM(AB596:AB600)</f>
        <v>0</v>
      </c>
      <c r="AC595" s="102">
        <f>AB595/$H595</f>
        <v>0</v>
      </c>
      <c r="AD595" s="101"/>
      <c r="AE595" s="159">
        <f>SUM(AE596:AE600)</f>
        <v>0</v>
      </c>
      <c r="AF595" s="102">
        <f>AE595/$H595</f>
        <v>0</v>
      </c>
      <c r="AG595" s="101"/>
      <c r="AH595" s="159">
        <f>SUM(AH596:AH600)</f>
        <v>0</v>
      </c>
      <c r="AI595" s="102">
        <f>AH595/$H595</f>
        <v>0</v>
      </c>
      <c r="AJ595" s="101"/>
      <c r="AK595" s="159">
        <f>SUM(AK596:AK600)</f>
        <v>0</v>
      </c>
      <c r="AL595" s="102">
        <f>AK595/$H595</f>
        <v>0</v>
      </c>
      <c r="AM595" s="101"/>
      <c r="AN595" s="159">
        <f>SUM(AN596:AN600)</f>
        <v>0</v>
      </c>
      <c r="AO595" s="102">
        <f>AN595/$H595</f>
        <v>0</v>
      </c>
      <c r="AP595" s="160">
        <f t="shared" si="505"/>
        <v>0</v>
      </c>
      <c r="AQ595" s="159">
        <f>SUM(AQ596:AQ600)</f>
        <v>0</v>
      </c>
      <c r="AR595" s="102">
        <f>AQ595/$H595</f>
        <v>0</v>
      </c>
      <c r="AS595" s="160">
        <f t="shared" si="506"/>
        <v>0</v>
      </c>
      <c r="AT595" s="159">
        <f>SUM(AT596:AT600)</f>
        <v>80798.169999999984</v>
      </c>
      <c r="AU595" s="102">
        <f>AT595/$H595</f>
        <v>1</v>
      </c>
    </row>
    <row r="596" spans="1:47" ht="90">
      <c r="A596" s="16"/>
      <c r="B596" s="97" t="s">
        <v>1931</v>
      </c>
      <c r="C596" s="167" t="s">
        <v>1932</v>
      </c>
      <c r="D596" s="86" t="s">
        <v>1933</v>
      </c>
      <c r="E596" s="97" t="s">
        <v>28</v>
      </c>
      <c r="F596" s="172">
        <v>2067.4899999999998</v>
      </c>
      <c r="G596" s="97">
        <v>17</v>
      </c>
      <c r="H596" s="85">
        <f t="shared" si="533"/>
        <v>35147.329999999994</v>
      </c>
      <c r="I596" s="50">
        <f t="shared" si="534"/>
        <v>0</v>
      </c>
      <c r="J596" s="85">
        <f t="shared" ref="J596:J606" si="535">I596*$F596</f>
        <v>0</v>
      </c>
      <c r="K596" s="82" t="str">
        <f t="shared" si="508"/>
        <v/>
      </c>
      <c r="L596" s="50"/>
      <c r="M596" s="85">
        <f>L596*$F596</f>
        <v>0</v>
      </c>
      <c r="N596" s="82" t="str">
        <f t="shared" si="510"/>
        <v/>
      </c>
      <c r="O596" s="50"/>
      <c r="P596" s="85">
        <f>O596*$F596</f>
        <v>0</v>
      </c>
      <c r="Q596" s="82" t="str">
        <f t="shared" si="512"/>
        <v/>
      </c>
      <c r="R596" s="50"/>
      <c r="S596" s="85">
        <f>R596*$F596</f>
        <v>0</v>
      </c>
      <c r="T596" s="82" t="str">
        <f t="shared" si="514"/>
        <v/>
      </c>
      <c r="U596" s="50"/>
      <c r="V596" s="85">
        <f>U596*$F596</f>
        <v>0</v>
      </c>
      <c r="W596" s="82" t="str">
        <f t="shared" si="516"/>
        <v/>
      </c>
      <c r="X596" s="50"/>
      <c r="Y596" s="85">
        <f>X596*$F596</f>
        <v>0</v>
      </c>
      <c r="Z596" s="82" t="str">
        <f t="shared" si="518"/>
        <v/>
      </c>
      <c r="AA596" s="50"/>
      <c r="AB596" s="85">
        <f>AA596*$F596</f>
        <v>0</v>
      </c>
      <c r="AC596" s="82" t="str">
        <f t="shared" si="520"/>
        <v/>
      </c>
      <c r="AD596" s="50"/>
      <c r="AE596" s="85">
        <f>AD596*$F596</f>
        <v>0</v>
      </c>
      <c r="AF596" s="82" t="str">
        <f t="shared" si="522"/>
        <v/>
      </c>
      <c r="AG596" s="50"/>
      <c r="AH596" s="85">
        <f>AG596*$F596</f>
        <v>0</v>
      </c>
      <c r="AI596" s="82" t="str">
        <f t="shared" si="524"/>
        <v/>
      </c>
      <c r="AJ596" s="50"/>
      <c r="AK596" s="85">
        <f>AJ596*$F596</f>
        <v>0</v>
      </c>
      <c r="AL596" s="82" t="str">
        <f t="shared" si="526"/>
        <v/>
      </c>
      <c r="AM596" s="50"/>
      <c r="AN596" s="85">
        <f>AM596*$F596</f>
        <v>0</v>
      </c>
      <c r="AO596" s="82" t="str">
        <f t="shared" si="528"/>
        <v/>
      </c>
      <c r="AP596" s="48">
        <f t="shared" si="505"/>
        <v>0</v>
      </c>
      <c r="AQ596" s="85">
        <f>AP596*$F596</f>
        <v>0</v>
      </c>
      <c r="AR596" s="82" t="str">
        <f t="shared" si="530"/>
        <v/>
      </c>
      <c r="AS596" s="48">
        <f t="shared" si="506"/>
        <v>17</v>
      </c>
      <c r="AT596" s="85">
        <f t="shared" ref="AT596:AT612" si="536">AS596*$F596</f>
        <v>35147.329999999994</v>
      </c>
      <c r="AU596" s="82">
        <f t="shared" si="532"/>
        <v>1</v>
      </c>
    </row>
    <row r="597" spans="1:47" ht="90">
      <c r="A597" s="16"/>
      <c r="B597" s="97" t="s">
        <v>1934</v>
      </c>
      <c r="C597" s="167" t="s">
        <v>1935</v>
      </c>
      <c r="D597" s="86" t="s">
        <v>1936</v>
      </c>
      <c r="E597" s="97" t="s">
        <v>28</v>
      </c>
      <c r="F597" s="172">
        <v>2314.9899999999998</v>
      </c>
      <c r="G597" s="97">
        <v>12</v>
      </c>
      <c r="H597" s="85">
        <f t="shared" si="533"/>
        <v>27779.879999999997</v>
      </c>
      <c r="I597" s="50">
        <f t="shared" si="534"/>
        <v>0</v>
      </c>
      <c r="J597" s="85">
        <f t="shared" si="535"/>
        <v>0</v>
      </c>
      <c r="K597" s="82" t="str">
        <f t="shared" si="508"/>
        <v/>
      </c>
      <c r="L597" s="50"/>
      <c r="M597" s="85">
        <f>L597*$F597</f>
        <v>0</v>
      </c>
      <c r="N597" s="82" t="str">
        <f t="shared" si="510"/>
        <v/>
      </c>
      <c r="O597" s="50"/>
      <c r="P597" s="85">
        <f>O597*$F597</f>
        <v>0</v>
      </c>
      <c r="Q597" s="82" t="str">
        <f t="shared" si="512"/>
        <v/>
      </c>
      <c r="R597" s="50"/>
      <c r="S597" s="85">
        <f>R597*$F597</f>
        <v>0</v>
      </c>
      <c r="T597" s="82" t="str">
        <f t="shared" si="514"/>
        <v/>
      </c>
      <c r="U597" s="50"/>
      <c r="V597" s="85">
        <f>U597*$F597</f>
        <v>0</v>
      </c>
      <c r="W597" s="82" t="str">
        <f t="shared" si="516"/>
        <v/>
      </c>
      <c r="X597" s="50"/>
      <c r="Y597" s="85">
        <f>X597*$F597</f>
        <v>0</v>
      </c>
      <c r="Z597" s="82" t="str">
        <f t="shared" si="518"/>
        <v/>
      </c>
      <c r="AA597" s="50"/>
      <c r="AB597" s="85">
        <f>AA597*$F597</f>
        <v>0</v>
      </c>
      <c r="AC597" s="82" t="str">
        <f t="shared" si="520"/>
        <v/>
      </c>
      <c r="AD597" s="50"/>
      <c r="AE597" s="85">
        <f>AD597*$F597</f>
        <v>0</v>
      </c>
      <c r="AF597" s="82" t="str">
        <f t="shared" si="522"/>
        <v/>
      </c>
      <c r="AG597" s="50"/>
      <c r="AH597" s="85">
        <f>AG597*$F597</f>
        <v>0</v>
      </c>
      <c r="AI597" s="82" t="str">
        <f t="shared" si="524"/>
        <v/>
      </c>
      <c r="AJ597" s="50"/>
      <c r="AK597" s="85">
        <f>AJ597*$F597</f>
        <v>0</v>
      </c>
      <c r="AL597" s="82" t="str">
        <f t="shared" si="526"/>
        <v/>
      </c>
      <c r="AM597" s="50"/>
      <c r="AN597" s="85">
        <f>AM597*$F597</f>
        <v>0</v>
      </c>
      <c r="AO597" s="82" t="str">
        <f t="shared" si="528"/>
        <v/>
      </c>
      <c r="AP597" s="48">
        <f t="shared" si="505"/>
        <v>0</v>
      </c>
      <c r="AQ597" s="85">
        <f>AP597*$F597</f>
        <v>0</v>
      </c>
      <c r="AR597" s="82" t="str">
        <f t="shared" si="530"/>
        <v/>
      </c>
      <c r="AS597" s="48">
        <f t="shared" si="506"/>
        <v>12</v>
      </c>
      <c r="AT597" s="85">
        <f t="shared" si="536"/>
        <v>27779.879999999997</v>
      </c>
      <c r="AU597" s="82">
        <f t="shared" si="532"/>
        <v>1</v>
      </c>
    </row>
    <row r="598" spans="1:47" ht="90">
      <c r="A598" s="16"/>
      <c r="B598" s="97" t="s">
        <v>1937</v>
      </c>
      <c r="C598" s="167" t="s">
        <v>1938</v>
      </c>
      <c r="D598" s="86" t="s">
        <v>1939</v>
      </c>
      <c r="E598" s="97" t="s">
        <v>28</v>
      </c>
      <c r="F598" s="172">
        <v>3436.7</v>
      </c>
      <c r="G598" s="97">
        <v>1</v>
      </c>
      <c r="H598" s="85">
        <f t="shared" si="533"/>
        <v>3436.7</v>
      </c>
      <c r="I598" s="50">
        <f t="shared" si="534"/>
        <v>0</v>
      </c>
      <c r="J598" s="85">
        <f t="shared" si="535"/>
        <v>0</v>
      </c>
      <c r="K598" s="82" t="str">
        <f t="shared" si="508"/>
        <v/>
      </c>
      <c r="L598" s="50"/>
      <c r="M598" s="85">
        <f>L598*$F598</f>
        <v>0</v>
      </c>
      <c r="N598" s="82" t="str">
        <f t="shared" si="510"/>
        <v/>
      </c>
      <c r="O598" s="50"/>
      <c r="P598" s="85">
        <f>O598*$F598</f>
        <v>0</v>
      </c>
      <c r="Q598" s="82" t="str">
        <f t="shared" si="512"/>
        <v/>
      </c>
      <c r="R598" s="50"/>
      <c r="S598" s="85">
        <f>R598*$F598</f>
        <v>0</v>
      </c>
      <c r="T598" s="82" t="str">
        <f t="shared" si="514"/>
        <v/>
      </c>
      <c r="U598" s="50"/>
      <c r="V598" s="85">
        <f>U598*$F598</f>
        <v>0</v>
      </c>
      <c r="W598" s="82" t="str">
        <f t="shared" si="516"/>
        <v/>
      </c>
      <c r="X598" s="50"/>
      <c r="Y598" s="85">
        <f>X598*$F598</f>
        <v>0</v>
      </c>
      <c r="Z598" s="82" t="str">
        <f t="shared" si="518"/>
        <v/>
      </c>
      <c r="AA598" s="50"/>
      <c r="AB598" s="85">
        <f>AA598*$F598</f>
        <v>0</v>
      </c>
      <c r="AC598" s="82" t="str">
        <f t="shared" si="520"/>
        <v/>
      </c>
      <c r="AD598" s="50"/>
      <c r="AE598" s="85">
        <f>AD598*$F598</f>
        <v>0</v>
      </c>
      <c r="AF598" s="82" t="str">
        <f t="shared" si="522"/>
        <v/>
      </c>
      <c r="AG598" s="50"/>
      <c r="AH598" s="85">
        <f>AG598*$F598</f>
        <v>0</v>
      </c>
      <c r="AI598" s="82" t="str">
        <f t="shared" si="524"/>
        <v/>
      </c>
      <c r="AJ598" s="50"/>
      <c r="AK598" s="85">
        <f>AJ598*$F598</f>
        <v>0</v>
      </c>
      <c r="AL598" s="82" t="str">
        <f t="shared" si="526"/>
        <v/>
      </c>
      <c r="AM598" s="50"/>
      <c r="AN598" s="85">
        <f>AM598*$F598</f>
        <v>0</v>
      </c>
      <c r="AO598" s="82" t="str">
        <f t="shared" si="528"/>
        <v/>
      </c>
      <c r="AP598" s="48">
        <f t="shared" si="505"/>
        <v>0</v>
      </c>
      <c r="AQ598" s="85">
        <f>AP598*$F598</f>
        <v>0</v>
      </c>
      <c r="AR598" s="82" t="str">
        <f t="shared" si="530"/>
        <v/>
      </c>
      <c r="AS598" s="48">
        <f t="shared" si="506"/>
        <v>1</v>
      </c>
      <c r="AT598" s="85">
        <f t="shared" si="536"/>
        <v>3436.7</v>
      </c>
      <c r="AU598" s="82">
        <f t="shared" si="532"/>
        <v>1</v>
      </c>
    </row>
    <row r="599" spans="1:47" ht="90">
      <c r="A599" s="16"/>
      <c r="B599" s="97" t="s">
        <v>1940</v>
      </c>
      <c r="C599" s="167" t="s">
        <v>1941</v>
      </c>
      <c r="D599" s="86" t="s">
        <v>1942</v>
      </c>
      <c r="E599" s="97" t="s">
        <v>28</v>
      </c>
      <c r="F599" s="172">
        <v>3501.82</v>
      </c>
      <c r="G599" s="97">
        <v>2</v>
      </c>
      <c r="H599" s="85">
        <f t="shared" si="533"/>
        <v>7003.64</v>
      </c>
      <c r="I599" s="50">
        <f t="shared" si="534"/>
        <v>0</v>
      </c>
      <c r="J599" s="85">
        <f t="shared" si="535"/>
        <v>0</v>
      </c>
      <c r="K599" s="82" t="str">
        <f t="shared" si="508"/>
        <v/>
      </c>
      <c r="L599" s="50"/>
      <c r="M599" s="85">
        <f>L599*$F599</f>
        <v>0</v>
      </c>
      <c r="N599" s="82" t="str">
        <f t="shared" si="510"/>
        <v/>
      </c>
      <c r="O599" s="50"/>
      <c r="P599" s="85">
        <f>O599*$F599</f>
        <v>0</v>
      </c>
      <c r="Q599" s="82" t="str">
        <f t="shared" si="512"/>
        <v/>
      </c>
      <c r="R599" s="50"/>
      <c r="S599" s="85">
        <f>R599*$F599</f>
        <v>0</v>
      </c>
      <c r="T599" s="82" t="str">
        <f t="shared" si="514"/>
        <v/>
      </c>
      <c r="U599" s="50"/>
      <c r="V599" s="85">
        <f>U599*$F599</f>
        <v>0</v>
      </c>
      <c r="W599" s="82" t="str">
        <f t="shared" si="516"/>
        <v/>
      </c>
      <c r="X599" s="50"/>
      <c r="Y599" s="85">
        <f>X599*$F599</f>
        <v>0</v>
      </c>
      <c r="Z599" s="82" t="str">
        <f t="shared" si="518"/>
        <v/>
      </c>
      <c r="AA599" s="50"/>
      <c r="AB599" s="85">
        <f>AA599*$F599</f>
        <v>0</v>
      </c>
      <c r="AC599" s="82" t="str">
        <f t="shared" si="520"/>
        <v/>
      </c>
      <c r="AD599" s="50"/>
      <c r="AE599" s="85">
        <f>AD599*$F599</f>
        <v>0</v>
      </c>
      <c r="AF599" s="82" t="str">
        <f t="shared" si="522"/>
        <v/>
      </c>
      <c r="AG599" s="50"/>
      <c r="AH599" s="85">
        <f>AG599*$F599</f>
        <v>0</v>
      </c>
      <c r="AI599" s="82" t="str">
        <f t="shared" si="524"/>
        <v/>
      </c>
      <c r="AJ599" s="50"/>
      <c r="AK599" s="85">
        <f>AJ599*$F599</f>
        <v>0</v>
      </c>
      <c r="AL599" s="82" t="str">
        <f t="shared" si="526"/>
        <v/>
      </c>
      <c r="AM599" s="50"/>
      <c r="AN599" s="85">
        <f>AM599*$F599</f>
        <v>0</v>
      </c>
      <c r="AO599" s="82" t="str">
        <f t="shared" si="528"/>
        <v/>
      </c>
      <c r="AP599" s="48">
        <f t="shared" si="505"/>
        <v>0</v>
      </c>
      <c r="AQ599" s="85">
        <f>AP599*$F599</f>
        <v>0</v>
      </c>
      <c r="AR599" s="82" t="str">
        <f t="shared" si="530"/>
        <v/>
      </c>
      <c r="AS599" s="48">
        <f t="shared" si="506"/>
        <v>2</v>
      </c>
      <c r="AT599" s="85">
        <f t="shared" si="536"/>
        <v>7003.64</v>
      </c>
      <c r="AU599" s="82">
        <f t="shared" si="532"/>
        <v>1</v>
      </c>
    </row>
    <row r="600" spans="1:47" ht="90">
      <c r="A600" s="16"/>
      <c r="B600" s="97" t="s">
        <v>1943</v>
      </c>
      <c r="C600" s="167" t="s">
        <v>1944</v>
      </c>
      <c r="D600" s="86" t="s">
        <v>1945</v>
      </c>
      <c r="E600" s="97" t="s">
        <v>28</v>
      </c>
      <c r="F600" s="172">
        <v>7430.62</v>
      </c>
      <c r="G600" s="97">
        <v>1</v>
      </c>
      <c r="H600" s="85">
        <f t="shared" si="533"/>
        <v>7430.62</v>
      </c>
      <c r="I600" s="50">
        <f t="shared" si="534"/>
        <v>0</v>
      </c>
      <c r="J600" s="85">
        <f t="shared" si="535"/>
        <v>0</v>
      </c>
      <c r="K600" s="82" t="str">
        <f t="shared" si="508"/>
        <v/>
      </c>
      <c r="L600" s="50"/>
      <c r="M600" s="85">
        <f>L600*$F600</f>
        <v>0</v>
      </c>
      <c r="N600" s="82" t="str">
        <f t="shared" si="510"/>
        <v/>
      </c>
      <c r="O600" s="50"/>
      <c r="P600" s="85">
        <f>O600*$F600</f>
        <v>0</v>
      </c>
      <c r="Q600" s="82" t="str">
        <f t="shared" si="512"/>
        <v/>
      </c>
      <c r="R600" s="50"/>
      <c r="S600" s="85">
        <f>R600*$F600</f>
        <v>0</v>
      </c>
      <c r="T600" s="82" t="str">
        <f t="shared" si="514"/>
        <v/>
      </c>
      <c r="U600" s="50"/>
      <c r="V600" s="85">
        <f>U600*$F600</f>
        <v>0</v>
      </c>
      <c r="W600" s="82" t="str">
        <f t="shared" si="516"/>
        <v/>
      </c>
      <c r="X600" s="50"/>
      <c r="Y600" s="85">
        <f>X600*$F600</f>
        <v>0</v>
      </c>
      <c r="Z600" s="82" t="str">
        <f t="shared" si="518"/>
        <v/>
      </c>
      <c r="AA600" s="50"/>
      <c r="AB600" s="85">
        <f>AA600*$F600</f>
        <v>0</v>
      </c>
      <c r="AC600" s="82" t="str">
        <f t="shared" si="520"/>
        <v/>
      </c>
      <c r="AD600" s="50"/>
      <c r="AE600" s="85">
        <f>AD600*$F600</f>
        <v>0</v>
      </c>
      <c r="AF600" s="82" t="str">
        <f t="shared" si="522"/>
        <v/>
      </c>
      <c r="AG600" s="50"/>
      <c r="AH600" s="85">
        <f>AG600*$F600</f>
        <v>0</v>
      </c>
      <c r="AI600" s="82" t="str">
        <f t="shared" si="524"/>
        <v/>
      </c>
      <c r="AJ600" s="50"/>
      <c r="AK600" s="85">
        <f>AJ600*$F600</f>
        <v>0</v>
      </c>
      <c r="AL600" s="82" t="str">
        <f t="shared" si="526"/>
        <v/>
      </c>
      <c r="AM600" s="50"/>
      <c r="AN600" s="85">
        <f>AM600*$F600</f>
        <v>0</v>
      </c>
      <c r="AO600" s="82" t="str">
        <f t="shared" si="528"/>
        <v/>
      </c>
      <c r="AP600" s="48">
        <f t="shared" si="505"/>
        <v>0</v>
      </c>
      <c r="AQ600" s="85">
        <f>AP600*$F600</f>
        <v>0</v>
      </c>
      <c r="AR600" s="82" t="str">
        <f t="shared" si="530"/>
        <v/>
      </c>
      <c r="AS600" s="48">
        <f t="shared" si="506"/>
        <v>1</v>
      </c>
      <c r="AT600" s="85">
        <f t="shared" si="536"/>
        <v>7430.62</v>
      </c>
      <c r="AU600" s="82">
        <f t="shared" si="532"/>
        <v>1</v>
      </c>
    </row>
    <row r="601" spans="1:47" s="161" customFormat="1" ht="30" customHeight="1">
      <c r="A601" s="94"/>
      <c r="B601" s="116" t="s">
        <v>1946</v>
      </c>
      <c r="C601" s="1945" t="s">
        <v>1947</v>
      </c>
      <c r="D601" s="1946"/>
      <c r="E601" s="1946"/>
      <c r="F601" s="1946"/>
      <c r="G601" s="1947"/>
      <c r="H601" s="159">
        <f>SUM(H602:H606)</f>
        <v>3716.1299999999997</v>
      </c>
      <c r="I601" s="50">
        <f t="shared" si="534"/>
        <v>0</v>
      </c>
      <c r="J601" s="159">
        <f>SUM(J602:J606)</f>
        <v>0</v>
      </c>
      <c r="K601" s="102">
        <f>J601/$H601</f>
        <v>0</v>
      </c>
      <c r="L601" s="101"/>
      <c r="M601" s="159">
        <f>SUM(M602:M606)</f>
        <v>0</v>
      </c>
      <c r="N601" s="102">
        <f>M601/$H601</f>
        <v>0</v>
      </c>
      <c r="O601" s="101"/>
      <c r="P601" s="159">
        <f>SUM(P602:P606)</f>
        <v>0</v>
      </c>
      <c r="Q601" s="102">
        <f>P601/$H601</f>
        <v>0</v>
      </c>
      <c r="R601" s="101"/>
      <c r="S601" s="159">
        <f>SUM(S602:S606)</f>
        <v>0</v>
      </c>
      <c r="T601" s="102">
        <f>S601/$H601</f>
        <v>0</v>
      </c>
      <c r="U601" s="101"/>
      <c r="V601" s="159">
        <f>SUM(V602:V606)</f>
        <v>0</v>
      </c>
      <c r="W601" s="102">
        <f>V601/$H601</f>
        <v>0</v>
      </c>
      <c r="X601" s="101"/>
      <c r="Y601" s="159">
        <f>SUM(Y602:Y606)</f>
        <v>0</v>
      </c>
      <c r="Z601" s="102">
        <f>Y601/$H601</f>
        <v>0</v>
      </c>
      <c r="AA601" s="101"/>
      <c r="AB601" s="159">
        <f>SUM(AB602:AB606)</f>
        <v>0</v>
      </c>
      <c r="AC601" s="102">
        <f>AB601/$H601</f>
        <v>0</v>
      </c>
      <c r="AD601" s="101"/>
      <c r="AE601" s="159">
        <f>SUM(AE602:AE606)</f>
        <v>0</v>
      </c>
      <c r="AF601" s="102">
        <f>AE601/$H601</f>
        <v>0</v>
      </c>
      <c r="AG601" s="101"/>
      <c r="AH601" s="159">
        <f>SUM(AH602:AH606)</f>
        <v>0</v>
      </c>
      <c r="AI601" s="102">
        <f>AH601/$H601</f>
        <v>0</v>
      </c>
      <c r="AJ601" s="101"/>
      <c r="AK601" s="159">
        <f>SUM(AK602:AK606)</f>
        <v>0</v>
      </c>
      <c r="AL601" s="102">
        <f>AK601/$H601</f>
        <v>0</v>
      </c>
      <c r="AM601" s="101"/>
      <c r="AN601" s="159">
        <f>SUM(AN602:AN606)</f>
        <v>0</v>
      </c>
      <c r="AO601" s="102">
        <f>AN601/$H601</f>
        <v>0</v>
      </c>
      <c r="AP601" s="160">
        <f t="shared" si="505"/>
        <v>0</v>
      </c>
      <c r="AQ601" s="159">
        <f>SUM(AQ602:AQ606)</f>
        <v>0</v>
      </c>
      <c r="AR601" s="102">
        <f>AQ601/$H601</f>
        <v>0</v>
      </c>
      <c r="AS601" s="160">
        <f t="shared" si="506"/>
        <v>0</v>
      </c>
      <c r="AT601" s="159">
        <f>SUM(AT602:AT606)</f>
        <v>3716.1299999999997</v>
      </c>
      <c r="AU601" s="102">
        <f>AT601/$H601</f>
        <v>1</v>
      </c>
    </row>
    <row r="602" spans="1:47" ht="45">
      <c r="A602" s="16"/>
      <c r="B602" s="97" t="s">
        <v>1948</v>
      </c>
      <c r="C602" s="167" t="s">
        <v>1949</v>
      </c>
      <c r="D602" s="86" t="s">
        <v>1950</v>
      </c>
      <c r="E602" s="97" t="s">
        <v>28</v>
      </c>
      <c r="F602" s="172">
        <v>112.61</v>
      </c>
      <c r="G602" s="97">
        <v>17</v>
      </c>
      <c r="H602" s="85">
        <f>G602*F602</f>
        <v>1914.37</v>
      </c>
      <c r="I602" s="50">
        <f t="shared" si="534"/>
        <v>0</v>
      </c>
      <c r="J602" s="85">
        <f t="shared" si="535"/>
        <v>0</v>
      </c>
      <c r="K602" s="82" t="str">
        <f t="shared" si="508"/>
        <v/>
      </c>
      <c r="L602" s="50"/>
      <c r="M602" s="85">
        <f>L602*$F602</f>
        <v>0</v>
      </c>
      <c r="N602" s="82" t="str">
        <f t="shared" si="510"/>
        <v/>
      </c>
      <c r="O602" s="50"/>
      <c r="P602" s="85">
        <f>O602*$F602</f>
        <v>0</v>
      </c>
      <c r="Q602" s="82" t="str">
        <f t="shared" si="512"/>
        <v/>
      </c>
      <c r="R602" s="50"/>
      <c r="S602" s="85">
        <f>R602*$F602</f>
        <v>0</v>
      </c>
      <c r="T602" s="82" t="str">
        <f t="shared" si="514"/>
        <v/>
      </c>
      <c r="U602" s="50"/>
      <c r="V602" s="85">
        <f>U602*$F602</f>
        <v>0</v>
      </c>
      <c r="W602" s="82" t="str">
        <f t="shared" si="516"/>
        <v/>
      </c>
      <c r="X602" s="50"/>
      <c r="Y602" s="85">
        <f>X602*$F602</f>
        <v>0</v>
      </c>
      <c r="Z602" s="82" t="str">
        <f t="shared" si="518"/>
        <v/>
      </c>
      <c r="AA602" s="50"/>
      <c r="AB602" s="85">
        <f>AA602*$F602</f>
        <v>0</v>
      </c>
      <c r="AC602" s="82" t="str">
        <f t="shared" si="520"/>
        <v/>
      </c>
      <c r="AD602" s="50"/>
      <c r="AE602" s="85">
        <f>AD602*$F602</f>
        <v>0</v>
      </c>
      <c r="AF602" s="82" t="str">
        <f t="shared" si="522"/>
        <v/>
      </c>
      <c r="AG602" s="50"/>
      <c r="AH602" s="85">
        <f>AG602*$F602</f>
        <v>0</v>
      </c>
      <c r="AI602" s="82" t="str">
        <f t="shared" si="524"/>
        <v/>
      </c>
      <c r="AJ602" s="50"/>
      <c r="AK602" s="85">
        <f>AJ602*$F602</f>
        <v>0</v>
      </c>
      <c r="AL602" s="82" t="str">
        <f t="shared" si="526"/>
        <v/>
      </c>
      <c r="AM602" s="50"/>
      <c r="AN602" s="85">
        <f>AM602*$F602</f>
        <v>0</v>
      </c>
      <c r="AO602" s="82" t="str">
        <f t="shared" si="528"/>
        <v/>
      </c>
      <c r="AP602" s="48">
        <f t="shared" si="505"/>
        <v>0</v>
      </c>
      <c r="AQ602" s="85">
        <f>AP602*$F602</f>
        <v>0</v>
      </c>
      <c r="AR602" s="82" t="str">
        <f t="shared" si="530"/>
        <v/>
      </c>
      <c r="AS602" s="48">
        <f t="shared" si="506"/>
        <v>17</v>
      </c>
      <c r="AT602" s="85">
        <f>AS602*$F602</f>
        <v>1914.37</v>
      </c>
      <c r="AU602" s="82">
        <f t="shared" si="532"/>
        <v>1</v>
      </c>
    </row>
    <row r="603" spans="1:47" ht="45">
      <c r="A603" s="16"/>
      <c r="B603" s="97" t="s">
        <v>1951</v>
      </c>
      <c r="C603" s="167" t="s">
        <v>1952</v>
      </c>
      <c r="D603" s="86" t="s">
        <v>1953</v>
      </c>
      <c r="E603" s="97" t="s">
        <v>28</v>
      </c>
      <c r="F603" s="172">
        <v>112.61</v>
      </c>
      <c r="G603" s="97">
        <v>12</v>
      </c>
      <c r="H603" s="85">
        <f>G603*F603</f>
        <v>1351.32</v>
      </c>
      <c r="I603" s="50">
        <f t="shared" si="534"/>
        <v>0</v>
      </c>
      <c r="J603" s="85">
        <f t="shared" si="535"/>
        <v>0</v>
      </c>
      <c r="K603" s="82" t="str">
        <f t="shared" si="508"/>
        <v/>
      </c>
      <c r="L603" s="50"/>
      <c r="M603" s="85">
        <f>L603*$F603</f>
        <v>0</v>
      </c>
      <c r="N603" s="82" t="str">
        <f t="shared" si="510"/>
        <v/>
      </c>
      <c r="O603" s="50"/>
      <c r="P603" s="85">
        <f>O603*$F603</f>
        <v>0</v>
      </c>
      <c r="Q603" s="82" t="str">
        <f t="shared" si="512"/>
        <v/>
      </c>
      <c r="R603" s="50"/>
      <c r="S603" s="85">
        <f>R603*$F603</f>
        <v>0</v>
      </c>
      <c r="T603" s="82" t="str">
        <f t="shared" si="514"/>
        <v/>
      </c>
      <c r="U603" s="50"/>
      <c r="V603" s="85">
        <f>U603*$F603</f>
        <v>0</v>
      </c>
      <c r="W603" s="82" t="str">
        <f t="shared" si="516"/>
        <v/>
      </c>
      <c r="X603" s="50"/>
      <c r="Y603" s="85">
        <f>X603*$F603</f>
        <v>0</v>
      </c>
      <c r="Z603" s="82" t="str">
        <f t="shared" si="518"/>
        <v/>
      </c>
      <c r="AA603" s="50"/>
      <c r="AB603" s="85">
        <f>AA603*$F603</f>
        <v>0</v>
      </c>
      <c r="AC603" s="82" t="str">
        <f t="shared" si="520"/>
        <v/>
      </c>
      <c r="AD603" s="50"/>
      <c r="AE603" s="85">
        <f>AD603*$F603</f>
        <v>0</v>
      </c>
      <c r="AF603" s="82" t="str">
        <f t="shared" si="522"/>
        <v/>
      </c>
      <c r="AG603" s="50"/>
      <c r="AH603" s="85">
        <f>AG603*$F603</f>
        <v>0</v>
      </c>
      <c r="AI603" s="82" t="str">
        <f t="shared" si="524"/>
        <v/>
      </c>
      <c r="AJ603" s="50"/>
      <c r="AK603" s="85">
        <f>AJ603*$F603</f>
        <v>0</v>
      </c>
      <c r="AL603" s="82" t="str">
        <f t="shared" si="526"/>
        <v/>
      </c>
      <c r="AM603" s="50"/>
      <c r="AN603" s="85">
        <f>AM603*$F603</f>
        <v>0</v>
      </c>
      <c r="AO603" s="82" t="str">
        <f t="shared" si="528"/>
        <v/>
      </c>
      <c r="AP603" s="48">
        <f t="shared" si="505"/>
        <v>0</v>
      </c>
      <c r="AQ603" s="85">
        <f>AP603*$F603</f>
        <v>0</v>
      </c>
      <c r="AR603" s="82" t="str">
        <f t="shared" si="530"/>
        <v/>
      </c>
      <c r="AS603" s="48">
        <f t="shared" si="506"/>
        <v>12</v>
      </c>
      <c r="AT603" s="85">
        <f>AS603*$F603</f>
        <v>1351.32</v>
      </c>
      <c r="AU603" s="82">
        <f t="shared" si="532"/>
        <v>1</v>
      </c>
    </row>
    <row r="604" spans="1:47" ht="45">
      <c r="A604" s="16"/>
      <c r="B604" s="97" t="s">
        <v>1954</v>
      </c>
      <c r="C604" s="167" t="s">
        <v>1955</v>
      </c>
      <c r="D604" s="86" t="s">
        <v>1956</v>
      </c>
      <c r="E604" s="97" t="s">
        <v>28</v>
      </c>
      <c r="F604" s="172">
        <v>112.61</v>
      </c>
      <c r="G604" s="97">
        <v>1</v>
      </c>
      <c r="H604" s="85">
        <f>G604*F604</f>
        <v>112.61</v>
      </c>
      <c r="I604" s="50">
        <f t="shared" si="534"/>
        <v>0</v>
      </c>
      <c r="J604" s="85">
        <f t="shared" si="535"/>
        <v>0</v>
      </c>
      <c r="K604" s="82" t="str">
        <f t="shared" si="508"/>
        <v/>
      </c>
      <c r="L604" s="50"/>
      <c r="M604" s="85">
        <f>L604*$F604</f>
        <v>0</v>
      </c>
      <c r="N604" s="82" t="str">
        <f t="shared" si="510"/>
        <v/>
      </c>
      <c r="O604" s="50"/>
      <c r="P604" s="85">
        <f>O604*$F604</f>
        <v>0</v>
      </c>
      <c r="Q604" s="82" t="str">
        <f t="shared" si="512"/>
        <v/>
      </c>
      <c r="R604" s="50"/>
      <c r="S604" s="85">
        <f>R604*$F604</f>
        <v>0</v>
      </c>
      <c r="T604" s="82" t="str">
        <f t="shared" si="514"/>
        <v/>
      </c>
      <c r="U604" s="50"/>
      <c r="V604" s="85">
        <f>U604*$F604</f>
        <v>0</v>
      </c>
      <c r="W604" s="82" t="str">
        <f t="shared" si="516"/>
        <v/>
      </c>
      <c r="X604" s="50"/>
      <c r="Y604" s="85">
        <f>X604*$F604</f>
        <v>0</v>
      </c>
      <c r="Z604" s="82" t="str">
        <f t="shared" si="518"/>
        <v/>
      </c>
      <c r="AA604" s="50"/>
      <c r="AB604" s="85">
        <f>AA604*$F604</f>
        <v>0</v>
      </c>
      <c r="AC604" s="82" t="str">
        <f t="shared" si="520"/>
        <v/>
      </c>
      <c r="AD604" s="50"/>
      <c r="AE604" s="85">
        <f>AD604*$F604</f>
        <v>0</v>
      </c>
      <c r="AF604" s="82" t="str">
        <f t="shared" si="522"/>
        <v/>
      </c>
      <c r="AG604" s="50"/>
      <c r="AH604" s="85">
        <f>AG604*$F604</f>
        <v>0</v>
      </c>
      <c r="AI604" s="82" t="str">
        <f t="shared" si="524"/>
        <v/>
      </c>
      <c r="AJ604" s="50"/>
      <c r="AK604" s="85">
        <f>AJ604*$F604</f>
        <v>0</v>
      </c>
      <c r="AL604" s="82" t="str">
        <f t="shared" si="526"/>
        <v/>
      </c>
      <c r="AM604" s="50"/>
      <c r="AN604" s="85">
        <f>AM604*$F604</f>
        <v>0</v>
      </c>
      <c r="AO604" s="82" t="str">
        <f t="shared" si="528"/>
        <v/>
      </c>
      <c r="AP604" s="48">
        <f t="shared" si="505"/>
        <v>0</v>
      </c>
      <c r="AQ604" s="85">
        <f>AP604*$F604</f>
        <v>0</v>
      </c>
      <c r="AR604" s="82" t="str">
        <f t="shared" si="530"/>
        <v/>
      </c>
      <c r="AS604" s="48">
        <f t="shared" si="506"/>
        <v>1</v>
      </c>
      <c r="AT604" s="85">
        <f>AS604*$F604</f>
        <v>112.61</v>
      </c>
      <c r="AU604" s="82">
        <f t="shared" si="532"/>
        <v>1</v>
      </c>
    </row>
    <row r="605" spans="1:47" ht="45">
      <c r="A605" s="16"/>
      <c r="B605" s="97" t="s">
        <v>1957</v>
      </c>
      <c r="C605" s="167" t="s">
        <v>1958</v>
      </c>
      <c r="D605" s="86" t="s">
        <v>1959</v>
      </c>
      <c r="E605" s="97" t="s">
        <v>28</v>
      </c>
      <c r="F605" s="172">
        <v>112.61</v>
      </c>
      <c r="G605" s="97">
        <v>2</v>
      </c>
      <c r="H605" s="85">
        <f>G605*F605</f>
        <v>225.22</v>
      </c>
      <c r="I605" s="50">
        <f t="shared" si="534"/>
        <v>0</v>
      </c>
      <c r="J605" s="85">
        <f t="shared" si="535"/>
        <v>0</v>
      </c>
      <c r="K605" s="82" t="str">
        <f t="shared" si="508"/>
        <v/>
      </c>
      <c r="L605" s="50"/>
      <c r="M605" s="85">
        <f>L605*$F605</f>
        <v>0</v>
      </c>
      <c r="N605" s="82" t="str">
        <f t="shared" si="510"/>
        <v/>
      </c>
      <c r="O605" s="50"/>
      <c r="P605" s="85">
        <f>O605*$F605</f>
        <v>0</v>
      </c>
      <c r="Q605" s="82" t="str">
        <f t="shared" si="512"/>
        <v/>
      </c>
      <c r="R605" s="50"/>
      <c r="S605" s="85">
        <f>R605*$F605</f>
        <v>0</v>
      </c>
      <c r="T605" s="82" t="str">
        <f t="shared" si="514"/>
        <v/>
      </c>
      <c r="U605" s="50"/>
      <c r="V605" s="85">
        <f>U605*$F605</f>
        <v>0</v>
      </c>
      <c r="W605" s="82" t="str">
        <f t="shared" si="516"/>
        <v/>
      </c>
      <c r="X605" s="50"/>
      <c r="Y605" s="85">
        <f>X605*$F605</f>
        <v>0</v>
      </c>
      <c r="Z605" s="82" t="str">
        <f t="shared" si="518"/>
        <v/>
      </c>
      <c r="AA605" s="50"/>
      <c r="AB605" s="85">
        <f>AA605*$F605</f>
        <v>0</v>
      </c>
      <c r="AC605" s="82" t="str">
        <f t="shared" si="520"/>
        <v/>
      </c>
      <c r="AD605" s="50"/>
      <c r="AE605" s="85">
        <f>AD605*$F605</f>
        <v>0</v>
      </c>
      <c r="AF605" s="82" t="str">
        <f t="shared" si="522"/>
        <v/>
      </c>
      <c r="AG605" s="50"/>
      <c r="AH605" s="85">
        <f>AG605*$F605</f>
        <v>0</v>
      </c>
      <c r="AI605" s="82" t="str">
        <f t="shared" si="524"/>
        <v/>
      </c>
      <c r="AJ605" s="50"/>
      <c r="AK605" s="85">
        <f>AJ605*$F605</f>
        <v>0</v>
      </c>
      <c r="AL605" s="82" t="str">
        <f t="shared" si="526"/>
        <v/>
      </c>
      <c r="AM605" s="50"/>
      <c r="AN605" s="85">
        <f>AM605*$F605</f>
        <v>0</v>
      </c>
      <c r="AO605" s="82" t="str">
        <f t="shared" si="528"/>
        <v/>
      </c>
      <c r="AP605" s="48">
        <f t="shared" si="505"/>
        <v>0</v>
      </c>
      <c r="AQ605" s="85">
        <f>AP605*$F605</f>
        <v>0</v>
      </c>
      <c r="AR605" s="82" t="str">
        <f t="shared" si="530"/>
        <v/>
      </c>
      <c r="AS605" s="48">
        <f t="shared" si="506"/>
        <v>2</v>
      </c>
      <c r="AT605" s="85">
        <f>AS605*$F605</f>
        <v>225.22</v>
      </c>
      <c r="AU605" s="82">
        <f t="shared" si="532"/>
        <v>1</v>
      </c>
    </row>
    <row r="606" spans="1:47" ht="45">
      <c r="A606" s="16"/>
      <c r="B606" s="97" t="s">
        <v>1960</v>
      </c>
      <c r="C606" s="167" t="s">
        <v>1961</v>
      </c>
      <c r="D606" s="86" t="s">
        <v>1962</v>
      </c>
      <c r="E606" s="97" t="s">
        <v>28</v>
      </c>
      <c r="F606" s="172">
        <v>112.61</v>
      </c>
      <c r="G606" s="97">
        <v>1</v>
      </c>
      <c r="H606" s="85">
        <f>G606*F606</f>
        <v>112.61</v>
      </c>
      <c r="I606" s="50">
        <f t="shared" si="534"/>
        <v>0</v>
      </c>
      <c r="J606" s="85">
        <f t="shared" si="535"/>
        <v>0</v>
      </c>
      <c r="K606" s="82" t="str">
        <f t="shared" si="508"/>
        <v/>
      </c>
      <c r="L606" s="50"/>
      <c r="M606" s="85">
        <f>L606*$F606</f>
        <v>0</v>
      </c>
      <c r="N606" s="82" t="str">
        <f t="shared" si="510"/>
        <v/>
      </c>
      <c r="O606" s="50"/>
      <c r="P606" s="85">
        <f>O606*$F606</f>
        <v>0</v>
      </c>
      <c r="Q606" s="82" t="str">
        <f t="shared" si="512"/>
        <v/>
      </c>
      <c r="R606" s="50"/>
      <c r="S606" s="85">
        <f>R606*$F606</f>
        <v>0</v>
      </c>
      <c r="T606" s="82" t="str">
        <f t="shared" si="514"/>
        <v/>
      </c>
      <c r="U606" s="50"/>
      <c r="V606" s="85">
        <f>U606*$F606</f>
        <v>0</v>
      </c>
      <c r="W606" s="82" t="str">
        <f t="shared" si="516"/>
        <v/>
      </c>
      <c r="X606" s="50"/>
      <c r="Y606" s="85">
        <f>X606*$F606</f>
        <v>0</v>
      </c>
      <c r="Z606" s="82" t="str">
        <f t="shared" si="518"/>
        <v/>
      </c>
      <c r="AA606" s="50"/>
      <c r="AB606" s="85">
        <f>AA606*$F606</f>
        <v>0</v>
      </c>
      <c r="AC606" s="82" t="str">
        <f t="shared" si="520"/>
        <v/>
      </c>
      <c r="AD606" s="50"/>
      <c r="AE606" s="85">
        <f>AD606*$F606</f>
        <v>0</v>
      </c>
      <c r="AF606" s="82" t="str">
        <f t="shared" si="522"/>
        <v/>
      </c>
      <c r="AG606" s="50"/>
      <c r="AH606" s="85">
        <f>AG606*$F606</f>
        <v>0</v>
      </c>
      <c r="AI606" s="82" t="str">
        <f t="shared" si="524"/>
        <v/>
      </c>
      <c r="AJ606" s="50"/>
      <c r="AK606" s="85">
        <f>AJ606*$F606</f>
        <v>0</v>
      </c>
      <c r="AL606" s="82" t="str">
        <f t="shared" si="526"/>
        <v/>
      </c>
      <c r="AM606" s="50"/>
      <c r="AN606" s="85">
        <f>AM606*$F606</f>
        <v>0</v>
      </c>
      <c r="AO606" s="82" t="str">
        <f t="shared" si="528"/>
        <v/>
      </c>
      <c r="AP606" s="48">
        <f t="shared" si="505"/>
        <v>0</v>
      </c>
      <c r="AQ606" s="85">
        <f>AP606*$F606</f>
        <v>0</v>
      </c>
      <c r="AR606" s="82" t="str">
        <f t="shared" si="530"/>
        <v/>
      </c>
      <c r="AS606" s="48">
        <f t="shared" si="506"/>
        <v>1</v>
      </c>
      <c r="AT606" s="85">
        <f>AS606*$F606</f>
        <v>112.61</v>
      </c>
      <c r="AU606" s="82">
        <f t="shared" si="532"/>
        <v>1</v>
      </c>
    </row>
    <row r="607" spans="1:47" s="161" customFormat="1" ht="30" customHeight="1">
      <c r="A607" s="94"/>
      <c r="B607" s="116" t="s">
        <v>1963</v>
      </c>
      <c r="C607" s="1945" t="s">
        <v>1964</v>
      </c>
      <c r="D607" s="1946"/>
      <c r="E607" s="1946"/>
      <c r="F607" s="1946"/>
      <c r="G607" s="1947"/>
      <c r="H607" s="159">
        <f>SUM(H608:H612)</f>
        <v>16533.330000000002</v>
      </c>
      <c r="I607" s="50">
        <f t="shared" si="534"/>
        <v>0</v>
      </c>
      <c r="J607" s="159">
        <f>SUM(J608:J612)</f>
        <v>0</v>
      </c>
      <c r="K607" s="102">
        <f>J607/$H607</f>
        <v>0</v>
      </c>
      <c r="L607" s="101"/>
      <c r="M607" s="159">
        <f>SUM(M608:M612)</f>
        <v>0</v>
      </c>
      <c r="N607" s="102">
        <f>M607/$H607</f>
        <v>0</v>
      </c>
      <c r="O607" s="101"/>
      <c r="P607" s="159">
        <f>SUM(P608:P612)</f>
        <v>0</v>
      </c>
      <c r="Q607" s="102">
        <f>P607/$H607</f>
        <v>0</v>
      </c>
      <c r="R607" s="101"/>
      <c r="S607" s="159">
        <f>SUM(S608:S612)</f>
        <v>0</v>
      </c>
      <c r="T607" s="102">
        <f>S607/$H607</f>
        <v>0</v>
      </c>
      <c r="U607" s="101"/>
      <c r="V607" s="159">
        <f>SUM(V608:V612)</f>
        <v>0</v>
      </c>
      <c r="W607" s="102">
        <f>V607/$H607</f>
        <v>0</v>
      </c>
      <c r="X607" s="101"/>
      <c r="Y607" s="159">
        <f>SUM(Y608:Y612)</f>
        <v>0</v>
      </c>
      <c r="Z607" s="102">
        <f>Y607/$H607</f>
        <v>0</v>
      </c>
      <c r="AA607" s="101"/>
      <c r="AB607" s="159">
        <f>SUM(AB608:AB612)</f>
        <v>0</v>
      </c>
      <c r="AC607" s="102">
        <f>AB607/$H607</f>
        <v>0</v>
      </c>
      <c r="AD607" s="101"/>
      <c r="AE607" s="159">
        <f>SUM(AE608:AE612)</f>
        <v>0</v>
      </c>
      <c r="AF607" s="102">
        <f>AE607/$H607</f>
        <v>0</v>
      </c>
      <c r="AG607" s="101"/>
      <c r="AH607" s="159">
        <f>SUM(AH608:AH612)</f>
        <v>0</v>
      </c>
      <c r="AI607" s="102">
        <f>AH607/$H607</f>
        <v>0</v>
      </c>
      <c r="AJ607" s="101"/>
      <c r="AK607" s="159">
        <f>SUM(AK608:AK612)</f>
        <v>0</v>
      </c>
      <c r="AL607" s="102">
        <f>AK607/$H607</f>
        <v>0</v>
      </c>
      <c r="AM607" s="101"/>
      <c r="AN607" s="159">
        <f>SUM(AN608:AN612)</f>
        <v>0</v>
      </c>
      <c r="AO607" s="102">
        <f>AN607/$H607</f>
        <v>0</v>
      </c>
      <c r="AP607" s="160">
        <f t="shared" si="505"/>
        <v>0</v>
      </c>
      <c r="AQ607" s="159">
        <f>SUM(AQ608:AQ612)</f>
        <v>0</v>
      </c>
      <c r="AR607" s="102">
        <f>AQ607/$H607</f>
        <v>0</v>
      </c>
      <c r="AS607" s="160">
        <f t="shared" si="506"/>
        <v>0</v>
      </c>
      <c r="AT607" s="159">
        <f>SUM(AT608:AT612)</f>
        <v>16533.330000000002</v>
      </c>
      <c r="AU607" s="102">
        <f>AT607/$H607</f>
        <v>1</v>
      </c>
    </row>
    <row r="608" spans="1:47" ht="60">
      <c r="A608" s="16"/>
      <c r="B608" s="97" t="s">
        <v>1965</v>
      </c>
      <c r="C608" s="167" t="s">
        <v>1966</v>
      </c>
      <c r="D608" s="86" t="s">
        <v>1967</v>
      </c>
      <c r="E608" s="97" t="s">
        <v>28</v>
      </c>
      <c r="F608" s="172">
        <v>501.01</v>
      </c>
      <c r="G608" s="97">
        <v>17</v>
      </c>
      <c r="H608" s="85">
        <f t="shared" ref="H608:H627" si="537">G608*$F608</f>
        <v>8517.17</v>
      </c>
      <c r="I608" s="50">
        <f t="shared" si="534"/>
        <v>0</v>
      </c>
      <c r="J608" s="85">
        <f>I608*$F608</f>
        <v>0</v>
      </c>
      <c r="K608" s="82" t="str">
        <f t="shared" si="508"/>
        <v/>
      </c>
      <c r="L608" s="50"/>
      <c r="M608" s="85">
        <f>L608*$F608</f>
        <v>0</v>
      </c>
      <c r="N608" s="82" t="str">
        <f t="shared" si="510"/>
        <v/>
      </c>
      <c r="O608" s="50"/>
      <c r="P608" s="85">
        <f>O608*$F608</f>
        <v>0</v>
      </c>
      <c r="Q608" s="82" t="str">
        <f t="shared" si="512"/>
        <v/>
      </c>
      <c r="R608" s="50"/>
      <c r="S608" s="85">
        <f>R608*$F608</f>
        <v>0</v>
      </c>
      <c r="T608" s="82" t="str">
        <f t="shared" si="514"/>
        <v/>
      </c>
      <c r="U608" s="50"/>
      <c r="V608" s="85">
        <f>U608*$F608</f>
        <v>0</v>
      </c>
      <c r="W608" s="82" t="str">
        <f t="shared" si="516"/>
        <v/>
      </c>
      <c r="X608" s="50"/>
      <c r="Y608" s="85">
        <f>X608*$F608</f>
        <v>0</v>
      </c>
      <c r="Z608" s="82" t="str">
        <f t="shared" si="518"/>
        <v/>
      </c>
      <c r="AA608" s="50"/>
      <c r="AB608" s="85">
        <f>AA608*$F608</f>
        <v>0</v>
      </c>
      <c r="AC608" s="82" t="str">
        <f t="shared" si="520"/>
        <v/>
      </c>
      <c r="AD608" s="50"/>
      <c r="AE608" s="85">
        <f>AD608*$F608</f>
        <v>0</v>
      </c>
      <c r="AF608" s="82" t="str">
        <f t="shared" si="522"/>
        <v/>
      </c>
      <c r="AG608" s="50"/>
      <c r="AH608" s="85">
        <f>AG608*$F608</f>
        <v>0</v>
      </c>
      <c r="AI608" s="82" t="str">
        <f t="shared" si="524"/>
        <v/>
      </c>
      <c r="AJ608" s="50"/>
      <c r="AK608" s="85">
        <f>AJ608*$F608</f>
        <v>0</v>
      </c>
      <c r="AL608" s="82" t="str">
        <f t="shared" si="526"/>
        <v/>
      </c>
      <c r="AM608" s="50"/>
      <c r="AN608" s="85">
        <f>AM608*$F608</f>
        <v>0</v>
      </c>
      <c r="AO608" s="82" t="str">
        <f t="shared" si="528"/>
        <v/>
      </c>
      <c r="AP608" s="48">
        <f t="shared" si="505"/>
        <v>0</v>
      </c>
      <c r="AQ608" s="85">
        <f>AP608*$F608</f>
        <v>0</v>
      </c>
      <c r="AR608" s="82" t="str">
        <f t="shared" si="530"/>
        <v/>
      </c>
      <c r="AS608" s="48">
        <f t="shared" si="506"/>
        <v>17</v>
      </c>
      <c r="AT608" s="85">
        <f t="shared" si="536"/>
        <v>8517.17</v>
      </c>
      <c r="AU608" s="82">
        <f t="shared" si="532"/>
        <v>1</v>
      </c>
    </row>
    <row r="609" spans="1:47" ht="60">
      <c r="A609" s="16"/>
      <c r="B609" s="97" t="s">
        <v>1968</v>
      </c>
      <c r="C609" s="167" t="s">
        <v>1969</v>
      </c>
      <c r="D609" s="86" t="s">
        <v>1970</v>
      </c>
      <c r="E609" s="97" t="s">
        <v>28</v>
      </c>
      <c r="F609" s="172">
        <v>501.01</v>
      </c>
      <c r="G609" s="97">
        <v>12</v>
      </c>
      <c r="H609" s="85">
        <f t="shared" si="537"/>
        <v>6012.12</v>
      </c>
      <c r="I609" s="50">
        <f t="shared" si="534"/>
        <v>0</v>
      </c>
      <c r="J609" s="85">
        <f>I609*$F609</f>
        <v>0</v>
      </c>
      <c r="K609" s="82" t="str">
        <f t="shared" si="508"/>
        <v/>
      </c>
      <c r="L609" s="50"/>
      <c r="M609" s="85">
        <f>L609*$F609</f>
        <v>0</v>
      </c>
      <c r="N609" s="82" t="str">
        <f t="shared" si="510"/>
        <v/>
      </c>
      <c r="O609" s="50"/>
      <c r="P609" s="85">
        <f>O609*$F609</f>
        <v>0</v>
      </c>
      <c r="Q609" s="82" t="str">
        <f t="shared" si="512"/>
        <v/>
      </c>
      <c r="R609" s="50"/>
      <c r="S609" s="85">
        <f>R609*$F609</f>
        <v>0</v>
      </c>
      <c r="T609" s="82" t="str">
        <f t="shared" si="514"/>
        <v/>
      </c>
      <c r="U609" s="50"/>
      <c r="V609" s="85">
        <f>U609*$F609</f>
        <v>0</v>
      </c>
      <c r="W609" s="82" t="str">
        <f t="shared" si="516"/>
        <v/>
      </c>
      <c r="X609" s="50"/>
      <c r="Y609" s="85">
        <f>X609*$F609</f>
        <v>0</v>
      </c>
      <c r="Z609" s="82" t="str">
        <f t="shared" si="518"/>
        <v/>
      </c>
      <c r="AA609" s="50"/>
      <c r="AB609" s="85">
        <f>AA609*$F609</f>
        <v>0</v>
      </c>
      <c r="AC609" s="82" t="str">
        <f t="shared" si="520"/>
        <v/>
      </c>
      <c r="AD609" s="50"/>
      <c r="AE609" s="85">
        <f>AD609*$F609</f>
        <v>0</v>
      </c>
      <c r="AF609" s="82" t="str">
        <f t="shared" si="522"/>
        <v/>
      </c>
      <c r="AG609" s="50"/>
      <c r="AH609" s="85">
        <f>AG609*$F609</f>
        <v>0</v>
      </c>
      <c r="AI609" s="82" t="str">
        <f t="shared" si="524"/>
        <v/>
      </c>
      <c r="AJ609" s="50"/>
      <c r="AK609" s="85">
        <f>AJ609*$F609</f>
        <v>0</v>
      </c>
      <c r="AL609" s="82" t="str">
        <f t="shared" si="526"/>
        <v/>
      </c>
      <c r="AM609" s="50"/>
      <c r="AN609" s="85">
        <f>AM609*$F609</f>
        <v>0</v>
      </c>
      <c r="AO609" s="82" t="str">
        <f t="shared" si="528"/>
        <v/>
      </c>
      <c r="AP609" s="48">
        <f t="shared" si="505"/>
        <v>0</v>
      </c>
      <c r="AQ609" s="85">
        <f>AP609*$F609</f>
        <v>0</v>
      </c>
      <c r="AR609" s="82" t="str">
        <f t="shared" si="530"/>
        <v/>
      </c>
      <c r="AS609" s="48">
        <f t="shared" si="506"/>
        <v>12</v>
      </c>
      <c r="AT609" s="85">
        <f t="shared" si="536"/>
        <v>6012.12</v>
      </c>
      <c r="AU609" s="82">
        <f t="shared" si="532"/>
        <v>1</v>
      </c>
    </row>
    <row r="610" spans="1:47" ht="60">
      <c r="A610" s="16"/>
      <c r="B610" s="97" t="s">
        <v>1971</v>
      </c>
      <c r="C610" s="167" t="s">
        <v>1972</v>
      </c>
      <c r="D610" s="86" t="s">
        <v>1973</v>
      </c>
      <c r="E610" s="97" t="s">
        <v>28</v>
      </c>
      <c r="F610" s="172">
        <v>501.01</v>
      </c>
      <c r="G610" s="97">
        <v>1</v>
      </c>
      <c r="H610" s="85">
        <f t="shared" si="537"/>
        <v>501.01</v>
      </c>
      <c r="I610" s="50">
        <f t="shared" si="534"/>
        <v>0</v>
      </c>
      <c r="J610" s="85">
        <f>I610*$F610</f>
        <v>0</v>
      </c>
      <c r="K610" s="82" t="str">
        <f t="shared" si="508"/>
        <v/>
      </c>
      <c r="L610" s="50"/>
      <c r="M610" s="85">
        <f>L610*$F610</f>
        <v>0</v>
      </c>
      <c r="N610" s="82" t="str">
        <f t="shared" si="510"/>
        <v/>
      </c>
      <c r="O610" s="50"/>
      <c r="P610" s="85">
        <f>O610*$F610</f>
        <v>0</v>
      </c>
      <c r="Q610" s="82" t="str">
        <f t="shared" si="512"/>
        <v/>
      </c>
      <c r="R610" s="50"/>
      <c r="S610" s="85">
        <f>R610*$F610</f>
        <v>0</v>
      </c>
      <c r="T610" s="82" t="str">
        <f t="shared" si="514"/>
        <v/>
      </c>
      <c r="U610" s="50"/>
      <c r="V610" s="85">
        <f>U610*$F610</f>
        <v>0</v>
      </c>
      <c r="W610" s="82" t="str">
        <f t="shared" si="516"/>
        <v/>
      </c>
      <c r="X610" s="50"/>
      <c r="Y610" s="85">
        <f>X610*$F610</f>
        <v>0</v>
      </c>
      <c r="Z610" s="82" t="str">
        <f t="shared" si="518"/>
        <v/>
      </c>
      <c r="AA610" s="50"/>
      <c r="AB610" s="85">
        <f>AA610*$F610</f>
        <v>0</v>
      </c>
      <c r="AC610" s="82" t="str">
        <f t="shared" si="520"/>
        <v/>
      </c>
      <c r="AD610" s="50"/>
      <c r="AE610" s="85">
        <f>AD610*$F610</f>
        <v>0</v>
      </c>
      <c r="AF610" s="82" t="str">
        <f t="shared" si="522"/>
        <v/>
      </c>
      <c r="AG610" s="50"/>
      <c r="AH610" s="85">
        <f>AG610*$F610</f>
        <v>0</v>
      </c>
      <c r="AI610" s="82" t="str">
        <f t="shared" si="524"/>
        <v/>
      </c>
      <c r="AJ610" s="50"/>
      <c r="AK610" s="85">
        <f>AJ610*$F610</f>
        <v>0</v>
      </c>
      <c r="AL610" s="82" t="str">
        <f t="shared" si="526"/>
        <v/>
      </c>
      <c r="AM610" s="50"/>
      <c r="AN610" s="85">
        <f>AM610*$F610</f>
        <v>0</v>
      </c>
      <c r="AO610" s="82" t="str">
        <f t="shared" si="528"/>
        <v/>
      </c>
      <c r="AP610" s="48">
        <f t="shared" si="505"/>
        <v>0</v>
      </c>
      <c r="AQ610" s="85">
        <f>AP610*$F610</f>
        <v>0</v>
      </c>
      <c r="AR610" s="82" t="str">
        <f t="shared" si="530"/>
        <v/>
      </c>
      <c r="AS610" s="48">
        <f t="shared" si="506"/>
        <v>1</v>
      </c>
      <c r="AT610" s="85">
        <f t="shared" si="536"/>
        <v>501.01</v>
      </c>
      <c r="AU610" s="82">
        <f t="shared" si="532"/>
        <v>1</v>
      </c>
    </row>
    <row r="611" spans="1:47" ht="60">
      <c r="A611" s="16"/>
      <c r="B611" s="97" t="s">
        <v>1974</v>
      </c>
      <c r="C611" s="167" t="s">
        <v>1975</v>
      </c>
      <c r="D611" s="86" t="s">
        <v>1976</v>
      </c>
      <c r="E611" s="97" t="s">
        <v>28</v>
      </c>
      <c r="F611" s="172">
        <v>501.01</v>
      </c>
      <c r="G611" s="97">
        <v>2</v>
      </c>
      <c r="H611" s="85">
        <f t="shared" si="537"/>
        <v>1002.02</v>
      </c>
      <c r="I611" s="50">
        <f t="shared" si="534"/>
        <v>0</v>
      </c>
      <c r="J611" s="85">
        <f>I611*$F611</f>
        <v>0</v>
      </c>
      <c r="K611" s="82" t="str">
        <f t="shared" si="508"/>
        <v/>
      </c>
      <c r="L611" s="50"/>
      <c r="M611" s="85">
        <f>L611*$F611</f>
        <v>0</v>
      </c>
      <c r="N611" s="82" t="str">
        <f t="shared" si="510"/>
        <v/>
      </c>
      <c r="O611" s="50"/>
      <c r="P611" s="85">
        <f>O611*$F611</f>
        <v>0</v>
      </c>
      <c r="Q611" s="82" t="str">
        <f t="shared" si="512"/>
        <v/>
      </c>
      <c r="R611" s="50"/>
      <c r="S611" s="85">
        <f>R611*$F611</f>
        <v>0</v>
      </c>
      <c r="T611" s="82" t="str">
        <f t="shared" si="514"/>
        <v/>
      </c>
      <c r="U611" s="50"/>
      <c r="V611" s="85">
        <f>U611*$F611</f>
        <v>0</v>
      </c>
      <c r="W611" s="82" t="str">
        <f t="shared" si="516"/>
        <v/>
      </c>
      <c r="X611" s="50"/>
      <c r="Y611" s="85">
        <f>X611*$F611</f>
        <v>0</v>
      </c>
      <c r="Z611" s="82" t="str">
        <f t="shared" si="518"/>
        <v/>
      </c>
      <c r="AA611" s="50"/>
      <c r="AB611" s="85">
        <f>AA611*$F611</f>
        <v>0</v>
      </c>
      <c r="AC611" s="82" t="str">
        <f t="shared" si="520"/>
        <v/>
      </c>
      <c r="AD611" s="50"/>
      <c r="AE611" s="85">
        <f>AD611*$F611</f>
        <v>0</v>
      </c>
      <c r="AF611" s="82" t="str">
        <f t="shared" si="522"/>
        <v/>
      </c>
      <c r="AG611" s="50"/>
      <c r="AH611" s="85">
        <f>AG611*$F611</f>
        <v>0</v>
      </c>
      <c r="AI611" s="82" t="str">
        <f t="shared" si="524"/>
        <v/>
      </c>
      <c r="AJ611" s="50"/>
      <c r="AK611" s="85">
        <f>AJ611*$F611</f>
        <v>0</v>
      </c>
      <c r="AL611" s="82" t="str">
        <f t="shared" si="526"/>
        <v/>
      </c>
      <c r="AM611" s="50"/>
      <c r="AN611" s="85">
        <f>AM611*$F611</f>
        <v>0</v>
      </c>
      <c r="AO611" s="82" t="str">
        <f t="shared" si="528"/>
        <v/>
      </c>
      <c r="AP611" s="48">
        <f t="shared" si="505"/>
        <v>0</v>
      </c>
      <c r="AQ611" s="85">
        <f>AP611*$F611</f>
        <v>0</v>
      </c>
      <c r="AR611" s="82" t="str">
        <f t="shared" si="530"/>
        <v/>
      </c>
      <c r="AS611" s="48">
        <f t="shared" si="506"/>
        <v>2</v>
      </c>
      <c r="AT611" s="85">
        <f t="shared" si="536"/>
        <v>1002.02</v>
      </c>
      <c r="AU611" s="82">
        <f t="shared" si="532"/>
        <v>1</v>
      </c>
    </row>
    <row r="612" spans="1:47" ht="60">
      <c r="A612" s="16"/>
      <c r="B612" s="97" t="s">
        <v>1977</v>
      </c>
      <c r="C612" s="167" t="s">
        <v>1978</v>
      </c>
      <c r="D612" s="86" t="s">
        <v>1979</v>
      </c>
      <c r="E612" s="97" t="s">
        <v>28</v>
      </c>
      <c r="F612" s="172">
        <v>501.01</v>
      </c>
      <c r="G612" s="97">
        <v>1</v>
      </c>
      <c r="H612" s="85">
        <f t="shared" si="537"/>
        <v>501.01</v>
      </c>
      <c r="I612" s="50">
        <f t="shared" si="534"/>
        <v>0</v>
      </c>
      <c r="J612" s="85">
        <f>I612*$F612</f>
        <v>0</v>
      </c>
      <c r="K612" s="82" t="str">
        <f t="shared" si="508"/>
        <v/>
      </c>
      <c r="L612" s="50"/>
      <c r="M612" s="85">
        <f>L612*$F612</f>
        <v>0</v>
      </c>
      <c r="N612" s="82" t="str">
        <f t="shared" si="510"/>
        <v/>
      </c>
      <c r="O612" s="50"/>
      <c r="P612" s="85">
        <f>O612*$F612</f>
        <v>0</v>
      </c>
      <c r="Q612" s="82" t="str">
        <f t="shared" si="512"/>
        <v/>
      </c>
      <c r="R612" s="50"/>
      <c r="S612" s="85">
        <f>R612*$F612</f>
        <v>0</v>
      </c>
      <c r="T612" s="82" t="str">
        <f t="shared" si="514"/>
        <v/>
      </c>
      <c r="U612" s="50"/>
      <c r="V612" s="85">
        <f>U612*$F612</f>
        <v>0</v>
      </c>
      <c r="W612" s="82" t="str">
        <f t="shared" si="516"/>
        <v/>
      </c>
      <c r="X612" s="50"/>
      <c r="Y612" s="85">
        <f>X612*$F612</f>
        <v>0</v>
      </c>
      <c r="Z612" s="82" t="str">
        <f t="shared" si="518"/>
        <v/>
      </c>
      <c r="AA612" s="50"/>
      <c r="AB612" s="85">
        <f>AA612*$F612</f>
        <v>0</v>
      </c>
      <c r="AC612" s="82" t="str">
        <f t="shared" si="520"/>
        <v/>
      </c>
      <c r="AD612" s="50"/>
      <c r="AE612" s="85">
        <f>AD612*$F612</f>
        <v>0</v>
      </c>
      <c r="AF612" s="82" t="str">
        <f t="shared" si="522"/>
        <v/>
      </c>
      <c r="AG612" s="50"/>
      <c r="AH612" s="85">
        <f>AG612*$F612</f>
        <v>0</v>
      </c>
      <c r="AI612" s="82" t="str">
        <f t="shared" si="524"/>
        <v/>
      </c>
      <c r="AJ612" s="50"/>
      <c r="AK612" s="85">
        <f>AJ612*$F612</f>
        <v>0</v>
      </c>
      <c r="AL612" s="82" t="str">
        <f t="shared" si="526"/>
        <v/>
      </c>
      <c r="AM612" s="50"/>
      <c r="AN612" s="85">
        <f>AM612*$F612</f>
        <v>0</v>
      </c>
      <c r="AO612" s="82" t="str">
        <f t="shared" si="528"/>
        <v/>
      </c>
      <c r="AP612" s="48">
        <f t="shared" si="505"/>
        <v>0</v>
      </c>
      <c r="AQ612" s="85">
        <f>AP612*$F612</f>
        <v>0</v>
      </c>
      <c r="AR612" s="82" t="str">
        <f t="shared" si="530"/>
        <v/>
      </c>
      <c r="AS612" s="48">
        <f t="shared" si="506"/>
        <v>1</v>
      </c>
      <c r="AT612" s="85">
        <f t="shared" si="536"/>
        <v>501.01</v>
      </c>
      <c r="AU612" s="82">
        <f t="shared" si="532"/>
        <v>1</v>
      </c>
    </row>
    <row r="613" spans="1:47" s="161" customFormat="1">
      <c r="A613" s="94"/>
      <c r="B613" s="116" t="s">
        <v>1980</v>
      </c>
      <c r="C613" s="1945" t="s">
        <v>1981</v>
      </c>
      <c r="D613" s="1946"/>
      <c r="E613" s="1946"/>
      <c r="F613" s="1946"/>
      <c r="G613" s="1947"/>
      <c r="H613" s="159">
        <f>SUM(H614:H624)</f>
        <v>98188.47</v>
      </c>
      <c r="I613" s="50">
        <f t="shared" si="534"/>
        <v>0</v>
      </c>
      <c r="J613" s="159">
        <f>SUM(J614:J624)</f>
        <v>0</v>
      </c>
      <c r="K613" s="102">
        <f>J613/$H613</f>
        <v>0</v>
      </c>
      <c r="L613" s="101"/>
      <c r="M613" s="159">
        <f>SUM(M614:M624)</f>
        <v>0</v>
      </c>
      <c r="N613" s="102">
        <f>M613/$H613</f>
        <v>0</v>
      </c>
      <c r="O613" s="101"/>
      <c r="P613" s="159">
        <f>SUM(P614:P624)</f>
        <v>0</v>
      </c>
      <c r="Q613" s="102">
        <f>P613/$H613</f>
        <v>0</v>
      </c>
      <c r="R613" s="101"/>
      <c r="S613" s="159">
        <f>SUM(S614:S624)</f>
        <v>0</v>
      </c>
      <c r="T613" s="102">
        <f>S613/$H613</f>
        <v>0</v>
      </c>
      <c r="U613" s="101"/>
      <c r="V613" s="159">
        <f>SUM(V614:V624)</f>
        <v>0</v>
      </c>
      <c r="W613" s="102">
        <f>V613/$H613</f>
        <v>0</v>
      </c>
      <c r="X613" s="101"/>
      <c r="Y613" s="159">
        <f>SUM(Y614:Y624)</f>
        <v>0</v>
      </c>
      <c r="Z613" s="102">
        <f>Y613/$H613</f>
        <v>0</v>
      </c>
      <c r="AA613" s="101"/>
      <c r="AB613" s="159">
        <f>SUM(AB614:AB624)</f>
        <v>0</v>
      </c>
      <c r="AC613" s="102">
        <f>AB613/$H613</f>
        <v>0</v>
      </c>
      <c r="AD613" s="101"/>
      <c r="AE613" s="159">
        <f>SUM(AE614:AE624)</f>
        <v>0</v>
      </c>
      <c r="AF613" s="102">
        <f>AE613/$H613</f>
        <v>0</v>
      </c>
      <c r="AG613" s="101"/>
      <c r="AH613" s="159">
        <f>SUM(AH614:AH624)</f>
        <v>0</v>
      </c>
      <c r="AI613" s="102">
        <f>AH613/$H613</f>
        <v>0</v>
      </c>
      <c r="AJ613" s="101"/>
      <c r="AK613" s="159">
        <f>SUM(AK614:AK624)</f>
        <v>0</v>
      </c>
      <c r="AL613" s="102">
        <f>AK613/$H613</f>
        <v>0</v>
      </c>
      <c r="AM613" s="101"/>
      <c r="AN613" s="159">
        <f>SUM(AN614:AN624)</f>
        <v>0</v>
      </c>
      <c r="AO613" s="102">
        <f>AN613/$H613</f>
        <v>0</v>
      </c>
      <c r="AP613" s="160">
        <f t="shared" si="505"/>
        <v>0</v>
      </c>
      <c r="AQ613" s="159">
        <f>SUM(AQ614:AQ624)</f>
        <v>0</v>
      </c>
      <c r="AR613" s="102">
        <f>AQ613/$H613</f>
        <v>0</v>
      </c>
      <c r="AS613" s="160">
        <f t="shared" si="506"/>
        <v>0</v>
      </c>
      <c r="AT613" s="159">
        <f>SUM(AT614:AT624)</f>
        <v>98188.47</v>
      </c>
      <c r="AU613" s="102">
        <f>AT613/$H613</f>
        <v>1</v>
      </c>
    </row>
    <row r="614" spans="1:47" ht="60">
      <c r="A614" s="16"/>
      <c r="B614" s="97" t="s">
        <v>1982</v>
      </c>
      <c r="C614" s="167" t="s">
        <v>1983</v>
      </c>
      <c r="D614" s="86" t="s">
        <v>1984</v>
      </c>
      <c r="E614" s="97" t="s">
        <v>28</v>
      </c>
      <c r="F614" s="172">
        <v>335.88</v>
      </c>
      <c r="G614" s="97">
        <v>10</v>
      </c>
      <c r="H614" s="85">
        <f t="shared" si="537"/>
        <v>3358.8</v>
      </c>
      <c r="I614" s="50">
        <f t="shared" si="534"/>
        <v>0</v>
      </c>
      <c r="J614" s="85">
        <f t="shared" ref="J614:J624" si="538">I614*$F614</f>
        <v>0</v>
      </c>
      <c r="K614" s="82" t="str">
        <f t="shared" si="508"/>
        <v/>
      </c>
      <c r="L614" s="50"/>
      <c r="M614" s="85">
        <f t="shared" ref="M614:M624" si="539">L614*$F614</f>
        <v>0</v>
      </c>
      <c r="N614" s="82" t="str">
        <f t="shared" si="510"/>
        <v/>
      </c>
      <c r="O614" s="50"/>
      <c r="P614" s="85">
        <f t="shared" ref="P614:P624" si="540">O614*$F614</f>
        <v>0</v>
      </c>
      <c r="Q614" s="82" t="str">
        <f t="shared" si="512"/>
        <v/>
      </c>
      <c r="R614" s="50"/>
      <c r="S614" s="85">
        <f t="shared" ref="S614:S624" si="541">R614*$F614</f>
        <v>0</v>
      </c>
      <c r="T614" s="82" t="str">
        <f t="shared" si="514"/>
        <v/>
      </c>
      <c r="U614" s="50"/>
      <c r="V614" s="85">
        <f t="shared" ref="V614:V624" si="542">U614*$F614</f>
        <v>0</v>
      </c>
      <c r="W614" s="82" t="str">
        <f t="shared" si="516"/>
        <v/>
      </c>
      <c r="X614" s="50"/>
      <c r="Y614" s="85">
        <f t="shared" ref="Y614:Y624" si="543">X614*$F614</f>
        <v>0</v>
      </c>
      <c r="Z614" s="82" t="str">
        <f t="shared" si="518"/>
        <v/>
      </c>
      <c r="AA614" s="50"/>
      <c r="AB614" s="85">
        <f t="shared" ref="AB614:AB624" si="544">AA614*$F614</f>
        <v>0</v>
      </c>
      <c r="AC614" s="82" t="str">
        <f t="shared" si="520"/>
        <v/>
      </c>
      <c r="AD614" s="50"/>
      <c r="AE614" s="85">
        <f t="shared" ref="AE614:AE624" si="545">AD614*$F614</f>
        <v>0</v>
      </c>
      <c r="AF614" s="82" t="str">
        <f t="shared" si="522"/>
        <v/>
      </c>
      <c r="AG614" s="50"/>
      <c r="AH614" s="85">
        <f t="shared" ref="AH614:AH624" si="546">AG614*$F614</f>
        <v>0</v>
      </c>
      <c r="AI614" s="82" t="str">
        <f t="shared" si="524"/>
        <v/>
      </c>
      <c r="AJ614" s="50"/>
      <c r="AK614" s="85">
        <f t="shared" ref="AK614:AK624" si="547">AJ614*$F614</f>
        <v>0</v>
      </c>
      <c r="AL614" s="82" t="str">
        <f t="shared" si="526"/>
        <v/>
      </c>
      <c r="AM614" s="50"/>
      <c r="AN614" s="85">
        <f t="shared" ref="AN614:AN624" si="548">AM614*$F614</f>
        <v>0</v>
      </c>
      <c r="AO614" s="82" t="str">
        <f t="shared" si="528"/>
        <v/>
      </c>
      <c r="AP614" s="48">
        <f t="shared" si="505"/>
        <v>0</v>
      </c>
      <c r="AQ614" s="85">
        <f t="shared" ref="AQ614:AQ624" si="549">AP614*$F614</f>
        <v>0</v>
      </c>
      <c r="AR614" s="82" t="str">
        <f t="shared" si="530"/>
        <v/>
      </c>
      <c r="AS614" s="48">
        <f t="shared" si="506"/>
        <v>10</v>
      </c>
      <c r="AT614" s="85">
        <f t="shared" ref="AT614:AT624" si="550">AS614*$F614</f>
        <v>3358.8</v>
      </c>
      <c r="AU614" s="82">
        <f t="shared" si="532"/>
        <v>1</v>
      </c>
    </row>
    <row r="615" spans="1:47" ht="75">
      <c r="A615" s="16"/>
      <c r="B615" s="97" t="s">
        <v>1985</v>
      </c>
      <c r="C615" s="167" t="s">
        <v>1986</v>
      </c>
      <c r="D615" s="86" t="s">
        <v>1987</v>
      </c>
      <c r="E615" s="97" t="s">
        <v>28</v>
      </c>
      <c r="F615" s="172">
        <v>4533.62</v>
      </c>
      <c r="G615" s="97">
        <v>2</v>
      </c>
      <c r="H615" s="85">
        <f t="shared" si="537"/>
        <v>9067.24</v>
      </c>
      <c r="I615" s="50">
        <f t="shared" si="534"/>
        <v>0</v>
      </c>
      <c r="J615" s="85">
        <f t="shared" si="538"/>
        <v>0</v>
      </c>
      <c r="K615" s="82" t="str">
        <f t="shared" si="508"/>
        <v/>
      </c>
      <c r="L615" s="50"/>
      <c r="M615" s="85">
        <f t="shared" si="539"/>
        <v>0</v>
      </c>
      <c r="N615" s="82" t="str">
        <f t="shared" si="510"/>
        <v/>
      </c>
      <c r="O615" s="50"/>
      <c r="P615" s="85">
        <f t="shared" si="540"/>
        <v>0</v>
      </c>
      <c r="Q615" s="82" t="str">
        <f t="shared" si="512"/>
        <v/>
      </c>
      <c r="R615" s="50"/>
      <c r="S615" s="85">
        <f t="shared" si="541"/>
        <v>0</v>
      </c>
      <c r="T615" s="82" t="str">
        <f t="shared" si="514"/>
        <v/>
      </c>
      <c r="U615" s="50"/>
      <c r="V615" s="85">
        <f t="shared" si="542"/>
        <v>0</v>
      </c>
      <c r="W615" s="82" t="str">
        <f t="shared" si="516"/>
        <v/>
      </c>
      <c r="X615" s="50"/>
      <c r="Y615" s="85">
        <f t="shared" si="543"/>
        <v>0</v>
      </c>
      <c r="Z615" s="82" t="str">
        <f t="shared" si="518"/>
        <v/>
      </c>
      <c r="AA615" s="50"/>
      <c r="AB615" s="85">
        <f t="shared" si="544"/>
        <v>0</v>
      </c>
      <c r="AC615" s="82" t="str">
        <f t="shared" si="520"/>
        <v/>
      </c>
      <c r="AD615" s="50"/>
      <c r="AE615" s="85">
        <f t="shared" si="545"/>
        <v>0</v>
      </c>
      <c r="AF615" s="82" t="str">
        <f t="shared" si="522"/>
        <v/>
      </c>
      <c r="AG615" s="50"/>
      <c r="AH615" s="85">
        <f t="shared" si="546"/>
        <v>0</v>
      </c>
      <c r="AI615" s="82" t="str">
        <f t="shared" si="524"/>
        <v/>
      </c>
      <c r="AJ615" s="50"/>
      <c r="AK615" s="85">
        <f t="shared" si="547"/>
        <v>0</v>
      </c>
      <c r="AL615" s="82" t="str">
        <f t="shared" si="526"/>
        <v/>
      </c>
      <c r="AM615" s="50"/>
      <c r="AN615" s="85">
        <f t="shared" si="548"/>
        <v>0</v>
      </c>
      <c r="AO615" s="82" t="str">
        <f t="shared" si="528"/>
        <v/>
      </c>
      <c r="AP615" s="48">
        <f t="shared" si="505"/>
        <v>0</v>
      </c>
      <c r="AQ615" s="85">
        <f t="shared" si="549"/>
        <v>0</v>
      </c>
      <c r="AR615" s="82" t="str">
        <f t="shared" si="530"/>
        <v/>
      </c>
      <c r="AS615" s="48">
        <f t="shared" si="506"/>
        <v>2</v>
      </c>
      <c r="AT615" s="85">
        <f t="shared" si="550"/>
        <v>9067.24</v>
      </c>
      <c r="AU615" s="82">
        <f t="shared" si="532"/>
        <v>1</v>
      </c>
    </row>
    <row r="616" spans="1:47" ht="60">
      <c r="A616" s="16"/>
      <c r="B616" s="97" t="s">
        <v>1988</v>
      </c>
      <c r="C616" s="167" t="s">
        <v>1989</v>
      </c>
      <c r="D616" s="86" t="s">
        <v>1990</v>
      </c>
      <c r="E616" s="97" t="s">
        <v>28</v>
      </c>
      <c r="F616" s="172">
        <v>1861.63</v>
      </c>
      <c r="G616" s="97">
        <v>2</v>
      </c>
      <c r="H616" s="85">
        <f t="shared" si="537"/>
        <v>3723.26</v>
      </c>
      <c r="I616" s="50">
        <f t="shared" si="534"/>
        <v>0</v>
      </c>
      <c r="J616" s="85">
        <f t="shared" si="538"/>
        <v>0</v>
      </c>
      <c r="K616" s="82" t="str">
        <f t="shared" si="508"/>
        <v/>
      </c>
      <c r="L616" s="50"/>
      <c r="M616" s="85">
        <f t="shared" si="539"/>
        <v>0</v>
      </c>
      <c r="N616" s="82" t="str">
        <f t="shared" si="510"/>
        <v/>
      </c>
      <c r="O616" s="50"/>
      <c r="P616" s="85">
        <f t="shared" si="540"/>
        <v>0</v>
      </c>
      <c r="Q616" s="82" t="str">
        <f t="shared" si="512"/>
        <v/>
      </c>
      <c r="R616" s="50"/>
      <c r="S616" s="85">
        <f t="shared" si="541"/>
        <v>0</v>
      </c>
      <c r="T616" s="82" t="str">
        <f t="shared" si="514"/>
        <v/>
      </c>
      <c r="U616" s="50"/>
      <c r="V616" s="85">
        <f t="shared" si="542"/>
        <v>0</v>
      </c>
      <c r="W616" s="82" t="str">
        <f t="shared" si="516"/>
        <v/>
      </c>
      <c r="X616" s="50"/>
      <c r="Y616" s="85">
        <f t="shared" si="543"/>
        <v>0</v>
      </c>
      <c r="Z616" s="82" t="str">
        <f t="shared" si="518"/>
        <v/>
      </c>
      <c r="AA616" s="50"/>
      <c r="AB616" s="85">
        <f t="shared" si="544"/>
        <v>0</v>
      </c>
      <c r="AC616" s="82" t="str">
        <f t="shared" si="520"/>
        <v/>
      </c>
      <c r="AD616" s="50"/>
      <c r="AE616" s="85">
        <f t="shared" si="545"/>
        <v>0</v>
      </c>
      <c r="AF616" s="82" t="str">
        <f t="shared" si="522"/>
        <v/>
      </c>
      <c r="AG616" s="50"/>
      <c r="AH616" s="85">
        <f t="shared" si="546"/>
        <v>0</v>
      </c>
      <c r="AI616" s="82" t="str">
        <f t="shared" si="524"/>
        <v/>
      </c>
      <c r="AJ616" s="50"/>
      <c r="AK616" s="85">
        <f t="shared" si="547"/>
        <v>0</v>
      </c>
      <c r="AL616" s="82" t="str">
        <f t="shared" si="526"/>
        <v/>
      </c>
      <c r="AM616" s="50"/>
      <c r="AN616" s="85">
        <f t="shared" si="548"/>
        <v>0</v>
      </c>
      <c r="AO616" s="82" t="str">
        <f t="shared" si="528"/>
        <v/>
      </c>
      <c r="AP616" s="48">
        <f t="shared" si="505"/>
        <v>0</v>
      </c>
      <c r="AQ616" s="85">
        <f t="shared" si="549"/>
        <v>0</v>
      </c>
      <c r="AR616" s="82" t="str">
        <f t="shared" si="530"/>
        <v/>
      </c>
      <c r="AS616" s="48">
        <f t="shared" si="506"/>
        <v>2</v>
      </c>
      <c r="AT616" s="85">
        <f t="shared" si="550"/>
        <v>3723.26</v>
      </c>
      <c r="AU616" s="82">
        <f t="shared" si="532"/>
        <v>1</v>
      </c>
    </row>
    <row r="617" spans="1:47" ht="45">
      <c r="A617" s="16"/>
      <c r="B617" s="97" t="s">
        <v>1991</v>
      </c>
      <c r="C617" s="167" t="s">
        <v>1992</v>
      </c>
      <c r="D617" s="86" t="s">
        <v>1993</v>
      </c>
      <c r="E617" s="97" t="s">
        <v>44</v>
      </c>
      <c r="F617" s="172">
        <v>89.49</v>
      </c>
      <c r="G617" s="97">
        <v>51</v>
      </c>
      <c r="H617" s="85">
        <f t="shared" si="537"/>
        <v>4563.99</v>
      </c>
      <c r="I617" s="50">
        <f t="shared" si="534"/>
        <v>0</v>
      </c>
      <c r="J617" s="85">
        <f t="shared" si="538"/>
        <v>0</v>
      </c>
      <c r="K617" s="82" t="str">
        <f t="shared" si="508"/>
        <v/>
      </c>
      <c r="L617" s="50"/>
      <c r="M617" s="85">
        <f t="shared" si="539"/>
        <v>0</v>
      </c>
      <c r="N617" s="82" t="str">
        <f t="shared" si="510"/>
        <v/>
      </c>
      <c r="O617" s="50"/>
      <c r="P617" s="85">
        <f t="shared" si="540"/>
        <v>0</v>
      </c>
      <c r="Q617" s="82" t="str">
        <f t="shared" si="512"/>
        <v/>
      </c>
      <c r="R617" s="50"/>
      <c r="S617" s="85">
        <f t="shared" si="541"/>
        <v>0</v>
      </c>
      <c r="T617" s="82" t="str">
        <f t="shared" si="514"/>
        <v/>
      </c>
      <c r="U617" s="50"/>
      <c r="V617" s="85">
        <f t="shared" si="542"/>
        <v>0</v>
      </c>
      <c r="W617" s="82" t="str">
        <f t="shared" si="516"/>
        <v/>
      </c>
      <c r="X617" s="50"/>
      <c r="Y617" s="85">
        <f t="shared" si="543"/>
        <v>0</v>
      </c>
      <c r="Z617" s="82" t="str">
        <f t="shared" si="518"/>
        <v/>
      </c>
      <c r="AA617" s="50"/>
      <c r="AB617" s="85">
        <f t="shared" si="544"/>
        <v>0</v>
      </c>
      <c r="AC617" s="82" t="str">
        <f t="shared" si="520"/>
        <v/>
      </c>
      <c r="AD617" s="50"/>
      <c r="AE617" s="85">
        <f t="shared" si="545"/>
        <v>0</v>
      </c>
      <c r="AF617" s="82" t="str">
        <f t="shared" si="522"/>
        <v/>
      </c>
      <c r="AG617" s="50"/>
      <c r="AH617" s="85">
        <f t="shared" si="546"/>
        <v>0</v>
      </c>
      <c r="AI617" s="82" t="str">
        <f t="shared" si="524"/>
        <v/>
      </c>
      <c r="AJ617" s="50"/>
      <c r="AK617" s="85">
        <f t="shared" si="547"/>
        <v>0</v>
      </c>
      <c r="AL617" s="82" t="str">
        <f t="shared" si="526"/>
        <v/>
      </c>
      <c r="AM617" s="50"/>
      <c r="AN617" s="85">
        <f t="shared" si="548"/>
        <v>0</v>
      </c>
      <c r="AO617" s="82" t="str">
        <f t="shared" si="528"/>
        <v/>
      </c>
      <c r="AP617" s="48">
        <f t="shared" si="505"/>
        <v>0</v>
      </c>
      <c r="AQ617" s="85">
        <f t="shared" si="549"/>
        <v>0</v>
      </c>
      <c r="AR617" s="82" t="str">
        <f t="shared" si="530"/>
        <v/>
      </c>
      <c r="AS617" s="48">
        <f t="shared" si="506"/>
        <v>51</v>
      </c>
      <c r="AT617" s="85">
        <f t="shared" si="550"/>
        <v>4563.99</v>
      </c>
      <c r="AU617" s="82">
        <f t="shared" si="532"/>
        <v>1</v>
      </c>
    </row>
    <row r="618" spans="1:47" ht="30">
      <c r="A618" s="16"/>
      <c r="B618" s="97" t="s">
        <v>1994</v>
      </c>
      <c r="C618" s="167" t="s">
        <v>1995</v>
      </c>
      <c r="D618" s="86" t="s">
        <v>1996</v>
      </c>
      <c r="E618" s="97" t="s">
        <v>44</v>
      </c>
      <c r="F618" s="172">
        <v>130.12</v>
      </c>
      <c r="G618" s="97">
        <v>16</v>
      </c>
      <c r="H618" s="85">
        <f t="shared" si="537"/>
        <v>2081.92</v>
      </c>
      <c r="I618" s="50">
        <f t="shared" si="534"/>
        <v>0</v>
      </c>
      <c r="J618" s="85">
        <f t="shared" si="538"/>
        <v>0</v>
      </c>
      <c r="K618" s="82" t="str">
        <f t="shared" si="508"/>
        <v/>
      </c>
      <c r="L618" s="50"/>
      <c r="M618" s="85">
        <f t="shared" si="539"/>
        <v>0</v>
      </c>
      <c r="N618" s="82" t="str">
        <f t="shared" si="510"/>
        <v/>
      </c>
      <c r="O618" s="50"/>
      <c r="P618" s="85">
        <f t="shared" si="540"/>
        <v>0</v>
      </c>
      <c r="Q618" s="82" t="str">
        <f t="shared" si="512"/>
        <v/>
      </c>
      <c r="R618" s="50"/>
      <c r="S618" s="85">
        <f t="shared" si="541"/>
        <v>0</v>
      </c>
      <c r="T618" s="82" t="str">
        <f t="shared" si="514"/>
        <v/>
      </c>
      <c r="U618" s="50"/>
      <c r="V618" s="85">
        <f t="shared" si="542"/>
        <v>0</v>
      </c>
      <c r="W618" s="82" t="str">
        <f t="shared" si="516"/>
        <v/>
      </c>
      <c r="X618" s="50"/>
      <c r="Y618" s="85">
        <f t="shared" si="543"/>
        <v>0</v>
      </c>
      <c r="Z618" s="82" t="str">
        <f t="shared" si="518"/>
        <v/>
      </c>
      <c r="AA618" s="50"/>
      <c r="AB618" s="85">
        <f t="shared" si="544"/>
        <v>0</v>
      </c>
      <c r="AC618" s="82" t="str">
        <f t="shared" si="520"/>
        <v/>
      </c>
      <c r="AD618" s="50"/>
      <c r="AE618" s="85">
        <f t="shared" si="545"/>
        <v>0</v>
      </c>
      <c r="AF618" s="82" t="str">
        <f t="shared" si="522"/>
        <v/>
      </c>
      <c r="AG618" s="50"/>
      <c r="AH618" s="85">
        <f t="shared" si="546"/>
        <v>0</v>
      </c>
      <c r="AI618" s="82" t="str">
        <f t="shared" si="524"/>
        <v/>
      </c>
      <c r="AJ618" s="50"/>
      <c r="AK618" s="85">
        <f t="shared" si="547"/>
        <v>0</v>
      </c>
      <c r="AL618" s="82" t="str">
        <f t="shared" si="526"/>
        <v/>
      </c>
      <c r="AM618" s="50"/>
      <c r="AN618" s="85">
        <f t="shared" si="548"/>
        <v>0</v>
      </c>
      <c r="AO618" s="82" t="str">
        <f t="shared" si="528"/>
        <v/>
      </c>
      <c r="AP618" s="48">
        <f t="shared" si="505"/>
        <v>0</v>
      </c>
      <c r="AQ618" s="85">
        <f t="shared" si="549"/>
        <v>0</v>
      </c>
      <c r="AR618" s="82" t="str">
        <f t="shared" si="530"/>
        <v/>
      </c>
      <c r="AS618" s="48">
        <f t="shared" si="506"/>
        <v>16</v>
      </c>
      <c r="AT618" s="85">
        <f t="shared" si="550"/>
        <v>2081.92</v>
      </c>
      <c r="AU618" s="82">
        <f t="shared" si="532"/>
        <v>1</v>
      </c>
    </row>
    <row r="619" spans="1:47" ht="60">
      <c r="A619" s="16"/>
      <c r="B619" s="97" t="s">
        <v>1997</v>
      </c>
      <c r="C619" s="167" t="s">
        <v>819</v>
      </c>
      <c r="D619" s="86" t="s">
        <v>1998</v>
      </c>
      <c r="E619" s="97" t="s">
        <v>44</v>
      </c>
      <c r="F619" s="172">
        <v>112.17</v>
      </c>
      <c r="G619" s="97">
        <v>40</v>
      </c>
      <c r="H619" s="85">
        <f t="shared" si="537"/>
        <v>4486.8</v>
      </c>
      <c r="I619" s="50">
        <f t="shared" si="534"/>
        <v>0</v>
      </c>
      <c r="J619" s="85">
        <f t="shared" si="538"/>
        <v>0</v>
      </c>
      <c r="K619" s="82" t="str">
        <f t="shared" si="508"/>
        <v/>
      </c>
      <c r="L619" s="50"/>
      <c r="M619" s="85">
        <f t="shared" si="539"/>
        <v>0</v>
      </c>
      <c r="N619" s="82" t="str">
        <f t="shared" si="510"/>
        <v/>
      </c>
      <c r="O619" s="50"/>
      <c r="P619" s="85">
        <f t="shared" si="540"/>
        <v>0</v>
      </c>
      <c r="Q619" s="82" t="str">
        <f t="shared" si="512"/>
        <v/>
      </c>
      <c r="R619" s="50"/>
      <c r="S619" s="85">
        <f t="shared" si="541"/>
        <v>0</v>
      </c>
      <c r="T619" s="82" t="str">
        <f t="shared" si="514"/>
        <v/>
      </c>
      <c r="U619" s="50"/>
      <c r="V619" s="85">
        <f t="shared" si="542"/>
        <v>0</v>
      </c>
      <c r="W619" s="82" t="str">
        <f t="shared" si="516"/>
        <v/>
      </c>
      <c r="X619" s="50"/>
      <c r="Y619" s="85">
        <f t="shared" si="543"/>
        <v>0</v>
      </c>
      <c r="Z619" s="82" t="str">
        <f t="shared" si="518"/>
        <v/>
      </c>
      <c r="AA619" s="50"/>
      <c r="AB619" s="85">
        <f t="shared" si="544"/>
        <v>0</v>
      </c>
      <c r="AC619" s="82" t="str">
        <f t="shared" si="520"/>
        <v/>
      </c>
      <c r="AD619" s="50"/>
      <c r="AE619" s="85">
        <f t="shared" si="545"/>
        <v>0</v>
      </c>
      <c r="AF619" s="82" t="str">
        <f t="shared" si="522"/>
        <v/>
      </c>
      <c r="AG619" s="50"/>
      <c r="AH619" s="85">
        <f t="shared" si="546"/>
        <v>0</v>
      </c>
      <c r="AI619" s="82" t="str">
        <f t="shared" si="524"/>
        <v/>
      </c>
      <c r="AJ619" s="50"/>
      <c r="AK619" s="85">
        <f t="shared" si="547"/>
        <v>0</v>
      </c>
      <c r="AL619" s="82" t="str">
        <f t="shared" si="526"/>
        <v/>
      </c>
      <c r="AM619" s="50"/>
      <c r="AN619" s="85">
        <f t="shared" si="548"/>
        <v>0</v>
      </c>
      <c r="AO619" s="82" t="str">
        <f t="shared" si="528"/>
        <v/>
      </c>
      <c r="AP619" s="48">
        <f t="shared" si="505"/>
        <v>0</v>
      </c>
      <c r="AQ619" s="85">
        <f t="shared" si="549"/>
        <v>0</v>
      </c>
      <c r="AR619" s="82" t="str">
        <f t="shared" si="530"/>
        <v/>
      </c>
      <c r="AS619" s="48">
        <f t="shared" si="506"/>
        <v>40</v>
      </c>
      <c r="AT619" s="85">
        <f t="shared" si="550"/>
        <v>4486.8</v>
      </c>
      <c r="AU619" s="82">
        <f t="shared" si="532"/>
        <v>1</v>
      </c>
    </row>
    <row r="620" spans="1:47" ht="45">
      <c r="A620" s="16"/>
      <c r="B620" s="97" t="s">
        <v>1999</v>
      </c>
      <c r="C620" s="167" t="s">
        <v>2000</v>
      </c>
      <c r="D620" s="86" t="s">
        <v>2001</v>
      </c>
      <c r="E620" s="97" t="s">
        <v>28</v>
      </c>
      <c r="F620" s="172">
        <v>221.32</v>
      </c>
      <c r="G620" s="97">
        <v>2</v>
      </c>
      <c r="H620" s="85">
        <f t="shared" si="537"/>
        <v>442.64</v>
      </c>
      <c r="I620" s="50">
        <f t="shared" si="534"/>
        <v>0</v>
      </c>
      <c r="J620" s="85">
        <f t="shared" si="538"/>
        <v>0</v>
      </c>
      <c r="K620" s="82" t="str">
        <f t="shared" si="508"/>
        <v/>
      </c>
      <c r="L620" s="50"/>
      <c r="M620" s="85">
        <f t="shared" si="539"/>
        <v>0</v>
      </c>
      <c r="N620" s="82" t="str">
        <f t="shared" si="510"/>
        <v/>
      </c>
      <c r="O620" s="50"/>
      <c r="P620" s="85">
        <f t="shared" si="540"/>
        <v>0</v>
      </c>
      <c r="Q620" s="82" t="str">
        <f t="shared" si="512"/>
        <v/>
      </c>
      <c r="R620" s="50"/>
      <c r="S620" s="85">
        <f t="shared" si="541"/>
        <v>0</v>
      </c>
      <c r="T620" s="82" t="str">
        <f t="shared" si="514"/>
        <v/>
      </c>
      <c r="U620" s="50"/>
      <c r="V620" s="85">
        <f t="shared" si="542"/>
        <v>0</v>
      </c>
      <c r="W620" s="82" t="str">
        <f t="shared" si="516"/>
        <v/>
      </c>
      <c r="X620" s="50"/>
      <c r="Y620" s="85">
        <f t="shared" si="543"/>
        <v>0</v>
      </c>
      <c r="Z620" s="82" t="str">
        <f t="shared" si="518"/>
        <v/>
      </c>
      <c r="AA620" s="50"/>
      <c r="AB620" s="85">
        <f t="shared" si="544"/>
        <v>0</v>
      </c>
      <c r="AC620" s="82" t="str">
        <f t="shared" si="520"/>
        <v/>
      </c>
      <c r="AD620" s="50"/>
      <c r="AE620" s="85">
        <f t="shared" si="545"/>
        <v>0</v>
      </c>
      <c r="AF620" s="82" t="str">
        <f t="shared" si="522"/>
        <v/>
      </c>
      <c r="AG620" s="50"/>
      <c r="AH620" s="85">
        <f t="shared" si="546"/>
        <v>0</v>
      </c>
      <c r="AI620" s="82" t="str">
        <f t="shared" si="524"/>
        <v/>
      </c>
      <c r="AJ620" s="50"/>
      <c r="AK620" s="85">
        <f t="shared" si="547"/>
        <v>0</v>
      </c>
      <c r="AL620" s="82" t="str">
        <f t="shared" si="526"/>
        <v/>
      </c>
      <c r="AM620" s="50"/>
      <c r="AN620" s="85">
        <f t="shared" si="548"/>
        <v>0</v>
      </c>
      <c r="AO620" s="82" t="str">
        <f t="shared" si="528"/>
        <v/>
      </c>
      <c r="AP620" s="48">
        <f t="shared" si="505"/>
        <v>0</v>
      </c>
      <c r="AQ620" s="85">
        <f t="shared" si="549"/>
        <v>0</v>
      </c>
      <c r="AR620" s="82" t="str">
        <f t="shared" si="530"/>
        <v/>
      </c>
      <c r="AS620" s="48">
        <f t="shared" si="506"/>
        <v>2</v>
      </c>
      <c r="AT620" s="85">
        <f t="shared" si="550"/>
        <v>442.64</v>
      </c>
      <c r="AU620" s="82">
        <f t="shared" si="532"/>
        <v>1</v>
      </c>
    </row>
    <row r="621" spans="1:47" ht="60">
      <c r="A621" s="16"/>
      <c r="B621" s="97" t="s">
        <v>2002</v>
      </c>
      <c r="C621" s="167" t="s">
        <v>2003</v>
      </c>
      <c r="D621" s="86" t="s">
        <v>2004</v>
      </c>
      <c r="E621" s="97" t="s">
        <v>28</v>
      </c>
      <c r="F621" s="172">
        <v>85.78</v>
      </c>
      <c r="G621" s="97">
        <v>34</v>
      </c>
      <c r="H621" s="85">
        <f t="shared" si="537"/>
        <v>2916.52</v>
      </c>
      <c r="I621" s="50">
        <f t="shared" si="534"/>
        <v>0</v>
      </c>
      <c r="J621" s="85">
        <f t="shared" si="538"/>
        <v>0</v>
      </c>
      <c r="K621" s="82" t="str">
        <f t="shared" si="508"/>
        <v/>
      </c>
      <c r="L621" s="50"/>
      <c r="M621" s="85">
        <f t="shared" si="539"/>
        <v>0</v>
      </c>
      <c r="N621" s="82" t="str">
        <f t="shared" si="510"/>
        <v/>
      </c>
      <c r="O621" s="50"/>
      <c r="P621" s="85">
        <f t="shared" si="540"/>
        <v>0</v>
      </c>
      <c r="Q621" s="82" t="str">
        <f t="shared" si="512"/>
        <v/>
      </c>
      <c r="R621" s="50"/>
      <c r="S621" s="85">
        <f t="shared" si="541"/>
        <v>0</v>
      </c>
      <c r="T621" s="82" t="str">
        <f t="shared" si="514"/>
        <v/>
      </c>
      <c r="U621" s="50"/>
      <c r="V621" s="85">
        <f t="shared" si="542"/>
        <v>0</v>
      </c>
      <c r="W621" s="82" t="str">
        <f t="shared" si="516"/>
        <v/>
      </c>
      <c r="X621" s="50"/>
      <c r="Y621" s="85">
        <f t="shared" si="543"/>
        <v>0</v>
      </c>
      <c r="Z621" s="82" t="str">
        <f t="shared" si="518"/>
        <v/>
      </c>
      <c r="AA621" s="50"/>
      <c r="AB621" s="85">
        <f t="shared" si="544"/>
        <v>0</v>
      </c>
      <c r="AC621" s="82" t="str">
        <f t="shared" si="520"/>
        <v/>
      </c>
      <c r="AD621" s="50"/>
      <c r="AE621" s="85">
        <f t="shared" si="545"/>
        <v>0</v>
      </c>
      <c r="AF621" s="82" t="str">
        <f t="shared" si="522"/>
        <v/>
      </c>
      <c r="AG621" s="50"/>
      <c r="AH621" s="85">
        <f t="shared" si="546"/>
        <v>0</v>
      </c>
      <c r="AI621" s="82" t="str">
        <f t="shared" si="524"/>
        <v/>
      </c>
      <c r="AJ621" s="50"/>
      <c r="AK621" s="85">
        <f t="shared" si="547"/>
        <v>0</v>
      </c>
      <c r="AL621" s="82" t="str">
        <f t="shared" si="526"/>
        <v/>
      </c>
      <c r="AM621" s="50"/>
      <c r="AN621" s="85">
        <f t="shared" si="548"/>
        <v>0</v>
      </c>
      <c r="AO621" s="82" t="str">
        <f t="shared" si="528"/>
        <v/>
      </c>
      <c r="AP621" s="48">
        <f t="shared" si="505"/>
        <v>0</v>
      </c>
      <c r="AQ621" s="85">
        <f t="shared" si="549"/>
        <v>0</v>
      </c>
      <c r="AR621" s="82" t="str">
        <f t="shared" si="530"/>
        <v/>
      </c>
      <c r="AS621" s="48">
        <f t="shared" si="506"/>
        <v>34</v>
      </c>
      <c r="AT621" s="85">
        <f t="shared" si="550"/>
        <v>2916.52</v>
      </c>
      <c r="AU621" s="82">
        <f t="shared" si="532"/>
        <v>1</v>
      </c>
    </row>
    <row r="622" spans="1:47" ht="30">
      <c r="A622" s="16"/>
      <c r="B622" s="97" t="s">
        <v>2005</v>
      </c>
      <c r="C622" s="167" t="s">
        <v>2006</v>
      </c>
      <c r="D622" s="86" t="s">
        <v>2007</v>
      </c>
      <c r="E622" s="97" t="s">
        <v>44</v>
      </c>
      <c r="F622" s="172">
        <v>66.19</v>
      </c>
      <c r="G622" s="97">
        <v>5</v>
      </c>
      <c r="H622" s="85">
        <f t="shared" si="537"/>
        <v>330.95</v>
      </c>
      <c r="I622" s="50">
        <f t="shared" si="534"/>
        <v>0</v>
      </c>
      <c r="J622" s="85">
        <f t="shared" si="538"/>
        <v>0</v>
      </c>
      <c r="K622" s="82" t="str">
        <f t="shared" si="508"/>
        <v/>
      </c>
      <c r="L622" s="50"/>
      <c r="M622" s="85">
        <f t="shared" si="539"/>
        <v>0</v>
      </c>
      <c r="N622" s="82" t="str">
        <f t="shared" si="510"/>
        <v/>
      </c>
      <c r="O622" s="50"/>
      <c r="P622" s="85">
        <f t="shared" si="540"/>
        <v>0</v>
      </c>
      <c r="Q622" s="82" t="str">
        <f t="shared" si="512"/>
        <v/>
      </c>
      <c r="R622" s="50"/>
      <c r="S622" s="85">
        <f t="shared" si="541"/>
        <v>0</v>
      </c>
      <c r="T622" s="82" t="str">
        <f t="shared" si="514"/>
        <v/>
      </c>
      <c r="U622" s="50"/>
      <c r="V622" s="85">
        <f t="shared" si="542"/>
        <v>0</v>
      </c>
      <c r="W622" s="82" t="str">
        <f t="shared" si="516"/>
        <v/>
      </c>
      <c r="X622" s="50"/>
      <c r="Y622" s="85">
        <f t="shared" si="543"/>
        <v>0</v>
      </c>
      <c r="Z622" s="82" t="str">
        <f t="shared" si="518"/>
        <v/>
      </c>
      <c r="AA622" s="50"/>
      <c r="AB622" s="85">
        <f t="shared" si="544"/>
        <v>0</v>
      </c>
      <c r="AC622" s="82" t="str">
        <f t="shared" si="520"/>
        <v/>
      </c>
      <c r="AD622" s="50"/>
      <c r="AE622" s="85">
        <f t="shared" si="545"/>
        <v>0</v>
      </c>
      <c r="AF622" s="82" t="str">
        <f t="shared" si="522"/>
        <v/>
      </c>
      <c r="AG622" s="50"/>
      <c r="AH622" s="85">
        <f t="shared" si="546"/>
        <v>0</v>
      </c>
      <c r="AI622" s="82" t="str">
        <f t="shared" si="524"/>
        <v/>
      </c>
      <c r="AJ622" s="50"/>
      <c r="AK622" s="85">
        <f t="shared" si="547"/>
        <v>0</v>
      </c>
      <c r="AL622" s="82" t="str">
        <f t="shared" si="526"/>
        <v/>
      </c>
      <c r="AM622" s="50"/>
      <c r="AN622" s="85">
        <f t="shared" si="548"/>
        <v>0</v>
      </c>
      <c r="AO622" s="82" t="str">
        <f t="shared" si="528"/>
        <v/>
      </c>
      <c r="AP622" s="48">
        <f t="shared" si="505"/>
        <v>0</v>
      </c>
      <c r="AQ622" s="85">
        <f t="shared" si="549"/>
        <v>0</v>
      </c>
      <c r="AR622" s="82" t="str">
        <f t="shared" si="530"/>
        <v/>
      </c>
      <c r="AS622" s="48">
        <f t="shared" si="506"/>
        <v>5</v>
      </c>
      <c r="AT622" s="85">
        <f t="shared" si="550"/>
        <v>330.95</v>
      </c>
      <c r="AU622" s="82">
        <f t="shared" si="532"/>
        <v>1</v>
      </c>
    </row>
    <row r="623" spans="1:47" ht="90">
      <c r="A623" s="16"/>
      <c r="B623" s="97" t="s">
        <v>2008</v>
      </c>
      <c r="C623" s="167" t="s">
        <v>2009</v>
      </c>
      <c r="D623" s="86" t="s">
        <v>2010</v>
      </c>
      <c r="E623" s="97" t="s">
        <v>92</v>
      </c>
      <c r="F623" s="172">
        <v>165.74</v>
      </c>
      <c r="G623" s="97">
        <v>170</v>
      </c>
      <c r="H623" s="85">
        <f t="shared" si="537"/>
        <v>28175.800000000003</v>
      </c>
      <c r="I623" s="50">
        <f t="shared" si="534"/>
        <v>0</v>
      </c>
      <c r="J623" s="85">
        <f t="shared" si="538"/>
        <v>0</v>
      </c>
      <c r="K623" s="82" t="str">
        <f t="shared" si="508"/>
        <v/>
      </c>
      <c r="L623" s="50"/>
      <c r="M623" s="85">
        <f t="shared" si="539"/>
        <v>0</v>
      </c>
      <c r="N623" s="82" t="str">
        <f t="shared" si="510"/>
        <v/>
      </c>
      <c r="O623" s="50"/>
      <c r="P623" s="85">
        <f t="shared" si="540"/>
        <v>0</v>
      </c>
      <c r="Q623" s="82" t="str">
        <f t="shared" si="512"/>
        <v/>
      </c>
      <c r="R623" s="50"/>
      <c r="S623" s="85">
        <f t="shared" si="541"/>
        <v>0</v>
      </c>
      <c r="T623" s="82" t="str">
        <f t="shared" si="514"/>
        <v/>
      </c>
      <c r="U623" s="50"/>
      <c r="V623" s="85">
        <f t="shared" si="542"/>
        <v>0</v>
      </c>
      <c r="W623" s="82" t="str">
        <f t="shared" si="516"/>
        <v/>
      </c>
      <c r="X623" s="50"/>
      <c r="Y623" s="85">
        <f t="shared" si="543"/>
        <v>0</v>
      </c>
      <c r="Z623" s="82" t="str">
        <f t="shared" si="518"/>
        <v/>
      </c>
      <c r="AA623" s="50"/>
      <c r="AB623" s="85">
        <f t="shared" si="544"/>
        <v>0</v>
      </c>
      <c r="AC623" s="82" t="str">
        <f t="shared" si="520"/>
        <v/>
      </c>
      <c r="AD623" s="50"/>
      <c r="AE623" s="85">
        <f t="shared" si="545"/>
        <v>0</v>
      </c>
      <c r="AF623" s="82" t="str">
        <f t="shared" si="522"/>
        <v/>
      </c>
      <c r="AG623" s="50"/>
      <c r="AH623" s="85">
        <f t="shared" si="546"/>
        <v>0</v>
      </c>
      <c r="AI623" s="82" t="str">
        <f t="shared" si="524"/>
        <v/>
      </c>
      <c r="AJ623" s="50"/>
      <c r="AK623" s="85">
        <f t="shared" si="547"/>
        <v>0</v>
      </c>
      <c r="AL623" s="82" t="str">
        <f t="shared" si="526"/>
        <v/>
      </c>
      <c r="AM623" s="50"/>
      <c r="AN623" s="85">
        <f t="shared" si="548"/>
        <v>0</v>
      </c>
      <c r="AO623" s="82" t="str">
        <f t="shared" si="528"/>
        <v/>
      </c>
      <c r="AP623" s="48">
        <f t="shared" si="505"/>
        <v>0</v>
      </c>
      <c r="AQ623" s="85">
        <f t="shared" si="549"/>
        <v>0</v>
      </c>
      <c r="AR623" s="82" t="str">
        <f t="shared" si="530"/>
        <v/>
      </c>
      <c r="AS623" s="48">
        <f t="shared" si="506"/>
        <v>170</v>
      </c>
      <c r="AT623" s="85">
        <f t="shared" si="550"/>
        <v>28175.800000000003</v>
      </c>
      <c r="AU623" s="82">
        <f t="shared" si="532"/>
        <v>1</v>
      </c>
    </row>
    <row r="624" spans="1:47" ht="90">
      <c r="A624" s="16"/>
      <c r="B624" s="97" t="s">
        <v>2011</v>
      </c>
      <c r="C624" s="167" t="s">
        <v>2009</v>
      </c>
      <c r="D624" s="86" t="s">
        <v>2012</v>
      </c>
      <c r="E624" s="97" t="s">
        <v>92</v>
      </c>
      <c r="F624" s="172">
        <v>166.13</v>
      </c>
      <c r="G624" s="97">
        <v>235</v>
      </c>
      <c r="H624" s="85">
        <f t="shared" si="537"/>
        <v>39040.549999999996</v>
      </c>
      <c r="I624" s="50">
        <f t="shared" si="534"/>
        <v>0</v>
      </c>
      <c r="J624" s="85">
        <f t="shared" si="538"/>
        <v>0</v>
      </c>
      <c r="K624" s="82" t="str">
        <f t="shared" si="508"/>
        <v/>
      </c>
      <c r="L624" s="50"/>
      <c r="M624" s="85">
        <f t="shared" si="539"/>
        <v>0</v>
      </c>
      <c r="N624" s="82" t="str">
        <f t="shared" si="510"/>
        <v/>
      </c>
      <c r="O624" s="50"/>
      <c r="P624" s="85">
        <f t="shared" si="540"/>
        <v>0</v>
      </c>
      <c r="Q624" s="82" t="str">
        <f t="shared" si="512"/>
        <v/>
      </c>
      <c r="R624" s="50"/>
      <c r="S624" s="85">
        <f t="shared" si="541"/>
        <v>0</v>
      </c>
      <c r="T624" s="82" t="str">
        <f t="shared" si="514"/>
        <v/>
      </c>
      <c r="U624" s="50"/>
      <c r="V624" s="85">
        <f t="shared" si="542"/>
        <v>0</v>
      </c>
      <c r="W624" s="82" t="str">
        <f t="shared" si="516"/>
        <v/>
      </c>
      <c r="X624" s="50"/>
      <c r="Y624" s="85">
        <f t="shared" si="543"/>
        <v>0</v>
      </c>
      <c r="Z624" s="82" t="str">
        <f t="shared" si="518"/>
        <v/>
      </c>
      <c r="AA624" s="50"/>
      <c r="AB624" s="85">
        <f t="shared" si="544"/>
        <v>0</v>
      </c>
      <c r="AC624" s="82" t="str">
        <f t="shared" si="520"/>
        <v/>
      </c>
      <c r="AD624" s="50"/>
      <c r="AE624" s="85">
        <f t="shared" si="545"/>
        <v>0</v>
      </c>
      <c r="AF624" s="82" t="str">
        <f t="shared" si="522"/>
        <v/>
      </c>
      <c r="AG624" s="50"/>
      <c r="AH624" s="85">
        <f t="shared" si="546"/>
        <v>0</v>
      </c>
      <c r="AI624" s="82" t="str">
        <f t="shared" si="524"/>
        <v/>
      </c>
      <c r="AJ624" s="50"/>
      <c r="AK624" s="85">
        <f t="shared" si="547"/>
        <v>0</v>
      </c>
      <c r="AL624" s="82" t="str">
        <f t="shared" si="526"/>
        <v/>
      </c>
      <c r="AM624" s="50"/>
      <c r="AN624" s="85">
        <f t="shared" si="548"/>
        <v>0</v>
      </c>
      <c r="AO624" s="82" t="str">
        <f t="shared" si="528"/>
        <v/>
      </c>
      <c r="AP624" s="48">
        <f t="shared" si="505"/>
        <v>0</v>
      </c>
      <c r="AQ624" s="85">
        <f t="shared" si="549"/>
        <v>0</v>
      </c>
      <c r="AR624" s="82" t="str">
        <f t="shared" si="530"/>
        <v/>
      </c>
      <c r="AS624" s="48">
        <f t="shared" si="506"/>
        <v>235</v>
      </c>
      <c r="AT624" s="85">
        <f t="shared" si="550"/>
        <v>39040.549999999996</v>
      </c>
      <c r="AU624" s="82">
        <f t="shared" si="532"/>
        <v>1</v>
      </c>
    </row>
    <row r="625" spans="1:47" s="161" customFormat="1">
      <c r="A625" s="94"/>
      <c r="B625" s="116" t="s">
        <v>2013</v>
      </c>
      <c r="C625" s="1945" t="s">
        <v>739</v>
      </c>
      <c r="D625" s="1946"/>
      <c r="E625" s="1946"/>
      <c r="F625" s="1946"/>
      <c r="G625" s="1947"/>
      <c r="H625" s="159">
        <f>H626+H627</f>
        <v>7590.1319999999996</v>
      </c>
      <c r="I625" s="50">
        <f t="shared" si="534"/>
        <v>0</v>
      </c>
      <c r="J625" s="159">
        <f>J626+J627</f>
        <v>0</v>
      </c>
      <c r="K625" s="102">
        <f>J625/$H625</f>
        <v>0</v>
      </c>
      <c r="L625" s="101"/>
      <c r="M625" s="159">
        <f>M626+M627</f>
        <v>0</v>
      </c>
      <c r="N625" s="102">
        <f>M625/$H625</f>
        <v>0</v>
      </c>
      <c r="O625" s="101"/>
      <c r="P625" s="159">
        <f>P626+P627</f>
        <v>0</v>
      </c>
      <c r="Q625" s="102">
        <f>P625/$H625</f>
        <v>0</v>
      </c>
      <c r="R625" s="101"/>
      <c r="S625" s="159">
        <f>S626+S627</f>
        <v>0</v>
      </c>
      <c r="T625" s="102">
        <f>S625/$H625</f>
        <v>0</v>
      </c>
      <c r="U625" s="101"/>
      <c r="V625" s="159">
        <f>V626+V627</f>
        <v>0</v>
      </c>
      <c r="W625" s="102">
        <f>V625/$H625</f>
        <v>0</v>
      </c>
      <c r="X625" s="101"/>
      <c r="Y625" s="159">
        <f>Y626+Y627</f>
        <v>0</v>
      </c>
      <c r="Z625" s="102">
        <f>Y625/$H625</f>
        <v>0</v>
      </c>
      <c r="AA625" s="101"/>
      <c r="AB625" s="159">
        <f>AB626+AB627</f>
        <v>0</v>
      </c>
      <c r="AC625" s="102">
        <f>AB625/$H625</f>
        <v>0</v>
      </c>
      <c r="AD625" s="101"/>
      <c r="AE625" s="159">
        <f>AE626+AE627</f>
        <v>0</v>
      </c>
      <c r="AF625" s="102">
        <f>AE625/$H625</f>
        <v>0</v>
      </c>
      <c r="AG625" s="101"/>
      <c r="AH625" s="159">
        <f>AH626+AH627</f>
        <v>0</v>
      </c>
      <c r="AI625" s="102">
        <f>AH625/$H625</f>
        <v>0</v>
      </c>
      <c r="AJ625" s="101"/>
      <c r="AK625" s="159">
        <f>AK626+AK627</f>
        <v>0</v>
      </c>
      <c r="AL625" s="102">
        <f>AK625/$H625</f>
        <v>0</v>
      </c>
      <c r="AM625" s="101"/>
      <c r="AN625" s="159">
        <f>AN626+AN627</f>
        <v>0</v>
      </c>
      <c r="AO625" s="102">
        <f>AN625/$H625</f>
        <v>0</v>
      </c>
      <c r="AP625" s="160">
        <f t="shared" si="505"/>
        <v>0</v>
      </c>
      <c r="AQ625" s="159">
        <f>AQ626+AQ627</f>
        <v>0</v>
      </c>
      <c r="AR625" s="102">
        <f>AQ625/$H625</f>
        <v>0</v>
      </c>
      <c r="AS625" s="160">
        <f t="shared" si="506"/>
        <v>0</v>
      </c>
      <c r="AT625" s="159">
        <f>AT626+AT627</f>
        <v>7590.1319999999996</v>
      </c>
      <c r="AU625" s="102">
        <f>AT625/$H625</f>
        <v>1</v>
      </c>
    </row>
    <row r="626" spans="1:47" ht="45">
      <c r="A626" s="16"/>
      <c r="B626" s="97" t="s">
        <v>2014</v>
      </c>
      <c r="C626" s="167" t="s">
        <v>2015</v>
      </c>
      <c r="D626" s="86" t="s">
        <v>2016</v>
      </c>
      <c r="E626" s="97" t="s">
        <v>28</v>
      </c>
      <c r="F626" s="172">
        <v>37.14</v>
      </c>
      <c r="G626" s="97">
        <v>33</v>
      </c>
      <c r="H626" s="85">
        <f t="shared" si="537"/>
        <v>1225.6200000000001</v>
      </c>
      <c r="I626" s="50">
        <f t="shared" si="534"/>
        <v>0</v>
      </c>
      <c r="J626" s="85">
        <f>I626*$F626</f>
        <v>0</v>
      </c>
      <c r="K626" s="82" t="str">
        <f t="shared" si="508"/>
        <v/>
      </c>
      <c r="L626" s="50"/>
      <c r="M626" s="85">
        <f>L626*$F626</f>
        <v>0</v>
      </c>
      <c r="N626" s="82" t="str">
        <f t="shared" si="510"/>
        <v/>
      </c>
      <c r="O626" s="50"/>
      <c r="P626" s="85">
        <f>O626*$F626</f>
        <v>0</v>
      </c>
      <c r="Q626" s="82" t="str">
        <f t="shared" si="512"/>
        <v/>
      </c>
      <c r="R626" s="50"/>
      <c r="S626" s="85">
        <f>R626*$F626</f>
        <v>0</v>
      </c>
      <c r="T626" s="82" t="str">
        <f t="shared" si="514"/>
        <v/>
      </c>
      <c r="U626" s="50"/>
      <c r="V626" s="85">
        <f>U626*$F626</f>
        <v>0</v>
      </c>
      <c r="W626" s="82" t="str">
        <f t="shared" si="516"/>
        <v/>
      </c>
      <c r="X626" s="50"/>
      <c r="Y626" s="85">
        <f>X626*$F626</f>
        <v>0</v>
      </c>
      <c r="Z626" s="82" t="str">
        <f t="shared" si="518"/>
        <v/>
      </c>
      <c r="AA626" s="50"/>
      <c r="AB626" s="85">
        <f>AA626*$F626</f>
        <v>0</v>
      </c>
      <c r="AC626" s="82" t="str">
        <f t="shared" si="520"/>
        <v/>
      </c>
      <c r="AD626" s="50"/>
      <c r="AE626" s="85">
        <f>AD626*$F626</f>
        <v>0</v>
      </c>
      <c r="AF626" s="82" t="str">
        <f t="shared" si="522"/>
        <v/>
      </c>
      <c r="AG626" s="50"/>
      <c r="AH626" s="85">
        <f>AG626*$F626</f>
        <v>0</v>
      </c>
      <c r="AI626" s="82" t="str">
        <f t="shared" si="524"/>
        <v/>
      </c>
      <c r="AJ626" s="50"/>
      <c r="AK626" s="85">
        <f>AJ626*$F626</f>
        <v>0</v>
      </c>
      <c r="AL626" s="82" t="str">
        <f t="shared" si="526"/>
        <v/>
      </c>
      <c r="AM626" s="50"/>
      <c r="AN626" s="85">
        <f>AM626*$F626</f>
        <v>0</v>
      </c>
      <c r="AO626" s="82" t="str">
        <f t="shared" si="528"/>
        <v/>
      </c>
      <c r="AP626" s="48">
        <f t="shared" si="505"/>
        <v>0</v>
      </c>
      <c r="AQ626" s="85">
        <f>AP626*$F626</f>
        <v>0</v>
      </c>
      <c r="AR626" s="82" t="str">
        <f t="shared" si="530"/>
        <v/>
      </c>
      <c r="AS626" s="48">
        <f t="shared" si="506"/>
        <v>33</v>
      </c>
      <c r="AT626" s="85">
        <f>AS626*$F626</f>
        <v>1225.6200000000001</v>
      </c>
      <c r="AU626" s="82">
        <f t="shared" si="532"/>
        <v>1</v>
      </c>
    </row>
    <row r="627" spans="1:47" ht="90">
      <c r="A627" s="16"/>
      <c r="B627" s="97" t="s">
        <v>2017</v>
      </c>
      <c r="C627" s="167" t="s">
        <v>2018</v>
      </c>
      <c r="D627" s="86" t="s">
        <v>2019</v>
      </c>
      <c r="E627" s="97" t="s">
        <v>12</v>
      </c>
      <c r="F627" s="172">
        <v>241.08</v>
      </c>
      <c r="G627" s="97">
        <v>26.4</v>
      </c>
      <c r="H627" s="85">
        <f t="shared" si="537"/>
        <v>6364.5119999999997</v>
      </c>
      <c r="I627" s="50">
        <f t="shared" si="534"/>
        <v>0</v>
      </c>
      <c r="J627" s="85">
        <f>I627*$F627</f>
        <v>0</v>
      </c>
      <c r="K627" s="82" t="str">
        <f t="shared" si="508"/>
        <v/>
      </c>
      <c r="L627" s="50"/>
      <c r="M627" s="85">
        <f>L627*$F627</f>
        <v>0</v>
      </c>
      <c r="N627" s="82" t="str">
        <f t="shared" si="510"/>
        <v/>
      </c>
      <c r="O627" s="50"/>
      <c r="P627" s="85">
        <f>O627*$F627</f>
        <v>0</v>
      </c>
      <c r="Q627" s="82" t="str">
        <f t="shared" si="512"/>
        <v/>
      </c>
      <c r="R627" s="50"/>
      <c r="S627" s="85">
        <f>R627*$F627</f>
        <v>0</v>
      </c>
      <c r="T627" s="82" t="str">
        <f t="shared" si="514"/>
        <v/>
      </c>
      <c r="U627" s="50"/>
      <c r="V627" s="85">
        <f>U627*$F627</f>
        <v>0</v>
      </c>
      <c r="W627" s="82" t="str">
        <f t="shared" si="516"/>
        <v/>
      </c>
      <c r="X627" s="50"/>
      <c r="Y627" s="85">
        <f>X627*$F627</f>
        <v>0</v>
      </c>
      <c r="Z627" s="82" t="str">
        <f t="shared" si="518"/>
        <v/>
      </c>
      <c r="AA627" s="50"/>
      <c r="AB627" s="85">
        <f>AA627*$F627</f>
        <v>0</v>
      </c>
      <c r="AC627" s="82" t="str">
        <f t="shared" si="520"/>
        <v/>
      </c>
      <c r="AD627" s="50"/>
      <c r="AE627" s="85">
        <f>AD627*$F627</f>
        <v>0</v>
      </c>
      <c r="AF627" s="82" t="str">
        <f t="shared" si="522"/>
        <v/>
      </c>
      <c r="AG627" s="50"/>
      <c r="AH627" s="85">
        <f>AG627*$F627</f>
        <v>0</v>
      </c>
      <c r="AI627" s="82" t="str">
        <f t="shared" si="524"/>
        <v/>
      </c>
      <c r="AJ627" s="50"/>
      <c r="AK627" s="85">
        <f>AJ627*$F627</f>
        <v>0</v>
      </c>
      <c r="AL627" s="82" t="str">
        <f t="shared" si="526"/>
        <v/>
      </c>
      <c r="AM627" s="50"/>
      <c r="AN627" s="85">
        <f>AM627*$F627</f>
        <v>0</v>
      </c>
      <c r="AO627" s="82" t="str">
        <f t="shared" si="528"/>
        <v/>
      </c>
      <c r="AP627" s="48">
        <f t="shared" si="505"/>
        <v>0</v>
      </c>
      <c r="AQ627" s="85">
        <f>AP627*$F627</f>
        <v>0</v>
      </c>
      <c r="AR627" s="82" t="str">
        <f t="shared" si="530"/>
        <v/>
      </c>
      <c r="AS627" s="48">
        <f t="shared" si="506"/>
        <v>26.4</v>
      </c>
      <c r="AT627" s="85">
        <f>AS627*$F627</f>
        <v>6364.5119999999997</v>
      </c>
      <c r="AU627" s="82">
        <f t="shared" si="532"/>
        <v>1</v>
      </c>
    </row>
    <row r="628" spans="1:47" s="115" customFormat="1" ht="15.75">
      <c r="A628" s="109"/>
      <c r="B628" s="118" t="s">
        <v>2020</v>
      </c>
      <c r="C628" s="1937" t="s">
        <v>2021</v>
      </c>
      <c r="D628" s="1938"/>
      <c r="E628" s="1938"/>
      <c r="F628" s="1938"/>
      <c r="G628" s="1939"/>
      <c r="H628" s="112">
        <f>H629+H635+H637+H639+H641</f>
        <v>106110.0047</v>
      </c>
      <c r="I628" s="50">
        <f t="shared" si="534"/>
        <v>0</v>
      </c>
      <c r="J628" s="112">
        <f>J629+J635+J637+J639+J641</f>
        <v>0</v>
      </c>
      <c r="K628" s="113">
        <f>J628/$H628</f>
        <v>0</v>
      </c>
      <c r="L628" s="111"/>
      <c r="M628" s="112">
        <f>M629+M635+M637+M639+M641</f>
        <v>0</v>
      </c>
      <c r="N628" s="113">
        <f>M628/$H628</f>
        <v>0</v>
      </c>
      <c r="O628" s="111"/>
      <c r="P628" s="112">
        <f>P629+P635+P637+P639+P641</f>
        <v>0</v>
      </c>
      <c r="Q628" s="113">
        <f>P628/$H628</f>
        <v>0</v>
      </c>
      <c r="R628" s="111"/>
      <c r="S628" s="112">
        <f>S629+S635+S637+S639+S641</f>
        <v>0</v>
      </c>
      <c r="T628" s="113">
        <f>S628/$H628</f>
        <v>0</v>
      </c>
      <c r="U628" s="111"/>
      <c r="V628" s="112">
        <f>V629+V635+V637+V639+V641</f>
        <v>0</v>
      </c>
      <c r="W628" s="113">
        <f>V628/$H628</f>
        <v>0</v>
      </c>
      <c r="X628" s="111"/>
      <c r="Y628" s="112">
        <f>Y629+Y635+Y637+Y639+Y641</f>
        <v>0</v>
      </c>
      <c r="Z628" s="113">
        <f>Y628/$H628</f>
        <v>0</v>
      </c>
      <c r="AA628" s="111"/>
      <c r="AB628" s="112">
        <f>AB629+AB635+AB637+AB639+AB641</f>
        <v>0</v>
      </c>
      <c r="AC628" s="113">
        <f>AB628/$H628</f>
        <v>0</v>
      </c>
      <c r="AD628" s="111"/>
      <c r="AE628" s="112">
        <f>AE629+AE635+AE637+AE639+AE641</f>
        <v>0</v>
      </c>
      <c r="AF628" s="113">
        <f>AE628/$H628</f>
        <v>0</v>
      </c>
      <c r="AG628" s="111"/>
      <c r="AH628" s="112">
        <f>AH629+AH635+AH637+AH639+AH641</f>
        <v>0</v>
      </c>
      <c r="AI628" s="113">
        <f>AH628/$H628</f>
        <v>0</v>
      </c>
      <c r="AJ628" s="111"/>
      <c r="AK628" s="112">
        <f>AK629+AK635+AK637+AK639+AK641</f>
        <v>0</v>
      </c>
      <c r="AL628" s="113">
        <f>AK628/$H628</f>
        <v>0</v>
      </c>
      <c r="AM628" s="111"/>
      <c r="AN628" s="112">
        <f>AN629+AN635+AN637+AN639+AN641</f>
        <v>0</v>
      </c>
      <c r="AO628" s="113">
        <f>AN628/$H628</f>
        <v>0</v>
      </c>
      <c r="AP628" s="114">
        <f t="shared" si="505"/>
        <v>0</v>
      </c>
      <c r="AQ628" s="112">
        <f>AQ629+AQ635+AQ637+AQ639+AQ641</f>
        <v>0</v>
      </c>
      <c r="AR628" s="113">
        <f>AQ628/$H628</f>
        <v>0</v>
      </c>
      <c r="AS628" s="114">
        <f t="shared" si="506"/>
        <v>0</v>
      </c>
      <c r="AT628" s="112">
        <f>AT629+AT635+AT637+AT639+AT641</f>
        <v>106110.0047</v>
      </c>
      <c r="AU628" s="113">
        <f>AT628/$H628</f>
        <v>1</v>
      </c>
    </row>
    <row r="629" spans="1:47" s="161" customFormat="1">
      <c r="A629" s="94"/>
      <c r="B629" s="116" t="s">
        <v>2022</v>
      </c>
      <c r="C629" s="1945" t="s">
        <v>2023</v>
      </c>
      <c r="D629" s="1946"/>
      <c r="E629" s="1946"/>
      <c r="F629" s="1946"/>
      <c r="G629" s="1947"/>
      <c r="H629" s="159">
        <f>H630+H631+H632+H633+H634</f>
        <v>97929.402199999997</v>
      </c>
      <c r="I629" s="50">
        <f t="shared" si="534"/>
        <v>0</v>
      </c>
      <c r="J629" s="159">
        <f>J630+J631+J632+J633+J634</f>
        <v>0</v>
      </c>
      <c r="K629" s="102">
        <f>J629/$H629</f>
        <v>0</v>
      </c>
      <c r="L629" s="101"/>
      <c r="M629" s="159">
        <f>M630+M631+M632+M633+M634</f>
        <v>0</v>
      </c>
      <c r="N629" s="102">
        <f>M629/$H629</f>
        <v>0</v>
      </c>
      <c r="O629" s="101"/>
      <c r="P629" s="159">
        <f>P630+P631+P632+P633+P634</f>
        <v>0</v>
      </c>
      <c r="Q629" s="102">
        <f>P629/$H629</f>
        <v>0</v>
      </c>
      <c r="R629" s="101"/>
      <c r="S629" s="159">
        <f>S630+S631+S632+S633+S634</f>
        <v>0</v>
      </c>
      <c r="T629" s="102">
        <f>S629/$H629</f>
        <v>0</v>
      </c>
      <c r="U629" s="101"/>
      <c r="V629" s="159">
        <f>V630+V631+V632+V633+V634</f>
        <v>0</v>
      </c>
      <c r="W629" s="102">
        <f>V629/$H629</f>
        <v>0</v>
      </c>
      <c r="X629" s="101"/>
      <c r="Y629" s="159">
        <f>Y630+Y631+Y632+Y633+Y634</f>
        <v>0</v>
      </c>
      <c r="Z629" s="102">
        <f>Y629/$H629</f>
        <v>0</v>
      </c>
      <c r="AA629" s="101"/>
      <c r="AB629" s="159">
        <f>AB630+AB631+AB632+AB633+AB634</f>
        <v>0</v>
      </c>
      <c r="AC629" s="102">
        <f>AB629/$H629</f>
        <v>0</v>
      </c>
      <c r="AD629" s="101"/>
      <c r="AE629" s="159">
        <f>AE630+AE631+AE632+AE633+AE634</f>
        <v>0</v>
      </c>
      <c r="AF629" s="102">
        <f>AE629/$H629</f>
        <v>0</v>
      </c>
      <c r="AG629" s="101"/>
      <c r="AH629" s="159">
        <f>AH630+AH631+AH632+AH633+AH634</f>
        <v>0</v>
      </c>
      <c r="AI629" s="102">
        <f>AH629/$H629</f>
        <v>0</v>
      </c>
      <c r="AJ629" s="101"/>
      <c r="AK629" s="159">
        <f>AK630+AK631+AK632+AK633+AK634</f>
        <v>0</v>
      </c>
      <c r="AL629" s="102">
        <f>AK629/$H629</f>
        <v>0</v>
      </c>
      <c r="AM629" s="101"/>
      <c r="AN629" s="159">
        <f>AN630+AN631+AN632+AN633+AN634</f>
        <v>0</v>
      </c>
      <c r="AO629" s="102">
        <f>AN629/$H629</f>
        <v>0</v>
      </c>
      <c r="AP629" s="160">
        <f t="shared" si="505"/>
        <v>0</v>
      </c>
      <c r="AQ629" s="159">
        <f>AQ630+AQ631+AQ632+AQ633+AQ634</f>
        <v>0</v>
      </c>
      <c r="AR629" s="102">
        <f>AQ629/$H629</f>
        <v>0</v>
      </c>
      <c r="AS629" s="160">
        <f t="shared" si="506"/>
        <v>0</v>
      </c>
      <c r="AT629" s="159">
        <f>AT630+AT631+AT632+AT633+AT634</f>
        <v>97929.402199999997</v>
      </c>
      <c r="AU629" s="102">
        <f>AT629/$H629</f>
        <v>1</v>
      </c>
    </row>
    <row r="630" spans="1:47" ht="60">
      <c r="A630" s="16"/>
      <c r="B630" s="97" t="s">
        <v>2024</v>
      </c>
      <c r="C630" s="167" t="s">
        <v>421</v>
      </c>
      <c r="D630" s="86" t="s">
        <v>422</v>
      </c>
      <c r="E630" s="97" t="s">
        <v>12</v>
      </c>
      <c r="F630" s="172">
        <v>13.96</v>
      </c>
      <c r="G630" s="143">
        <v>2278.39</v>
      </c>
      <c r="H630" s="85">
        <f t="shared" ref="H630:H643" si="551">G630*$F630</f>
        <v>31806.324400000001</v>
      </c>
      <c r="I630" s="50">
        <f t="shared" si="534"/>
        <v>0</v>
      </c>
      <c r="J630" s="85">
        <f>I630*$F630</f>
        <v>0</v>
      </c>
      <c r="K630" s="82" t="str">
        <f t="shared" si="508"/>
        <v/>
      </c>
      <c r="L630" s="50"/>
      <c r="M630" s="85">
        <f>L630*$F630</f>
        <v>0</v>
      </c>
      <c r="N630" s="82" t="str">
        <f t="shared" si="510"/>
        <v/>
      </c>
      <c r="O630" s="50"/>
      <c r="P630" s="85">
        <f>O630*$F630</f>
        <v>0</v>
      </c>
      <c r="Q630" s="82" t="str">
        <f t="shared" si="512"/>
        <v/>
      </c>
      <c r="R630" s="50"/>
      <c r="S630" s="85">
        <f>R630*$F630</f>
        <v>0</v>
      </c>
      <c r="T630" s="82" t="str">
        <f t="shared" si="514"/>
        <v/>
      </c>
      <c r="U630" s="50"/>
      <c r="V630" s="85">
        <f>U630*$F630</f>
        <v>0</v>
      </c>
      <c r="W630" s="82" t="str">
        <f t="shared" si="516"/>
        <v/>
      </c>
      <c r="X630" s="50"/>
      <c r="Y630" s="85">
        <f>X630*$F630</f>
        <v>0</v>
      </c>
      <c r="Z630" s="82" t="str">
        <f t="shared" si="518"/>
        <v/>
      </c>
      <c r="AA630" s="50"/>
      <c r="AB630" s="85">
        <f>AA630*$F630</f>
        <v>0</v>
      </c>
      <c r="AC630" s="82" t="str">
        <f t="shared" si="520"/>
        <v/>
      </c>
      <c r="AD630" s="50"/>
      <c r="AE630" s="85">
        <f>AD630*$F630</f>
        <v>0</v>
      </c>
      <c r="AF630" s="82" t="str">
        <f t="shared" si="522"/>
        <v/>
      </c>
      <c r="AG630" s="50"/>
      <c r="AH630" s="85">
        <f>AG630*$F630</f>
        <v>0</v>
      </c>
      <c r="AI630" s="82" t="str">
        <f t="shared" si="524"/>
        <v/>
      </c>
      <c r="AJ630" s="50"/>
      <c r="AK630" s="85">
        <f>AJ630*$F630</f>
        <v>0</v>
      </c>
      <c r="AL630" s="82" t="str">
        <f t="shared" si="526"/>
        <v/>
      </c>
      <c r="AM630" s="50"/>
      <c r="AN630" s="85">
        <f>AM630*$F630</f>
        <v>0</v>
      </c>
      <c r="AO630" s="82" t="str">
        <f t="shared" si="528"/>
        <v/>
      </c>
      <c r="AP630" s="48">
        <f t="shared" si="505"/>
        <v>0</v>
      </c>
      <c r="AQ630" s="85">
        <f>AP630*$F630</f>
        <v>0</v>
      </c>
      <c r="AR630" s="82" t="str">
        <f t="shared" si="530"/>
        <v/>
      </c>
      <c r="AS630" s="48">
        <f t="shared" si="506"/>
        <v>2278.39</v>
      </c>
      <c r="AT630" s="85">
        <f>AS630*$F630</f>
        <v>31806.324400000001</v>
      </c>
      <c r="AU630" s="82">
        <f t="shared" si="532"/>
        <v>1</v>
      </c>
    </row>
    <row r="631" spans="1:47" ht="60">
      <c r="A631" s="16"/>
      <c r="B631" s="97" t="s">
        <v>2025</v>
      </c>
      <c r="C631" s="167" t="s">
        <v>424</v>
      </c>
      <c r="D631" s="86" t="s">
        <v>425</v>
      </c>
      <c r="E631" s="97" t="s">
        <v>12</v>
      </c>
      <c r="F631" s="172">
        <v>25.3</v>
      </c>
      <c r="G631" s="97">
        <v>59.71</v>
      </c>
      <c r="H631" s="85">
        <f t="shared" si="551"/>
        <v>1510.663</v>
      </c>
      <c r="I631" s="50">
        <f t="shared" si="534"/>
        <v>0</v>
      </c>
      <c r="J631" s="85">
        <f>I631*$F631</f>
        <v>0</v>
      </c>
      <c r="K631" s="82" t="str">
        <f t="shared" si="508"/>
        <v/>
      </c>
      <c r="L631" s="50"/>
      <c r="M631" s="85">
        <f>L631*$F631</f>
        <v>0</v>
      </c>
      <c r="N631" s="82" t="str">
        <f t="shared" si="510"/>
        <v/>
      </c>
      <c r="O631" s="50"/>
      <c r="P631" s="85">
        <f>O631*$F631</f>
        <v>0</v>
      </c>
      <c r="Q631" s="82" t="str">
        <f t="shared" si="512"/>
        <v/>
      </c>
      <c r="R631" s="50"/>
      <c r="S631" s="85">
        <f>R631*$F631</f>
        <v>0</v>
      </c>
      <c r="T631" s="82" t="str">
        <f t="shared" si="514"/>
        <v/>
      </c>
      <c r="U631" s="50"/>
      <c r="V631" s="85">
        <f>U631*$F631</f>
        <v>0</v>
      </c>
      <c r="W631" s="82" t="str">
        <f t="shared" si="516"/>
        <v/>
      </c>
      <c r="X631" s="50"/>
      <c r="Y631" s="85">
        <f>X631*$F631</f>
        <v>0</v>
      </c>
      <c r="Z631" s="82" t="str">
        <f t="shared" si="518"/>
        <v/>
      </c>
      <c r="AA631" s="50"/>
      <c r="AB631" s="85">
        <f>AA631*$F631</f>
        <v>0</v>
      </c>
      <c r="AC631" s="82" t="str">
        <f t="shared" si="520"/>
        <v/>
      </c>
      <c r="AD631" s="50"/>
      <c r="AE631" s="85">
        <f>AD631*$F631</f>
        <v>0</v>
      </c>
      <c r="AF631" s="82" t="str">
        <f t="shared" si="522"/>
        <v/>
      </c>
      <c r="AG631" s="50"/>
      <c r="AH631" s="85">
        <f>AG631*$F631</f>
        <v>0</v>
      </c>
      <c r="AI631" s="82" t="str">
        <f t="shared" si="524"/>
        <v/>
      </c>
      <c r="AJ631" s="50"/>
      <c r="AK631" s="85">
        <f>AJ631*$F631</f>
        <v>0</v>
      </c>
      <c r="AL631" s="82" t="str">
        <f t="shared" si="526"/>
        <v/>
      </c>
      <c r="AM631" s="50"/>
      <c r="AN631" s="85">
        <f>AM631*$F631</f>
        <v>0</v>
      </c>
      <c r="AO631" s="82" t="str">
        <f t="shared" si="528"/>
        <v/>
      </c>
      <c r="AP631" s="48">
        <f t="shared" si="505"/>
        <v>0</v>
      </c>
      <c r="AQ631" s="85">
        <f>AP631*$F631</f>
        <v>0</v>
      </c>
      <c r="AR631" s="82" t="str">
        <f t="shared" si="530"/>
        <v/>
      </c>
      <c r="AS631" s="48">
        <f t="shared" si="506"/>
        <v>59.71</v>
      </c>
      <c r="AT631" s="85">
        <f>AS631*$F631</f>
        <v>1510.663</v>
      </c>
      <c r="AU631" s="82">
        <f t="shared" si="532"/>
        <v>1</v>
      </c>
    </row>
    <row r="632" spans="1:47" ht="60">
      <c r="A632" s="16"/>
      <c r="B632" s="97" t="s">
        <v>2026</v>
      </c>
      <c r="C632" s="167" t="s">
        <v>430</v>
      </c>
      <c r="D632" s="86" t="s">
        <v>431</v>
      </c>
      <c r="E632" s="97" t="s">
        <v>12</v>
      </c>
      <c r="F632" s="172">
        <v>25.76</v>
      </c>
      <c r="G632" s="143">
        <v>2218.6799999999998</v>
      </c>
      <c r="H632" s="85">
        <f t="shared" si="551"/>
        <v>57153.196799999998</v>
      </c>
      <c r="I632" s="50">
        <f t="shared" si="534"/>
        <v>0</v>
      </c>
      <c r="J632" s="85">
        <f>I632*$F632</f>
        <v>0</v>
      </c>
      <c r="K632" s="82" t="str">
        <f t="shared" si="508"/>
        <v/>
      </c>
      <c r="L632" s="50"/>
      <c r="M632" s="85">
        <f>L632*$F632</f>
        <v>0</v>
      </c>
      <c r="N632" s="82" t="str">
        <f t="shared" si="510"/>
        <v/>
      </c>
      <c r="O632" s="50"/>
      <c r="P632" s="85">
        <f>O632*$F632</f>
        <v>0</v>
      </c>
      <c r="Q632" s="82" t="str">
        <f t="shared" si="512"/>
        <v/>
      </c>
      <c r="R632" s="50"/>
      <c r="S632" s="85">
        <f>R632*$F632</f>
        <v>0</v>
      </c>
      <c r="T632" s="82" t="str">
        <f t="shared" si="514"/>
        <v/>
      </c>
      <c r="U632" s="50"/>
      <c r="V632" s="85">
        <f>U632*$F632</f>
        <v>0</v>
      </c>
      <c r="W632" s="82" t="str">
        <f t="shared" si="516"/>
        <v/>
      </c>
      <c r="X632" s="50"/>
      <c r="Y632" s="85">
        <f>X632*$F632</f>
        <v>0</v>
      </c>
      <c r="Z632" s="82" t="str">
        <f t="shared" si="518"/>
        <v/>
      </c>
      <c r="AA632" s="50"/>
      <c r="AB632" s="85">
        <f>AA632*$F632</f>
        <v>0</v>
      </c>
      <c r="AC632" s="82" t="str">
        <f t="shared" si="520"/>
        <v/>
      </c>
      <c r="AD632" s="50"/>
      <c r="AE632" s="85">
        <f>AD632*$F632</f>
        <v>0</v>
      </c>
      <c r="AF632" s="82" t="str">
        <f t="shared" si="522"/>
        <v/>
      </c>
      <c r="AG632" s="50"/>
      <c r="AH632" s="85">
        <f>AG632*$F632</f>
        <v>0</v>
      </c>
      <c r="AI632" s="82" t="str">
        <f t="shared" si="524"/>
        <v/>
      </c>
      <c r="AJ632" s="50"/>
      <c r="AK632" s="85">
        <f>AJ632*$F632</f>
        <v>0</v>
      </c>
      <c r="AL632" s="82" t="str">
        <f t="shared" si="526"/>
        <v/>
      </c>
      <c r="AM632" s="50"/>
      <c r="AN632" s="85">
        <f>AM632*$F632</f>
        <v>0</v>
      </c>
      <c r="AO632" s="82" t="str">
        <f t="shared" si="528"/>
        <v/>
      </c>
      <c r="AP632" s="48">
        <f t="shared" si="505"/>
        <v>0</v>
      </c>
      <c r="AQ632" s="85">
        <f>AP632*$F632</f>
        <v>0</v>
      </c>
      <c r="AR632" s="82" t="str">
        <f t="shared" si="530"/>
        <v/>
      </c>
      <c r="AS632" s="48">
        <f t="shared" si="506"/>
        <v>2218.6799999999998</v>
      </c>
      <c r="AT632" s="85">
        <f>AS632*$F632</f>
        <v>57153.196799999998</v>
      </c>
      <c r="AU632" s="82">
        <f t="shared" si="532"/>
        <v>1</v>
      </c>
    </row>
    <row r="633" spans="1:47" ht="75">
      <c r="A633" s="16"/>
      <c r="B633" s="97" t="s">
        <v>2027</v>
      </c>
      <c r="C633" s="167" t="s">
        <v>2028</v>
      </c>
      <c r="D633" s="86" t="s">
        <v>2029</v>
      </c>
      <c r="E633" s="97" t="s">
        <v>12</v>
      </c>
      <c r="F633" s="172">
        <v>60.04</v>
      </c>
      <c r="G633" s="97">
        <v>111.94</v>
      </c>
      <c r="H633" s="85">
        <f t="shared" si="551"/>
        <v>6720.8775999999998</v>
      </c>
      <c r="I633" s="50">
        <f t="shared" si="534"/>
        <v>0</v>
      </c>
      <c r="J633" s="85">
        <f>I633*$F633</f>
        <v>0</v>
      </c>
      <c r="K633" s="82" t="str">
        <f t="shared" si="508"/>
        <v/>
      </c>
      <c r="L633" s="50"/>
      <c r="M633" s="85">
        <f>L633*$F633</f>
        <v>0</v>
      </c>
      <c r="N633" s="82" t="str">
        <f t="shared" si="510"/>
        <v/>
      </c>
      <c r="O633" s="50"/>
      <c r="P633" s="85">
        <f>O633*$F633</f>
        <v>0</v>
      </c>
      <c r="Q633" s="82" t="str">
        <f t="shared" si="512"/>
        <v/>
      </c>
      <c r="R633" s="50"/>
      <c r="S633" s="85">
        <f>R633*$F633</f>
        <v>0</v>
      </c>
      <c r="T633" s="82" t="str">
        <f t="shared" si="514"/>
        <v/>
      </c>
      <c r="U633" s="50"/>
      <c r="V633" s="85">
        <f>U633*$F633</f>
        <v>0</v>
      </c>
      <c r="W633" s="82" t="str">
        <f t="shared" si="516"/>
        <v/>
      </c>
      <c r="X633" s="50"/>
      <c r="Y633" s="85">
        <f>X633*$F633</f>
        <v>0</v>
      </c>
      <c r="Z633" s="82" t="str">
        <f t="shared" si="518"/>
        <v/>
      </c>
      <c r="AA633" s="50"/>
      <c r="AB633" s="85">
        <f>AA633*$F633</f>
        <v>0</v>
      </c>
      <c r="AC633" s="82" t="str">
        <f t="shared" si="520"/>
        <v/>
      </c>
      <c r="AD633" s="50"/>
      <c r="AE633" s="85">
        <f>AD633*$F633</f>
        <v>0</v>
      </c>
      <c r="AF633" s="82" t="str">
        <f t="shared" si="522"/>
        <v/>
      </c>
      <c r="AG633" s="50"/>
      <c r="AH633" s="85">
        <f>AG633*$F633</f>
        <v>0</v>
      </c>
      <c r="AI633" s="82" t="str">
        <f t="shared" si="524"/>
        <v/>
      </c>
      <c r="AJ633" s="50"/>
      <c r="AK633" s="85">
        <f>AJ633*$F633</f>
        <v>0</v>
      </c>
      <c r="AL633" s="82" t="str">
        <f t="shared" si="526"/>
        <v/>
      </c>
      <c r="AM633" s="50"/>
      <c r="AN633" s="85">
        <f>AM633*$F633</f>
        <v>0</v>
      </c>
      <c r="AO633" s="82" t="str">
        <f t="shared" si="528"/>
        <v/>
      </c>
      <c r="AP633" s="48">
        <f t="shared" si="505"/>
        <v>0</v>
      </c>
      <c r="AQ633" s="85">
        <f>AP633*$F633</f>
        <v>0</v>
      </c>
      <c r="AR633" s="82" t="str">
        <f t="shared" si="530"/>
        <v/>
      </c>
      <c r="AS633" s="48">
        <f t="shared" si="506"/>
        <v>111.94</v>
      </c>
      <c r="AT633" s="85">
        <f>AS633*$F633</f>
        <v>6720.8775999999998</v>
      </c>
      <c r="AU633" s="82">
        <f t="shared" si="532"/>
        <v>1</v>
      </c>
    </row>
    <row r="634" spans="1:47" ht="30">
      <c r="A634" s="16"/>
      <c r="B634" s="97" t="s">
        <v>2030</v>
      </c>
      <c r="C634" s="167" t="s">
        <v>2031</v>
      </c>
      <c r="D634" s="86" t="s">
        <v>2032</v>
      </c>
      <c r="E634" s="97" t="s">
        <v>12</v>
      </c>
      <c r="F634" s="172">
        <v>31.58</v>
      </c>
      <c r="G634" s="97">
        <v>23.38</v>
      </c>
      <c r="H634" s="85">
        <f t="shared" si="551"/>
        <v>738.34039999999993</v>
      </c>
      <c r="I634" s="50">
        <f t="shared" si="534"/>
        <v>0</v>
      </c>
      <c r="J634" s="85">
        <f>I634*$F634</f>
        <v>0</v>
      </c>
      <c r="K634" s="82" t="str">
        <f t="shared" si="508"/>
        <v/>
      </c>
      <c r="L634" s="50"/>
      <c r="M634" s="85">
        <f>L634*$F634</f>
        <v>0</v>
      </c>
      <c r="N634" s="82" t="str">
        <f t="shared" si="510"/>
        <v/>
      </c>
      <c r="O634" s="50"/>
      <c r="P634" s="85">
        <f>O634*$F634</f>
        <v>0</v>
      </c>
      <c r="Q634" s="82" t="str">
        <f t="shared" si="512"/>
        <v/>
      </c>
      <c r="R634" s="50"/>
      <c r="S634" s="85">
        <f>R634*$F634</f>
        <v>0</v>
      </c>
      <c r="T634" s="82" t="str">
        <f t="shared" si="514"/>
        <v/>
      </c>
      <c r="U634" s="50"/>
      <c r="V634" s="85">
        <f>U634*$F634</f>
        <v>0</v>
      </c>
      <c r="W634" s="82" t="str">
        <f t="shared" si="516"/>
        <v/>
      </c>
      <c r="X634" s="50"/>
      <c r="Y634" s="85">
        <f>X634*$F634</f>
        <v>0</v>
      </c>
      <c r="Z634" s="82" t="str">
        <f t="shared" si="518"/>
        <v/>
      </c>
      <c r="AA634" s="50"/>
      <c r="AB634" s="85">
        <f>AA634*$F634</f>
        <v>0</v>
      </c>
      <c r="AC634" s="82" t="str">
        <f t="shared" si="520"/>
        <v/>
      </c>
      <c r="AD634" s="50"/>
      <c r="AE634" s="85">
        <f>AD634*$F634</f>
        <v>0</v>
      </c>
      <c r="AF634" s="82" t="str">
        <f t="shared" si="522"/>
        <v/>
      </c>
      <c r="AG634" s="50"/>
      <c r="AH634" s="85">
        <f>AG634*$F634</f>
        <v>0</v>
      </c>
      <c r="AI634" s="82" t="str">
        <f t="shared" si="524"/>
        <v/>
      </c>
      <c r="AJ634" s="50"/>
      <c r="AK634" s="85">
        <f>AJ634*$F634</f>
        <v>0</v>
      </c>
      <c r="AL634" s="82" t="str">
        <f t="shared" si="526"/>
        <v/>
      </c>
      <c r="AM634" s="50"/>
      <c r="AN634" s="85">
        <f>AM634*$F634</f>
        <v>0</v>
      </c>
      <c r="AO634" s="82" t="str">
        <f t="shared" si="528"/>
        <v/>
      </c>
      <c r="AP634" s="48">
        <f t="shared" si="505"/>
        <v>0</v>
      </c>
      <c r="AQ634" s="85">
        <f>AP634*$F634</f>
        <v>0</v>
      </c>
      <c r="AR634" s="82" t="str">
        <f t="shared" si="530"/>
        <v/>
      </c>
      <c r="AS634" s="48">
        <f t="shared" si="506"/>
        <v>23.38</v>
      </c>
      <c r="AT634" s="85">
        <f>AS634*$F634</f>
        <v>738.34039999999993</v>
      </c>
      <c r="AU634" s="82">
        <f t="shared" si="532"/>
        <v>1</v>
      </c>
    </row>
    <row r="635" spans="1:47" s="161" customFormat="1" ht="30" customHeight="1">
      <c r="A635" s="94"/>
      <c r="B635" s="116" t="s">
        <v>2033</v>
      </c>
      <c r="C635" s="1945" t="s">
        <v>2034</v>
      </c>
      <c r="D635" s="1946"/>
      <c r="E635" s="1946"/>
      <c r="F635" s="1946"/>
      <c r="G635" s="1947"/>
      <c r="H635" s="159">
        <f>H636</f>
        <v>258.03800000000001</v>
      </c>
      <c r="I635" s="50">
        <f t="shared" si="534"/>
        <v>0</v>
      </c>
      <c r="J635" s="159">
        <f>J636</f>
        <v>0</v>
      </c>
      <c r="K635" s="102">
        <f>J635/$H635</f>
        <v>0</v>
      </c>
      <c r="L635" s="101"/>
      <c r="M635" s="159">
        <f>M636</f>
        <v>0</v>
      </c>
      <c r="N635" s="102">
        <f>M635/$H635</f>
        <v>0</v>
      </c>
      <c r="O635" s="101"/>
      <c r="P635" s="159">
        <f>P636</f>
        <v>0</v>
      </c>
      <c r="Q635" s="102">
        <f>P635/$H635</f>
        <v>0</v>
      </c>
      <c r="R635" s="101"/>
      <c r="S635" s="159">
        <f>S636</f>
        <v>0</v>
      </c>
      <c r="T635" s="102">
        <f>S635/$H635</f>
        <v>0</v>
      </c>
      <c r="U635" s="101"/>
      <c r="V635" s="159">
        <f>V636</f>
        <v>0</v>
      </c>
      <c r="W635" s="102">
        <f>V635/$H635</f>
        <v>0</v>
      </c>
      <c r="X635" s="101"/>
      <c r="Y635" s="159">
        <f>Y636</f>
        <v>0</v>
      </c>
      <c r="Z635" s="102">
        <f>Y635/$H635</f>
        <v>0</v>
      </c>
      <c r="AA635" s="101"/>
      <c r="AB635" s="159">
        <f>AB636</f>
        <v>0</v>
      </c>
      <c r="AC635" s="102">
        <f>AB635/$H635</f>
        <v>0</v>
      </c>
      <c r="AD635" s="101"/>
      <c r="AE635" s="159">
        <f>AE636</f>
        <v>0</v>
      </c>
      <c r="AF635" s="102">
        <f>AE635/$H635</f>
        <v>0</v>
      </c>
      <c r="AG635" s="101"/>
      <c r="AH635" s="159">
        <f>AH636</f>
        <v>0</v>
      </c>
      <c r="AI635" s="102">
        <f>AH635/$H635</f>
        <v>0</v>
      </c>
      <c r="AJ635" s="101"/>
      <c r="AK635" s="159">
        <f>AK636</f>
        <v>0</v>
      </c>
      <c r="AL635" s="102">
        <f>AK635/$H635</f>
        <v>0</v>
      </c>
      <c r="AM635" s="101"/>
      <c r="AN635" s="159">
        <f>AN636</f>
        <v>0</v>
      </c>
      <c r="AO635" s="102">
        <f>AN635/$H635</f>
        <v>0</v>
      </c>
      <c r="AP635" s="160">
        <f t="shared" si="505"/>
        <v>0</v>
      </c>
      <c r="AQ635" s="159">
        <f>AQ636</f>
        <v>0</v>
      </c>
      <c r="AR635" s="102">
        <f>AQ635/$H635</f>
        <v>0</v>
      </c>
      <c r="AS635" s="160">
        <f t="shared" si="506"/>
        <v>0</v>
      </c>
      <c r="AT635" s="159">
        <f>AT636</f>
        <v>258.03800000000001</v>
      </c>
      <c r="AU635" s="102">
        <f>AT635/$H635</f>
        <v>1</v>
      </c>
    </row>
    <row r="636" spans="1:47" ht="60">
      <c r="A636" s="16"/>
      <c r="B636" s="97" t="s">
        <v>2035</v>
      </c>
      <c r="C636" s="167" t="s">
        <v>2036</v>
      </c>
      <c r="D636" s="86" t="s">
        <v>2037</v>
      </c>
      <c r="E636" s="97" t="s">
        <v>12</v>
      </c>
      <c r="F636" s="141">
        <v>31.7</v>
      </c>
      <c r="G636" s="97">
        <v>8.14</v>
      </c>
      <c r="H636" s="85">
        <f t="shared" si="551"/>
        <v>258.03800000000001</v>
      </c>
      <c r="I636" s="50">
        <f t="shared" si="534"/>
        <v>0</v>
      </c>
      <c r="J636" s="85">
        <f>I636*$F636</f>
        <v>0</v>
      </c>
      <c r="K636" s="82" t="str">
        <f t="shared" si="508"/>
        <v/>
      </c>
      <c r="L636" s="50"/>
      <c r="M636" s="85">
        <f>L636*$F636</f>
        <v>0</v>
      </c>
      <c r="N636" s="82" t="str">
        <f t="shared" si="510"/>
        <v/>
      </c>
      <c r="O636" s="50"/>
      <c r="P636" s="85">
        <f>O636*$F636</f>
        <v>0</v>
      </c>
      <c r="Q636" s="82" t="str">
        <f t="shared" si="512"/>
        <v/>
      </c>
      <c r="R636" s="50"/>
      <c r="S636" s="85">
        <f>R636*$F636</f>
        <v>0</v>
      </c>
      <c r="T636" s="82" t="str">
        <f t="shared" si="514"/>
        <v/>
      </c>
      <c r="U636" s="50"/>
      <c r="V636" s="85">
        <f>U636*$F636</f>
        <v>0</v>
      </c>
      <c r="W636" s="82" t="str">
        <f t="shared" si="516"/>
        <v/>
      </c>
      <c r="X636" s="50"/>
      <c r="Y636" s="85">
        <f>X636*$F636</f>
        <v>0</v>
      </c>
      <c r="Z636" s="82" t="str">
        <f t="shared" si="518"/>
        <v/>
      </c>
      <c r="AA636" s="50"/>
      <c r="AB636" s="85">
        <f>AA636*$F636</f>
        <v>0</v>
      </c>
      <c r="AC636" s="82" t="str">
        <f t="shared" si="520"/>
        <v/>
      </c>
      <c r="AD636" s="50"/>
      <c r="AE636" s="85">
        <f>AD636*$F636</f>
        <v>0</v>
      </c>
      <c r="AF636" s="82" t="str">
        <f t="shared" si="522"/>
        <v/>
      </c>
      <c r="AG636" s="50"/>
      <c r="AH636" s="85">
        <f>AG636*$F636</f>
        <v>0</v>
      </c>
      <c r="AI636" s="82" t="str">
        <f t="shared" si="524"/>
        <v/>
      </c>
      <c r="AJ636" s="50"/>
      <c r="AK636" s="85">
        <f>AJ636*$F636</f>
        <v>0</v>
      </c>
      <c r="AL636" s="82" t="str">
        <f t="shared" si="526"/>
        <v/>
      </c>
      <c r="AM636" s="50"/>
      <c r="AN636" s="85">
        <f>AM636*$F636</f>
        <v>0</v>
      </c>
      <c r="AO636" s="82" t="str">
        <f t="shared" si="528"/>
        <v/>
      </c>
      <c r="AP636" s="48">
        <f t="shared" si="505"/>
        <v>0</v>
      </c>
      <c r="AQ636" s="85">
        <f>AP636*$F636</f>
        <v>0</v>
      </c>
      <c r="AR636" s="82" t="str">
        <f t="shared" si="530"/>
        <v/>
      </c>
      <c r="AS636" s="48">
        <f t="shared" si="506"/>
        <v>8.14</v>
      </c>
      <c r="AT636" s="85">
        <f>AS636*$F636</f>
        <v>258.03800000000001</v>
      </c>
      <c r="AU636" s="82">
        <f t="shared" si="532"/>
        <v>1</v>
      </c>
    </row>
    <row r="637" spans="1:47" s="161" customFormat="1">
      <c r="A637" s="94"/>
      <c r="B637" s="116" t="s">
        <v>2038</v>
      </c>
      <c r="C637" s="1945" t="s">
        <v>2039</v>
      </c>
      <c r="D637" s="1946"/>
      <c r="E637" s="1946"/>
      <c r="F637" s="1946"/>
      <c r="G637" s="1947"/>
      <c r="H637" s="159">
        <f>H638</f>
        <v>4388.16</v>
      </c>
      <c r="I637" s="50">
        <f t="shared" si="534"/>
        <v>0</v>
      </c>
      <c r="J637" s="159">
        <f>J638</f>
        <v>0</v>
      </c>
      <c r="K637" s="102">
        <f>J637/$H637</f>
        <v>0</v>
      </c>
      <c r="L637" s="101"/>
      <c r="M637" s="159">
        <f>M638</f>
        <v>0</v>
      </c>
      <c r="N637" s="102">
        <f>M637/$H637</f>
        <v>0</v>
      </c>
      <c r="O637" s="101"/>
      <c r="P637" s="159">
        <f>P638</f>
        <v>0</v>
      </c>
      <c r="Q637" s="102">
        <f>P637/$H637</f>
        <v>0</v>
      </c>
      <c r="R637" s="101"/>
      <c r="S637" s="159">
        <f>S638</f>
        <v>0</v>
      </c>
      <c r="T637" s="102">
        <f>S637/$H637</f>
        <v>0</v>
      </c>
      <c r="U637" s="101"/>
      <c r="V637" s="159">
        <f>V638</f>
        <v>0</v>
      </c>
      <c r="W637" s="102">
        <f>V637/$H637</f>
        <v>0</v>
      </c>
      <c r="X637" s="101"/>
      <c r="Y637" s="159">
        <f>Y638</f>
        <v>0</v>
      </c>
      <c r="Z637" s="102">
        <f>Y637/$H637</f>
        <v>0</v>
      </c>
      <c r="AA637" s="101"/>
      <c r="AB637" s="159">
        <f>AB638</f>
        <v>0</v>
      </c>
      <c r="AC637" s="102">
        <f>AB637/$H637</f>
        <v>0</v>
      </c>
      <c r="AD637" s="101"/>
      <c r="AE637" s="159">
        <f>AE638</f>
        <v>0</v>
      </c>
      <c r="AF637" s="102">
        <f>AE637/$H637</f>
        <v>0</v>
      </c>
      <c r="AG637" s="101"/>
      <c r="AH637" s="159">
        <f>AH638</f>
        <v>0</v>
      </c>
      <c r="AI637" s="102">
        <f>AH637/$H637</f>
        <v>0</v>
      </c>
      <c r="AJ637" s="101"/>
      <c r="AK637" s="159">
        <f>AK638</f>
        <v>0</v>
      </c>
      <c r="AL637" s="102">
        <f>AK637/$H637</f>
        <v>0</v>
      </c>
      <c r="AM637" s="101"/>
      <c r="AN637" s="159">
        <f>AN638</f>
        <v>0</v>
      </c>
      <c r="AO637" s="102">
        <f>AN637/$H637</f>
        <v>0</v>
      </c>
      <c r="AP637" s="160">
        <f t="shared" si="505"/>
        <v>0</v>
      </c>
      <c r="AQ637" s="159">
        <f>AQ638</f>
        <v>0</v>
      </c>
      <c r="AR637" s="102">
        <f>AQ637/$H637</f>
        <v>0</v>
      </c>
      <c r="AS637" s="160">
        <f t="shared" si="506"/>
        <v>0</v>
      </c>
      <c r="AT637" s="159">
        <f>AT638</f>
        <v>4388.16</v>
      </c>
      <c r="AU637" s="102">
        <f>AT637/$H637</f>
        <v>1</v>
      </c>
    </row>
    <row r="638" spans="1:47" ht="60">
      <c r="A638" s="16"/>
      <c r="B638" s="97" t="s">
        <v>2040</v>
      </c>
      <c r="C638" s="167" t="s">
        <v>2041</v>
      </c>
      <c r="D638" s="86" t="s">
        <v>2042</v>
      </c>
      <c r="E638" s="97" t="s">
        <v>12</v>
      </c>
      <c r="F638" s="141">
        <v>26.12</v>
      </c>
      <c r="G638" s="97">
        <v>168</v>
      </c>
      <c r="H638" s="85">
        <f t="shared" si="551"/>
        <v>4388.16</v>
      </c>
      <c r="I638" s="50">
        <f t="shared" si="534"/>
        <v>0</v>
      </c>
      <c r="J638" s="85">
        <f>I638*$F638</f>
        <v>0</v>
      </c>
      <c r="K638" s="82" t="str">
        <f t="shared" si="508"/>
        <v/>
      </c>
      <c r="L638" s="50"/>
      <c r="M638" s="85">
        <f>L638*$F638</f>
        <v>0</v>
      </c>
      <c r="N638" s="82" t="str">
        <f t="shared" si="510"/>
        <v/>
      </c>
      <c r="O638" s="50"/>
      <c r="P638" s="85">
        <f>O638*$F638</f>
        <v>0</v>
      </c>
      <c r="Q638" s="82" t="str">
        <f t="shared" si="512"/>
        <v/>
      </c>
      <c r="R638" s="50"/>
      <c r="S638" s="85">
        <f>R638*$F638</f>
        <v>0</v>
      </c>
      <c r="T638" s="82" t="str">
        <f t="shared" si="514"/>
        <v/>
      </c>
      <c r="U638" s="50"/>
      <c r="V638" s="85">
        <f>U638*$F638</f>
        <v>0</v>
      </c>
      <c r="W638" s="82" t="str">
        <f t="shared" si="516"/>
        <v/>
      </c>
      <c r="X638" s="50"/>
      <c r="Y638" s="85">
        <f>X638*$F638</f>
        <v>0</v>
      </c>
      <c r="Z638" s="82" t="str">
        <f t="shared" si="518"/>
        <v/>
      </c>
      <c r="AA638" s="50"/>
      <c r="AB638" s="85">
        <f>AA638*$F638</f>
        <v>0</v>
      </c>
      <c r="AC638" s="82" t="str">
        <f t="shared" si="520"/>
        <v/>
      </c>
      <c r="AD638" s="50"/>
      <c r="AE638" s="85">
        <f>AD638*$F638</f>
        <v>0</v>
      </c>
      <c r="AF638" s="82" t="str">
        <f t="shared" si="522"/>
        <v/>
      </c>
      <c r="AG638" s="50"/>
      <c r="AH638" s="85">
        <f>AG638*$F638</f>
        <v>0</v>
      </c>
      <c r="AI638" s="82" t="str">
        <f t="shared" si="524"/>
        <v/>
      </c>
      <c r="AJ638" s="50"/>
      <c r="AK638" s="85">
        <f>AJ638*$F638</f>
        <v>0</v>
      </c>
      <c r="AL638" s="82" t="str">
        <f t="shared" si="526"/>
        <v/>
      </c>
      <c r="AM638" s="50"/>
      <c r="AN638" s="85">
        <f>AM638*$F638</f>
        <v>0</v>
      </c>
      <c r="AO638" s="82" t="str">
        <f t="shared" si="528"/>
        <v/>
      </c>
      <c r="AP638" s="48">
        <f t="shared" si="505"/>
        <v>0</v>
      </c>
      <c r="AQ638" s="85">
        <f>AP638*$F638</f>
        <v>0</v>
      </c>
      <c r="AR638" s="82" t="str">
        <f t="shared" si="530"/>
        <v/>
      </c>
      <c r="AS638" s="48">
        <f t="shared" si="506"/>
        <v>168</v>
      </c>
      <c r="AT638" s="85">
        <f>AS638*$F638</f>
        <v>4388.16</v>
      </c>
      <c r="AU638" s="82">
        <f t="shared" si="532"/>
        <v>1</v>
      </c>
    </row>
    <row r="639" spans="1:47" s="161" customFormat="1">
      <c r="A639" s="94"/>
      <c r="B639" s="116" t="s">
        <v>2043</v>
      </c>
      <c r="C639" s="1945" t="s">
        <v>2044</v>
      </c>
      <c r="D639" s="1946"/>
      <c r="E639" s="1946"/>
      <c r="F639" s="1946"/>
      <c r="G639" s="1947"/>
      <c r="H639" s="159">
        <f>H640</f>
        <v>777.68080000000009</v>
      </c>
      <c r="I639" s="50">
        <f t="shared" si="534"/>
        <v>0</v>
      </c>
      <c r="J639" s="159">
        <f>J640</f>
        <v>0</v>
      </c>
      <c r="K639" s="102">
        <f>J639/$H639</f>
        <v>0</v>
      </c>
      <c r="L639" s="101"/>
      <c r="M639" s="159">
        <f>M640</f>
        <v>0</v>
      </c>
      <c r="N639" s="102">
        <f>M639/$H639</f>
        <v>0</v>
      </c>
      <c r="O639" s="101"/>
      <c r="P639" s="159">
        <f>P640</f>
        <v>0</v>
      </c>
      <c r="Q639" s="102">
        <f>P639/$H639</f>
        <v>0</v>
      </c>
      <c r="R639" s="101"/>
      <c r="S639" s="159">
        <f>S640</f>
        <v>0</v>
      </c>
      <c r="T639" s="102">
        <f>S639/$H639</f>
        <v>0</v>
      </c>
      <c r="U639" s="101"/>
      <c r="V639" s="159">
        <f>V640</f>
        <v>0</v>
      </c>
      <c r="W639" s="102">
        <f>V639/$H639</f>
        <v>0</v>
      </c>
      <c r="X639" s="101"/>
      <c r="Y639" s="159">
        <f>Y640</f>
        <v>0</v>
      </c>
      <c r="Z639" s="102">
        <f>Y639/$H639</f>
        <v>0</v>
      </c>
      <c r="AA639" s="101"/>
      <c r="AB639" s="159">
        <f>AB640</f>
        <v>0</v>
      </c>
      <c r="AC639" s="102">
        <f>AB639/$H639</f>
        <v>0</v>
      </c>
      <c r="AD639" s="101"/>
      <c r="AE639" s="159">
        <f>AE640</f>
        <v>0</v>
      </c>
      <c r="AF639" s="102">
        <f>AE639/$H639</f>
        <v>0</v>
      </c>
      <c r="AG639" s="101"/>
      <c r="AH639" s="159">
        <f>AH640</f>
        <v>0</v>
      </c>
      <c r="AI639" s="102">
        <f>AH639/$H639</f>
        <v>0</v>
      </c>
      <c r="AJ639" s="101"/>
      <c r="AK639" s="159">
        <f>AK640</f>
        <v>0</v>
      </c>
      <c r="AL639" s="102">
        <f>AK639/$H639</f>
        <v>0</v>
      </c>
      <c r="AM639" s="101"/>
      <c r="AN639" s="159">
        <f>AN640</f>
        <v>0</v>
      </c>
      <c r="AO639" s="102">
        <f>AN639/$H639</f>
        <v>0</v>
      </c>
      <c r="AP639" s="160">
        <f t="shared" si="505"/>
        <v>0</v>
      </c>
      <c r="AQ639" s="159">
        <f>AQ640</f>
        <v>0</v>
      </c>
      <c r="AR639" s="102">
        <f>AQ639/$H639</f>
        <v>0</v>
      </c>
      <c r="AS639" s="160">
        <f t="shared" si="506"/>
        <v>0</v>
      </c>
      <c r="AT639" s="159">
        <f>AT640</f>
        <v>777.68080000000009</v>
      </c>
      <c r="AU639" s="102">
        <f>AT639/$H639</f>
        <v>1</v>
      </c>
    </row>
    <row r="640" spans="1:47" ht="75">
      <c r="A640" s="16"/>
      <c r="B640" s="97" t="s">
        <v>2045</v>
      </c>
      <c r="C640" s="167" t="s">
        <v>433</v>
      </c>
      <c r="D640" s="86" t="s">
        <v>434</v>
      </c>
      <c r="E640" s="97" t="s">
        <v>12</v>
      </c>
      <c r="F640" s="141">
        <v>24.44</v>
      </c>
      <c r="G640" s="97">
        <v>31.82</v>
      </c>
      <c r="H640" s="85">
        <f t="shared" si="551"/>
        <v>777.68080000000009</v>
      </c>
      <c r="I640" s="50">
        <f t="shared" si="534"/>
        <v>0</v>
      </c>
      <c r="J640" s="85">
        <f>I640*$F640</f>
        <v>0</v>
      </c>
      <c r="K640" s="82" t="str">
        <f t="shared" si="508"/>
        <v/>
      </c>
      <c r="L640" s="50"/>
      <c r="M640" s="85">
        <f>L640*$F640</f>
        <v>0</v>
      </c>
      <c r="N640" s="82" t="str">
        <f t="shared" si="510"/>
        <v/>
      </c>
      <c r="O640" s="50"/>
      <c r="P640" s="85">
        <f>O640*$F640</f>
        <v>0</v>
      </c>
      <c r="Q640" s="82" t="str">
        <f t="shared" si="512"/>
        <v/>
      </c>
      <c r="R640" s="50"/>
      <c r="S640" s="85">
        <f>R640*$F640</f>
        <v>0</v>
      </c>
      <c r="T640" s="82" t="str">
        <f t="shared" si="514"/>
        <v/>
      </c>
      <c r="U640" s="50"/>
      <c r="V640" s="85">
        <f>U640*$F640</f>
        <v>0</v>
      </c>
      <c r="W640" s="82" t="str">
        <f t="shared" si="516"/>
        <v/>
      </c>
      <c r="X640" s="50"/>
      <c r="Y640" s="85">
        <f>X640*$F640</f>
        <v>0</v>
      </c>
      <c r="Z640" s="82" t="str">
        <f t="shared" si="518"/>
        <v/>
      </c>
      <c r="AA640" s="50"/>
      <c r="AB640" s="85">
        <f>AA640*$F640</f>
        <v>0</v>
      </c>
      <c r="AC640" s="82" t="str">
        <f t="shared" si="520"/>
        <v/>
      </c>
      <c r="AD640" s="50"/>
      <c r="AE640" s="85">
        <f>AD640*$F640</f>
        <v>0</v>
      </c>
      <c r="AF640" s="82" t="str">
        <f t="shared" si="522"/>
        <v/>
      </c>
      <c r="AG640" s="50"/>
      <c r="AH640" s="85">
        <f>AG640*$F640</f>
        <v>0</v>
      </c>
      <c r="AI640" s="82" t="str">
        <f t="shared" si="524"/>
        <v/>
      </c>
      <c r="AJ640" s="50"/>
      <c r="AK640" s="85">
        <f>AJ640*$F640</f>
        <v>0</v>
      </c>
      <c r="AL640" s="82" t="str">
        <f t="shared" si="526"/>
        <v/>
      </c>
      <c r="AM640" s="50"/>
      <c r="AN640" s="85">
        <f>AM640*$F640</f>
        <v>0</v>
      </c>
      <c r="AO640" s="82" t="str">
        <f t="shared" si="528"/>
        <v/>
      </c>
      <c r="AP640" s="48">
        <f t="shared" si="505"/>
        <v>0</v>
      </c>
      <c r="AQ640" s="85">
        <f>AP640*$F640</f>
        <v>0</v>
      </c>
      <c r="AR640" s="82" t="str">
        <f t="shared" si="530"/>
        <v/>
      </c>
      <c r="AS640" s="48">
        <f t="shared" si="506"/>
        <v>31.82</v>
      </c>
      <c r="AT640" s="85">
        <f>AS640*$F640</f>
        <v>777.68080000000009</v>
      </c>
      <c r="AU640" s="82">
        <f t="shared" si="532"/>
        <v>1</v>
      </c>
    </row>
    <row r="641" spans="1:47" s="161" customFormat="1">
      <c r="A641" s="94"/>
      <c r="B641" s="116" t="s">
        <v>2046</v>
      </c>
      <c r="C641" s="1945" t="s">
        <v>2047</v>
      </c>
      <c r="D641" s="1946"/>
      <c r="E641" s="1946"/>
      <c r="F641" s="1946"/>
      <c r="G641" s="1947"/>
      <c r="H641" s="159">
        <f>H642+H643</f>
        <v>2756.7236999999996</v>
      </c>
      <c r="I641" s="50">
        <f t="shared" si="534"/>
        <v>0</v>
      </c>
      <c r="J641" s="159">
        <f>J642+J643</f>
        <v>0</v>
      </c>
      <c r="K641" s="102">
        <f>J641/$H641</f>
        <v>0</v>
      </c>
      <c r="L641" s="101"/>
      <c r="M641" s="159">
        <f>M642+M643</f>
        <v>0</v>
      </c>
      <c r="N641" s="102">
        <f>M641/$H641</f>
        <v>0</v>
      </c>
      <c r="O641" s="101"/>
      <c r="P641" s="159">
        <f>P642+P643</f>
        <v>0</v>
      </c>
      <c r="Q641" s="102">
        <f>P641/$H641</f>
        <v>0</v>
      </c>
      <c r="R641" s="101"/>
      <c r="S641" s="159">
        <f>S642+S643</f>
        <v>0</v>
      </c>
      <c r="T641" s="102">
        <f>S641/$H641</f>
        <v>0</v>
      </c>
      <c r="U641" s="101"/>
      <c r="V641" s="159">
        <f>V642+V643</f>
        <v>0</v>
      </c>
      <c r="W641" s="102">
        <f>V641/$H641</f>
        <v>0</v>
      </c>
      <c r="X641" s="101"/>
      <c r="Y641" s="159">
        <f>Y642+Y643</f>
        <v>0</v>
      </c>
      <c r="Z641" s="102">
        <f>Y641/$H641</f>
        <v>0</v>
      </c>
      <c r="AA641" s="101"/>
      <c r="AB641" s="159">
        <f>AB642+AB643</f>
        <v>0</v>
      </c>
      <c r="AC641" s="102">
        <f>AB641/$H641</f>
        <v>0</v>
      </c>
      <c r="AD641" s="101"/>
      <c r="AE641" s="159">
        <f>AE642+AE643</f>
        <v>0</v>
      </c>
      <c r="AF641" s="102">
        <f>AE641/$H641</f>
        <v>0</v>
      </c>
      <c r="AG641" s="101"/>
      <c r="AH641" s="159">
        <f>AH642+AH643</f>
        <v>0</v>
      </c>
      <c r="AI641" s="102">
        <f>AH641/$H641</f>
        <v>0</v>
      </c>
      <c r="AJ641" s="101"/>
      <c r="AK641" s="159">
        <f>AK642+AK643</f>
        <v>0</v>
      </c>
      <c r="AL641" s="102">
        <f>AK641/$H641</f>
        <v>0</v>
      </c>
      <c r="AM641" s="101"/>
      <c r="AN641" s="159">
        <f>AN642+AN643</f>
        <v>0</v>
      </c>
      <c r="AO641" s="102">
        <f>AN641/$H641</f>
        <v>0</v>
      </c>
      <c r="AP641" s="160">
        <f t="shared" si="505"/>
        <v>0</v>
      </c>
      <c r="AQ641" s="159">
        <f>AQ642+AQ643</f>
        <v>0</v>
      </c>
      <c r="AR641" s="102">
        <f>AQ641/$H641</f>
        <v>0</v>
      </c>
      <c r="AS641" s="160">
        <f t="shared" si="506"/>
        <v>0</v>
      </c>
      <c r="AT641" s="159">
        <f>AT642+AT643</f>
        <v>2756.7236999999996</v>
      </c>
      <c r="AU641" s="102">
        <f>AT641/$H641</f>
        <v>1</v>
      </c>
    </row>
    <row r="642" spans="1:47" ht="75">
      <c r="A642" s="16"/>
      <c r="B642" s="98" t="s">
        <v>2048</v>
      </c>
      <c r="C642" s="168" t="s">
        <v>2049</v>
      </c>
      <c r="D642" s="87" t="s">
        <v>2139</v>
      </c>
      <c r="E642" s="98" t="s">
        <v>12</v>
      </c>
      <c r="F642" s="172">
        <v>54.24</v>
      </c>
      <c r="G642" s="98">
        <v>6.94</v>
      </c>
      <c r="H642" s="85">
        <f t="shared" si="551"/>
        <v>376.42560000000003</v>
      </c>
      <c r="I642" s="50">
        <f t="shared" si="534"/>
        <v>0</v>
      </c>
      <c r="J642" s="85">
        <f>I642*$F642</f>
        <v>0</v>
      </c>
      <c r="K642" s="82" t="str">
        <f t="shared" si="508"/>
        <v/>
      </c>
      <c r="L642" s="50"/>
      <c r="M642" s="85">
        <f>L642*$F642</f>
        <v>0</v>
      </c>
      <c r="N642" s="82" t="str">
        <f t="shared" si="510"/>
        <v/>
      </c>
      <c r="O642" s="50"/>
      <c r="P642" s="85">
        <f>O642*$F642</f>
        <v>0</v>
      </c>
      <c r="Q642" s="82" t="str">
        <f t="shared" si="512"/>
        <v/>
      </c>
      <c r="R642" s="50"/>
      <c r="S642" s="85">
        <f>R642*$F642</f>
        <v>0</v>
      </c>
      <c r="T642" s="82" t="str">
        <f t="shared" si="514"/>
        <v/>
      </c>
      <c r="U642" s="50"/>
      <c r="V642" s="85">
        <f>U642*$F642</f>
        <v>0</v>
      </c>
      <c r="W642" s="82" t="str">
        <f t="shared" si="516"/>
        <v/>
      </c>
      <c r="X642" s="50"/>
      <c r="Y642" s="85">
        <f>X642*$F642</f>
        <v>0</v>
      </c>
      <c r="Z642" s="82" t="str">
        <f t="shared" si="518"/>
        <v/>
      </c>
      <c r="AA642" s="50"/>
      <c r="AB642" s="85">
        <f>AA642*$F642</f>
        <v>0</v>
      </c>
      <c r="AC642" s="82" t="str">
        <f t="shared" si="520"/>
        <v/>
      </c>
      <c r="AD642" s="50"/>
      <c r="AE642" s="85">
        <f>AD642*$F642</f>
        <v>0</v>
      </c>
      <c r="AF642" s="82" t="str">
        <f t="shared" si="522"/>
        <v/>
      </c>
      <c r="AG642" s="50"/>
      <c r="AH642" s="85">
        <f>AG642*$F642</f>
        <v>0</v>
      </c>
      <c r="AI642" s="82" t="str">
        <f t="shared" si="524"/>
        <v/>
      </c>
      <c r="AJ642" s="50"/>
      <c r="AK642" s="85">
        <f>AJ642*$F642</f>
        <v>0</v>
      </c>
      <c r="AL642" s="82" t="str">
        <f t="shared" si="526"/>
        <v/>
      </c>
      <c r="AM642" s="50"/>
      <c r="AN642" s="85">
        <f>AM642*$F642</f>
        <v>0</v>
      </c>
      <c r="AO642" s="82" t="str">
        <f t="shared" si="528"/>
        <v/>
      </c>
      <c r="AP642" s="48">
        <f t="shared" ref="AP642:AP664" si="552">AM642+AJ642+AG642+AD642+AA642+X642+U642+R642+O642+L642</f>
        <v>0</v>
      </c>
      <c r="AQ642" s="85">
        <f>AP642*$F642</f>
        <v>0</v>
      </c>
      <c r="AR642" s="82" t="str">
        <f t="shared" si="530"/>
        <v/>
      </c>
      <c r="AS642" s="48">
        <f t="shared" ref="AS642:AS664" si="553">G642-AP642</f>
        <v>6.94</v>
      </c>
      <c r="AT642" s="85">
        <f>AS642*$F642</f>
        <v>376.42560000000003</v>
      </c>
      <c r="AU642" s="82">
        <f t="shared" si="532"/>
        <v>1</v>
      </c>
    </row>
    <row r="643" spans="1:47" ht="90">
      <c r="A643" s="16"/>
      <c r="B643" s="98" t="s">
        <v>2050</v>
      </c>
      <c r="C643" s="168" t="s">
        <v>2051</v>
      </c>
      <c r="D643" s="87" t="s">
        <v>2138</v>
      </c>
      <c r="E643" s="98" t="s">
        <v>12</v>
      </c>
      <c r="F643" s="172">
        <v>17.309999999999999</v>
      </c>
      <c r="G643" s="98">
        <v>137.51</v>
      </c>
      <c r="H643" s="85">
        <f t="shared" si="551"/>
        <v>2380.2980999999995</v>
      </c>
      <c r="I643" s="50">
        <f t="shared" si="534"/>
        <v>0</v>
      </c>
      <c r="J643" s="85">
        <f>I643*$F643</f>
        <v>0</v>
      </c>
      <c r="K643" s="82" t="str">
        <f t="shared" ref="K643:K664" si="554">IF(I643=0,"",I643/$G643)</f>
        <v/>
      </c>
      <c r="L643" s="50"/>
      <c r="M643" s="85">
        <f>L643*$F643</f>
        <v>0</v>
      </c>
      <c r="N643" s="82" t="str">
        <f t="shared" ref="N643:N664" si="555">IF(L643=0,"",L643/$G643)</f>
        <v/>
      </c>
      <c r="O643" s="50"/>
      <c r="P643" s="85">
        <f>O643*$F643</f>
        <v>0</v>
      </c>
      <c r="Q643" s="82" t="str">
        <f>IF(O643=0,"",O643/$G643)</f>
        <v/>
      </c>
      <c r="R643" s="50"/>
      <c r="S643" s="85">
        <f>R643*$F643</f>
        <v>0</v>
      </c>
      <c r="T643" s="82" t="str">
        <f t="shared" ref="T643:T664" si="556">IF(R643=0,"",R643/$G643)</f>
        <v/>
      </c>
      <c r="U643" s="50"/>
      <c r="V643" s="85">
        <f>U643*$F643</f>
        <v>0</v>
      </c>
      <c r="W643" s="82" t="str">
        <f t="shared" ref="W643:W664" si="557">IF(U643=0,"",U643/$G643)</f>
        <v/>
      </c>
      <c r="X643" s="50"/>
      <c r="Y643" s="85">
        <f>X643*$F643</f>
        <v>0</v>
      </c>
      <c r="Z643" s="82" t="str">
        <f t="shared" ref="Z643:Z664" si="558">IF(X643=0,"",X643/$G643)</f>
        <v/>
      </c>
      <c r="AA643" s="50"/>
      <c r="AB643" s="85">
        <f>AA643*$F643</f>
        <v>0</v>
      </c>
      <c r="AC643" s="82" t="str">
        <f t="shared" ref="AC643:AC664" si="559">IF(AA643=0,"",AA643/$G643)</f>
        <v/>
      </c>
      <c r="AD643" s="50"/>
      <c r="AE643" s="85">
        <f>AD643*$F643</f>
        <v>0</v>
      </c>
      <c r="AF643" s="82" t="str">
        <f t="shared" ref="AF643:AF664" si="560">IF(AD643=0,"",AD643/$G643)</f>
        <v/>
      </c>
      <c r="AG643" s="50"/>
      <c r="AH643" s="85">
        <f>AG643*$F643</f>
        <v>0</v>
      </c>
      <c r="AI643" s="82" t="str">
        <f t="shared" ref="AI643:AI664" si="561">IF(AG643=0,"",AG643/$G643)</f>
        <v/>
      </c>
      <c r="AJ643" s="50"/>
      <c r="AK643" s="85">
        <f>AJ643*$F643</f>
        <v>0</v>
      </c>
      <c r="AL643" s="82" t="str">
        <f t="shared" ref="AL643:AL664" si="562">IF(AJ643=0,"",AJ643/$G643)</f>
        <v/>
      </c>
      <c r="AM643" s="50"/>
      <c r="AN643" s="85">
        <f>AM643*$F643</f>
        <v>0</v>
      </c>
      <c r="AO643" s="82" t="str">
        <f t="shared" ref="AO643:AO664" si="563">IF(AM643=0,"",AM643/$G643)</f>
        <v/>
      </c>
      <c r="AP643" s="48">
        <f t="shared" si="552"/>
        <v>0</v>
      </c>
      <c r="AQ643" s="85">
        <f>AP643*$F643</f>
        <v>0</v>
      </c>
      <c r="AR643" s="82" t="str">
        <f t="shared" ref="AR643:AR664" si="564">IF(AP643=0,"",AP643/$G643)</f>
        <v/>
      </c>
      <c r="AS643" s="48">
        <f t="shared" si="553"/>
        <v>137.51</v>
      </c>
      <c r="AT643" s="85">
        <f>AS643*$F643</f>
        <v>2380.2980999999995</v>
      </c>
      <c r="AU643" s="82">
        <f t="shared" ref="AU643:AU664" si="565">IF(AS643=0,"",AS643/$G643)</f>
        <v>1</v>
      </c>
    </row>
    <row r="644" spans="1:47" s="115" customFormat="1" ht="15.75">
      <c r="A644" s="109"/>
      <c r="B644" s="118" t="s">
        <v>2052</v>
      </c>
      <c r="C644" s="1937" t="s">
        <v>2053</v>
      </c>
      <c r="D644" s="1938"/>
      <c r="E644" s="1938"/>
      <c r="F644" s="1938"/>
      <c r="G644" s="1939"/>
      <c r="H644" s="112">
        <f>H645+H647+H653+H657+H659</f>
        <v>281987.28419999994</v>
      </c>
      <c r="I644" s="50">
        <f t="shared" si="534"/>
        <v>0</v>
      </c>
      <c r="J644" s="112">
        <f>J645+J647+J653+J657+J659</f>
        <v>0</v>
      </c>
      <c r="K644" s="113">
        <f>J644/$H644</f>
        <v>0</v>
      </c>
      <c r="L644" s="111"/>
      <c r="M644" s="112">
        <f>M645+M647+M653+M657+M659</f>
        <v>0</v>
      </c>
      <c r="N644" s="113">
        <f>M644/$H644</f>
        <v>0</v>
      </c>
      <c r="O644" s="111"/>
      <c r="P644" s="112">
        <f>P645+P647+P653+P657+P659</f>
        <v>0</v>
      </c>
      <c r="Q644" s="113">
        <f>P644/$H644</f>
        <v>0</v>
      </c>
      <c r="R644" s="111"/>
      <c r="S644" s="112">
        <f>S645+S647+S653+S657+S659</f>
        <v>0</v>
      </c>
      <c r="T644" s="113">
        <f>S644/$H644</f>
        <v>0</v>
      </c>
      <c r="U644" s="111"/>
      <c r="V644" s="112">
        <f>V645+V647+V653+V657+V659</f>
        <v>0</v>
      </c>
      <c r="W644" s="113">
        <f>V644/$H644</f>
        <v>0</v>
      </c>
      <c r="X644" s="111"/>
      <c r="Y644" s="112">
        <f>Y645+Y647+Y653+Y657+Y659</f>
        <v>0</v>
      </c>
      <c r="Z644" s="113">
        <f>Y644/$H644</f>
        <v>0</v>
      </c>
      <c r="AA644" s="111"/>
      <c r="AB644" s="112">
        <f>AB645+AB647+AB653+AB657+AB659</f>
        <v>0</v>
      </c>
      <c r="AC644" s="113">
        <f>AB644/$H644</f>
        <v>0</v>
      </c>
      <c r="AD644" s="111"/>
      <c r="AE644" s="112">
        <f>AE645+AE647+AE653+AE657+AE659</f>
        <v>0</v>
      </c>
      <c r="AF644" s="113">
        <f>AE644/$H644</f>
        <v>0</v>
      </c>
      <c r="AG644" s="111"/>
      <c r="AH644" s="112">
        <f>AH645+AH647+AH653+AH657+AH659</f>
        <v>0</v>
      </c>
      <c r="AI644" s="113">
        <f>AH644/$H644</f>
        <v>0</v>
      </c>
      <c r="AJ644" s="111"/>
      <c r="AK644" s="112">
        <f>AK645+AK647+AK653+AK657+AK659</f>
        <v>0</v>
      </c>
      <c r="AL644" s="113">
        <f>AK644/$H644</f>
        <v>0</v>
      </c>
      <c r="AM644" s="111"/>
      <c r="AN644" s="112">
        <f>AN645+AN647+AN653+AN657+AN659</f>
        <v>0</v>
      </c>
      <c r="AO644" s="113">
        <f>AN644/$H644</f>
        <v>0</v>
      </c>
      <c r="AP644" s="114">
        <f t="shared" si="552"/>
        <v>0</v>
      </c>
      <c r="AQ644" s="112">
        <f>AQ645+AQ647+AQ653+AQ657+AQ659</f>
        <v>0</v>
      </c>
      <c r="AR644" s="113">
        <f>AQ644/$H644</f>
        <v>0</v>
      </c>
      <c r="AS644" s="114">
        <f t="shared" si="553"/>
        <v>0</v>
      </c>
      <c r="AT644" s="112">
        <f>AT645+AT647+AT653+AT657+AT659</f>
        <v>281987.28419999994</v>
      </c>
      <c r="AU644" s="113">
        <f>AT644/$H644</f>
        <v>1</v>
      </c>
    </row>
    <row r="645" spans="1:47" s="161" customFormat="1">
      <c r="A645" s="94"/>
      <c r="B645" s="116" t="s">
        <v>2054</v>
      </c>
      <c r="C645" s="1945" t="s">
        <v>2055</v>
      </c>
      <c r="D645" s="1946"/>
      <c r="E645" s="1946"/>
      <c r="F645" s="1946"/>
      <c r="G645" s="1947"/>
      <c r="H645" s="159">
        <f>H646</f>
        <v>82516.679999999993</v>
      </c>
      <c r="I645" s="50">
        <f t="shared" si="534"/>
        <v>0</v>
      </c>
      <c r="J645" s="159">
        <f>J646</f>
        <v>0</v>
      </c>
      <c r="K645" s="102">
        <f>J645/$H645</f>
        <v>0</v>
      </c>
      <c r="L645" s="101"/>
      <c r="M645" s="159">
        <f>M646</f>
        <v>0</v>
      </c>
      <c r="N645" s="102">
        <f>M645/$H645</f>
        <v>0</v>
      </c>
      <c r="O645" s="101"/>
      <c r="P645" s="159">
        <f>P646</f>
        <v>0</v>
      </c>
      <c r="Q645" s="102">
        <f>P645/$H645</f>
        <v>0</v>
      </c>
      <c r="R645" s="101"/>
      <c r="S645" s="159">
        <f>S646</f>
        <v>0</v>
      </c>
      <c r="T645" s="102">
        <f>S645/$H645</f>
        <v>0</v>
      </c>
      <c r="U645" s="101"/>
      <c r="V645" s="159">
        <f>V646</f>
        <v>0</v>
      </c>
      <c r="W645" s="102">
        <f>V645/$H645</f>
        <v>0</v>
      </c>
      <c r="X645" s="101"/>
      <c r="Y645" s="159">
        <f>Y646</f>
        <v>0</v>
      </c>
      <c r="Z645" s="102">
        <f>Y645/$H645</f>
        <v>0</v>
      </c>
      <c r="AA645" s="101"/>
      <c r="AB645" s="159">
        <f>AB646</f>
        <v>0</v>
      </c>
      <c r="AC645" s="102">
        <f>AB645/$H645</f>
        <v>0</v>
      </c>
      <c r="AD645" s="101"/>
      <c r="AE645" s="159">
        <f>AE646</f>
        <v>0</v>
      </c>
      <c r="AF645" s="102">
        <f>AE645/$H645</f>
        <v>0</v>
      </c>
      <c r="AG645" s="101"/>
      <c r="AH645" s="159">
        <f>AH646</f>
        <v>0</v>
      </c>
      <c r="AI645" s="102">
        <f>AH645/$H645</f>
        <v>0</v>
      </c>
      <c r="AJ645" s="101"/>
      <c r="AK645" s="159">
        <f>AK646</f>
        <v>0</v>
      </c>
      <c r="AL645" s="102">
        <f>AK645/$H645</f>
        <v>0</v>
      </c>
      <c r="AM645" s="101"/>
      <c r="AN645" s="159">
        <f>AN646</f>
        <v>0</v>
      </c>
      <c r="AO645" s="102">
        <f>AN645/$H645</f>
        <v>0</v>
      </c>
      <c r="AP645" s="160">
        <f t="shared" si="552"/>
        <v>0</v>
      </c>
      <c r="AQ645" s="159">
        <f>AQ646</f>
        <v>0</v>
      </c>
      <c r="AR645" s="102">
        <f>AQ645/$H645</f>
        <v>0</v>
      </c>
      <c r="AS645" s="160">
        <f t="shared" si="553"/>
        <v>0</v>
      </c>
      <c r="AT645" s="159">
        <f>AT646</f>
        <v>82516.679999999993</v>
      </c>
      <c r="AU645" s="102">
        <f>AT645/$H645</f>
        <v>1</v>
      </c>
    </row>
    <row r="646" spans="1:47" ht="75">
      <c r="A646" s="16"/>
      <c r="B646" s="97" t="s">
        <v>2056</v>
      </c>
      <c r="C646" s="167" t="s">
        <v>2057</v>
      </c>
      <c r="D646" s="86" t="s">
        <v>2058</v>
      </c>
      <c r="E646" s="97" t="s">
        <v>28</v>
      </c>
      <c r="F646" s="172">
        <v>82516.679999999993</v>
      </c>
      <c r="G646" s="97">
        <v>1</v>
      </c>
      <c r="H646" s="85">
        <f>G646*$F646</f>
        <v>82516.679999999993</v>
      </c>
      <c r="I646" s="50">
        <f t="shared" si="534"/>
        <v>0</v>
      </c>
      <c r="J646" s="85">
        <f>I646*$F646</f>
        <v>0</v>
      </c>
      <c r="K646" s="82" t="str">
        <f t="shared" si="554"/>
        <v/>
      </c>
      <c r="L646" s="50"/>
      <c r="M646" s="85">
        <f>L646*$F646</f>
        <v>0</v>
      </c>
      <c r="N646" s="82" t="str">
        <f t="shared" si="555"/>
        <v/>
      </c>
      <c r="O646" s="50"/>
      <c r="P646" s="85">
        <f>O646*$F646</f>
        <v>0</v>
      </c>
      <c r="Q646" s="82" t="str">
        <f>IF(O646=0,"",O646/$G646)</f>
        <v/>
      </c>
      <c r="R646" s="50"/>
      <c r="S646" s="85">
        <f>R646*$F646</f>
        <v>0</v>
      </c>
      <c r="T646" s="82" t="str">
        <f t="shared" si="556"/>
        <v/>
      </c>
      <c r="U646" s="50"/>
      <c r="V646" s="85">
        <f>U646*$F646</f>
        <v>0</v>
      </c>
      <c r="W646" s="82" t="str">
        <f t="shared" si="557"/>
        <v/>
      </c>
      <c r="X646" s="50"/>
      <c r="Y646" s="85">
        <f>X646*$F646</f>
        <v>0</v>
      </c>
      <c r="Z646" s="82" t="str">
        <f t="shared" si="558"/>
        <v/>
      </c>
      <c r="AA646" s="50"/>
      <c r="AB646" s="85">
        <f>AA646*$F646</f>
        <v>0</v>
      </c>
      <c r="AC646" s="82" t="str">
        <f t="shared" si="559"/>
        <v/>
      </c>
      <c r="AD646" s="50"/>
      <c r="AE646" s="85">
        <f>AD646*$F646</f>
        <v>0</v>
      </c>
      <c r="AF646" s="82" t="str">
        <f t="shared" si="560"/>
        <v/>
      </c>
      <c r="AG646" s="50"/>
      <c r="AH646" s="85">
        <f>AG646*$F646</f>
        <v>0</v>
      </c>
      <c r="AI646" s="82" t="str">
        <f t="shared" si="561"/>
        <v/>
      </c>
      <c r="AJ646" s="50"/>
      <c r="AK646" s="85">
        <f>AJ646*$F646</f>
        <v>0</v>
      </c>
      <c r="AL646" s="82" t="str">
        <f t="shared" si="562"/>
        <v/>
      </c>
      <c r="AM646" s="50"/>
      <c r="AN646" s="85">
        <f>AM646*$F646</f>
        <v>0</v>
      </c>
      <c r="AO646" s="82" t="str">
        <f t="shared" si="563"/>
        <v/>
      </c>
      <c r="AP646" s="48">
        <f t="shared" si="552"/>
        <v>0</v>
      </c>
      <c r="AQ646" s="85">
        <f>AP646*$F646</f>
        <v>0</v>
      </c>
      <c r="AR646" s="82" t="str">
        <f t="shared" si="564"/>
        <v/>
      </c>
      <c r="AS646" s="48">
        <f t="shared" si="553"/>
        <v>1</v>
      </c>
      <c r="AT646" s="85">
        <f>AS646*$F646</f>
        <v>82516.679999999993</v>
      </c>
      <c r="AU646" s="82">
        <f t="shared" si="565"/>
        <v>1</v>
      </c>
    </row>
    <row r="647" spans="1:47" s="161" customFormat="1">
      <c r="A647" s="94"/>
      <c r="B647" s="116" t="s">
        <v>2059</v>
      </c>
      <c r="C647" s="1945" t="s">
        <v>2060</v>
      </c>
      <c r="D647" s="1946"/>
      <c r="E647" s="1946"/>
      <c r="F647" s="1946"/>
      <c r="G647" s="1947"/>
      <c r="H647" s="159">
        <f>H648+H649+H650+H651+H652</f>
        <v>33314.428200000002</v>
      </c>
      <c r="I647" s="50">
        <f t="shared" si="534"/>
        <v>0</v>
      </c>
      <c r="J647" s="159">
        <f>J648+J649+J650+J651+J652</f>
        <v>0</v>
      </c>
      <c r="K647" s="102">
        <f>J647/$H647</f>
        <v>0</v>
      </c>
      <c r="L647" s="101"/>
      <c r="M647" s="159">
        <f>M648+M649+M650+M651+M652</f>
        <v>0</v>
      </c>
      <c r="N647" s="102">
        <f>M647/$H647</f>
        <v>0</v>
      </c>
      <c r="O647" s="101"/>
      <c r="P647" s="159">
        <f>P648+P649+P650+P651+P652</f>
        <v>0</v>
      </c>
      <c r="Q647" s="102">
        <f>P647/$H647</f>
        <v>0</v>
      </c>
      <c r="R647" s="101"/>
      <c r="S647" s="159">
        <f>S648+S649+S650+S651+S652</f>
        <v>0</v>
      </c>
      <c r="T647" s="102">
        <f>S647/$H647</f>
        <v>0</v>
      </c>
      <c r="U647" s="101"/>
      <c r="V647" s="159">
        <f>V648+V649+V650+V651+V652</f>
        <v>0</v>
      </c>
      <c r="W647" s="102">
        <f>V647/$H647</f>
        <v>0</v>
      </c>
      <c r="X647" s="101"/>
      <c r="Y647" s="159">
        <f>Y648+Y649+Y650+Y651+Y652</f>
        <v>0</v>
      </c>
      <c r="Z647" s="102">
        <f>Y647/$H647</f>
        <v>0</v>
      </c>
      <c r="AA647" s="101"/>
      <c r="AB647" s="159">
        <f>AB648+AB649+AB650+AB651+AB652</f>
        <v>0</v>
      </c>
      <c r="AC647" s="102">
        <f>AB647/$H647</f>
        <v>0</v>
      </c>
      <c r="AD647" s="101"/>
      <c r="AE647" s="159">
        <f>AE648+AE649+AE650+AE651+AE652</f>
        <v>0</v>
      </c>
      <c r="AF647" s="102">
        <f>AE647/$H647</f>
        <v>0</v>
      </c>
      <c r="AG647" s="101"/>
      <c r="AH647" s="159">
        <f>AH648+AH649+AH650+AH651+AH652</f>
        <v>0</v>
      </c>
      <c r="AI647" s="102">
        <f>AH647/$H647</f>
        <v>0</v>
      </c>
      <c r="AJ647" s="101"/>
      <c r="AK647" s="159">
        <f>AK648+AK649+AK650+AK651+AK652</f>
        <v>0</v>
      </c>
      <c r="AL647" s="102">
        <f>AK647/$H647</f>
        <v>0</v>
      </c>
      <c r="AM647" s="101"/>
      <c r="AN647" s="159">
        <f>AN648+AN649+AN650+AN651+AN652</f>
        <v>0</v>
      </c>
      <c r="AO647" s="102">
        <f>AN647/$H647</f>
        <v>0</v>
      </c>
      <c r="AP647" s="160">
        <f t="shared" si="552"/>
        <v>0</v>
      </c>
      <c r="AQ647" s="159">
        <f>AQ648+AQ649+AQ650+AQ651+AQ652</f>
        <v>0</v>
      </c>
      <c r="AR647" s="102">
        <f>AQ647/$H647</f>
        <v>0</v>
      </c>
      <c r="AS647" s="160">
        <f t="shared" si="553"/>
        <v>0</v>
      </c>
      <c r="AT647" s="159">
        <f>AT648+AT649+AT650+AT651+AT652</f>
        <v>33314.428200000002</v>
      </c>
      <c r="AU647" s="102">
        <f>AT647/$H647</f>
        <v>1</v>
      </c>
    </row>
    <row r="648" spans="1:47" ht="60">
      <c r="A648" s="16"/>
      <c r="B648" s="97" t="s">
        <v>2061</v>
      </c>
      <c r="C648" s="167" t="s">
        <v>2062</v>
      </c>
      <c r="D648" s="86" t="s">
        <v>2063</v>
      </c>
      <c r="E648" s="97" t="s">
        <v>44</v>
      </c>
      <c r="F648" s="172">
        <v>1396.05</v>
      </c>
      <c r="G648" s="97">
        <v>7.7</v>
      </c>
      <c r="H648" s="85">
        <f t="shared" ref="H648:H660" si="566">G648*$F648</f>
        <v>10749.584999999999</v>
      </c>
      <c r="I648" s="50">
        <f t="shared" si="534"/>
        <v>0</v>
      </c>
      <c r="J648" s="85">
        <f>I648*$F648</f>
        <v>0</v>
      </c>
      <c r="K648" s="82" t="str">
        <f t="shared" si="554"/>
        <v/>
      </c>
      <c r="L648" s="50"/>
      <c r="M648" s="85">
        <f>L648*$F648</f>
        <v>0</v>
      </c>
      <c r="N648" s="82" t="str">
        <f t="shared" si="555"/>
        <v/>
      </c>
      <c r="O648" s="50"/>
      <c r="P648" s="85">
        <f>O648*$F648</f>
        <v>0</v>
      </c>
      <c r="Q648" s="82" t="str">
        <f>IF(O648=0,"",O648/$G648)</f>
        <v/>
      </c>
      <c r="R648" s="50"/>
      <c r="S648" s="85">
        <f>R648*$F648</f>
        <v>0</v>
      </c>
      <c r="T648" s="82" t="str">
        <f t="shared" si="556"/>
        <v/>
      </c>
      <c r="U648" s="50"/>
      <c r="V648" s="85">
        <f>U648*$F648</f>
        <v>0</v>
      </c>
      <c r="W648" s="82" t="str">
        <f t="shared" si="557"/>
        <v/>
      </c>
      <c r="X648" s="50"/>
      <c r="Y648" s="85">
        <f>X648*$F648</f>
        <v>0</v>
      </c>
      <c r="Z648" s="82" t="str">
        <f t="shared" si="558"/>
        <v/>
      </c>
      <c r="AA648" s="50"/>
      <c r="AB648" s="85">
        <f>AA648*$F648</f>
        <v>0</v>
      </c>
      <c r="AC648" s="82" t="str">
        <f t="shared" si="559"/>
        <v/>
      </c>
      <c r="AD648" s="50"/>
      <c r="AE648" s="85">
        <f>AD648*$F648</f>
        <v>0</v>
      </c>
      <c r="AF648" s="82" t="str">
        <f t="shared" si="560"/>
        <v/>
      </c>
      <c r="AG648" s="50"/>
      <c r="AH648" s="85">
        <f>AG648*$F648</f>
        <v>0</v>
      </c>
      <c r="AI648" s="82" t="str">
        <f t="shared" si="561"/>
        <v/>
      </c>
      <c r="AJ648" s="50"/>
      <c r="AK648" s="85">
        <f>AJ648*$F648</f>
        <v>0</v>
      </c>
      <c r="AL648" s="82" t="str">
        <f t="shared" si="562"/>
        <v/>
      </c>
      <c r="AM648" s="50"/>
      <c r="AN648" s="85">
        <f>AM648*$F648</f>
        <v>0</v>
      </c>
      <c r="AO648" s="82" t="str">
        <f t="shared" si="563"/>
        <v/>
      </c>
      <c r="AP648" s="48">
        <f t="shared" si="552"/>
        <v>0</v>
      </c>
      <c r="AQ648" s="85">
        <f>AP648*$F648</f>
        <v>0</v>
      </c>
      <c r="AR648" s="82" t="str">
        <f t="shared" si="564"/>
        <v/>
      </c>
      <c r="AS648" s="48">
        <f t="shared" si="553"/>
        <v>7.7</v>
      </c>
      <c r="AT648" s="85">
        <f>AS648*$F648</f>
        <v>10749.584999999999</v>
      </c>
      <c r="AU648" s="82">
        <f t="shared" si="565"/>
        <v>1</v>
      </c>
    </row>
    <row r="649" spans="1:47" ht="60">
      <c r="A649" s="16"/>
      <c r="B649" s="97" t="s">
        <v>2064</v>
      </c>
      <c r="C649" s="167" t="s">
        <v>2065</v>
      </c>
      <c r="D649" s="86" t="s">
        <v>2066</v>
      </c>
      <c r="E649" s="97" t="s">
        <v>28</v>
      </c>
      <c r="F649" s="172">
        <v>938.64</v>
      </c>
      <c r="G649" s="97">
        <v>1</v>
      </c>
      <c r="H649" s="85">
        <f t="shared" si="566"/>
        <v>938.64</v>
      </c>
      <c r="I649" s="50">
        <f t="shared" si="534"/>
        <v>0</v>
      </c>
      <c r="J649" s="85">
        <f>I649*$F649</f>
        <v>0</v>
      </c>
      <c r="K649" s="82" t="str">
        <f t="shared" si="554"/>
        <v/>
      </c>
      <c r="L649" s="50"/>
      <c r="M649" s="85">
        <f>L649*$F649</f>
        <v>0</v>
      </c>
      <c r="N649" s="82" t="str">
        <f t="shared" si="555"/>
        <v/>
      </c>
      <c r="O649" s="50"/>
      <c r="P649" s="85">
        <f>O649*$F649</f>
        <v>0</v>
      </c>
      <c r="Q649" s="82" t="str">
        <f>IF(O649=0,"",O649/$G649)</f>
        <v/>
      </c>
      <c r="R649" s="50"/>
      <c r="S649" s="85">
        <f>R649*$F649</f>
        <v>0</v>
      </c>
      <c r="T649" s="82" t="str">
        <f t="shared" si="556"/>
        <v/>
      </c>
      <c r="U649" s="50"/>
      <c r="V649" s="85">
        <f>U649*$F649</f>
        <v>0</v>
      </c>
      <c r="W649" s="82" t="str">
        <f t="shared" si="557"/>
        <v/>
      </c>
      <c r="X649" s="50"/>
      <c r="Y649" s="85">
        <f>X649*$F649</f>
        <v>0</v>
      </c>
      <c r="Z649" s="82" t="str">
        <f t="shared" si="558"/>
        <v/>
      </c>
      <c r="AA649" s="50"/>
      <c r="AB649" s="85">
        <f>AA649*$F649</f>
        <v>0</v>
      </c>
      <c r="AC649" s="82" t="str">
        <f t="shared" si="559"/>
        <v/>
      </c>
      <c r="AD649" s="50"/>
      <c r="AE649" s="85">
        <f>AD649*$F649</f>
        <v>0</v>
      </c>
      <c r="AF649" s="82" t="str">
        <f t="shared" si="560"/>
        <v/>
      </c>
      <c r="AG649" s="50"/>
      <c r="AH649" s="85">
        <f>AG649*$F649</f>
        <v>0</v>
      </c>
      <c r="AI649" s="82" t="str">
        <f t="shared" si="561"/>
        <v/>
      </c>
      <c r="AJ649" s="50"/>
      <c r="AK649" s="85">
        <f>AJ649*$F649</f>
        <v>0</v>
      </c>
      <c r="AL649" s="82" t="str">
        <f t="shared" si="562"/>
        <v/>
      </c>
      <c r="AM649" s="50"/>
      <c r="AN649" s="85">
        <f>AM649*$F649</f>
        <v>0</v>
      </c>
      <c r="AO649" s="82" t="str">
        <f t="shared" si="563"/>
        <v/>
      </c>
      <c r="AP649" s="48">
        <f t="shared" si="552"/>
        <v>0</v>
      </c>
      <c r="AQ649" s="85">
        <f>AP649*$F649</f>
        <v>0</v>
      </c>
      <c r="AR649" s="82" t="str">
        <f t="shared" si="564"/>
        <v/>
      </c>
      <c r="AS649" s="48">
        <f t="shared" si="553"/>
        <v>1</v>
      </c>
      <c r="AT649" s="85">
        <f>AS649*$F649</f>
        <v>938.64</v>
      </c>
      <c r="AU649" s="82">
        <f t="shared" si="565"/>
        <v>1</v>
      </c>
    </row>
    <row r="650" spans="1:47" ht="60">
      <c r="A650" s="16"/>
      <c r="B650" s="97" t="s">
        <v>2067</v>
      </c>
      <c r="C650" s="167" t="s">
        <v>819</v>
      </c>
      <c r="D650" s="86" t="s">
        <v>2068</v>
      </c>
      <c r="E650" s="97" t="s">
        <v>28</v>
      </c>
      <c r="F650" s="172">
        <v>844.23</v>
      </c>
      <c r="G650" s="97">
        <v>2</v>
      </c>
      <c r="H650" s="85">
        <f t="shared" si="566"/>
        <v>1688.46</v>
      </c>
      <c r="I650" s="50">
        <f t="shared" si="534"/>
        <v>0</v>
      </c>
      <c r="J650" s="85">
        <f>I650*$F650</f>
        <v>0</v>
      </c>
      <c r="K650" s="82" t="str">
        <f t="shared" si="554"/>
        <v/>
      </c>
      <c r="L650" s="50"/>
      <c r="M650" s="85">
        <f>L650*$F650</f>
        <v>0</v>
      </c>
      <c r="N650" s="82" t="str">
        <f t="shared" si="555"/>
        <v/>
      </c>
      <c r="O650" s="50"/>
      <c r="P650" s="85">
        <f>O650*$F650</f>
        <v>0</v>
      </c>
      <c r="Q650" s="82" t="str">
        <f>IF(O650=0,"",O650/$G650)</f>
        <v/>
      </c>
      <c r="R650" s="50"/>
      <c r="S650" s="85">
        <f>R650*$F650</f>
        <v>0</v>
      </c>
      <c r="T650" s="82" t="str">
        <f t="shared" si="556"/>
        <v/>
      </c>
      <c r="U650" s="50"/>
      <c r="V650" s="85">
        <f>U650*$F650</f>
        <v>0</v>
      </c>
      <c r="W650" s="82" t="str">
        <f t="shared" si="557"/>
        <v/>
      </c>
      <c r="X650" s="50"/>
      <c r="Y650" s="85">
        <f>X650*$F650</f>
        <v>0</v>
      </c>
      <c r="Z650" s="82" t="str">
        <f t="shared" si="558"/>
        <v/>
      </c>
      <c r="AA650" s="50"/>
      <c r="AB650" s="85">
        <f>AA650*$F650</f>
        <v>0</v>
      </c>
      <c r="AC650" s="82" t="str">
        <f t="shared" si="559"/>
        <v/>
      </c>
      <c r="AD650" s="50"/>
      <c r="AE650" s="85">
        <f>AD650*$F650</f>
        <v>0</v>
      </c>
      <c r="AF650" s="82" t="str">
        <f t="shared" si="560"/>
        <v/>
      </c>
      <c r="AG650" s="50"/>
      <c r="AH650" s="85">
        <f>AG650*$F650</f>
        <v>0</v>
      </c>
      <c r="AI650" s="82" t="str">
        <f t="shared" si="561"/>
        <v/>
      </c>
      <c r="AJ650" s="50"/>
      <c r="AK650" s="85">
        <f>AJ650*$F650</f>
        <v>0</v>
      </c>
      <c r="AL650" s="82" t="str">
        <f t="shared" si="562"/>
        <v/>
      </c>
      <c r="AM650" s="50"/>
      <c r="AN650" s="85">
        <f>AM650*$F650</f>
        <v>0</v>
      </c>
      <c r="AO650" s="82" t="str">
        <f t="shared" si="563"/>
        <v/>
      </c>
      <c r="AP650" s="48">
        <f t="shared" si="552"/>
        <v>0</v>
      </c>
      <c r="AQ650" s="85">
        <f>AP650*$F650</f>
        <v>0</v>
      </c>
      <c r="AR650" s="82" t="str">
        <f t="shared" si="564"/>
        <v/>
      </c>
      <c r="AS650" s="48">
        <f t="shared" si="553"/>
        <v>2</v>
      </c>
      <c r="AT650" s="85">
        <f>AS650*$F650</f>
        <v>1688.46</v>
      </c>
      <c r="AU650" s="82">
        <f t="shared" si="565"/>
        <v>1</v>
      </c>
    </row>
    <row r="651" spans="1:47" ht="60">
      <c r="A651" s="16"/>
      <c r="B651" s="97" t="s">
        <v>2069</v>
      </c>
      <c r="C651" s="167" t="s">
        <v>2070</v>
      </c>
      <c r="D651" s="86" t="s">
        <v>2071</v>
      </c>
      <c r="E651" s="97" t="s">
        <v>12</v>
      </c>
      <c r="F651" s="172">
        <v>2060.71</v>
      </c>
      <c r="G651" s="97">
        <v>8.2200000000000006</v>
      </c>
      <c r="H651" s="85">
        <f t="shared" si="566"/>
        <v>16939.036200000002</v>
      </c>
      <c r="I651" s="50">
        <f t="shared" si="534"/>
        <v>0</v>
      </c>
      <c r="J651" s="85">
        <f>I651*$F651</f>
        <v>0</v>
      </c>
      <c r="K651" s="82" t="str">
        <f t="shared" si="554"/>
        <v/>
      </c>
      <c r="L651" s="50"/>
      <c r="M651" s="85">
        <f>L651*$F651</f>
        <v>0</v>
      </c>
      <c r="N651" s="82" t="str">
        <f t="shared" si="555"/>
        <v/>
      </c>
      <c r="O651" s="50"/>
      <c r="P651" s="85">
        <f>O651*$F651</f>
        <v>0</v>
      </c>
      <c r="Q651" s="82" t="str">
        <f>IF(O651=0,"",O651/$G651)</f>
        <v/>
      </c>
      <c r="R651" s="50"/>
      <c r="S651" s="85">
        <f>R651*$F651</f>
        <v>0</v>
      </c>
      <c r="T651" s="82" t="str">
        <f t="shared" si="556"/>
        <v/>
      </c>
      <c r="U651" s="50"/>
      <c r="V651" s="85">
        <f>U651*$F651</f>
        <v>0</v>
      </c>
      <c r="W651" s="82" t="str">
        <f t="shared" si="557"/>
        <v/>
      </c>
      <c r="X651" s="50"/>
      <c r="Y651" s="85">
        <f>X651*$F651</f>
        <v>0</v>
      </c>
      <c r="Z651" s="82" t="str">
        <f t="shared" si="558"/>
        <v/>
      </c>
      <c r="AA651" s="50"/>
      <c r="AB651" s="85">
        <f>AA651*$F651</f>
        <v>0</v>
      </c>
      <c r="AC651" s="82" t="str">
        <f t="shared" si="559"/>
        <v/>
      </c>
      <c r="AD651" s="50"/>
      <c r="AE651" s="85">
        <f>AD651*$F651</f>
        <v>0</v>
      </c>
      <c r="AF651" s="82" t="str">
        <f t="shared" si="560"/>
        <v/>
      </c>
      <c r="AG651" s="50"/>
      <c r="AH651" s="85">
        <f>AG651*$F651</f>
        <v>0</v>
      </c>
      <c r="AI651" s="82" t="str">
        <f t="shared" si="561"/>
        <v/>
      </c>
      <c r="AJ651" s="50"/>
      <c r="AK651" s="85">
        <f>AJ651*$F651</f>
        <v>0</v>
      </c>
      <c r="AL651" s="82" t="str">
        <f t="shared" si="562"/>
        <v/>
      </c>
      <c r="AM651" s="50"/>
      <c r="AN651" s="85">
        <f>AM651*$F651</f>
        <v>0</v>
      </c>
      <c r="AO651" s="82" t="str">
        <f t="shared" si="563"/>
        <v/>
      </c>
      <c r="AP651" s="48">
        <f t="shared" si="552"/>
        <v>0</v>
      </c>
      <c r="AQ651" s="85">
        <f>AP651*$F651</f>
        <v>0</v>
      </c>
      <c r="AR651" s="82" t="str">
        <f t="shared" si="564"/>
        <v/>
      </c>
      <c r="AS651" s="48">
        <f t="shared" si="553"/>
        <v>8.2200000000000006</v>
      </c>
      <c r="AT651" s="85">
        <f>AS651*$F651</f>
        <v>16939.036200000002</v>
      </c>
      <c r="AU651" s="82">
        <f t="shared" si="565"/>
        <v>1</v>
      </c>
    </row>
    <row r="652" spans="1:47" ht="30">
      <c r="A652" s="16"/>
      <c r="B652" s="97" t="s">
        <v>2072</v>
      </c>
      <c r="C652" s="167" t="s">
        <v>819</v>
      </c>
      <c r="D652" s="86" t="s">
        <v>2073</v>
      </c>
      <c r="E652" s="97" t="s">
        <v>44</v>
      </c>
      <c r="F652" s="172">
        <v>361.29</v>
      </c>
      <c r="G652" s="97">
        <v>8.3000000000000007</v>
      </c>
      <c r="H652" s="85">
        <f t="shared" si="566"/>
        <v>2998.7070000000003</v>
      </c>
      <c r="I652" s="50">
        <f t="shared" si="534"/>
        <v>0</v>
      </c>
      <c r="J652" s="85">
        <f>I652*$F652</f>
        <v>0</v>
      </c>
      <c r="K652" s="82" t="str">
        <f t="shared" si="554"/>
        <v/>
      </c>
      <c r="L652" s="50"/>
      <c r="M652" s="85">
        <f>L652*$F652</f>
        <v>0</v>
      </c>
      <c r="N652" s="82" t="str">
        <f t="shared" si="555"/>
        <v/>
      </c>
      <c r="O652" s="50"/>
      <c r="P652" s="85">
        <f>O652*$F652</f>
        <v>0</v>
      </c>
      <c r="Q652" s="82" t="str">
        <f>IF(O652=0,"",O652/$G652)</f>
        <v/>
      </c>
      <c r="R652" s="50"/>
      <c r="S652" s="85">
        <f>R652*$F652</f>
        <v>0</v>
      </c>
      <c r="T652" s="82" t="str">
        <f t="shared" si="556"/>
        <v/>
      </c>
      <c r="U652" s="50"/>
      <c r="V652" s="85">
        <f>U652*$F652</f>
        <v>0</v>
      </c>
      <c r="W652" s="82" t="str">
        <f t="shared" si="557"/>
        <v/>
      </c>
      <c r="X652" s="50"/>
      <c r="Y652" s="85">
        <f>X652*$F652</f>
        <v>0</v>
      </c>
      <c r="Z652" s="82" t="str">
        <f t="shared" si="558"/>
        <v/>
      </c>
      <c r="AA652" s="50"/>
      <c r="AB652" s="85">
        <f>AA652*$F652</f>
        <v>0</v>
      </c>
      <c r="AC652" s="82" t="str">
        <f t="shared" si="559"/>
        <v/>
      </c>
      <c r="AD652" s="50"/>
      <c r="AE652" s="85">
        <f>AD652*$F652</f>
        <v>0</v>
      </c>
      <c r="AF652" s="82" t="str">
        <f t="shared" si="560"/>
        <v/>
      </c>
      <c r="AG652" s="50"/>
      <c r="AH652" s="85">
        <f>AG652*$F652</f>
        <v>0</v>
      </c>
      <c r="AI652" s="82" t="str">
        <f t="shared" si="561"/>
        <v/>
      </c>
      <c r="AJ652" s="50"/>
      <c r="AK652" s="85">
        <f>AJ652*$F652</f>
        <v>0</v>
      </c>
      <c r="AL652" s="82" t="str">
        <f t="shared" si="562"/>
        <v/>
      </c>
      <c r="AM652" s="50"/>
      <c r="AN652" s="85">
        <f>AM652*$F652</f>
        <v>0</v>
      </c>
      <c r="AO652" s="82" t="str">
        <f t="shared" si="563"/>
        <v/>
      </c>
      <c r="AP652" s="48">
        <f t="shared" si="552"/>
        <v>0</v>
      </c>
      <c r="AQ652" s="85">
        <f>AP652*$F652</f>
        <v>0</v>
      </c>
      <c r="AR652" s="82" t="str">
        <f t="shared" si="564"/>
        <v/>
      </c>
      <c r="AS652" s="48">
        <f t="shared" si="553"/>
        <v>8.3000000000000007</v>
      </c>
      <c r="AT652" s="85">
        <f>AS652*$F652</f>
        <v>2998.7070000000003</v>
      </c>
      <c r="AU652" s="82">
        <f t="shared" si="565"/>
        <v>1</v>
      </c>
    </row>
    <row r="653" spans="1:47" s="161" customFormat="1">
      <c r="A653" s="94"/>
      <c r="B653" s="116" t="s">
        <v>2074</v>
      </c>
      <c r="C653" s="1945" t="s">
        <v>2075</v>
      </c>
      <c r="D653" s="1946"/>
      <c r="E653" s="1946"/>
      <c r="F653" s="1946"/>
      <c r="G653" s="1947"/>
      <c r="H653" s="159">
        <f>H654+H655+H656</f>
        <v>18044.080000000002</v>
      </c>
      <c r="I653" s="50">
        <f t="shared" si="534"/>
        <v>0</v>
      </c>
      <c r="J653" s="159">
        <f>J654+J655+J656</f>
        <v>0</v>
      </c>
      <c r="K653" s="102">
        <f>J653/$H653</f>
        <v>0</v>
      </c>
      <c r="L653" s="101"/>
      <c r="M653" s="159">
        <f>M654+M655+M656</f>
        <v>0</v>
      </c>
      <c r="N653" s="102">
        <f>M653/$H653</f>
        <v>0</v>
      </c>
      <c r="O653" s="101"/>
      <c r="P653" s="159">
        <f>P654+P655+P656</f>
        <v>0</v>
      </c>
      <c r="Q653" s="102">
        <f>P653/$H653</f>
        <v>0</v>
      </c>
      <c r="R653" s="101"/>
      <c r="S653" s="159">
        <f>S654+S655+S656</f>
        <v>0</v>
      </c>
      <c r="T653" s="102">
        <f>S653/$H653</f>
        <v>0</v>
      </c>
      <c r="U653" s="101"/>
      <c r="V653" s="159">
        <f>V654+V655+V656</f>
        <v>0</v>
      </c>
      <c r="W653" s="102">
        <f>V653/$H653</f>
        <v>0</v>
      </c>
      <c r="X653" s="101"/>
      <c r="Y653" s="159">
        <f>Y654+Y655+Y656</f>
        <v>0</v>
      </c>
      <c r="Z653" s="102">
        <f>Y653/$H653</f>
        <v>0</v>
      </c>
      <c r="AA653" s="101"/>
      <c r="AB653" s="159">
        <f>AB654+AB655+AB656</f>
        <v>0</v>
      </c>
      <c r="AC653" s="102">
        <f>AB653/$H653</f>
        <v>0</v>
      </c>
      <c r="AD653" s="101"/>
      <c r="AE653" s="159">
        <f>AE654+AE655+AE656</f>
        <v>0</v>
      </c>
      <c r="AF653" s="102">
        <f>AE653/$H653</f>
        <v>0</v>
      </c>
      <c r="AG653" s="101"/>
      <c r="AH653" s="159">
        <f>AH654+AH655+AH656</f>
        <v>0</v>
      </c>
      <c r="AI653" s="102">
        <f>AH653/$H653</f>
        <v>0</v>
      </c>
      <c r="AJ653" s="101"/>
      <c r="AK653" s="159">
        <f>AK654+AK655+AK656</f>
        <v>0</v>
      </c>
      <c r="AL653" s="102">
        <f>AK653/$H653</f>
        <v>0</v>
      </c>
      <c r="AM653" s="101"/>
      <c r="AN653" s="159">
        <f>AN654+AN655+AN656</f>
        <v>0</v>
      </c>
      <c r="AO653" s="102">
        <f>AN653/$H653</f>
        <v>0</v>
      </c>
      <c r="AP653" s="160">
        <f t="shared" si="552"/>
        <v>0</v>
      </c>
      <c r="AQ653" s="159">
        <f>AQ654+AQ655+AQ656</f>
        <v>0</v>
      </c>
      <c r="AR653" s="102">
        <f>AQ653/$H653</f>
        <v>0</v>
      </c>
      <c r="AS653" s="160">
        <f t="shared" si="553"/>
        <v>0</v>
      </c>
      <c r="AT653" s="159">
        <f>AT654+AT655+AT656</f>
        <v>18044.080000000002</v>
      </c>
      <c r="AU653" s="102">
        <f>AT653/$H653</f>
        <v>1</v>
      </c>
    </row>
    <row r="654" spans="1:47" ht="45">
      <c r="A654" s="16"/>
      <c r="B654" s="97" t="s">
        <v>2076</v>
      </c>
      <c r="C654" s="167" t="s">
        <v>2077</v>
      </c>
      <c r="D654" s="86" t="s">
        <v>2078</v>
      </c>
      <c r="E654" s="97" t="s">
        <v>28</v>
      </c>
      <c r="F654" s="172">
        <v>874.23</v>
      </c>
      <c r="G654" s="97">
        <v>11</v>
      </c>
      <c r="H654" s="85">
        <f t="shared" si="566"/>
        <v>9616.5300000000007</v>
      </c>
      <c r="I654" s="50">
        <f t="shared" si="534"/>
        <v>0</v>
      </c>
      <c r="J654" s="85">
        <f>I654*$F654</f>
        <v>0</v>
      </c>
      <c r="K654" s="82" t="str">
        <f t="shared" si="554"/>
        <v/>
      </c>
      <c r="L654" s="50"/>
      <c r="M654" s="85">
        <f>L654*$F654</f>
        <v>0</v>
      </c>
      <c r="N654" s="82" t="str">
        <f t="shared" si="555"/>
        <v/>
      </c>
      <c r="O654" s="50"/>
      <c r="P654" s="85">
        <f>O654*$F654</f>
        <v>0</v>
      </c>
      <c r="Q654" s="82" t="str">
        <f>IF(O654=0,"",O654/$G654)</f>
        <v/>
      </c>
      <c r="R654" s="50"/>
      <c r="S654" s="85">
        <f>R654*$F654</f>
        <v>0</v>
      </c>
      <c r="T654" s="82" t="str">
        <f t="shared" si="556"/>
        <v/>
      </c>
      <c r="U654" s="50"/>
      <c r="V654" s="85">
        <f>U654*$F654</f>
        <v>0</v>
      </c>
      <c r="W654" s="82" t="str">
        <f t="shared" si="557"/>
        <v/>
      </c>
      <c r="X654" s="50"/>
      <c r="Y654" s="85">
        <f>X654*$F654</f>
        <v>0</v>
      </c>
      <c r="Z654" s="82" t="str">
        <f t="shared" si="558"/>
        <v/>
      </c>
      <c r="AA654" s="50"/>
      <c r="AB654" s="85">
        <f>AA654*$F654</f>
        <v>0</v>
      </c>
      <c r="AC654" s="82" t="str">
        <f t="shared" si="559"/>
        <v/>
      </c>
      <c r="AD654" s="50"/>
      <c r="AE654" s="85">
        <f>AD654*$F654</f>
        <v>0</v>
      </c>
      <c r="AF654" s="82" t="str">
        <f t="shared" si="560"/>
        <v/>
      </c>
      <c r="AG654" s="50"/>
      <c r="AH654" s="85">
        <f>AG654*$F654</f>
        <v>0</v>
      </c>
      <c r="AI654" s="82" t="str">
        <f t="shared" si="561"/>
        <v/>
      </c>
      <c r="AJ654" s="50"/>
      <c r="AK654" s="85">
        <f>AJ654*$F654</f>
        <v>0</v>
      </c>
      <c r="AL654" s="82" t="str">
        <f t="shared" si="562"/>
        <v/>
      </c>
      <c r="AM654" s="50"/>
      <c r="AN654" s="85">
        <f>AM654*$F654</f>
        <v>0</v>
      </c>
      <c r="AO654" s="82" t="str">
        <f t="shared" si="563"/>
        <v/>
      </c>
      <c r="AP654" s="48">
        <f t="shared" si="552"/>
        <v>0</v>
      </c>
      <c r="AQ654" s="85">
        <f>AP654*$F654</f>
        <v>0</v>
      </c>
      <c r="AR654" s="82" t="str">
        <f t="shared" si="564"/>
        <v/>
      </c>
      <c r="AS654" s="48">
        <f t="shared" si="553"/>
        <v>11</v>
      </c>
      <c r="AT654" s="85">
        <f>AS654*$F654</f>
        <v>9616.5300000000007</v>
      </c>
      <c r="AU654" s="82">
        <f t="shared" si="565"/>
        <v>1</v>
      </c>
    </row>
    <row r="655" spans="1:47" ht="30">
      <c r="A655" s="16"/>
      <c r="B655" s="97" t="s">
        <v>2079</v>
      </c>
      <c r="C655" s="167" t="s">
        <v>2080</v>
      </c>
      <c r="D655" s="86" t="s">
        <v>2081</v>
      </c>
      <c r="E655" s="97" t="s">
        <v>28</v>
      </c>
      <c r="F655" s="172">
        <v>137.08000000000001</v>
      </c>
      <c r="G655" s="97">
        <v>26</v>
      </c>
      <c r="H655" s="85">
        <f t="shared" si="566"/>
        <v>3564.0800000000004</v>
      </c>
      <c r="I655" s="50">
        <f t="shared" si="534"/>
        <v>0</v>
      </c>
      <c r="J655" s="85">
        <f>I655*$F655</f>
        <v>0</v>
      </c>
      <c r="K655" s="82" t="str">
        <f t="shared" si="554"/>
        <v/>
      </c>
      <c r="L655" s="50"/>
      <c r="M655" s="85">
        <f>L655*$F655</f>
        <v>0</v>
      </c>
      <c r="N655" s="82" t="str">
        <f t="shared" si="555"/>
        <v/>
      </c>
      <c r="O655" s="50"/>
      <c r="P655" s="85">
        <f>O655*$F655</f>
        <v>0</v>
      </c>
      <c r="Q655" s="82" t="str">
        <f>IF(O655=0,"",O655/$G655)</f>
        <v/>
      </c>
      <c r="R655" s="50"/>
      <c r="S655" s="85">
        <f>R655*$F655</f>
        <v>0</v>
      </c>
      <c r="T655" s="82" t="str">
        <f t="shared" si="556"/>
        <v/>
      </c>
      <c r="U655" s="50"/>
      <c r="V655" s="85">
        <f>U655*$F655</f>
        <v>0</v>
      </c>
      <c r="W655" s="82" t="str">
        <f t="shared" si="557"/>
        <v/>
      </c>
      <c r="X655" s="50"/>
      <c r="Y655" s="85">
        <f>X655*$F655</f>
        <v>0</v>
      </c>
      <c r="Z655" s="82" t="str">
        <f t="shared" si="558"/>
        <v/>
      </c>
      <c r="AA655" s="50"/>
      <c r="AB655" s="85">
        <f>AA655*$F655</f>
        <v>0</v>
      </c>
      <c r="AC655" s="82" t="str">
        <f t="shared" si="559"/>
        <v/>
      </c>
      <c r="AD655" s="50"/>
      <c r="AE655" s="85">
        <f>AD655*$F655</f>
        <v>0</v>
      </c>
      <c r="AF655" s="82" t="str">
        <f t="shared" si="560"/>
        <v/>
      </c>
      <c r="AG655" s="50"/>
      <c r="AH655" s="85">
        <f>AG655*$F655</f>
        <v>0</v>
      </c>
      <c r="AI655" s="82" t="str">
        <f t="shared" si="561"/>
        <v/>
      </c>
      <c r="AJ655" s="50"/>
      <c r="AK655" s="85">
        <f>AJ655*$F655</f>
        <v>0</v>
      </c>
      <c r="AL655" s="82" t="str">
        <f t="shared" si="562"/>
        <v/>
      </c>
      <c r="AM655" s="50"/>
      <c r="AN655" s="85">
        <f>AM655*$F655</f>
        <v>0</v>
      </c>
      <c r="AO655" s="82" t="str">
        <f t="shared" si="563"/>
        <v/>
      </c>
      <c r="AP655" s="48">
        <f t="shared" si="552"/>
        <v>0</v>
      </c>
      <c r="AQ655" s="85">
        <f>AP655*$F655</f>
        <v>0</v>
      </c>
      <c r="AR655" s="82" t="str">
        <f t="shared" si="564"/>
        <v/>
      </c>
      <c r="AS655" s="48">
        <f t="shared" si="553"/>
        <v>26</v>
      </c>
      <c r="AT655" s="85">
        <f>AS655*$F655</f>
        <v>3564.0800000000004</v>
      </c>
      <c r="AU655" s="82">
        <f t="shared" si="565"/>
        <v>1</v>
      </c>
    </row>
    <row r="656" spans="1:47" ht="45">
      <c r="A656" s="16"/>
      <c r="B656" s="97" t="s">
        <v>2082</v>
      </c>
      <c r="C656" s="167" t="s">
        <v>2083</v>
      </c>
      <c r="D656" s="86" t="s">
        <v>2084</v>
      </c>
      <c r="E656" s="97" t="s">
        <v>28</v>
      </c>
      <c r="F656" s="172">
        <v>4863.47</v>
      </c>
      <c r="G656" s="97">
        <v>1</v>
      </c>
      <c r="H656" s="85">
        <f t="shared" si="566"/>
        <v>4863.47</v>
      </c>
      <c r="I656" s="50">
        <f t="shared" si="534"/>
        <v>0</v>
      </c>
      <c r="J656" s="85">
        <f>I656*$F656</f>
        <v>0</v>
      </c>
      <c r="K656" s="82" t="str">
        <f t="shared" si="554"/>
        <v/>
      </c>
      <c r="L656" s="50"/>
      <c r="M656" s="85">
        <f>L656*$F656</f>
        <v>0</v>
      </c>
      <c r="N656" s="82" t="str">
        <f t="shared" si="555"/>
        <v/>
      </c>
      <c r="O656" s="50"/>
      <c r="P656" s="85">
        <f>O656*$F656</f>
        <v>0</v>
      </c>
      <c r="Q656" s="82" t="str">
        <f>IF(O656=0,"",O656/$G656)</f>
        <v/>
      </c>
      <c r="R656" s="50"/>
      <c r="S656" s="85">
        <f>R656*$F656</f>
        <v>0</v>
      </c>
      <c r="T656" s="82" t="str">
        <f t="shared" si="556"/>
        <v/>
      </c>
      <c r="U656" s="50"/>
      <c r="V656" s="85">
        <f>U656*$F656</f>
        <v>0</v>
      </c>
      <c r="W656" s="82" t="str">
        <f t="shared" si="557"/>
        <v/>
      </c>
      <c r="X656" s="50"/>
      <c r="Y656" s="85">
        <f>X656*$F656</f>
        <v>0</v>
      </c>
      <c r="Z656" s="82" t="str">
        <f t="shared" si="558"/>
        <v/>
      </c>
      <c r="AA656" s="50"/>
      <c r="AB656" s="85">
        <f>AA656*$F656</f>
        <v>0</v>
      </c>
      <c r="AC656" s="82" t="str">
        <f t="shared" si="559"/>
        <v/>
      </c>
      <c r="AD656" s="50"/>
      <c r="AE656" s="85">
        <f>AD656*$F656</f>
        <v>0</v>
      </c>
      <c r="AF656" s="82" t="str">
        <f t="shared" si="560"/>
        <v/>
      </c>
      <c r="AG656" s="50"/>
      <c r="AH656" s="85">
        <f>AG656*$F656</f>
        <v>0</v>
      </c>
      <c r="AI656" s="82" t="str">
        <f t="shared" si="561"/>
        <v/>
      </c>
      <c r="AJ656" s="50"/>
      <c r="AK656" s="85">
        <f>AJ656*$F656</f>
        <v>0</v>
      </c>
      <c r="AL656" s="82" t="str">
        <f t="shared" si="562"/>
        <v/>
      </c>
      <c r="AM656" s="50"/>
      <c r="AN656" s="85">
        <f>AM656*$F656</f>
        <v>0</v>
      </c>
      <c r="AO656" s="82" t="str">
        <f t="shared" si="563"/>
        <v/>
      </c>
      <c r="AP656" s="48">
        <f t="shared" si="552"/>
        <v>0</v>
      </c>
      <c r="AQ656" s="85">
        <f>AP656*$F656</f>
        <v>0</v>
      </c>
      <c r="AR656" s="82" t="str">
        <f t="shared" si="564"/>
        <v/>
      </c>
      <c r="AS656" s="48">
        <f t="shared" si="553"/>
        <v>1</v>
      </c>
      <c r="AT656" s="85">
        <f>AS656*$F656</f>
        <v>4863.47</v>
      </c>
      <c r="AU656" s="82">
        <f t="shared" si="565"/>
        <v>1</v>
      </c>
    </row>
    <row r="657" spans="1:47" s="161" customFormat="1">
      <c r="A657" s="94"/>
      <c r="B657" s="116" t="s">
        <v>2085</v>
      </c>
      <c r="C657" s="1945" t="s">
        <v>2086</v>
      </c>
      <c r="D657" s="1946"/>
      <c r="E657" s="1946"/>
      <c r="F657" s="1946"/>
      <c r="G657" s="1947"/>
      <c r="H657" s="159">
        <f>H658</f>
        <v>147483.93600000002</v>
      </c>
      <c r="I657" s="50">
        <f t="shared" si="534"/>
        <v>0</v>
      </c>
      <c r="J657" s="159">
        <f>J658</f>
        <v>0</v>
      </c>
      <c r="K657" s="102">
        <f>J657/$H657</f>
        <v>0</v>
      </c>
      <c r="L657" s="101"/>
      <c r="M657" s="159">
        <f>M658</f>
        <v>0</v>
      </c>
      <c r="N657" s="102">
        <f>M657/$H657</f>
        <v>0</v>
      </c>
      <c r="O657" s="101"/>
      <c r="P657" s="159">
        <f>P658</f>
        <v>0</v>
      </c>
      <c r="Q657" s="102">
        <f>P657/$H657</f>
        <v>0</v>
      </c>
      <c r="R657" s="101"/>
      <c r="S657" s="159">
        <f>S658</f>
        <v>0</v>
      </c>
      <c r="T657" s="102">
        <f>S657/$H657</f>
        <v>0</v>
      </c>
      <c r="U657" s="101"/>
      <c r="V657" s="159">
        <f>V658</f>
        <v>0</v>
      </c>
      <c r="W657" s="102">
        <f>V657/$H657</f>
        <v>0</v>
      </c>
      <c r="X657" s="101"/>
      <c r="Y657" s="159">
        <f>Y658</f>
        <v>0</v>
      </c>
      <c r="Z657" s="102">
        <f>Y657/$H657</f>
        <v>0</v>
      </c>
      <c r="AA657" s="101"/>
      <c r="AB657" s="159">
        <f>AB658</f>
        <v>0</v>
      </c>
      <c r="AC657" s="102">
        <f>AB657/$H657</f>
        <v>0</v>
      </c>
      <c r="AD657" s="101"/>
      <c r="AE657" s="159">
        <f>AE658</f>
        <v>0</v>
      </c>
      <c r="AF657" s="102">
        <f>AE657/$H657</f>
        <v>0</v>
      </c>
      <c r="AG657" s="101"/>
      <c r="AH657" s="159">
        <f>AH658</f>
        <v>0</v>
      </c>
      <c r="AI657" s="102">
        <f>AH657/$H657</f>
        <v>0</v>
      </c>
      <c r="AJ657" s="101"/>
      <c r="AK657" s="159">
        <f>AK658</f>
        <v>0</v>
      </c>
      <c r="AL657" s="102">
        <f>AK657/$H657</f>
        <v>0</v>
      </c>
      <c r="AM657" s="101"/>
      <c r="AN657" s="159">
        <f>AN658</f>
        <v>0</v>
      </c>
      <c r="AO657" s="102">
        <f>AN657/$H657</f>
        <v>0</v>
      </c>
      <c r="AP657" s="160">
        <f t="shared" si="552"/>
        <v>0</v>
      </c>
      <c r="AQ657" s="159">
        <f>AQ658</f>
        <v>0</v>
      </c>
      <c r="AR657" s="102">
        <f>AQ657/$H657</f>
        <v>0</v>
      </c>
      <c r="AS657" s="160">
        <f t="shared" si="553"/>
        <v>0</v>
      </c>
      <c r="AT657" s="159">
        <f>AT658</f>
        <v>147483.93600000002</v>
      </c>
      <c r="AU657" s="102">
        <f>AT657/$H657</f>
        <v>1</v>
      </c>
    </row>
    <row r="658" spans="1:47" ht="120">
      <c r="A658" s="16"/>
      <c r="B658" s="98" t="s">
        <v>2087</v>
      </c>
      <c r="C658" s="168" t="s">
        <v>2088</v>
      </c>
      <c r="D658" s="87" t="s">
        <v>2140</v>
      </c>
      <c r="E658" s="98" t="s">
        <v>12</v>
      </c>
      <c r="F658" s="142">
        <v>647.20000000000005</v>
      </c>
      <c r="G658" s="98">
        <v>227.88</v>
      </c>
      <c r="H658" s="85">
        <f t="shared" si="566"/>
        <v>147483.93600000002</v>
      </c>
      <c r="I658" s="50">
        <f t="shared" si="534"/>
        <v>0</v>
      </c>
      <c r="J658" s="85">
        <f>I658*$F658</f>
        <v>0</v>
      </c>
      <c r="K658" s="82" t="str">
        <f t="shared" si="554"/>
        <v/>
      </c>
      <c r="L658" s="50"/>
      <c r="M658" s="85">
        <f>L658*$F658</f>
        <v>0</v>
      </c>
      <c r="N658" s="82" t="str">
        <f t="shared" si="555"/>
        <v/>
      </c>
      <c r="O658" s="50"/>
      <c r="P658" s="85">
        <f>O658*$F658</f>
        <v>0</v>
      </c>
      <c r="Q658" s="82" t="str">
        <f>IF(O658=0,"",O658/$G658)</f>
        <v/>
      </c>
      <c r="R658" s="50"/>
      <c r="S658" s="85">
        <f>R658*$F658</f>
        <v>0</v>
      </c>
      <c r="T658" s="82" t="str">
        <f t="shared" si="556"/>
        <v/>
      </c>
      <c r="U658" s="50"/>
      <c r="V658" s="85">
        <f>U658*$F658</f>
        <v>0</v>
      </c>
      <c r="W658" s="82" t="str">
        <f t="shared" si="557"/>
        <v/>
      </c>
      <c r="X658" s="50"/>
      <c r="Y658" s="85">
        <f>X658*$F658</f>
        <v>0</v>
      </c>
      <c r="Z658" s="82" t="str">
        <f t="shared" si="558"/>
        <v/>
      </c>
      <c r="AA658" s="50"/>
      <c r="AB658" s="85">
        <f>AA658*$F658</f>
        <v>0</v>
      </c>
      <c r="AC658" s="82" t="str">
        <f t="shared" si="559"/>
        <v/>
      </c>
      <c r="AD658" s="50"/>
      <c r="AE658" s="85">
        <f>AD658*$F658</f>
        <v>0</v>
      </c>
      <c r="AF658" s="82" t="str">
        <f t="shared" si="560"/>
        <v/>
      </c>
      <c r="AG658" s="50"/>
      <c r="AH658" s="85">
        <f>AG658*$F658</f>
        <v>0</v>
      </c>
      <c r="AI658" s="82" t="str">
        <f t="shared" si="561"/>
        <v/>
      </c>
      <c r="AJ658" s="50"/>
      <c r="AK658" s="85">
        <f>AJ658*$F658</f>
        <v>0</v>
      </c>
      <c r="AL658" s="82" t="str">
        <f t="shared" si="562"/>
        <v/>
      </c>
      <c r="AM658" s="50"/>
      <c r="AN658" s="85">
        <f>AM658*$F658</f>
        <v>0</v>
      </c>
      <c r="AO658" s="82" t="str">
        <f t="shared" si="563"/>
        <v/>
      </c>
      <c r="AP658" s="48">
        <f t="shared" si="552"/>
        <v>0</v>
      </c>
      <c r="AQ658" s="85">
        <f>AP658*$F658</f>
        <v>0</v>
      </c>
      <c r="AR658" s="82" t="str">
        <f t="shared" si="564"/>
        <v/>
      </c>
      <c r="AS658" s="48">
        <f t="shared" si="553"/>
        <v>227.88</v>
      </c>
      <c r="AT658" s="85">
        <f>AS658*$F658</f>
        <v>147483.93600000002</v>
      </c>
      <c r="AU658" s="82">
        <f t="shared" si="565"/>
        <v>1</v>
      </c>
    </row>
    <row r="659" spans="1:47" s="161" customFormat="1">
      <c r="A659" s="94"/>
      <c r="B659" s="116" t="s">
        <v>2089</v>
      </c>
      <c r="C659" s="1945" t="s">
        <v>2090</v>
      </c>
      <c r="D659" s="1946"/>
      <c r="E659" s="1946"/>
      <c r="F659" s="1946"/>
      <c r="G659" s="1947"/>
      <c r="H659" s="159">
        <f>H660</f>
        <v>628.16</v>
      </c>
      <c r="I659" s="50">
        <f t="shared" ref="I659:I664" si="567">L659+O659</f>
        <v>0</v>
      </c>
      <c r="J659" s="159">
        <f>J660</f>
        <v>0</v>
      </c>
      <c r="K659" s="102">
        <f>J659/$H659</f>
        <v>0</v>
      </c>
      <c r="L659" s="101"/>
      <c r="M659" s="159">
        <f>M660</f>
        <v>0</v>
      </c>
      <c r="N659" s="102">
        <f>M659/$H659</f>
        <v>0</v>
      </c>
      <c r="O659" s="101"/>
      <c r="P659" s="159">
        <f>P660</f>
        <v>0</v>
      </c>
      <c r="Q659" s="102">
        <f>P659/$H659</f>
        <v>0</v>
      </c>
      <c r="R659" s="101"/>
      <c r="S659" s="159">
        <f>S660</f>
        <v>0</v>
      </c>
      <c r="T659" s="102">
        <f>S659/$H659</f>
        <v>0</v>
      </c>
      <c r="U659" s="101"/>
      <c r="V659" s="159">
        <f>V660</f>
        <v>0</v>
      </c>
      <c r="W659" s="102">
        <f>V659/$H659</f>
        <v>0</v>
      </c>
      <c r="X659" s="101"/>
      <c r="Y659" s="159">
        <f>Y660</f>
        <v>0</v>
      </c>
      <c r="Z659" s="102">
        <f>Y659/$H659</f>
        <v>0</v>
      </c>
      <c r="AA659" s="101"/>
      <c r="AB659" s="159">
        <f>AB660</f>
        <v>0</v>
      </c>
      <c r="AC659" s="102">
        <f>AB659/$H659</f>
        <v>0</v>
      </c>
      <c r="AD659" s="101"/>
      <c r="AE659" s="159">
        <f>AE660</f>
        <v>0</v>
      </c>
      <c r="AF659" s="102">
        <f>AE659/$H659</f>
        <v>0</v>
      </c>
      <c r="AG659" s="101"/>
      <c r="AH659" s="159">
        <f>AH660</f>
        <v>0</v>
      </c>
      <c r="AI659" s="102">
        <f>AH659/$H659</f>
        <v>0</v>
      </c>
      <c r="AJ659" s="101"/>
      <c r="AK659" s="159">
        <f>AK660</f>
        <v>0</v>
      </c>
      <c r="AL659" s="102">
        <f>AK659/$H659</f>
        <v>0</v>
      </c>
      <c r="AM659" s="101"/>
      <c r="AN659" s="159">
        <f>AN660</f>
        <v>0</v>
      </c>
      <c r="AO659" s="102">
        <f>AN659/$H659</f>
        <v>0</v>
      </c>
      <c r="AP659" s="160">
        <f t="shared" si="552"/>
        <v>0</v>
      </c>
      <c r="AQ659" s="159">
        <f>AQ660</f>
        <v>0</v>
      </c>
      <c r="AR659" s="102">
        <f>AQ659/$H659</f>
        <v>0</v>
      </c>
      <c r="AS659" s="160">
        <f t="shared" si="553"/>
        <v>0</v>
      </c>
      <c r="AT659" s="159">
        <f>AT660</f>
        <v>628.16</v>
      </c>
      <c r="AU659" s="102">
        <f>AT659/$H659</f>
        <v>1</v>
      </c>
    </row>
    <row r="660" spans="1:47" ht="45">
      <c r="A660" s="16"/>
      <c r="B660" s="97" t="s">
        <v>2091</v>
      </c>
      <c r="C660" s="167" t="s">
        <v>2092</v>
      </c>
      <c r="D660" s="86" t="s">
        <v>2093</v>
      </c>
      <c r="E660" s="97" t="s">
        <v>12</v>
      </c>
      <c r="F660" s="141">
        <v>32</v>
      </c>
      <c r="G660" s="97">
        <v>19.63</v>
      </c>
      <c r="H660" s="85">
        <f t="shared" si="566"/>
        <v>628.16</v>
      </c>
      <c r="I660" s="50">
        <f t="shared" si="567"/>
        <v>0</v>
      </c>
      <c r="J660" s="85">
        <f>I660*$F660</f>
        <v>0</v>
      </c>
      <c r="K660" s="82" t="str">
        <f t="shared" si="554"/>
        <v/>
      </c>
      <c r="L660" s="50"/>
      <c r="M660" s="85">
        <f>L660*$F660</f>
        <v>0</v>
      </c>
      <c r="N660" s="82" t="str">
        <f t="shared" si="555"/>
        <v/>
      </c>
      <c r="O660" s="50"/>
      <c r="P660" s="85">
        <f>O660*$F660</f>
        <v>0</v>
      </c>
      <c r="Q660" s="82" t="str">
        <f>IF(O660=0,"",O660/$G660)</f>
        <v/>
      </c>
      <c r="R660" s="50"/>
      <c r="S660" s="85">
        <f>R660*$F660</f>
        <v>0</v>
      </c>
      <c r="T660" s="82" t="str">
        <f t="shared" si="556"/>
        <v/>
      </c>
      <c r="U660" s="50"/>
      <c r="V660" s="85">
        <f>U660*$F660</f>
        <v>0</v>
      </c>
      <c r="W660" s="82" t="str">
        <f t="shared" si="557"/>
        <v/>
      </c>
      <c r="X660" s="50"/>
      <c r="Y660" s="85">
        <f>X660*$F660</f>
        <v>0</v>
      </c>
      <c r="Z660" s="82" t="str">
        <f t="shared" si="558"/>
        <v/>
      </c>
      <c r="AA660" s="50"/>
      <c r="AB660" s="85">
        <f>AA660*$F660</f>
        <v>0</v>
      </c>
      <c r="AC660" s="82" t="str">
        <f t="shared" si="559"/>
        <v/>
      </c>
      <c r="AD660" s="50"/>
      <c r="AE660" s="85">
        <f>AD660*$F660</f>
        <v>0</v>
      </c>
      <c r="AF660" s="82" t="str">
        <f t="shared" si="560"/>
        <v/>
      </c>
      <c r="AG660" s="50"/>
      <c r="AH660" s="85">
        <f>AG660*$F660</f>
        <v>0</v>
      </c>
      <c r="AI660" s="82" t="str">
        <f t="shared" si="561"/>
        <v/>
      </c>
      <c r="AJ660" s="50"/>
      <c r="AK660" s="85">
        <f>AJ660*$F660</f>
        <v>0</v>
      </c>
      <c r="AL660" s="82" t="str">
        <f t="shared" si="562"/>
        <v/>
      </c>
      <c r="AM660" s="50"/>
      <c r="AN660" s="85">
        <f>AM660*$F660</f>
        <v>0</v>
      </c>
      <c r="AO660" s="82" t="str">
        <f t="shared" si="563"/>
        <v/>
      </c>
      <c r="AP660" s="48">
        <f t="shared" si="552"/>
        <v>0</v>
      </c>
      <c r="AQ660" s="85">
        <f>AP660*$F660</f>
        <v>0</v>
      </c>
      <c r="AR660" s="82" t="str">
        <f t="shared" si="564"/>
        <v/>
      </c>
      <c r="AS660" s="48">
        <f t="shared" si="553"/>
        <v>19.63</v>
      </c>
      <c r="AT660" s="85">
        <f>AS660*$F660</f>
        <v>628.16</v>
      </c>
      <c r="AU660" s="82">
        <f t="shared" si="565"/>
        <v>1</v>
      </c>
    </row>
    <row r="661" spans="1:47" s="115" customFormat="1" ht="15.75">
      <c r="A661" s="109"/>
      <c r="B661" s="118" t="s">
        <v>2094</v>
      </c>
      <c r="C661" s="1937" t="s">
        <v>2095</v>
      </c>
      <c r="D661" s="1938"/>
      <c r="E661" s="1938"/>
      <c r="F661" s="1938"/>
      <c r="G661" s="1939"/>
      <c r="H661" s="112">
        <f>H662</f>
        <v>8931.3477000000003</v>
      </c>
      <c r="I661" s="50">
        <f t="shared" si="567"/>
        <v>0</v>
      </c>
      <c r="J661" s="112">
        <f>J662</f>
        <v>0</v>
      </c>
      <c r="K661" s="113">
        <f>J661/$H661</f>
        <v>0</v>
      </c>
      <c r="L661" s="111"/>
      <c r="M661" s="112">
        <f>M662</f>
        <v>0</v>
      </c>
      <c r="N661" s="113">
        <f>M661/$H661</f>
        <v>0</v>
      </c>
      <c r="O661" s="111"/>
      <c r="P661" s="112">
        <f>P662</f>
        <v>0</v>
      </c>
      <c r="Q661" s="113">
        <f>P661/$H661</f>
        <v>0</v>
      </c>
      <c r="R661" s="111"/>
      <c r="S661" s="112">
        <f>S662</f>
        <v>0</v>
      </c>
      <c r="T661" s="113">
        <f>S661/$H661</f>
        <v>0</v>
      </c>
      <c r="U661" s="111"/>
      <c r="V661" s="112">
        <f>V662</f>
        <v>0</v>
      </c>
      <c r="W661" s="113">
        <f>V661/$H661</f>
        <v>0</v>
      </c>
      <c r="X661" s="111"/>
      <c r="Y661" s="112">
        <f>Y662</f>
        <v>0</v>
      </c>
      <c r="Z661" s="113">
        <f>Y661/$H661</f>
        <v>0</v>
      </c>
      <c r="AA661" s="111"/>
      <c r="AB661" s="112">
        <f>AB662</f>
        <v>0</v>
      </c>
      <c r="AC661" s="113">
        <f>AB661/$H661</f>
        <v>0</v>
      </c>
      <c r="AD661" s="111"/>
      <c r="AE661" s="112">
        <f>AE662</f>
        <v>0</v>
      </c>
      <c r="AF661" s="113">
        <f>AE661/$H661</f>
        <v>0</v>
      </c>
      <c r="AG661" s="111"/>
      <c r="AH661" s="112">
        <f>AH662</f>
        <v>0</v>
      </c>
      <c r="AI661" s="113">
        <f>AH661/$H661</f>
        <v>0</v>
      </c>
      <c r="AJ661" s="111"/>
      <c r="AK661" s="112">
        <f>AK662</f>
        <v>0</v>
      </c>
      <c r="AL661" s="113">
        <f>AK661/$H661</f>
        <v>0</v>
      </c>
      <c r="AM661" s="111"/>
      <c r="AN661" s="112">
        <f>AN662</f>
        <v>0</v>
      </c>
      <c r="AO661" s="113">
        <f>AN661/$H661</f>
        <v>0</v>
      </c>
      <c r="AP661" s="114">
        <f t="shared" si="552"/>
        <v>0</v>
      </c>
      <c r="AQ661" s="112">
        <f>AQ662</f>
        <v>0</v>
      </c>
      <c r="AR661" s="113">
        <f>AQ661/$H661</f>
        <v>0</v>
      </c>
      <c r="AS661" s="114">
        <f t="shared" si="553"/>
        <v>0</v>
      </c>
      <c r="AT661" s="112">
        <f>AT662</f>
        <v>8931.3477000000003</v>
      </c>
      <c r="AU661" s="113">
        <f>AT661/$H661</f>
        <v>1</v>
      </c>
    </row>
    <row r="662" spans="1:47" s="161" customFormat="1">
      <c r="A662" s="94"/>
      <c r="B662" s="116" t="s">
        <v>2096</v>
      </c>
      <c r="C662" s="1945" t="s">
        <v>2097</v>
      </c>
      <c r="D662" s="1946"/>
      <c r="E662" s="1946"/>
      <c r="F662" s="1946"/>
      <c r="G662" s="1947"/>
      <c r="H662" s="159">
        <f>H663+H664</f>
        <v>8931.3477000000003</v>
      </c>
      <c r="I662" s="50">
        <f t="shared" si="567"/>
        <v>0</v>
      </c>
      <c r="J662" s="159">
        <f>J663+J664</f>
        <v>0</v>
      </c>
      <c r="K662" s="102">
        <f>J662/$H662</f>
        <v>0</v>
      </c>
      <c r="L662" s="101"/>
      <c r="M662" s="159">
        <f>M663+M664</f>
        <v>0</v>
      </c>
      <c r="N662" s="102">
        <f>M662/$H662</f>
        <v>0</v>
      </c>
      <c r="O662" s="101"/>
      <c r="P662" s="159">
        <f>P663+P664</f>
        <v>0</v>
      </c>
      <c r="Q662" s="102">
        <f>P662/$H662</f>
        <v>0</v>
      </c>
      <c r="R662" s="101"/>
      <c r="S662" s="159">
        <f>S663+S664</f>
        <v>0</v>
      </c>
      <c r="T662" s="102">
        <f>S662/$H662</f>
        <v>0</v>
      </c>
      <c r="U662" s="101"/>
      <c r="V662" s="159">
        <f>V663+V664</f>
        <v>0</v>
      </c>
      <c r="W662" s="102">
        <f>V662/$H662</f>
        <v>0</v>
      </c>
      <c r="X662" s="101"/>
      <c r="Y662" s="159">
        <f>Y663+Y664</f>
        <v>0</v>
      </c>
      <c r="Z662" s="102">
        <f>Y662/$H662</f>
        <v>0</v>
      </c>
      <c r="AA662" s="101"/>
      <c r="AB662" s="159">
        <f>AB663+AB664</f>
        <v>0</v>
      </c>
      <c r="AC662" s="102">
        <f>AB662/$H662</f>
        <v>0</v>
      </c>
      <c r="AD662" s="101"/>
      <c r="AE662" s="159">
        <f>AE663+AE664</f>
        <v>0</v>
      </c>
      <c r="AF662" s="102">
        <f>AE662/$H662</f>
        <v>0</v>
      </c>
      <c r="AG662" s="101"/>
      <c r="AH662" s="159">
        <f>AH663+AH664</f>
        <v>0</v>
      </c>
      <c r="AI662" s="102">
        <f>AH662/$H662</f>
        <v>0</v>
      </c>
      <c r="AJ662" s="101"/>
      <c r="AK662" s="159">
        <f>AK663+AK664</f>
        <v>0</v>
      </c>
      <c r="AL662" s="102">
        <f>AK662/$H662</f>
        <v>0</v>
      </c>
      <c r="AM662" s="101"/>
      <c r="AN662" s="159">
        <f>AN663+AN664</f>
        <v>0</v>
      </c>
      <c r="AO662" s="102">
        <f>AN662/$H662</f>
        <v>0</v>
      </c>
      <c r="AP662" s="160">
        <f t="shared" si="552"/>
        <v>0</v>
      </c>
      <c r="AQ662" s="159">
        <f>AQ663+AQ664</f>
        <v>0</v>
      </c>
      <c r="AR662" s="102">
        <f>AQ662/$H662</f>
        <v>0</v>
      </c>
      <c r="AS662" s="160">
        <f t="shared" si="553"/>
        <v>0</v>
      </c>
      <c r="AT662" s="159">
        <f>AT663+AT664</f>
        <v>8931.3477000000003</v>
      </c>
      <c r="AU662" s="102">
        <f>AT662/$H662</f>
        <v>1</v>
      </c>
    </row>
    <row r="663" spans="1:47">
      <c r="A663" s="16"/>
      <c r="B663" s="97" t="s">
        <v>2098</v>
      </c>
      <c r="C663" s="167" t="s">
        <v>457</v>
      </c>
      <c r="D663" s="86" t="s">
        <v>458</v>
      </c>
      <c r="E663" s="97" t="s">
        <v>12</v>
      </c>
      <c r="F663" s="141">
        <v>12.13</v>
      </c>
      <c r="G663" s="97">
        <v>708.62</v>
      </c>
      <c r="H663" s="85">
        <f>G663*$F663</f>
        <v>8595.5606000000007</v>
      </c>
      <c r="I663" s="50">
        <f t="shared" si="567"/>
        <v>0</v>
      </c>
      <c r="J663" s="85">
        <f>I663*$F663</f>
        <v>0</v>
      </c>
      <c r="K663" s="82" t="str">
        <f t="shared" si="554"/>
        <v/>
      </c>
      <c r="L663" s="50"/>
      <c r="M663" s="85">
        <f>L663*$F663</f>
        <v>0</v>
      </c>
      <c r="N663" s="82" t="str">
        <f t="shared" si="555"/>
        <v/>
      </c>
      <c r="O663" s="50"/>
      <c r="P663" s="85">
        <f>O663*$F663</f>
        <v>0</v>
      </c>
      <c r="Q663" s="82" t="str">
        <f>IF(O663=0,"",O663/$G663)</f>
        <v/>
      </c>
      <c r="R663" s="50"/>
      <c r="S663" s="85">
        <f>R663*$F663</f>
        <v>0</v>
      </c>
      <c r="T663" s="82" t="str">
        <f t="shared" si="556"/>
        <v/>
      </c>
      <c r="U663" s="50"/>
      <c r="V663" s="85">
        <f>U663*$F663</f>
        <v>0</v>
      </c>
      <c r="W663" s="82" t="str">
        <f t="shared" si="557"/>
        <v/>
      </c>
      <c r="X663" s="50"/>
      <c r="Y663" s="85">
        <f>X663*$F663</f>
        <v>0</v>
      </c>
      <c r="Z663" s="82" t="str">
        <f t="shared" si="558"/>
        <v/>
      </c>
      <c r="AA663" s="50"/>
      <c r="AB663" s="85">
        <f>AA663*$F663</f>
        <v>0</v>
      </c>
      <c r="AC663" s="82" t="str">
        <f t="shared" si="559"/>
        <v/>
      </c>
      <c r="AD663" s="50"/>
      <c r="AE663" s="85">
        <f>AD663*$F663</f>
        <v>0</v>
      </c>
      <c r="AF663" s="82" t="str">
        <f t="shared" si="560"/>
        <v/>
      </c>
      <c r="AG663" s="50"/>
      <c r="AH663" s="85">
        <f>AG663*$F663</f>
        <v>0</v>
      </c>
      <c r="AI663" s="82" t="str">
        <f t="shared" si="561"/>
        <v/>
      </c>
      <c r="AJ663" s="50"/>
      <c r="AK663" s="85">
        <f>AJ663*$F663</f>
        <v>0</v>
      </c>
      <c r="AL663" s="82" t="str">
        <f t="shared" si="562"/>
        <v/>
      </c>
      <c r="AM663" s="50"/>
      <c r="AN663" s="85">
        <f>AM663*$F663</f>
        <v>0</v>
      </c>
      <c r="AO663" s="82" t="str">
        <f t="shared" si="563"/>
        <v/>
      </c>
      <c r="AP663" s="48">
        <f t="shared" si="552"/>
        <v>0</v>
      </c>
      <c r="AQ663" s="85">
        <f>AP663*$F663</f>
        <v>0</v>
      </c>
      <c r="AR663" s="82" t="str">
        <f t="shared" si="564"/>
        <v/>
      </c>
      <c r="AS663" s="48">
        <f t="shared" si="553"/>
        <v>708.62</v>
      </c>
      <c r="AT663" s="85">
        <f>AS663*$F663</f>
        <v>8595.5606000000007</v>
      </c>
      <c r="AU663" s="82">
        <f t="shared" si="565"/>
        <v>1</v>
      </c>
    </row>
    <row r="664" spans="1:47" ht="30">
      <c r="A664" s="16"/>
      <c r="B664" s="98" t="s">
        <v>2099</v>
      </c>
      <c r="C664" s="168" t="s">
        <v>2100</v>
      </c>
      <c r="D664" s="87" t="s">
        <v>2101</v>
      </c>
      <c r="E664" s="98" t="s">
        <v>12</v>
      </c>
      <c r="F664" s="142">
        <v>1.21</v>
      </c>
      <c r="G664" s="98">
        <v>277.51</v>
      </c>
      <c r="H664" s="85">
        <f>G664*$F664</f>
        <v>335.78709999999995</v>
      </c>
      <c r="I664" s="50">
        <f t="shared" si="567"/>
        <v>0</v>
      </c>
      <c r="J664" s="85">
        <f>I664*$F664</f>
        <v>0</v>
      </c>
      <c r="K664" s="82" t="str">
        <f t="shared" si="554"/>
        <v/>
      </c>
      <c r="L664" s="50"/>
      <c r="M664" s="85">
        <f>L664*$F664</f>
        <v>0</v>
      </c>
      <c r="N664" s="82" t="str">
        <f t="shared" si="555"/>
        <v/>
      </c>
      <c r="O664" s="50"/>
      <c r="P664" s="85">
        <f>O664*$F664</f>
        <v>0</v>
      </c>
      <c r="Q664" s="82" t="str">
        <f>IF(O664=0,"",O664/$G664)</f>
        <v/>
      </c>
      <c r="R664" s="50"/>
      <c r="S664" s="85">
        <f>R664*$F664</f>
        <v>0</v>
      </c>
      <c r="T664" s="82" t="str">
        <f t="shared" si="556"/>
        <v/>
      </c>
      <c r="U664" s="50"/>
      <c r="V664" s="85">
        <f>U664*$F664</f>
        <v>0</v>
      </c>
      <c r="W664" s="82" t="str">
        <f t="shared" si="557"/>
        <v/>
      </c>
      <c r="X664" s="50"/>
      <c r="Y664" s="85">
        <f>X664*$F664</f>
        <v>0</v>
      </c>
      <c r="Z664" s="82" t="str">
        <f t="shared" si="558"/>
        <v/>
      </c>
      <c r="AA664" s="50"/>
      <c r="AB664" s="85">
        <f>AA664*$F664</f>
        <v>0</v>
      </c>
      <c r="AC664" s="82" t="str">
        <f t="shared" si="559"/>
        <v/>
      </c>
      <c r="AD664" s="50"/>
      <c r="AE664" s="85">
        <f>AD664*$F664</f>
        <v>0</v>
      </c>
      <c r="AF664" s="82" t="str">
        <f t="shared" si="560"/>
        <v/>
      </c>
      <c r="AG664" s="50"/>
      <c r="AH664" s="85">
        <f>AG664*$F664</f>
        <v>0</v>
      </c>
      <c r="AI664" s="82" t="str">
        <f t="shared" si="561"/>
        <v/>
      </c>
      <c r="AJ664" s="50"/>
      <c r="AK664" s="85">
        <f>AJ664*$F664</f>
        <v>0</v>
      </c>
      <c r="AL664" s="82" t="str">
        <f t="shared" si="562"/>
        <v/>
      </c>
      <c r="AM664" s="50"/>
      <c r="AN664" s="85">
        <f>AM664*$F664</f>
        <v>0</v>
      </c>
      <c r="AO664" s="82" t="str">
        <f t="shared" si="563"/>
        <v/>
      </c>
      <c r="AP664" s="48">
        <f t="shared" si="552"/>
        <v>0</v>
      </c>
      <c r="AQ664" s="85">
        <f>AP664*$F664</f>
        <v>0</v>
      </c>
      <c r="AR664" s="82" t="str">
        <f t="shared" si="564"/>
        <v/>
      </c>
      <c r="AS664" s="48">
        <f t="shared" si="553"/>
        <v>277.51</v>
      </c>
      <c r="AT664" s="85">
        <f>AS664*$F664</f>
        <v>335.78709999999995</v>
      </c>
      <c r="AU664" s="82">
        <f t="shared" si="565"/>
        <v>1</v>
      </c>
    </row>
    <row r="665" spans="1:47" s="53" customFormat="1" ht="26.25" customHeight="1">
      <c r="A665" s="1953" t="s">
        <v>478</v>
      </c>
      <c r="B665" s="1953"/>
      <c r="C665" s="1953"/>
      <c r="D665" s="1953"/>
      <c r="E665" s="1953"/>
      <c r="F665" s="1953"/>
      <c r="G665" s="1955">
        <f>SUM(H9:H664)/3</f>
        <v>4627849.5906000035</v>
      </c>
      <c r="H665" s="1956"/>
      <c r="I665" s="1454" t="s">
        <v>505</v>
      </c>
      <c r="J665" s="1444"/>
      <c r="K665" s="190" t="s">
        <v>499</v>
      </c>
      <c r="L665" s="1454" t="s">
        <v>502</v>
      </c>
      <c r="M665" s="1444"/>
      <c r="N665" s="190" t="s">
        <v>499</v>
      </c>
      <c r="O665" s="1454" t="s">
        <v>506</v>
      </c>
      <c r="P665" s="1444"/>
      <c r="Q665" s="190" t="s">
        <v>499</v>
      </c>
      <c r="R665" s="1454" t="s">
        <v>507</v>
      </c>
      <c r="S665" s="1444"/>
      <c r="T665" s="190" t="s">
        <v>499</v>
      </c>
      <c r="U665" s="1454" t="s">
        <v>508</v>
      </c>
      <c r="V665" s="1444"/>
      <c r="W665" s="190" t="s">
        <v>499</v>
      </c>
      <c r="X665" s="1454" t="s">
        <v>509</v>
      </c>
      <c r="Y665" s="1444"/>
      <c r="Z665" s="190" t="s">
        <v>499</v>
      </c>
      <c r="AA665" s="1454" t="s">
        <v>510</v>
      </c>
      <c r="AB665" s="1444"/>
      <c r="AC665" s="190" t="s">
        <v>499</v>
      </c>
      <c r="AD665" s="1454" t="s">
        <v>511</v>
      </c>
      <c r="AE665" s="1444"/>
      <c r="AF665" s="190" t="s">
        <v>499</v>
      </c>
      <c r="AG665" s="1454" t="s">
        <v>512</v>
      </c>
      <c r="AH665" s="1444"/>
      <c r="AI665" s="190" t="s">
        <v>499</v>
      </c>
      <c r="AJ665" s="1454" t="s">
        <v>513</v>
      </c>
      <c r="AK665" s="1444"/>
      <c r="AL665" s="190" t="s">
        <v>499</v>
      </c>
      <c r="AM665" s="1454" t="s">
        <v>514</v>
      </c>
      <c r="AN665" s="1444"/>
      <c r="AO665" s="190" t="s">
        <v>499</v>
      </c>
      <c r="AP665" s="1454" t="s">
        <v>504</v>
      </c>
      <c r="AQ665" s="1444"/>
      <c r="AR665" s="190" t="s">
        <v>499</v>
      </c>
      <c r="AS665" s="1454" t="s">
        <v>503</v>
      </c>
      <c r="AT665" s="1444"/>
      <c r="AU665" s="190" t="s">
        <v>499</v>
      </c>
    </row>
    <row r="666" spans="1:47" ht="25.5" customHeight="1">
      <c r="A666" s="1954"/>
      <c r="B666" s="1954"/>
      <c r="C666" s="1954"/>
      <c r="D666" s="1954"/>
      <c r="E666" s="1954"/>
      <c r="F666" s="1954"/>
      <c r="G666" s="1957"/>
      <c r="H666" s="1958"/>
      <c r="I666" s="1959">
        <f>SUM(J9:J664)/3</f>
        <v>327884.63670000009</v>
      </c>
      <c r="J666" s="1960"/>
      <c r="K666" s="191">
        <f>I666/G665</f>
        <v>7.0850322656551515E-2</v>
      </c>
      <c r="L666" s="1961">
        <f>SUM(M9:M664)/3</f>
        <v>118557.8366</v>
      </c>
      <c r="M666" s="1962"/>
      <c r="N666" s="192">
        <f>L666/$G$665</f>
        <v>2.5618342661959524E-2</v>
      </c>
      <c r="O666" s="1961">
        <f>SUM(P9:P664)/3</f>
        <v>209326.80010000002</v>
      </c>
      <c r="P666" s="1962"/>
      <c r="Q666" s="194">
        <f>O666/$G$665</f>
        <v>4.5231979994591977E-2</v>
      </c>
      <c r="R666" s="1961">
        <f>SUM(S9:S664)/3</f>
        <v>383969.93749364285</v>
      </c>
      <c r="S666" s="1962"/>
      <c r="T666" s="192">
        <f>R666/G665</f>
        <v>8.2969407275801488E-2</v>
      </c>
      <c r="U666" s="1961">
        <f>SUM(V9:V664)/3</f>
        <v>0</v>
      </c>
      <c r="V666" s="1962"/>
      <c r="W666" s="192">
        <f>U666/$G$198</f>
        <v>0</v>
      </c>
      <c r="X666" s="1961">
        <f>SUM(Y9:Y664)/3</f>
        <v>0</v>
      </c>
      <c r="Y666" s="1962"/>
      <c r="Z666" s="192">
        <f>X666/$G$198</f>
        <v>0</v>
      </c>
      <c r="AA666" s="1961">
        <f>SUM(AB9:AB664)/3</f>
        <v>0</v>
      </c>
      <c r="AB666" s="1962"/>
      <c r="AC666" s="192">
        <f>AA666/$G$198</f>
        <v>0</v>
      </c>
      <c r="AD666" s="1961">
        <f>SUM(AE9:AE664)/3</f>
        <v>0</v>
      </c>
      <c r="AE666" s="1962"/>
      <c r="AF666" s="192">
        <f>AD666/$G$198</f>
        <v>0</v>
      </c>
      <c r="AG666" s="1961">
        <f>SUM(AH9:AH664)/3</f>
        <v>0</v>
      </c>
      <c r="AH666" s="1962"/>
      <c r="AI666" s="192">
        <f>AG666/$G$198</f>
        <v>0</v>
      </c>
      <c r="AJ666" s="1961">
        <f>SUM(AK9:AK664)/3</f>
        <v>0</v>
      </c>
      <c r="AK666" s="1962"/>
      <c r="AL666" s="192">
        <f>AJ666/$G$198</f>
        <v>0</v>
      </c>
      <c r="AM666" s="1961">
        <f>SUM(AN9:AN664)/3</f>
        <v>0</v>
      </c>
      <c r="AN666" s="1962"/>
      <c r="AO666" s="192">
        <f>AM666/$G$198</f>
        <v>0</v>
      </c>
      <c r="AP666" s="1961">
        <f>SUM(AQ9:AQ664)/3</f>
        <v>711854.57419364341</v>
      </c>
      <c r="AQ666" s="1962"/>
      <c r="AR666" s="192">
        <f>AP666/G665</f>
        <v>0.1538197299323531</v>
      </c>
      <c r="AS666" s="1961">
        <f>SUM(AT9:AT664)/3</f>
        <v>3915995.0164063592</v>
      </c>
      <c r="AT666" s="1962"/>
      <c r="AU666" s="192">
        <f>AS666/$G$665</f>
        <v>0.84618027006764673</v>
      </c>
    </row>
    <row r="668" spans="1:47" ht="47.25" customHeight="1">
      <c r="D668" s="193" t="s">
        <v>2149</v>
      </c>
      <c r="F668" s="1963" t="s">
        <v>2150</v>
      </c>
      <c r="G668" s="1964"/>
      <c r="I668" s="1965" t="s">
        <v>2151</v>
      </c>
      <c r="J668" s="1966"/>
      <c r="L668" s="1965" t="s">
        <v>2152</v>
      </c>
      <c r="M668" s="1966"/>
      <c r="P668" s="186"/>
      <c r="AP668" s="1967" t="s">
        <v>2153</v>
      </c>
      <c r="AQ668" s="1968"/>
    </row>
    <row r="669" spans="1:47">
      <c r="H669" s="186"/>
    </row>
    <row r="670" spans="1:47">
      <c r="H670" s="186"/>
    </row>
    <row r="671" spans="1:47">
      <c r="H671" s="186"/>
    </row>
  </sheetData>
  <mergeCells count="216">
    <mergeCell ref="F668:G668"/>
    <mergeCell ref="I668:J668"/>
    <mergeCell ref="L668:M668"/>
    <mergeCell ref="AP668:AQ668"/>
    <mergeCell ref="X666:Y666"/>
    <mergeCell ref="AA666:AB666"/>
    <mergeCell ref="AD666:AE666"/>
    <mergeCell ref="AG666:AH666"/>
    <mergeCell ref="AJ666:AK666"/>
    <mergeCell ref="AM666:AN666"/>
    <mergeCell ref="AG665:AH665"/>
    <mergeCell ref="AJ665:AK665"/>
    <mergeCell ref="AM665:AN665"/>
    <mergeCell ref="AP665:AQ665"/>
    <mergeCell ref="AS665:AT665"/>
    <mergeCell ref="I666:J666"/>
    <mergeCell ref="L666:M666"/>
    <mergeCell ref="O666:P666"/>
    <mergeCell ref="R666:S666"/>
    <mergeCell ref="U666:V666"/>
    <mergeCell ref="O665:P665"/>
    <mergeCell ref="R665:S665"/>
    <mergeCell ref="U665:V665"/>
    <mergeCell ref="X665:Y665"/>
    <mergeCell ref="AA665:AB665"/>
    <mergeCell ref="AD665:AE665"/>
    <mergeCell ref="AP666:AQ666"/>
    <mergeCell ref="AS666:AT666"/>
    <mergeCell ref="C661:G661"/>
    <mergeCell ref="C662:G662"/>
    <mergeCell ref="A665:F666"/>
    <mergeCell ref="G665:H666"/>
    <mergeCell ref="I665:J665"/>
    <mergeCell ref="L665:M665"/>
    <mergeCell ref="C644:G644"/>
    <mergeCell ref="C645:G645"/>
    <mergeCell ref="C647:G647"/>
    <mergeCell ref="C653:G653"/>
    <mergeCell ref="C657:G657"/>
    <mergeCell ref="C659:G659"/>
    <mergeCell ref="C628:G628"/>
    <mergeCell ref="C629:G629"/>
    <mergeCell ref="C635:G635"/>
    <mergeCell ref="C637:G637"/>
    <mergeCell ref="C639:G639"/>
    <mergeCell ref="C641:G641"/>
    <mergeCell ref="C591:G591"/>
    <mergeCell ref="C595:G595"/>
    <mergeCell ref="C601:G601"/>
    <mergeCell ref="C607:G607"/>
    <mergeCell ref="C613:G613"/>
    <mergeCell ref="C625:G625"/>
    <mergeCell ref="AZ576:BD576"/>
    <mergeCell ref="AZ577:BD577"/>
    <mergeCell ref="C578:G578"/>
    <mergeCell ref="AZ578:BD578"/>
    <mergeCell ref="AZ579:BD579"/>
    <mergeCell ref="C590:G590"/>
    <mergeCell ref="C522:G522"/>
    <mergeCell ref="C559:G559"/>
    <mergeCell ref="C560:G560"/>
    <mergeCell ref="C568:G568"/>
    <mergeCell ref="C573:G573"/>
    <mergeCell ref="AZ575:BD575"/>
    <mergeCell ref="C471:G471"/>
    <mergeCell ref="AZ516:BD516"/>
    <mergeCell ref="AZ517:BD517"/>
    <mergeCell ref="AZ518:BD518"/>
    <mergeCell ref="AZ519:BD519"/>
    <mergeCell ref="AZ520:BD520"/>
    <mergeCell ref="AZ458:BD458"/>
    <mergeCell ref="AZ459:BD459"/>
    <mergeCell ref="AZ460:BD460"/>
    <mergeCell ref="AZ461:BD461"/>
    <mergeCell ref="C463:G463"/>
    <mergeCell ref="C464:G464"/>
    <mergeCell ref="C415:G415"/>
    <mergeCell ref="C430:G430"/>
    <mergeCell ref="C443:G443"/>
    <mergeCell ref="C452:G452"/>
    <mergeCell ref="C457:G457"/>
    <mergeCell ref="AZ457:BD457"/>
    <mergeCell ref="C395:G395"/>
    <mergeCell ref="AZ397:BD397"/>
    <mergeCell ref="AZ398:BD398"/>
    <mergeCell ref="AZ399:BD399"/>
    <mergeCell ref="AZ400:BD400"/>
    <mergeCell ref="AZ401:BD401"/>
    <mergeCell ref="AZ334:BD334"/>
    <mergeCell ref="AZ335:BD335"/>
    <mergeCell ref="AZ336:BD336"/>
    <mergeCell ref="AZ337:BD337"/>
    <mergeCell ref="C351:G351"/>
    <mergeCell ref="C384:G384"/>
    <mergeCell ref="C311:G311"/>
    <mergeCell ref="C314:G314"/>
    <mergeCell ref="C319:G319"/>
    <mergeCell ref="C326:G326"/>
    <mergeCell ref="C327:G327"/>
    <mergeCell ref="AZ333:BD333"/>
    <mergeCell ref="AZ272:BD272"/>
    <mergeCell ref="C274:G274"/>
    <mergeCell ref="C279:G279"/>
    <mergeCell ref="C284:G284"/>
    <mergeCell ref="C296:G296"/>
    <mergeCell ref="C304:G304"/>
    <mergeCell ref="C261:G261"/>
    <mergeCell ref="C265:G265"/>
    <mergeCell ref="AZ268:BD268"/>
    <mergeCell ref="AZ269:BD269"/>
    <mergeCell ref="AZ270:BD270"/>
    <mergeCell ref="AZ271:BD271"/>
    <mergeCell ref="C241:G241"/>
    <mergeCell ref="C246:G246"/>
    <mergeCell ref="C249:G249"/>
    <mergeCell ref="C253:G253"/>
    <mergeCell ref="C258:G258"/>
    <mergeCell ref="C259:G259"/>
    <mergeCell ref="C218:G218"/>
    <mergeCell ref="C222:G222"/>
    <mergeCell ref="C225:G225"/>
    <mergeCell ref="C226:G226"/>
    <mergeCell ref="C228:G228"/>
    <mergeCell ref="C233:G233"/>
    <mergeCell ref="AZ208:BD208"/>
    <mergeCell ref="C209:G209"/>
    <mergeCell ref="AZ209:BD209"/>
    <mergeCell ref="C210:G210"/>
    <mergeCell ref="C213:G213"/>
    <mergeCell ref="C217:G217"/>
    <mergeCell ref="C201:G201"/>
    <mergeCell ref="C202:G202"/>
    <mergeCell ref="C204:G204"/>
    <mergeCell ref="AZ206:BD206"/>
    <mergeCell ref="C207:G207"/>
    <mergeCell ref="AZ207:BD207"/>
    <mergeCell ref="C189:G189"/>
    <mergeCell ref="C191:G191"/>
    <mergeCell ref="C192:G192"/>
    <mergeCell ref="C194:G194"/>
    <mergeCell ref="C196:G196"/>
    <mergeCell ref="C199:G199"/>
    <mergeCell ref="C164:G164"/>
    <mergeCell ref="C168:G168"/>
    <mergeCell ref="C175:G175"/>
    <mergeCell ref="C179:G179"/>
    <mergeCell ref="C184:G184"/>
    <mergeCell ref="C187:G187"/>
    <mergeCell ref="C145:G145"/>
    <mergeCell ref="C152:G152"/>
    <mergeCell ref="C154:G154"/>
    <mergeCell ref="C155:G155"/>
    <mergeCell ref="C157:G157"/>
    <mergeCell ref="C159:G159"/>
    <mergeCell ref="C123:G123"/>
    <mergeCell ref="C125:G125"/>
    <mergeCell ref="C127:G127"/>
    <mergeCell ref="C131:G131"/>
    <mergeCell ref="C134:G134"/>
    <mergeCell ref="C135:G135"/>
    <mergeCell ref="C106:G106"/>
    <mergeCell ref="C110:G110"/>
    <mergeCell ref="C113:G113"/>
    <mergeCell ref="C118:G118"/>
    <mergeCell ref="C119:G119"/>
    <mergeCell ref="C121:G121"/>
    <mergeCell ref="C83:G83"/>
    <mergeCell ref="C85:G85"/>
    <mergeCell ref="C86:G86"/>
    <mergeCell ref="C94:G94"/>
    <mergeCell ref="C101:G101"/>
    <mergeCell ref="C103:G103"/>
    <mergeCell ref="C52:G52"/>
    <mergeCell ref="C57:G57"/>
    <mergeCell ref="C70:G70"/>
    <mergeCell ref="C74:G74"/>
    <mergeCell ref="C77:G77"/>
    <mergeCell ref="C80:G80"/>
    <mergeCell ref="AZ23:BD23"/>
    <mergeCell ref="AZ24:BD24"/>
    <mergeCell ref="C43:G43"/>
    <mergeCell ref="C45:G45"/>
    <mergeCell ref="C48:G48"/>
    <mergeCell ref="C51:G51"/>
    <mergeCell ref="C9:G9"/>
    <mergeCell ref="C10:G10"/>
    <mergeCell ref="AZ20:BD20"/>
    <mergeCell ref="AZ21:BD21"/>
    <mergeCell ref="AZ22:BD22"/>
    <mergeCell ref="AD7:AF7"/>
    <mergeCell ref="AG7:AI7"/>
    <mergeCell ref="AJ7:AL7"/>
    <mergeCell ref="AM7:AO7"/>
    <mergeCell ref="AP7:AR7"/>
    <mergeCell ref="AS7:AU7"/>
    <mergeCell ref="A7:H7"/>
    <mergeCell ref="I7:K7"/>
    <mergeCell ref="L7:N7"/>
    <mergeCell ref="O7:Q7"/>
    <mergeCell ref="R7:T7"/>
    <mergeCell ref="U7:W7"/>
    <mergeCell ref="X7:Z7"/>
    <mergeCell ref="AA7:AC7"/>
    <mergeCell ref="AV7:AW7"/>
    <mergeCell ref="A1:AU2"/>
    <mergeCell ref="A3:AU3"/>
    <mergeCell ref="A4:D4"/>
    <mergeCell ref="E4:H4"/>
    <mergeCell ref="I4:L6"/>
    <mergeCell ref="AR4:AU4"/>
    <mergeCell ref="A5:D5"/>
    <mergeCell ref="E5:H5"/>
    <mergeCell ref="AR5:AU5"/>
    <mergeCell ref="A6:D6"/>
    <mergeCell ref="E6:H6"/>
    <mergeCell ref="AR6:AU6"/>
  </mergeCells>
  <conditionalFormatting sqref="AA5">
    <cfRule type="cellIs" dxfId="0" priority="1" operator="between">
      <formula>-0.001</formula>
      <formula>-1000</formula>
    </cfRule>
  </conditionalFormatting>
  <pageMargins left="0.51181102362204722" right="0.51181102362204722" top="0.78740157480314965" bottom="0.78740157480314965" header="0.31496062992125984" footer="0.31496062992125984"/>
  <pageSetup paperSize="9" scale="39" fitToHeight="0" orientation="landscape" horizontalDpi="300" verticalDpi="300" r:id="rId1"/>
  <colBreaks count="1" manualBreakCount="1">
    <brk id="4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6</vt:i4>
      </vt:variant>
    </vt:vector>
  </HeadingPairs>
  <TitlesOfParts>
    <vt:vector size="12" baseType="lpstr">
      <vt:lpstr>27ª MEDIÇÃO </vt:lpstr>
      <vt:lpstr>MEMÓRIA 27ª medição</vt:lpstr>
      <vt:lpstr>Planilha1</vt:lpstr>
      <vt:lpstr>Planilha2</vt:lpstr>
      <vt:lpstr>Planilha3</vt:lpstr>
      <vt:lpstr>Planilha1 (2)</vt:lpstr>
      <vt:lpstr>'27ª MEDIÇÃO '!Area_de_impressao</vt:lpstr>
      <vt:lpstr>'MEMÓRIA 27ª medição'!Area_de_impressao</vt:lpstr>
      <vt:lpstr>'Planilha1 (2)'!Area_de_impressao</vt:lpstr>
      <vt:lpstr>'27ª MEDIÇÃO '!Titulos_de_impressao</vt:lpstr>
      <vt:lpstr>'MEMÓRIA 27ª medição'!Titulos_de_impressao</vt:lpstr>
      <vt:lpstr>'Planilha1 (2)'!Titulos_de_impressao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Denes da Silva Dutra</dc:creator>
  <cp:lastModifiedBy>Adriana Ledig Aguiar Silva Deriz</cp:lastModifiedBy>
  <cp:lastPrinted>2026-06-18T22:41:17Z</cp:lastPrinted>
  <dcterms:created xsi:type="dcterms:W3CDTF">2023-03-07T13:43:04Z</dcterms:created>
  <dcterms:modified xsi:type="dcterms:W3CDTF">2026-06-22T12:34:31Z</dcterms:modified>
</cp:coreProperties>
</file>